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comments12.xml" ContentType="application/vnd.openxmlformats-officedocument.spreadsheetml.comments+xml"/>
  <Override PartName="/xl/drawings/drawing13.xml" ContentType="application/vnd.openxmlformats-officedocument.drawing+xml"/>
  <Override PartName="/xl/comments13.xml" ContentType="application/vnd.openxmlformats-officedocument.spreadsheetml.comments+xml"/>
  <Override PartName="/xl/drawings/drawing14.xml" ContentType="application/vnd.openxmlformats-officedocument.drawing+xml"/>
  <Override PartName="/xl/comments14.xml" ContentType="application/vnd.openxmlformats-officedocument.spreadsheetml.comments+xml"/>
  <Override PartName="/xl/drawings/drawing15.xml" ContentType="application/vnd.openxmlformats-officedocument.drawing+xml"/>
  <Override PartName="/xl/comments15.xml" ContentType="application/vnd.openxmlformats-officedocument.spreadsheetml.comments+xml"/>
  <Override PartName="/xl/drawings/drawing16.xml" ContentType="application/vnd.openxmlformats-officedocument.drawing+xml"/>
  <Override PartName="/xl/comments16.xml" ContentType="application/vnd.openxmlformats-officedocument.spreadsheetml.comments+xml"/>
  <Override PartName="/xl/drawings/drawing17.xml" ContentType="application/vnd.openxmlformats-officedocument.drawing+xml"/>
  <Override PartName="/xl/comments17.xml" ContentType="application/vnd.openxmlformats-officedocument.spreadsheetml.comments+xml"/>
  <Override PartName="/xl/drawings/drawing18.xml" ContentType="application/vnd.openxmlformats-officedocument.drawing+xml"/>
  <Override PartName="/xl/comments18.xml" ContentType="application/vnd.openxmlformats-officedocument.spreadsheetml.comments+xml"/>
  <Override PartName="/xl/drawings/drawing19.xml" ContentType="application/vnd.openxmlformats-officedocument.drawing+xml"/>
  <Override PartName="/xl/comments19.xml" ContentType="application/vnd.openxmlformats-officedocument.spreadsheetml.comments+xml"/>
  <Override PartName="/xl/drawings/drawing20.xml" ContentType="application/vnd.openxmlformats-officedocument.drawing+xml"/>
  <Override PartName="/xl/comments20.xml" ContentType="application/vnd.openxmlformats-officedocument.spreadsheetml.comments+xml"/>
  <Override PartName="/xl/drawings/drawing21.xml" ContentType="application/vnd.openxmlformats-officedocument.drawing+xml"/>
  <Override PartName="/xl/comments21.xml" ContentType="application/vnd.openxmlformats-officedocument.spreadsheetml.comments+xml"/>
  <Override PartName="/xl/drawings/drawing22.xml" ContentType="application/vnd.openxmlformats-officedocument.drawing+xml"/>
  <Override PartName="/xl/comments22.xml" ContentType="application/vnd.openxmlformats-officedocument.spreadsheetml.comments+xml"/>
  <Override PartName="/xl/drawings/drawing23.xml" ContentType="application/vnd.openxmlformats-officedocument.drawing+xml"/>
  <Override PartName="/xl/comments23.xml" ContentType="application/vnd.openxmlformats-officedocument.spreadsheetml.comments+xml"/>
  <Override PartName="/xl/drawings/drawing24.xml" ContentType="application/vnd.openxmlformats-officedocument.drawing+xml"/>
  <Override PartName="/xl/comments24.xml" ContentType="application/vnd.openxmlformats-officedocument.spreadsheetml.comments+xml"/>
  <Override PartName="/xl/drawings/drawing25.xml" ContentType="application/vnd.openxmlformats-officedocument.drawing+xml"/>
  <Override PartName="/xl/comments25.xml" ContentType="application/vnd.openxmlformats-officedocument.spreadsheetml.comments+xml"/>
  <Override PartName="/xl/drawings/drawing26.xml" ContentType="application/vnd.openxmlformats-officedocument.drawing+xml"/>
  <Override PartName="/xl/comments26.xml" ContentType="application/vnd.openxmlformats-officedocument.spreadsheetml.comments+xml"/>
  <Override PartName="/xl/drawings/drawing27.xml" ContentType="application/vnd.openxmlformats-officedocument.drawing+xml"/>
  <Override PartName="/xl/comments27.xml" ContentType="application/vnd.openxmlformats-officedocument.spreadsheetml.comments+xml"/>
  <Override PartName="/xl/drawings/drawing28.xml" ContentType="application/vnd.openxmlformats-officedocument.drawing+xml"/>
  <Override PartName="/xl/comments28.xml" ContentType="application/vnd.openxmlformats-officedocument.spreadsheetml.comments+xml"/>
  <Override PartName="/xl/drawings/drawing29.xml" ContentType="application/vnd.openxmlformats-officedocument.drawing+xml"/>
  <Override PartName="/xl/comments29.xml" ContentType="application/vnd.openxmlformats-officedocument.spreadsheetml.comments+xml"/>
  <Override PartName="/xl/drawings/drawing30.xml" ContentType="application/vnd.openxmlformats-officedocument.drawing+xml"/>
  <Override PartName="/xl/comments30.xml" ContentType="application/vnd.openxmlformats-officedocument.spreadsheetml.comments+xml"/>
  <Override PartName="/xl/drawings/drawing31.xml" ContentType="application/vnd.openxmlformats-officedocument.drawing+xml"/>
  <Override PartName="/xl/comments31.xml" ContentType="application/vnd.openxmlformats-officedocument.spreadsheetml.comments+xml"/>
  <Override PartName="/xl/comments3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Mario\Desktop\"/>
    </mc:Choice>
  </mc:AlternateContent>
  <workbookProtection workbookAlgorithmName="SHA-512" workbookHashValue="AO/+pr1yzBzrKH1S0+85ldDumThtLY/MjEa3c/w0pMQqc8qszvHId+6vXJbLtHUrBvVctWPFvfL53f7x/8wnaw==" workbookSaltValue="J2tZ8JszzhdNfxd4W4cPkA==" workbookSpinCount="100000" lockStructure="1"/>
  <bookViews>
    <workbookView xWindow="1860" yWindow="0" windowWidth="21600" windowHeight="11025" tabRatio="932"/>
  </bookViews>
  <sheets>
    <sheet name="IM"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17" r:id="rId17"/>
    <sheet name="17" sheetId="18" r:id="rId18"/>
    <sheet name="18" sheetId="19" r:id="rId19"/>
    <sheet name="19" sheetId="20" r:id="rId20"/>
    <sheet name="20" sheetId="21" r:id="rId21"/>
    <sheet name="21" sheetId="22" r:id="rId22"/>
    <sheet name="22" sheetId="23" r:id="rId23"/>
    <sheet name="23" sheetId="24" r:id="rId24"/>
    <sheet name="24" sheetId="25" r:id="rId25"/>
    <sheet name="25" sheetId="26" r:id="rId26"/>
    <sheet name="26" sheetId="27" r:id="rId27"/>
    <sheet name="27" sheetId="28" r:id="rId28"/>
    <sheet name="28" sheetId="29" r:id="rId29"/>
    <sheet name="29" sheetId="30" r:id="rId30"/>
    <sheet name="30" sheetId="31" r:id="rId31"/>
    <sheet name="LibroRemuneraciones" sheetId="32" r:id="rId32"/>
    <sheet name="CentroCostos" sheetId="33" r:id="rId33"/>
  </sheets>
  <definedNames>
    <definedName name="_xlnm.Print_Area" localSheetId="1">'1'!$D$153:$O$218</definedName>
    <definedName name="_xlnm.Print_Area" localSheetId="10">'10'!$D$153:$O$218</definedName>
    <definedName name="_xlnm.Print_Area" localSheetId="11">'11'!$D$153:$O$218</definedName>
    <definedName name="_xlnm.Print_Area" localSheetId="12">'12'!$D$153:$O$218</definedName>
    <definedName name="_xlnm.Print_Area" localSheetId="13">'13'!$D$153:$O$218</definedName>
    <definedName name="_xlnm.Print_Area" localSheetId="14">'14'!$D$153:$O$218</definedName>
    <definedName name="_xlnm.Print_Area" localSheetId="15">'15'!$D$153:$O$218</definedName>
    <definedName name="_xlnm.Print_Area" localSheetId="16">'16'!$D$153:$O$218</definedName>
    <definedName name="_xlnm.Print_Area" localSheetId="17">'17'!$D$153:$O$218</definedName>
    <definedName name="_xlnm.Print_Area" localSheetId="18">'18'!$D$153:$O$218</definedName>
    <definedName name="_xlnm.Print_Area" localSheetId="19">'19'!$D$153:$O$218</definedName>
    <definedName name="_xlnm.Print_Area" localSheetId="2">'2'!$D$153:$O$218</definedName>
    <definedName name="_xlnm.Print_Area" localSheetId="20">'20'!$D$153:$O$218</definedName>
    <definedName name="_xlnm.Print_Area" localSheetId="21">'21'!$D$153:$O$218</definedName>
    <definedName name="_xlnm.Print_Area" localSheetId="22">'22'!$D$153:$O$218</definedName>
    <definedName name="_xlnm.Print_Area" localSheetId="23">'23'!$D$153:$O$218</definedName>
    <definedName name="_xlnm.Print_Area" localSheetId="24">'24'!$D$153:$O$218</definedName>
    <definedName name="_xlnm.Print_Area" localSheetId="25">'25'!$D$153:$O$218</definedName>
    <definedName name="_xlnm.Print_Area" localSheetId="26">'26'!$D$153:$O$218</definedName>
    <definedName name="_xlnm.Print_Area" localSheetId="27">'27'!$D$153:$O$218</definedName>
    <definedName name="_xlnm.Print_Area" localSheetId="28">'28'!$D$153:$O$218</definedName>
    <definedName name="_xlnm.Print_Area" localSheetId="29">'29'!$D$153:$O$218</definedName>
    <definedName name="_xlnm.Print_Area" localSheetId="3">'3'!$D$153:$O$218</definedName>
    <definedName name="_xlnm.Print_Area" localSheetId="30">'30'!$D$153:$O$218</definedName>
    <definedName name="_xlnm.Print_Area" localSheetId="4">'4'!$D$153:$O$218</definedName>
    <definedName name="_xlnm.Print_Area" localSheetId="5">'5'!$D$153:$O$218</definedName>
    <definedName name="_xlnm.Print_Area" localSheetId="6">'6'!$D$153:$O$218</definedName>
    <definedName name="_xlnm.Print_Area" localSheetId="7">'7'!$D$153:$O$218</definedName>
    <definedName name="_xlnm.Print_Area" localSheetId="8">'8'!$D$153:$O$218</definedName>
    <definedName name="_xlnm.Print_Area" localSheetId="9">'9'!$D$153:$O$218</definedName>
    <definedName name="_xlnm.Print_Area" localSheetId="32">CentroCostos!$A$1:$I$34,CentroCostos!$K$1:$R$34,CentroCostos!$B$39:$D$63</definedName>
    <definedName name="_xlnm.Print_Area" localSheetId="0">IM!$A$7:$M$31</definedName>
    <definedName name="_xlnm.Print_Area" localSheetId="31">LibroRemuneraciones!$A$1:$J$27,LibroRemuneraciones!$L$1:$P$27,LibroRemuneraciones!$S$1:$AE$27,LibroRemuneraciones!$AG$1:$AK$27,LibroRemuneraciones!$A$31:$L$38</definedName>
    <definedName name="BalanceoHE">IM!$G$135:$G$136</definedName>
    <definedName name="HorasMensuales" comment="Cantidad de horas mensuales, para poder calcular el valor de hora extraordinaria">IM!$R$45</definedName>
    <definedName name="ImpuestoUnico_OPC">IM!$H$135:$H$136</definedName>
    <definedName name="ListadoAFP" comment="Listado de AFP Actuales">IM!$A$135:$A$144</definedName>
    <definedName name="ListadoIsapres" comment="Listado de Isapres Actuales">IM!$C$135:$C$154</definedName>
    <definedName name="SueldoMinimo1" comment="Sueldo minimo para trabajadores dependientes e independientes">IM!$Q$59</definedName>
    <definedName name="SueldoMinimo2" comment="SueldoMinimo de menores de 18 años y mayores de 65">IM!$Q$60</definedName>
    <definedName name="SueldoMinimo3" comment="Sueldo minimo de trabajadores de casas particulares">IM!$Q$61</definedName>
    <definedName name="TipoContrato">IM!$E$135:$E$139</definedName>
    <definedName name="TopeGraificacion" comment="Tope de gratificación Mensual">IM!$O$59</definedName>
    <definedName name="Z_1394C1FB_D78B_475F_959C_B8ED403A6673_.wvu.Cols" localSheetId="31" hidden="1">LibroRemuneraciones!$D:$D,LibroRemuneraciones!$Q:$Q,LibroRemuneraciones!$V:$V</definedName>
    <definedName name="Z_1394C1FB_D78B_475F_959C_B8ED403A6673_.wvu.PrintArea" localSheetId="1" hidden="1">'1'!$D$153:$O$218</definedName>
    <definedName name="Z_1394C1FB_D78B_475F_959C_B8ED403A6673_.wvu.PrintArea" localSheetId="10" hidden="1">'10'!$D$153:$O$218</definedName>
    <definedName name="Z_1394C1FB_D78B_475F_959C_B8ED403A6673_.wvu.PrintArea" localSheetId="11" hidden="1">'11'!$D$153:$O$218</definedName>
    <definedName name="Z_1394C1FB_D78B_475F_959C_B8ED403A6673_.wvu.PrintArea" localSheetId="12" hidden="1">'12'!$D$153:$O$218</definedName>
    <definedName name="Z_1394C1FB_D78B_475F_959C_B8ED403A6673_.wvu.PrintArea" localSheetId="13" hidden="1">'13'!$D$153:$O$218</definedName>
    <definedName name="Z_1394C1FB_D78B_475F_959C_B8ED403A6673_.wvu.PrintArea" localSheetId="14" hidden="1">'14'!$D$153:$O$218</definedName>
    <definedName name="Z_1394C1FB_D78B_475F_959C_B8ED403A6673_.wvu.PrintArea" localSheetId="15" hidden="1">'15'!$D$153:$O$218</definedName>
    <definedName name="Z_1394C1FB_D78B_475F_959C_B8ED403A6673_.wvu.PrintArea" localSheetId="16" hidden="1">'16'!$D$153:$O$218</definedName>
    <definedName name="Z_1394C1FB_D78B_475F_959C_B8ED403A6673_.wvu.PrintArea" localSheetId="17" hidden="1">'17'!$D$153:$O$218</definedName>
    <definedName name="Z_1394C1FB_D78B_475F_959C_B8ED403A6673_.wvu.PrintArea" localSheetId="18" hidden="1">'18'!$D$153:$O$218</definedName>
    <definedName name="Z_1394C1FB_D78B_475F_959C_B8ED403A6673_.wvu.PrintArea" localSheetId="19" hidden="1">'19'!$D$153:$O$218</definedName>
    <definedName name="Z_1394C1FB_D78B_475F_959C_B8ED403A6673_.wvu.PrintArea" localSheetId="2" hidden="1">'2'!$D$153:$O$218</definedName>
    <definedName name="Z_1394C1FB_D78B_475F_959C_B8ED403A6673_.wvu.PrintArea" localSheetId="20" hidden="1">'20'!$D$153:$O$218</definedName>
    <definedName name="Z_1394C1FB_D78B_475F_959C_B8ED403A6673_.wvu.PrintArea" localSheetId="21" hidden="1">'21'!$D$153:$O$218</definedName>
    <definedName name="Z_1394C1FB_D78B_475F_959C_B8ED403A6673_.wvu.PrintArea" localSheetId="22" hidden="1">'22'!$D$153:$O$218</definedName>
    <definedName name="Z_1394C1FB_D78B_475F_959C_B8ED403A6673_.wvu.PrintArea" localSheetId="23" hidden="1">'23'!$D$153:$O$218</definedName>
    <definedName name="Z_1394C1FB_D78B_475F_959C_B8ED403A6673_.wvu.PrintArea" localSheetId="24" hidden="1">'24'!$D$153:$O$218</definedName>
    <definedName name="Z_1394C1FB_D78B_475F_959C_B8ED403A6673_.wvu.PrintArea" localSheetId="25" hidden="1">'25'!$D$153:$O$218</definedName>
    <definedName name="Z_1394C1FB_D78B_475F_959C_B8ED403A6673_.wvu.PrintArea" localSheetId="26" hidden="1">'26'!$D$153:$O$218</definedName>
    <definedName name="Z_1394C1FB_D78B_475F_959C_B8ED403A6673_.wvu.PrintArea" localSheetId="27" hidden="1">'27'!$D$153:$O$218</definedName>
    <definedName name="Z_1394C1FB_D78B_475F_959C_B8ED403A6673_.wvu.PrintArea" localSheetId="28" hidden="1">'28'!$D$153:$O$218</definedName>
    <definedName name="Z_1394C1FB_D78B_475F_959C_B8ED403A6673_.wvu.PrintArea" localSheetId="29" hidden="1">'29'!$D$153:$O$218</definedName>
    <definedName name="Z_1394C1FB_D78B_475F_959C_B8ED403A6673_.wvu.PrintArea" localSheetId="3" hidden="1">'3'!$D$153:$O$218</definedName>
    <definedName name="Z_1394C1FB_D78B_475F_959C_B8ED403A6673_.wvu.PrintArea" localSheetId="30" hidden="1">'30'!$D$153:$O$218</definedName>
    <definedName name="Z_1394C1FB_D78B_475F_959C_B8ED403A6673_.wvu.PrintArea" localSheetId="4" hidden="1">'4'!$D$153:$O$218</definedName>
    <definedName name="Z_1394C1FB_D78B_475F_959C_B8ED403A6673_.wvu.PrintArea" localSheetId="5" hidden="1">'5'!$D$153:$O$218</definedName>
    <definedName name="Z_1394C1FB_D78B_475F_959C_B8ED403A6673_.wvu.PrintArea" localSheetId="6" hidden="1">'6'!$D$153:$O$218</definedName>
    <definedName name="Z_1394C1FB_D78B_475F_959C_B8ED403A6673_.wvu.PrintArea" localSheetId="7" hidden="1">'7'!$D$153:$O$218</definedName>
    <definedName name="Z_1394C1FB_D78B_475F_959C_B8ED403A6673_.wvu.PrintArea" localSheetId="8" hidden="1">'8'!$D$153:$O$218</definedName>
    <definedName name="Z_1394C1FB_D78B_475F_959C_B8ED403A6673_.wvu.PrintArea" localSheetId="9" hidden="1">'9'!$D$153:$O$218</definedName>
    <definedName name="Z_1394C1FB_D78B_475F_959C_B8ED403A6673_.wvu.PrintArea" localSheetId="32" hidden="1">CentroCostos!$A$1:$I$34,CentroCostos!$K$1:$R$34,CentroCostos!$B$39:$D$63</definedName>
    <definedName name="Z_1394C1FB_D78B_475F_959C_B8ED403A6673_.wvu.PrintArea" localSheetId="31" hidden="1">LibroRemuneraciones!$A$1:$J$27,LibroRemuneraciones!$L$1:$P$27,LibroRemuneraciones!$S$1:$AE$27,LibroRemuneraciones!$AG$1:$AK$27,LibroRemuneraciones!$A$31:$L$38</definedName>
    <definedName name="Z_1394C1FB_D78B_475F_959C_B8ED403A6673_.wvu.Rows" localSheetId="1" hidden="1">'1'!$14:$18,'1'!$63:$72,'1'!$225:$290</definedName>
    <definedName name="Z_1394C1FB_D78B_475F_959C_B8ED403A6673_.wvu.Rows" localSheetId="10" hidden="1">'10'!$14:$18,'10'!$64:$73,'10'!$225:$290</definedName>
    <definedName name="Z_1394C1FB_D78B_475F_959C_B8ED403A6673_.wvu.Rows" localSheetId="11" hidden="1">'11'!$14:$18,'11'!$64:$73,'11'!$225:$290</definedName>
    <definedName name="Z_1394C1FB_D78B_475F_959C_B8ED403A6673_.wvu.Rows" localSheetId="12" hidden="1">'12'!$14:$18,'12'!$64:$73,'12'!$225:$290</definedName>
    <definedName name="Z_1394C1FB_D78B_475F_959C_B8ED403A6673_.wvu.Rows" localSheetId="13" hidden="1">'13'!$14:$18,'13'!$64:$73,'13'!$225:$290</definedName>
    <definedName name="Z_1394C1FB_D78B_475F_959C_B8ED403A6673_.wvu.Rows" localSheetId="14" hidden="1">'14'!$14:$18,'14'!$64:$73,'14'!$225:$290</definedName>
    <definedName name="Z_1394C1FB_D78B_475F_959C_B8ED403A6673_.wvu.Rows" localSheetId="15" hidden="1">'15'!$14:$18,'15'!$64:$73,'15'!$225:$290</definedName>
    <definedName name="Z_1394C1FB_D78B_475F_959C_B8ED403A6673_.wvu.Rows" localSheetId="16" hidden="1">'16'!$14:$18,'16'!$64:$73,'16'!$225:$290</definedName>
    <definedName name="Z_1394C1FB_D78B_475F_959C_B8ED403A6673_.wvu.Rows" localSheetId="17" hidden="1">'17'!$14:$18,'17'!$64:$73,'17'!$225:$290</definedName>
    <definedName name="Z_1394C1FB_D78B_475F_959C_B8ED403A6673_.wvu.Rows" localSheetId="18" hidden="1">'18'!$14:$18,'18'!$64:$73,'18'!$225:$290</definedName>
    <definedName name="Z_1394C1FB_D78B_475F_959C_B8ED403A6673_.wvu.Rows" localSheetId="19" hidden="1">'19'!$14:$18,'19'!$64:$73,'19'!$225:$290</definedName>
    <definedName name="Z_1394C1FB_D78B_475F_959C_B8ED403A6673_.wvu.Rows" localSheetId="2" hidden="1">'2'!$14:$18,'2'!$64:$73,'2'!$225:$290</definedName>
    <definedName name="Z_1394C1FB_D78B_475F_959C_B8ED403A6673_.wvu.Rows" localSheetId="20" hidden="1">'20'!$14:$18,'20'!$64:$73,'20'!$225:$290</definedName>
    <definedName name="Z_1394C1FB_D78B_475F_959C_B8ED403A6673_.wvu.Rows" localSheetId="21" hidden="1">'21'!$14:$18,'21'!$64:$73,'21'!$225:$290</definedName>
    <definedName name="Z_1394C1FB_D78B_475F_959C_B8ED403A6673_.wvu.Rows" localSheetId="22" hidden="1">'22'!$14:$18,'22'!$64:$73,'22'!$225:$290</definedName>
    <definedName name="Z_1394C1FB_D78B_475F_959C_B8ED403A6673_.wvu.Rows" localSheetId="23" hidden="1">'23'!$14:$18,'23'!$64:$73,'23'!$225:$290</definedName>
    <definedName name="Z_1394C1FB_D78B_475F_959C_B8ED403A6673_.wvu.Rows" localSheetId="24" hidden="1">'24'!$14:$18,'24'!$64:$73,'24'!$225:$290</definedName>
    <definedName name="Z_1394C1FB_D78B_475F_959C_B8ED403A6673_.wvu.Rows" localSheetId="25" hidden="1">'25'!$14:$18,'25'!$64:$73,'25'!$225:$290</definedName>
    <definedName name="Z_1394C1FB_D78B_475F_959C_B8ED403A6673_.wvu.Rows" localSheetId="26" hidden="1">'26'!$14:$18,'26'!$64:$73,'26'!$225:$290</definedName>
    <definedName name="Z_1394C1FB_D78B_475F_959C_B8ED403A6673_.wvu.Rows" localSheetId="27" hidden="1">'27'!$14:$18,'27'!$64:$73,'27'!$225:$290</definedName>
    <definedName name="Z_1394C1FB_D78B_475F_959C_B8ED403A6673_.wvu.Rows" localSheetId="28" hidden="1">'28'!$14:$18,'28'!$64:$73,'28'!$225:$290</definedName>
    <definedName name="Z_1394C1FB_D78B_475F_959C_B8ED403A6673_.wvu.Rows" localSheetId="29" hidden="1">'29'!$14:$18,'29'!$64:$73,'29'!$225:$290</definedName>
    <definedName name="Z_1394C1FB_D78B_475F_959C_B8ED403A6673_.wvu.Rows" localSheetId="3" hidden="1">'3'!$14:$18,'3'!$64:$73,'3'!$225:$290</definedName>
    <definedName name="Z_1394C1FB_D78B_475F_959C_B8ED403A6673_.wvu.Rows" localSheetId="30" hidden="1">'30'!$14:$18,'30'!$64:$73,'30'!$225:$290</definedName>
    <definedName name="Z_1394C1FB_D78B_475F_959C_B8ED403A6673_.wvu.Rows" localSheetId="4" hidden="1">'4'!$14:$18,'4'!$64:$73,'4'!$225:$290</definedName>
    <definedName name="Z_1394C1FB_D78B_475F_959C_B8ED403A6673_.wvu.Rows" localSheetId="5" hidden="1">'5'!$14:$18,'5'!$64:$73,'5'!$225:$290</definedName>
    <definedName name="Z_1394C1FB_D78B_475F_959C_B8ED403A6673_.wvu.Rows" localSheetId="6" hidden="1">'6'!$14:$18,'6'!$64:$73,'6'!$225:$290</definedName>
    <definedName name="Z_1394C1FB_D78B_475F_959C_B8ED403A6673_.wvu.Rows" localSheetId="7" hidden="1">'7'!$14:$18,'7'!$64:$73,'7'!$225:$290</definedName>
    <definedName name="Z_1394C1FB_D78B_475F_959C_B8ED403A6673_.wvu.Rows" localSheetId="8" hidden="1">'8'!$14:$18,'8'!$64:$73,'8'!$225:$290</definedName>
    <definedName name="Z_1394C1FB_D78B_475F_959C_B8ED403A6673_.wvu.Rows" localSheetId="9" hidden="1">'9'!$14:$18,'9'!$64:$73,'9'!$225:$290</definedName>
    <definedName name="Z_1394C1FB_D78B_475F_959C_B8ED403A6673_.wvu.Rows" localSheetId="0" hidden="1">IM!$39:$43,IM!$134:$154</definedName>
    <definedName name="Z_1BFFD2B6_AC36_4A58_AF65_CEA0131A94F3_.wvu.Cols" localSheetId="31" hidden="1">LibroRemuneraciones!$D:$D,LibroRemuneraciones!$Q:$Q,LibroRemuneraciones!$V:$V</definedName>
    <definedName name="Z_1BFFD2B6_AC36_4A58_AF65_CEA0131A94F3_.wvu.PrintArea" localSheetId="1" hidden="1">'1'!$D$153:$O$218</definedName>
    <definedName name="Z_1BFFD2B6_AC36_4A58_AF65_CEA0131A94F3_.wvu.PrintArea" localSheetId="10" hidden="1">'10'!$D$153:$O$218</definedName>
    <definedName name="Z_1BFFD2B6_AC36_4A58_AF65_CEA0131A94F3_.wvu.PrintArea" localSheetId="11" hidden="1">'11'!$D$153:$O$218</definedName>
    <definedName name="Z_1BFFD2B6_AC36_4A58_AF65_CEA0131A94F3_.wvu.PrintArea" localSheetId="12" hidden="1">'12'!$D$153:$O$218</definedName>
    <definedName name="Z_1BFFD2B6_AC36_4A58_AF65_CEA0131A94F3_.wvu.PrintArea" localSheetId="13" hidden="1">'13'!$D$153:$O$218</definedName>
    <definedName name="Z_1BFFD2B6_AC36_4A58_AF65_CEA0131A94F3_.wvu.PrintArea" localSheetId="14" hidden="1">'14'!$D$153:$O$218</definedName>
    <definedName name="Z_1BFFD2B6_AC36_4A58_AF65_CEA0131A94F3_.wvu.PrintArea" localSheetId="15" hidden="1">'15'!$D$153:$O$218</definedName>
    <definedName name="Z_1BFFD2B6_AC36_4A58_AF65_CEA0131A94F3_.wvu.PrintArea" localSheetId="16" hidden="1">'16'!$D$153:$O$218</definedName>
    <definedName name="Z_1BFFD2B6_AC36_4A58_AF65_CEA0131A94F3_.wvu.PrintArea" localSheetId="17" hidden="1">'17'!$D$153:$O$218</definedName>
    <definedName name="Z_1BFFD2B6_AC36_4A58_AF65_CEA0131A94F3_.wvu.PrintArea" localSheetId="18" hidden="1">'18'!$D$153:$O$218</definedName>
    <definedName name="Z_1BFFD2B6_AC36_4A58_AF65_CEA0131A94F3_.wvu.PrintArea" localSheetId="19" hidden="1">'19'!$D$153:$O$218</definedName>
    <definedName name="Z_1BFFD2B6_AC36_4A58_AF65_CEA0131A94F3_.wvu.PrintArea" localSheetId="2" hidden="1">'2'!$D$153:$O$218</definedName>
    <definedName name="Z_1BFFD2B6_AC36_4A58_AF65_CEA0131A94F3_.wvu.PrintArea" localSheetId="20" hidden="1">'20'!$D$153:$O$218</definedName>
    <definedName name="Z_1BFFD2B6_AC36_4A58_AF65_CEA0131A94F3_.wvu.PrintArea" localSheetId="21" hidden="1">'21'!$D$153:$O$218</definedName>
    <definedName name="Z_1BFFD2B6_AC36_4A58_AF65_CEA0131A94F3_.wvu.PrintArea" localSheetId="22" hidden="1">'22'!$D$153:$O$218</definedName>
    <definedName name="Z_1BFFD2B6_AC36_4A58_AF65_CEA0131A94F3_.wvu.PrintArea" localSheetId="23" hidden="1">'23'!$D$153:$O$218</definedName>
    <definedName name="Z_1BFFD2B6_AC36_4A58_AF65_CEA0131A94F3_.wvu.PrintArea" localSheetId="24" hidden="1">'24'!$D$153:$O$218</definedName>
    <definedName name="Z_1BFFD2B6_AC36_4A58_AF65_CEA0131A94F3_.wvu.PrintArea" localSheetId="25" hidden="1">'25'!$D$153:$O$218</definedName>
    <definedName name="Z_1BFFD2B6_AC36_4A58_AF65_CEA0131A94F3_.wvu.PrintArea" localSheetId="26" hidden="1">'26'!$D$153:$O$218</definedName>
    <definedName name="Z_1BFFD2B6_AC36_4A58_AF65_CEA0131A94F3_.wvu.PrintArea" localSheetId="27" hidden="1">'27'!$D$153:$O$218</definedName>
    <definedName name="Z_1BFFD2B6_AC36_4A58_AF65_CEA0131A94F3_.wvu.PrintArea" localSheetId="28" hidden="1">'28'!$D$153:$O$218</definedName>
    <definedName name="Z_1BFFD2B6_AC36_4A58_AF65_CEA0131A94F3_.wvu.PrintArea" localSheetId="29" hidden="1">'29'!$D$153:$O$218</definedName>
    <definedName name="Z_1BFFD2B6_AC36_4A58_AF65_CEA0131A94F3_.wvu.PrintArea" localSheetId="3" hidden="1">'3'!$D$153:$O$218</definedName>
    <definedName name="Z_1BFFD2B6_AC36_4A58_AF65_CEA0131A94F3_.wvu.PrintArea" localSheetId="30" hidden="1">'30'!$D$153:$O$218</definedName>
    <definedName name="Z_1BFFD2B6_AC36_4A58_AF65_CEA0131A94F3_.wvu.PrintArea" localSheetId="4" hidden="1">'4'!$D$153:$O$218</definedName>
    <definedName name="Z_1BFFD2B6_AC36_4A58_AF65_CEA0131A94F3_.wvu.PrintArea" localSheetId="5" hidden="1">'5'!$D$153:$O$218</definedName>
    <definedName name="Z_1BFFD2B6_AC36_4A58_AF65_CEA0131A94F3_.wvu.PrintArea" localSheetId="6" hidden="1">'6'!$D$153:$O$218</definedName>
    <definedName name="Z_1BFFD2B6_AC36_4A58_AF65_CEA0131A94F3_.wvu.PrintArea" localSheetId="7" hidden="1">'7'!$D$153:$O$218</definedName>
    <definedName name="Z_1BFFD2B6_AC36_4A58_AF65_CEA0131A94F3_.wvu.PrintArea" localSheetId="8" hidden="1">'8'!$D$153:$O$218</definedName>
    <definedName name="Z_1BFFD2B6_AC36_4A58_AF65_CEA0131A94F3_.wvu.PrintArea" localSheetId="9" hidden="1">'9'!$D$153:$O$218</definedName>
    <definedName name="Z_1BFFD2B6_AC36_4A58_AF65_CEA0131A94F3_.wvu.PrintArea" localSheetId="32" hidden="1">CentroCostos!$A$1:$I$34,CentroCostos!$K$1:$R$34,CentroCostos!$B$39:$D$63</definedName>
    <definedName name="Z_1BFFD2B6_AC36_4A58_AF65_CEA0131A94F3_.wvu.PrintArea" localSheetId="31" hidden="1">LibroRemuneraciones!$A$1:$J$27,LibroRemuneraciones!$L$1:$P$27,LibroRemuneraciones!$S$1:$AE$27,LibroRemuneraciones!$AG$1:$AK$27,LibroRemuneraciones!$A$31:$L$38</definedName>
    <definedName name="Z_1BFFD2B6_AC36_4A58_AF65_CEA0131A94F3_.wvu.Rows" localSheetId="1" hidden="1">'1'!$14:$17,'1'!$64:$73,'1'!$225:$290</definedName>
    <definedName name="Z_1BFFD2B6_AC36_4A58_AF65_CEA0131A94F3_.wvu.Rows" localSheetId="10" hidden="1">'10'!$14:$17,'10'!$64:$70,'10'!$225:$290</definedName>
    <definedName name="Z_1BFFD2B6_AC36_4A58_AF65_CEA0131A94F3_.wvu.Rows" localSheetId="11" hidden="1">'11'!$14:$17,'11'!$64:$73,'11'!$225:$290</definedName>
    <definedName name="Z_1BFFD2B6_AC36_4A58_AF65_CEA0131A94F3_.wvu.Rows" localSheetId="12" hidden="1">'12'!$14:$17,'12'!$64:$73,'12'!$225:$290</definedName>
    <definedName name="Z_1BFFD2B6_AC36_4A58_AF65_CEA0131A94F3_.wvu.Rows" localSheetId="13" hidden="1">'13'!$14:$17,'13'!$64:$73,'13'!$225:$290</definedName>
    <definedName name="Z_1BFFD2B6_AC36_4A58_AF65_CEA0131A94F3_.wvu.Rows" localSheetId="14" hidden="1">'14'!$14:$17,'14'!$64:$73,'14'!$225:$290</definedName>
    <definedName name="Z_1BFFD2B6_AC36_4A58_AF65_CEA0131A94F3_.wvu.Rows" localSheetId="15" hidden="1">'15'!$14:$17,'15'!$64:$73,'15'!$225:$290</definedName>
    <definedName name="Z_1BFFD2B6_AC36_4A58_AF65_CEA0131A94F3_.wvu.Rows" localSheetId="16" hidden="1">'16'!$14:$17,'16'!$64:$73,'16'!$225:$290</definedName>
    <definedName name="Z_1BFFD2B6_AC36_4A58_AF65_CEA0131A94F3_.wvu.Rows" localSheetId="17" hidden="1">'17'!$14:$17,'17'!$64:$73,'17'!$225:$290</definedName>
    <definedName name="Z_1BFFD2B6_AC36_4A58_AF65_CEA0131A94F3_.wvu.Rows" localSheetId="18" hidden="1">'18'!$14:$17,'18'!$64:$73,'18'!$225:$290</definedName>
    <definedName name="Z_1BFFD2B6_AC36_4A58_AF65_CEA0131A94F3_.wvu.Rows" localSheetId="19" hidden="1">'19'!$14:$17,'19'!$64:$73,'19'!$225:$290</definedName>
    <definedName name="Z_1BFFD2B6_AC36_4A58_AF65_CEA0131A94F3_.wvu.Rows" localSheetId="2" hidden="1">'2'!$14:$17,'2'!$64:$73,'2'!$225:$290</definedName>
    <definedName name="Z_1BFFD2B6_AC36_4A58_AF65_CEA0131A94F3_.wvu.Rows" localSheetId="20" hidden="1">'20'!$14:$17,'20'!$64:$73,'20'!$225:$290</definedName>
    <definedName name="Z_1BFFD2B6_AC36_4A58_AF65_CEA0131A94F3_.wvu.Rows" localSheetId="21" hidden="1">'21'!$14:$17,'21'!$64:$73,'21'!$225:$290</definedName>
    <definedName name="Z_1BFFD2B6_AC36_4A58_AF65_CEA0131A94F3_.wvu.Rows" localSheetId="22" hidden="1">'22'!$14:$17,'22'!$64:$73,'22'!$225:$290</definedName>
    <definedName name="Z_1BFFD2B6_AC36_4A58_AF65_CEA0131A94F3_.wvu.Rows" localSheetId="23" hidden="1">'23'!$14:$17,'23'!$64:$73,'23'!$225:$290</definedName>
    <definedName name="Z_1BFFD2B6_AC36_4A58_AF65_CEA0131A94F3_.wvu.Rows" localSheetId="24" hidden="1">'24'!$14:$17,'24'!$64:$73,'24'!$225:$290</definedName>
    <definedName name="Z_1BFFD2B6_AC36_4A58_AF65_CEA0131A94F3_.wvu.Rows" localSheetId="25" hidden="1">'25'!$14:$17,'25'!$64:$73,'25'!$225:$290</definedName>
    <definedName name="Z_1BFFD2B6_AC36_4A58_AF65_CEA0131A94F3_.wvu.Rows" localSheetId="26" hidden="1">'26'!$14:$17,'26'!$64:$73,'26'!$225:$290</definedName>
    <definedName name="Z_1BFFD2B6_AC36_4A58_AF65_CEA0131A94F3_.wvu.Rows" localSheetId="27" hidden="1">'27'!$14:$17,'27'!$64:$73,'27'!$225:$290</definedName>
    <definedName name="Z_1BFFD2B6_AC36_4A58_AF65_CEA0131A94F3_.wvu.Rows" localSheetId="28" hidden="1">'28'!$14:$17,'28'!$64:$73,'28'!$225:$290</definedName>
    <definedName name="Z_1BFFD2B6_AC36_4A58_AF65_CEA0131A94F3_.wvu.Rows" localSheetId="29" hidden="1">'29'!$14:$17,'29'!$64:$73,'29'!$225:$290</definedName>
    <definedName name="Z_1BFFD2B6_AC36_4A58_AF65_CEA0131A94F3_.wvu.Rows" localSheetId="3" hidden="1">'3'!$14:$17,'3'!$64:$73,'3'!$225:$290</definedName>
    <definedName name="Z_1BFFD2B6_AC36_4A58_AF65_CEA0131A94F3_.wvu.Rows" localSheetId="30" hidden="1">'30'!$14:$17,'30'!$64:$73,'30'!$225:$290</definedName>
    <definedName name="Z_1BFFD2B6_AC36_4A58_AF65_CEA0131A94F3_.wvu.Rows" localSheetId="4" hidden="1">'4'!$14:$17,'4'!$64:$73,'4'!$225:$290</definedName>
    <definedName name="Z_1BFFD2B6_AC36_4A58_AF65_CEA0131A94F3_.wvu.Rows" localSheetId="5" hidden="1">'5'!$14:$17,'5'!$64:$73,'5'!$225:$290</definedName>
    <definedName name="Z_1BFFD2B6_AC36_4A58_AF65_CEA0131A94F3_.wvu.Rows" localSheetId="6" hidden="1">'6'!$14:$17,'6'!$64:$73,'6'!$225:$290</definedName>
    <definedName name="Z_1BFFD2B6_AC36_4A58_AF65_CEA0131A94F3_.wvu.Rows" localSheetId="7" hidden="1">'7'!$14:$17,'7'!$64:$73,'7'!$225:$290</definedName>
    <definedName name="Z_1BFFD2B6_AC36_4A58_AF65_CEA0131A94F3_.wvu.Rows" localSheetId="8" hidden="1">'8'!$14:$17,'8'!$64:$73,'8'!$225:$290</definedName>
    <definedName name="Z_1BFFD2B6_AC36_4A58_AF65_CEA0131A94F3_.wvu.Rows" localSheetId="9" hidden="1">'9'!$14:$17,'9'!$64:$73,'9'!$225:$290</definedName>
    <definedName name="Z_1BFFD2B6_AC36_4A58_AF65_CEA0131A94F3_.wvu.Rows" localSheetId="0" hidden="1">IM!$39:$43,IM!$133:$163</definedName>
    <definedName name="Z_51932A38_2FDA_4CAF_A902_45A701FCF27F_.wvu.PrintArea" localSheetId="1" hidden="1">'1'!$C$153:$M$220</definedName>
    <definedName name="Z_51932A38_2FDA_4CAF_A902_45A701FCF27F_.wvu.PrintArea" localSheetId="10" hidden="1">'10'!$C$153:$M$220</definedName>
    <definedName name="Z_51932A38_2FDA_4CAF_A902_45A701FCF27F_.wvu.PrintArea" localSheetId="11" hidden="1">'11'!$C$153:$M$220</definedName>
    <definedName name="Z_51932A38_2FDA_4CAF_A902_45A701FCF27F_.wvu.PrintArea" localSheetId="12" hidden="1">'12'!$C$153:$M$220</definedName>
    <definedName name="Z_51932A38_2FDA_4CAF_A902_45A701FCF27F_.wvu.PrintArea" localSheetId="13" hidden="1">'13'!$C$153:$M$220</definedName>
    <definedName name="Z_51932A38_2FDA_4CAF_A902_45A701FCF27F_.wvu.PrintArea" localSheetId="14" hidden="1">'14'!$C$153:$M$220</definedName>
    <definedName name="Z_51932A38_2FDA_4CAF_A902_45A701FCF27F_.wvu.PrintArea" localSheetId="15" hidden="1">'15'!$C$153:$M$220</definedName>
    <definedName name="Z_51932A38_2FDA_4CAF_A902_45A701FCF27F_.wvu.PrintArea" localSheetId="16" hidden="1">'16'!$C$153:$M$220</definedName>
    <definedName name="Z_51932A38_2FDA_4CAF_A902_45A701FCF27F_.wvu.PrintArea" localSheetId="17" hidden="1">'17'!$C$153:$M$220</definedName>
    <definedName name="Z_51932A38_2FDA_4CAF_A902_45A701FCF27F_.wvu.PrintArea" localSheetId="18" hidden="1">'18'!$C$153:$M$220</definedName>
    <definedName name="Z_51932A38_2FDA_4CAF_A902_45A701FCF27F_.wvu.PrintArea" localSheetId="19" hidden="1">'19'!$C$153:$M$220</definedName>
    <definedName name="Z_51932A38_2FDA_4CAF_A902_45A701FCF27F_.wvu.PrintArea" localSheetId="2" hidden="1">'2'!$C$153:$M$220</definedName>
    <definedName name="Z_51932A38_2FDA_4CAF_A902_45A701FCF27F_.wvu.PrintArea" localSheetId="20" hidden="1">'20'!$C$153:$M$220</definedName>
    <definedName name="Z_51932A38_2FDA_4CAF_A902_45A701FCF27F_.wvu.PrintArea" localSheetId="21" hidden="1">'21'!$C$153:$M$220</definedName>
    <definedName name="Z_51932A38_2FDA_4CAF_A902_45A701FCF27F_.wvu.PrintArea" localSheetId="22" hidden="1">'22'!$C$153:$M$220</definedName>
    <definedName name="Z_51932A38_2FDA_4CAF_A902_45A701FCF27F_.wvu.PrintArea" localSheetId="23" hidden="1">'23'!$C$153:$M$220</definedName>
    <definedName name="Z_51932A38_2FDA_4CAF_A902_45A701FCF27F_.wvu.PrintArea" localSheetId="24" hidden="1">'24'!$C$153:$M$220</definedName>
    <definedName name="Z_51932A38_2FDA_4CAF_A902_45A701FCF27F_.wvu.PrintArea" localSheetId="25" hidden="1">'25'!$C$153:$M$220</definedName>
    <definedName name="Z_51932A38_2FDA_4CAF_A902_45A701FCF27F_.wvu.PrintArea" localSheetId="26" hidden="1">'26'!$C$153:$M$220</definedName>
    <definedName name="Z_51932A38_2FDA_4CAF_A902_45A701FCF27F_.wvu.PrintArea" localSheetId="27" hidden="1">'27'!$C$153:$M$220</definedName>
    <definedName name="Z_51932A38_2FDA_4CAF_A902_45A701FCF27F_.wvu.PrintArea" localSheetId="28" hidden="1">'28'!$C$153:$M$220</definedName>
    <definedName name="Z_51932A38_2FDA_4CAF_A902_45A701FCF27F_.wvu.PrintArea" localSheetId="29" hidden="1">'29'!$C$153:$M$220</definedName>
    <definedName name="Z_51932A38_2FDA_4CAF_A902_45A701FCF27F_.wvu.PrintArea" localSheetId="3" hidden="1">'3'!$C$153:$M$220</definedName>
    <definedName name="Z_51932A38_2FDA_4CAF_A902_45A701FCF27F_.wvu.PrintArea" localSheetId="30" hidden="1">'30'!$C$153:$M$220</definedName>
    <definedName name="Z_51932A38_2FDA_4CAF_A902_45A701FCF27F_.wvu.PrintArea" localSheetId="4" hidden="1">'4'!$C$153:$M$220</definedName>
    <definedName name="Z_51932A38_2FDA_4CAF_A902_45A701FCF27F_.wvu.PrintArea" localSheetId="5" hidden="1">'5'!$C$153:$M$220</definedName>
    <definedName name="Z_51932A38_2FDA_4CAF_A902_45A701FCF27F_.wvu.PrintArea" localSheetId="6" hidden="1">'6'!$C$153:$M$220</definedName>
    <definedName name="Z_51932A38_2FDA_4CAF_A902_45A701FCF27F_.wvu.PrintArea" localSheetId="7" hidden="1">'7'!$C$153:$M$220</definedName>
    <definedName name="Z_51932A38_2FDA_4CAF_A902_45A701FCF27F_.wvu.PrintArea" localSheetId="8" hidden="1">'8'!$C$153:$M$220</definedName>
    <definedName name="Z_51932A38_2FDA_4CAF_A902_45A701FCF27F_.wvu.PrintArea" localSheetId="9" hidden="1">'9'!$C$153:$M$220</definedName>
    <definedName name="Z_51932A38_2FDA_4CAF_A902_45A701FCF27F_.wvu.Rows" localSheetId="1" hidden="1">'1'!$14:$19,'1'!$66:$70</definedName>
    <definedName name="Z_51932A38_2FDA_4CAF_A902_45A701FCF27F_.wvu.Rows" localSheetId="10" hidden="1">'10'!$14:$19,'10'!$66:$70</definedName>
    <definedName name="Z_51932A38_2FDA_4CAF_A902_45A701FCF27F_.wvu.Rows" localSheetId="11" hidden="1">'11'!$14:$19,'11'!$66:$70</definedName>
    <definedName name="Z_51932A38_2FDA_4CAF_A902_45A701FCF27F_.wvu.Rows" localSheetId="12" hidden="1">'12'!$14:$19,'12'!$66:$70</definedName>
    <definedName name="Z_51932A38_2FDA_4CAF_A902_45A701FCF27F_.wvu.Rows" localSheetId="13" hidden="1">'13'!$14:$19,'13'!$66:$70</definedName>
    <definedName name="Z_51932A38_2FDA_4CAF_A902_45A701FCF27F_.wvu.Rows" localSheetId="14" hidden="1">'14'!$14:$19,'14'!$66:$70</definedName>
    <definedName name="Z_51932A38_2FDA_4CAF_A902_45A701FCF27F_.wvu.Rows" localSheetId="15" hidden="1">'15'!$14:$19,'15'!$66:$70</definedName>
    <definedName name="Z_51932A38_2FDA_4CAF_A902_45A701FCF27F_.wvu.Rows" localSheetId="16" hidden="1">'16'!$14:$19,'16'!$66:$70</definedName>
    <definedName name="Z_51932A38_2FDA_4CAF_A902_45A701FCF27F_.wvu.Rows" localSheetId="17" hidden="1">'17'!$14:$19,'17'!$66:$70</definedName>
    <definedName name="Z_51932A38_2FDA_4CAF_A902_45A701FCF27F_.wvu.Rows" localSheetId="18" hidden="1">'18'!$14:$19,'18'!$66:$70</definedName>
    <definedName name="Z_51932A38_2FDA_4CAF_A902_45A701FCF27F_.wvu.Rows" localSheetId="19" hidden="1">'19'!$14:$19,'19'!$66:$70</definedName>
    <definedName name="Z_51932A38_2FDA_4CAF_A902_45A701FCF27F_.wvu.Rows" localSheetId="2" hidden="1">'2'!$14:$19,'2'!$66:$70</definedName>
    <definedName name="Z_51932A38_2FDA_4CAF_A902_45A701FCF27F_.wvu.Rows" localSheetId="20" hidden="1">'20'!$14:$19,'20'!$66:$70</definedName>
    <definedName name="Z_51932A38_2FDA_4CAF_A902_45A701FCF27F_.wvu.Rows" localSheetId="21" hidden="1">'21'!$14:$19,'21'!$66:$70</definedName>
    <definedName name="Z_51932A38_2FDA_4CAF_A902_45A701FCF27F_.wvu.Rows" localSheetId="22" hidden="1">'22'!$14:$19,'22'!$66:$70</definedName>
    <definedName name="Z_51932A38_2FDA_4CAF_A902_45A701FCF27F_.wvu.Rows" localSheetId="23" hidden="1">'23'!$14:$19,'23'!$66:$70</definedName>
    <definedName name="Z_51932A38_2FDA_4CAF_A902_45A701FCF27F_.wvu.Rows" localSheetId="24" hidden="1">'24'!$14:$19,'24'!$66:$70</definedName>
    <definedName name="Z_51932A38_2FDA_4CAF_A902_45A701FCF27F_.wvu.Rows" localSheetId="25" hidden="1">'25'!$14:$19,'25'!$66:$70</definedName>
    <definedName name="Z_51932A38_2FDA_4CAF_A902_45A701FCF27F_.wvu.Rows" localSheetId="26" hidden="1">'26'!$14:$19,'26'!$66:$70</definedName>
    <definedName name="Z_51932A38_2FDA_4CAF_A902_45A701FCF27F_.wvu.Rows" localSheetId="27" hidden="1">'27'!$14:$19,'27'!$66:$70</definedName>
    <definedName name="Z_51932A38_2FDA_4CAF_A902_45A701FCF27F_.wvu.Rows" localSheetId="28" hidden="1">'28'!$14:$19,'28'!$66:$70</definedName>
    <definedName name="Z_51932A38_2FDA_4CAF_A902_45A701FCF27F_.wvu.Rows" localSheetId="29" hidden="1">'29'!$14:$19,'29'!$66:$70</definedName>
    <definedName name="Z_51932A38_2FDA_4CAF_A902_45A701FCF27F_.wvu.Rows" localSheetId="3" hidden="1">'3'!$14:$19,'3'!$66:$70</definedName>
    <definedName name="Z_51932A38_2FDA_4CAF_A902_45A701FCF27F_.wvu.Rows" localSheetId="30" hidden="1">'30'!$14:$19,'30'!$66:$70</definedName>
    <definedName name="Z_51932A38_2FDA_4CAF_A902_45A701FCF27F_.wvu.Rows" localSheetId="4" hidden="1">'4'!$14:$19,'4'!$66:$70</definedName>
    <definedName name="Z_51932A38_2FDA_4CAF_A902_45A701FCF27F_.wvu.Rows" localSheetId="5" hidden="1">'5'!$14:$19,'5'!$66:$70</definedName>
    <definedName name="Z_51932A38_2FDA_4CAF_A902_45A701FCF27F_.wvu.Rows" localSheetId="6" hidden="1">'6'!$14:$19,'6'!$66:$70</definedName>
    <definedName name="Z_51932A38_2FDA_4CAF_A902_45A701FCF27F_.wvu.Rows" localSheetId="7" hidden="1">'7'!$14:$19,'7'!$66:$70</definedName>
    <definedName name="Z_51932A38_2FDA_4CAF_A902_45A701FCF27F_.wvu.Rows" localSheetId="8" hidden="1">'8'!$14:$19,'8'!$66:$70</definedName>
    <definedName name="Z_51932A38_2FDA_4CAF_A902_45A701FCF27F_.wvu.Rows" localSheetId="9" hidden="1">'9'!$14:$19,'9'!$66:$70</definedName>
    <definedName name="Z_A075B9BA_FD9D_4EFE_8542_5547A143B67B_.wvu.PrintArea" localSheetId="1" hidden="1">'1'!$C$153:$M$220</definedName>
    <definedName name="Z_A075B9BA_FD9D_4EFE_8542_5547A143B67B_.wvu.PrintArea" localSheetId="10" hidden="1">'10'!$C$153:$M$220</definedName>
    <definedName name="Z_A075B9BA_FD9D_4EFE_8542_5547A143B67B_.wvu.PrintArea" localSheetId="11" hidden="1">'11'!$C$153:$M$220</definedName>
    <definedName name="Z_A075B9BA_FD9D_4EFE_8542_5547A143B67B_.wvu.PrintArea" localSheetId="12" hidden="1">'12'!$C$153:$M$220</definedName>
    <definedName name="Z_A075B9BA_FD9D_4EFE_8542_5547A143B67B_.wvu.PrintArea" localSheetId="13" hidden="1">'13'!$C$153:$M$220</definedName>
    <definedName name="Z_A075B9BA_FD9D_4EFE_8542_5547A143B67B_.wvu.PrintArea" localSheetId="14" hidden="1">'14'!$C$153:$M$220</definedName>
    <definedName name="Z_A075B9BA_FD9D_4EFE_8542_5547A143B67B_.wvu.PrintArea" localSheetId="15" hidden="1">'15'!$C$153:$M$220</definedName>
    <definedName name="Z_A075B9BA_FD9D_4EFE_8542_5547A143B67B_.wvu.PrintArea" localSheetId="16" hidden="1">'16'!$C$153:$M$220</definedName>
    <definedName name="Z_A075B9BA_FD9D_4EFE_8542_5547A143B67B_.wvu.PrintArea" localSheetId="17" hidden="1">'17'!$C$153:$M$220</definedName>
    <definedName name="Z_A075B9BA_FD9D_4EFE_8542_5547A143B67B_.wvu.PrintArea" localSheetId="18" hidden="1">'18'!$C$153:$M$220</definedName>
    <definedName name="Z_A075B9BA_FD9D_4EFE_8542_5547A143B67B_.wvu.PrintArea" localSheetId="19" hidden="1">'19'!$C$153:$M$220</definedName>
    <definedName name="Z_A075B9BA_FD9D_4EFE_8542_5547A143B67B_.wvu.PrintArea" localSheetId="2" hidden="1">'2'!$C$153:$M$220</definedName>
    <definedName name="Z_A075B9BA_FD9D_4EFE_8542_5547A143B67B_.wvu.PrintArea" localSheetId="20" hidden="1">'20'!$C$153:$M$220</definedName>
    <definedName name="Z_A075B9BA_FD9D_4EFE_8542_5547A143B67B_.wvu.PrintArea" localSheetId="21" hidden="1">'21'!$C$153:$M$220</definedName>
    <definedName name="Z_A075B9BA_FD9D_4EFE_8542_5547A143B67B_.wvu.PrintArea" localSheetId="22" hidden="1">'22'!$C$153:$M$220</definedName>
    <definedName name="Z_A075B9BA_FD9D_4EFE_8542_5547A143B67B_.wvu.PrintArea" localSheetId="23" hidden="1">'23'!$C$153:$M$220</definedName>
    <definedName name="Z_A075B9BA_FD9D_4EFE_8542_5547A143B67B_.wvu.PrintArea" localSheetId="24" hidden="1">'24'!$C$153:$M$220</definedName>
    <definedName name="Z_A075B9BA_FD9D_4EFE_8542_5547A143B67B_.wvu.PrintArea" localSheetId="25" hidden="1">'25'!$C$153:$M$220</definedName>
    <definedName name="Z_A075B9BA_FD9D_4EFE_8542_5547A143B67B_.wvu.PrintArea" localSheetId="26" hidden="1">'26'!$C$153:$M$220</definedName>
    <definedName name="Z_A075B9BA_FD9D_4EFE_8542_5547A143B67B_.wvu.PrintArea" localSheetId="27" hidden="1">'27'!$C$153:$M$220</definedName>
    <definedName name="Z_A075B9BA_FD9D_4EFE_8542_5547A143B67B_.wvu.PrintArea" localSheetId="28" hidden="1">'28'!$C$153:$M$220</definedName>
    <definedName name="Z_A075B9BA_FD9D_4EFE_8542_5547A143B67B_.wvu.PrintArea" localSheetId="29" hidden="1">'29'!$C$153:$M$220</definedName>
    <definedName name="Z_A075B9BA_FD9D_4EFE_8542_5547A143B67B_.wvu.PrintArea" localSheetId="3" hidden="1">'3'!$C$153:$M$220</definedName>
    <definedName name="Z_A075B9BA_FD9D_4EFE_8542_5547A143B67B_.wvu.PrintArea" localSheetId="30" hidden="1">'30'!$C$153:$M$220</definedName>
    <definedName name="Z_A075B9BA_FD9D_4EFE_8542_5547A143B67B_.wvu.PrintArea" localSheetId="4" hidden="1">'4'!$C$153:$M$220</definedName>
    <definedName name="Z_A075B9BA_FD9D_4EFE_8542_5547A143B67B_.wvu.PrintArea" localSheetId="5" hidden="1">'5'!$C$153:$M$220</definedName>
    <definedName name="Z_A075B9BA_FD9D_4EFE_8542_5547A143B67B_.wvu.PrintArea" localSheetId="6" hidden="1">'6'!$C$153:$M$220</definedName>
    <definedName name="Z_A075B9BA_FD9D_4EFE_8542_5547A143B67B_.wvu.PrintArea" localSheetId="7" hidden="1">'7'!$C$153:$M$220</definedName>
    <definedName name="Z_A075B9BA_FD9D_4EFE_8542_5547A143B67B_.wvu.PrintArea" localSheetId="8" hidden="1">'8'!$C$153:$M$220</definedName>
    <definedName name="Z_A075B9BA_FD9D_4EFE_8542_5547A143B67B_.wvu.PrintArea" localSheetId="9" hidden="1">'9'!$C$153:$M$220</definedName>
    <definedName name="Z_A075B9BA_FD9D_4EFE_8542_5547A143B67B_.wvu.Rows" localSheetId="1" hidden="1">'1'!$14:$19,'1'!$66:$70</definedName>
    <definedName name="Z_A075B9BA_FD9D_4EFE_8542_5547A143B67B_.wvu.Rows" localSheetId="10" hidden="1">'10'!$14:$19,'10'!$66:$70</definedName>
    <definedName name="Z_A075B9BA_FD9D_4EFE_8542_5547A143B67B_.wvu.Rows" localSheetId="11" hidden="1">'11'!$14:$19,'11'!$66:$70</definedName>
    <definedName name="Z_A075B9BA_FD9D_4EFE_8542_5547A143B67B_.wvu.Rows" localSheetId="12" hidden="1">'12'!$14:$19,'12'!$66:$70</definedName>
    <definedName name="Z_A075B9BA_FD9D_4EFE_8542_5547A143B67B_.wvu.Rows" localSheetId="13" hidden="1">'13'!$14:$19,'13'!$66:$70</definedName>
    <definedName name="Z_A075B9BA_FD9D_4EFE_8542_5547A143B67B_.wvu.Rows" localSheetId="14" hidden="1">'14'!$14:$19,'14'!$66:$70</definedName>
    <definedName name="Z_A075B9BA_FD9D_4EFE_8542_5547A143B67B_.wvu.Rows" localSheetId="15" hidden="1">'15'!$14:$19,'15'!$66:$70</definedName>
    <definedName name="Z_A075B9BA_FD9D_4EFE_8542_5547A143B67B_.wvu.Rows" localSheetId="16" hidden="1">'16'!$14:$19,'16'!$66:$70</definedName>
    <definedName name="Z_A075B9BA_FD9D_4EFE_8542_5547A143B67B_.wvu.Rows" localSheetId="17" hidden="1">'17'!$14:$19,'17'!$66:$70</definedName>
    <definedName name="Z_A075B9BA_FD9D_4EFE_8542_5547A143B67B_.wvu.Rows" localSheetId="18" hidden="1">'18'!$14:$19,'18'!$66:$70</definedName>
    <definedName name="Z_A075B9BA_FD9D_4EFE_8542_5547A143B67B_.wvu.Rows" localSheetId="19" hidden="1">'19'!$14:$19,'19'!$66:$70</definedName>
    <definedName name="Z_A075B9BA_FD9D_4EFE_8542_5547A143B67B_.wvu.Rows" localSheetId="2" hidden="1">'2'!$14:$19,'2'!$66:$70</definedName>
    <definedName name="Z_A075B9BA_FD9D_4EFE_8542_5547A143B67B_.wvu.Rows" localSheetId="20" hidden="1">'20'!$14:$19,'20'!$66:$70</definedName>
    <definedName name="Z_A075B9BA_FD9D_4EFE_8542_5547A143B67B_.wvu.Rows" localSheetId="21" hidden="1">'21'!$14:$19,'21'!$66:$70</definedName>
    <definedName name="Z_A075B9BA_FD9D_4EFE_8542_5547A143B67B_.wvu.Rows" localSheetId="22" hidden="1">'22'!$14:$19,'22'!$66:$70</definedName>
    <definedName name="Z_A075B9BA_FD9D_4EFE_8542_5547A143B67B_.wvu.Rows" localSheetId="23" hidden="1">'23'!$14:$19,'23'!$66:$70</definedName>
    <definedName name="Z_A075B9BA_FD9D_4EFE_8542_5547A143B67B_.wvu.Rows" localSheetId="24" hidden="1">'24'!$14:$19,'24'!$66:$70</definedName>
    <definedName name="Z_A075B9BA_FD9D_4EFE_8542_5547A143B67B_.wvu.Rows" localSheetId="25" hidden="1">'25'!$14:$19,'25'!$66:$70</definedName>
    <definedName name="Z_A075B9BA_FD9D_4EFE_8542_5547A143B67B_.wvu.Rows" localSheetId="26" hidden="1">'26'!$14:$19,'26'!$66:$70</definedName>
    <definedName name="Z_A075B9BA_FD9D_4EFE_8542_5547A143B67B_.wvu.Rows" localSheetId="27" hidden="1">'27'!$14:$19,'27'!$66:$70</definedName>
    <definedName name="Z_A075B9BA_FD9D_4EFE_8542_5547A143B67B_.wvu.Rows" localSheetId="28" hidden="1">'28'!$14:$19,'28'!$66:$70</definedName>
    <definedName name="Z_A075B9BA_FD9D_4EFE_8542_5547A143B67B_.wvu.Rows" localSheetId="29" hidden="1">'29'!$14:$19,'29'!$66:$70</definedName>
    <definedName name="Z_A075B9BA_FD9D_4EFE_8542_5547A143B67B_.wvu.Rows" localSheetId="3" hidden="1">'3'!$14:$19,'3'!$66:$70</definedName>
    <definedName name="Z_A075B9BA_FD9D_4EFE_8542_5547A143B67B_.wvu.Rows" localSheetId="30" hidden="1">'30'!$14:$19,'30'!$66:$70</definedName>
    <definedName name="Z_A075B9BA_FD9D_4EFE_8542_5547A143B67B_.wvu.Rows" localSheetId="4" hidden="1">'4'!$14:$19,'4'!$66:$70</definedName>
    <definedName name="Z_A075B9BA_FD9D_4EFE_8542_5547A143B67B_.wvu.Rows" localSheetId="5" hidden="1">'5'!$14:$19,'5'!$66:$70</definedName>
    <definedName name="Z_A075B9BA_FD9D_4EFE_8542_5547A143B67B_.wvu.Rows" localSheetId="6" hidden="1">'6'!$14:$19,'6'!$66:$70</definedName>
    <definedName name="Z_A075B9BA_FD9D_4EFE_8542_5547A143B67B_.wvu.Rows" localSheetId="7" hidden="1">'7'!$14:$19,'7'!$66:$70</definedName>
    <definedName name="Z_A075B9BA_FD9D_4EFE_8542_5547A143B67B_.wvu.Rows" localSheetId="8" hidden="1">'8'!$14:$19,'8'!$66:$70</definedName>
    <definedName name="Z_A075B9BA_FD9D_4EFE_8542_5547A143B67B_.wvu.Rows" localSheetId="9" hidden="1">'9'!$14:$19,'9'!$66:$70</definedName>
  </definedNames>
  <calcPr calcId="152511"/>
  <customWorkbookViews>
    <customWorkbookView name="Mario Hidalgo García - Vista personalizada" guid="{1394C1FB-D78B-475F-959C-B8ED403A6673}" mergeInterval="0" personalView="1" maximized="1" xWindow="-8" yWindow="-8" windowWidth="1456" windowHeight="876" tabRatio="932" activeSheetId="2"/>
    <customWorkbookView name="Mario Hidalgo Garcia - Vista personalizada" guid="{1BFFD2B6-AC36-4A58-AF65-CEA0131A94F3}" mergeInterval="0" personalView="1" maximized="1" xWindow="-8" yWindow="-8" windowWidth="1456" windowHeight="876" tabRatio="932" activeSheetId="9"/>
    <customWorkbookView name="Mario R. Hidalgo García - Vista personalizada" guid="{51932A38-2FDA-4CAF-A902-45A701FCF27F}" mergeInterval="0" personalView="1" maximized="1" xWindow="1" yWindow="1" windowWidth="1436" windowHeight="670" tabRatio="932" activeSheetId="2"/>
    <customWorkbookView name="Mario R. Hidalgo Garcia - Vista personalizada" guid="{A075B9BA-FD9D-4EFE-8542-5547A143B67B}" mergeInterval="0" personalView="1" maximized="1" xWindow="1" yWindow="1" windowWidth="1440" windowHeight="670" tabRatio="932" activeSheetId="2"/>
  </customWorkbookViews>
</workbook>
</file>

<file path=xl/calcChain.xml><?xml version="1.0" encoding="utf-8"?>
<calcChain xmlns="http://schemas.openxmlformats.org/spreadsheetml/2006/main">
  <c r="H70" i="30" l="1"/>
  <c r="C70" i="30"/>
  <c r="H69" i="30"/>
  <c r="C69" i="30"/>
  <c r="H68" i="30"/>
  <c r="C68" i="30"/>
  <c r="H67" i="30"/>
  <c r="C67" i="30"/>
  <c r="H66" i="30"/>
  <c r="C66" i="30"/>
  <c r="H65" i="30"/>
  <c r="C65" i="30"/>
  <c r="H64" i="30"/>
  <c r="C64" i="30"/>
  <c r="H60" i="30"/>
  <c r="C60" i="30"/>
  <c r="H59" i="30"/>
  <c r="C59" i="30"/>
  <c r="H58" i="30"/>
  <c r="C58" i="30"/>
  <c r="H57" i="30"/>
  <c r="H61" i="30" s="1"/>
  <c r="C57" i="30"/>
  <c r="H56" i="30"/>
  <c r="C56" i="30"/>
  <c r="H55" i="30"/>
  <c r="C55" i="30"/>
  <c r="H54" i="30"/>
  <c r="C54" i="30"/>
  <c r="H50" i="30"/>
  <c r="C50" i="30"/>
  <c r="H49" i="30"/>
  <c r="C49" i="30"/>
  <c r="H48" i="30"/>
  <c r="C48" i="30"/>
  <c r="H47" i="30"/>
  <c r="C47" i="30"/>
  <c r="H46" i="30"/>
  <c r="C46" i="30"/>
  <c r="H45" i="30"/>
  <c r="C45" i="30"/>
  <c r="H44" i="30"/>
  <c r="H51" i="30" s="1"/>
  <c r="C44" i="30"/>
  <c r="H41" i="30"/>
  <c r="H40" i="30"/>
  <c r="C40" i="30"/>
  <c r="H39" i="30"/>
  <c r="C39" i="30"/>
  <c r="H38" i="30"/>
  <c r="C38" i="30"/>
  <c r="H37" i="30"/>
  <c r="C37" i="30"/>
  <c r="H36" i="30"/>
  <c r="C36" i="30"/>
  <c r="H35" i="30"/>
  <c r="C35" i="30"/>
  <c r="H34" i="30"/>
  <c r="C34" i="30"/>
  <c r="H30" i="30"/>
  <c r="C30" i="30"/>
  <c r="H29" i="30"/>
  <c r="C29" i="30"/>
  <c r="H28" i="30"/>
  <c r="C28" i="30"/>
  <c r="H27" i="30"/>
  <c r="C27" i="30"/>
  <c r="H26" i="30"/>
  <c r="C26" i="30"/>
  <c r="H25" i="30"/>
  <c r="C25" i="30"/>
  <c r="H24" i="30"/>
  <c r="H31" i="30" s="1"/>
  <c r="C24" i="30"/>
  <c r="H21" i="30"/>
  <c r="H20" i="30"/>
  <c r="C20" i="30"/>
  <c r="H19" i="30"/>
  <c r="C19" i="30"/>
  <c r="H18" i="30"/>
  <c r="C18" i="30"/>
  <c r="H17" i="30"/>
  <c r="C17" i="30"/>
  <c r="H16" i="30"/>
  <c r="C16" i="30"/>
  <c r="H15" i="30"/>
  <c r="C15" i="30"/>
  <c r="H14" i="30"/>
  <c r="C14" i="30"/>
  <c r="H70" i="29"/>
  <c r="C70" i="29"/>
  <c r="H69" i="29"/>
  <c r="C69" i="29"/>
  <c r="H68" i="29"/>
  <c r="C68" i="29"/>
  <c r="H67" i="29"/>
  <c r="C67" i="29"/>
  <c r="H66" i="29"/>
  <c r="C66" i="29"/>
  <c r="H65" i="29"/>
  <c r="C65" i="29"/>
  <c r="H64" i="29"/>
  <c r="C64" i="29"/>
  <c r="H60" i="29"/>
  <c r="C60" i="29"/>
  <c r="H59" i="29"/>
  <c r="C59" i="29"/>
  <c r="H58" i="29"/>
  <c r="C58" i="29"/>
  <c r="H57" i="29"/>
  <c r="C57" i="29"/>
  <c r="H56" i="29"/>
  <c r="C56" i="29"/>
  <c r="H55" i="29"/>
  <c r="C55" i="29"/>
  <c r="H54" i="29"/>
  <c r="C54" i="29"/>
  <c r="H50" i="29"/>
  <c r="C50" i="29"/>
  <c r="H49" i="29"/>
  <c r="C49" i="29"/>
  <c r="H48" i="29"/>
  <c r="C48" i="29"/>
  <c r="H47" i="29"/>
  <c r="C47" i="29"/>
  <c r="H46" i="29"/>
  <c r="C46" i="29"/>
  <c r="H45" i="29"/>
  <c r="C45" i="29"/>
  <c r="H44" i="29"/>
  <c r="H51" i="29" s="1"/>
  <c r="C44" i="29"/>
  <c r="H41" i="29"/>
  <c r="H40" i="29"/>
  <c r="C40" i="29"/>
  <c r="H39" i="29"/>
  <c r="C39" i="29"/>
  <c r="H38" i="29"/>
  <c r="C38" i="29"/>
  <c r="H37" i="29"/>
  <c r="C37" i="29"/>
  <c r="H36" i="29"/>
  <c r="C36" i="29"/>
  <c r="H35" i="29"/>
  <c r="C35" i="29"/>
  <c r="H34" i="29"/>
  <c r="C34" i="29"/>
  <c r="H30" i="29"/>
  <c r="C30" i="29"/>
  <c r="H29" i="29"/>
  <c r="C29" i="29"/>
  <c r="H28" i="29"/>
  <c r="C28" i="29"/>
  <c r="H27" i="29"/>
  <c r="C27" i="29"/>
  <c r="H26" i="29"/>
  <c r="C26" i="29"/>
  <c r="H25" i="29"/>
  <c r="C25" i="29"/>
  <c r="H24" i="29"/>
  <c r="H31" i="29" s="1"/>
  <c r="C24" i="29"/>
  <c r="H20" i="29"/>
  <c r="C20" i="29"/>
  <c r="H19" i="29"/>
  <c r="C19" i="29"/>
  <c r="H18" i="29"/>
  <c r="C18" i="29"/>
  <c r="H17" i="29"/>
  <c r="C17" i="29"/>
  <c r="H16" i="29"/>
  <c r="C16" i="29"/>
  <c r="H15" i="29"/>
  <c r="C15" i="29"/>
  <c r="H14" i="29"/>
  <c r="H21" i="29" s="1"/>
  <c r="C14" i="29"/>
  <c r="H70" i="28"/>
  <c r="C70" i="28"/>
  <c r="H69" i="28"/>
  <c r="C69" i="28"/>
  <c r="H68" i="28"/>
  <c r="C68" i="28"/>
  <c r="H67" i="28"/>
  <c r="C67" i="28"/>
  <c r="H66" i="28"/>
  <c r="C66" i="28"/>
  <c r="H65" i="28"/>
  <c r="C65" i="28"/>
  <c r="H64" i="28"/>
  <c r="C64" i="28"/>
  <c r="H60" i="28"/>
  <c r="C60" i="28"/>
  <c r="H59" i="28"/>
  <c r="C59" i="28"/>
  <c r="H58" i="28"/>
  <c r="C58" i="28"/>
  <c r="H57" i="28"/>
  <c r="C57" i="28"/>
  <c r="H56" i="28"/>
  <c r="C56" i="28"/>
  <c r="H55" i="28"/>
  <c r="C55" i="28"/>
  <c r="H54" i="28"/>
  <c r="H61" i="28" s="1"/>
  <c r="C54" i="28"/>
  <c r="H51" i="28"/>
  <c r="H50" i="28"/>
  <c r="C50" i="28"/>
  <c r="H49" i="28"/>
  <c r="C49" i="28"/>
  <c r="H48" i="28"/>
  <c r="C48" i="28"/>
  <c r="H47" i="28"/>
  <c r="C47" i="28"/>
  <c r="H46" i="28"/>
  <c r="C46" i="28"/>
  <c r="H45" i="28"/>
  <c r="C45" i="28"/>
  <c r="H44" i="28"/>
  <c r="C44" i="28"/>
  <c r="H40" i="28"/>
  <c r="C40" i="28"/>
  <c r="H39" i="28"/>
  <c r="C39" i="28"/>
  <c r="H38" i="28"/>
  <c r="C38" i="28"/>
  <c r="H37" i="28"/>
  <c r="C37" i="28"/>
  <c r="H36" i="28"/>
  <c r="C36" i="28"/>
  <c r="H35" i="28"/>
  <c r="C35" i="28"/>
  <c r="H34" i="28"/>
  <c r="H41" i="28" s="1"/>
  <c r="C34" i="28"/>
  <c r="H30" i="28"/>
  <c r="C30" i="28"/>
  <c r="H29" i="28"/>
  <c r="C29" i="28"/>
  <c r="H28" i="28"/>
  <c r="C28" i="28"/>
  <c r="H27" i="28"/>
  <c r="C27" i="28"/>
  <c r="H26" i="28"/>
  <c r="C26" i="28"/>
  <c r="H25" i="28"/>
  <c r="C25" i="28"/>
  <c r="H24" i="28"/>
  <c r="H31" i="28" s="1"/>
  <c r="C24" i="28"/>
  <c r="H20" i="28"/>
  <c r="C20" i="28"/>
  <c r="H19" i="28"/>
  <c r="C19" i="28"/>
  <c r="H18" i="28"/>
  <c r="C18" i="28"/>
  <c r="H17" i="28"/>
  <c r="C17" i="28"/>
  <c r="H16" i="28"/>
  <c r="C16" i="28"/>
  <c r="H15" i="28"/>
  <c r="C15" i="28"/>
  <c r="H14" i="28"/>
  <c r="H21" i="28" s="1"/>
  <c r="C14" i="28"/>
  <c r="H71" i="27"/>
  <c r="H70" i="27"/>
  <c r="C70" i="27"/>
  <c r="H69" i="27"/>
  <c r="C69" i="27"/>
  <c r="H68" i="27"/>
  <c r="C68" i="27"/>
  <c r="H67" i="27"/>
  <c r="C67" i="27"/>
  <c r="H66" i="27"/>
  <c r="C66" i="27"/>
  <c r="H65" i="27"/>
  <c r="C65" i="27"/>
  <c r="H64" i="27"/>
  <c r="C64" i="27"/>
  <c r="H60" i="27"/>
  <c r="C60" i="27"/>
  <c r="H59" i="27"/>
  <c r="C59" i="27"/>
  <c r="H58" i="27"/>
  <c r="C58" i="27"/>
  <c r="H57" i="27"/>
  <c r="C57" i="27"/>
  <c r="H56" i="27"/>
  <c r="C56" i="27"/>
  <c r="H55" i="27"/>
  <c r="C55" i="27"/>
  <c r="H54" i="27"/>
  <c r="C54" i="27"/>
  <c r="H50" i="27"/>
  <c r="C50" i="27"/>
  <c r="H49" i="27"/>
  <c r="C49" i="27"/>
  <c r="H48" i="27"/>
  <c r="C48" i="27"/>
  <c r="H47" i="27"/>
  <c r="C47" i="27"/>
  <c r="H46" i="27"/>
  <c r="C46" i="27"/>
  <c r="H45" i="27"/>
  <c r="C45" i="27"/>
  <c r="H44" i="27"/>
  <c r="H51" i="27" s="1"/>
  <c r="C44" i="27"/>
  <c r="H40" i="27"/>
  <c r="C40" i="27"/>
  <c r="H39" i="27"/>
  <c r="C39" i="27"/>
  <c r="H38" i="27"/>
  <c r="C38" i="27"/>
  <c r="H37" i="27"/>
  <c r="C37" i="27"/>
  <c r="H36" i="27"/>
  <c r="C36" i="27"/>
  <c r="H35" i="27"/>
  <c r="C35" i="27"/>
  <c r="H34" i="27"/>
  <c r="H41" i="27" s="1"/>
  <c r="C34" i="27"/>
  <c r="H31" i="27"/>
  <c r="H30" i="27"/>
  <c r="C30" i="27"/>
  <c r="H29" i="27"/>
  <c r="C29" i="27"/>
  <c r="H28" i="27"/>
  <c r="C28" i="27"/>
  <c r="H27" i="27"/>
  <c r="C27" i="27"/>
  <c r="H26" i="27"/>
  <c r="C26" i="27"/>
  <c r="H25" i="27"/>
  <c r="C25" i="27"/>
  <c r="H24" i="27"/>
  <c r="C24" i="27"/>
  <c r="H20" i="27"/>
  <c r="C20" i="27"/>
  <c r="H19" i="27"/>
  <c r="C19" i="27"/>
  <c r="H18" i="27"/>
  <c r="C18" i="27"/>
  <c r="H17" i="27"/>
  <c r="C17" i="27"/>
  <c r="H16" i="27"/>
  <c r="C16" i="27"/>
  <c r="H15" i="27"/>
  <c r="C15" i="27"/>
  <c r="H14" i="27"/>
  <c r="H21" i="27" s="1"/>
  <c r="C14" i="27"/>
  <c r="H70" i="26"/>
  <c r="C70" i="26"/>
  <c r="H69" i="26"/>
  <c r="C69" i="26"/>
  <c r="H68" i="26"/>
  <c r="C68" i="26"/>
  <c r="H67" i="26"/>
  <c r="C67" i="26"/>
  <c r="H66" i="26"/>
  <c r="C66" i="26"/>
  <c r="H65" i="26"/>
  <c r="C65" i="26"/>
  <c r="H64" i="26"/>
  <c r="H71" i="26" s="1"/>
  <c r="C64" i="26"/>
  <c r="H60" i="26"/>
  <c r="C60" i="26"/>
  <c r="H59" i="26"/>
  <c r="C59" i="26"/>
  <c r="H58" i="26"/>
  <c r="C58" i="26"/>
  <c r="H57" i="26"/>
  <c r="C57" i="26"/>
  <c r="H56" i="26"/>
  <c r="C56" i="26"/>
  <c r="H55" i="26"/>
  <c r="H61" i="26" s="1"/>
  <c r="C55" i="26"/>
  <c r="H54" i="26"/>
  <c r="C54" i="26"/>
  <c r="H51" i="26"/>
  <c r="H50" i="26"/>
  <c r="C50" i="26"/>
  <c r="H49" i="26"/>
  <c r="C49" i="26"/>
  <c r="H48" i="26"/>
  <c r="C48" i="26"/>
  <c r="H47" i="26"/>
  <c r="C47" i="26"/>
  <c r="H46" i="26"/>
  <c r="C46" i="26"/>
  <c r="H45" i="26"/>
  <c r="C45" i="26"/>
  <c r="H44" i="26"/>
  <c r="C44" i="26"/>
  <c r="H40" i="26"/>
  <c r="C40" i="26"/>
  <c r="H39" i="26"/>
  <c r="C39" i="26"/>
  <c r="H38" i="26"/>
  <c r="C38" i="26"/>
  <c r="H37" i="26"/>
  <c r="C37" i="26"/>
  <c r="H36" i="26"/>
  <c r="C36" i="26"/>
  <c r="H35" i="26"/>
  <c r="C35" i="26"/>
  <c r="H34" i="26"/>
  <c r="H41" i="26" s="1"/>
  <c r="C34" i="26"/>
  <c r="H30" i="26"/>
  <c r="C30" i="26"/>
  <c r="H29" i="26"/>
  <c r="C29" i="26"/>
  <c r="H28" i="26"/>
  <c r="C28" i="26"/>
  <c r="H27" i="26"/>
  <c r="C27" i="26"/>
  <c r="H26" i="26"/>
  <c r="C26" i="26"/>
  <c r="H25" i="26"/>
  <c r="C25" i="26"/>
  <c r="H24" i="26"/>
  <c r="H31" i="26" s="1"/>
  <c r="C24" i="26"/>
  <c r="H20" i="26"/>
  <c r="C20" i="26"/>
  <c r="H19" i="26"/>
  <c r="C19" i="26"/>
  <c r="H18" i="26"/>
  <c r="C18" i="26"/>
  <c r="H17" i="26"/>
  <c r="C17" i="26"/>
  <c r="H16" i="26"/>
  <c r="C16" i="26"/>
  <c r="H15" i="26"/>
  <c r="H21" i="26" s="1"/>
  <c r="C15" i="26"/>
  <c r="H14" i="26"/>
  <c r="C14" i="26"/>
  <c r="H70" i="25"/>
  <c r="C70" i="25"/>
  <c r="H69" i="25"/>
  <c r="C69" i="25"/>
  <c r="H68" i="25"/>
  <c r="C68" i="25"/>
  <c r="H67" i="25"/>
  <c r="C67" i="25"/>
  <c r="H66" i="25"/>
  <c r="C66" i="25"/>
  <c r="H65" i="25"/>
  <c r="C65" i="25"/>
  <c r="H64" i="25"/>
  <c r="H71" i="25" s="1"/>
  <c r="C64" i="25"/>
  <c r="H60" i="25"/>
  <c r="C60" i="25"/>
  <c r="H59" i="25"/>
  <c r="C59" i="25"/>
  <c r="H58" i="25"/>
  <c r="C58" i="25"/>
  <c r="H57" i="25"/>
  <c r="C57" i="25"/>
  <c r="H56" i="25"/>
  <c r="C56" i="25"/>
  <c r="H55" i="25"/>
  <c r="C55" i="25"/>
  <c r="H54" i="25"/>
  <c r="C54" i="25"/>
  <c r="H50" i="25"/>
  <c r="C50" i="25"/>
  <c r="H49" i="25"/>
  <c r="C49" i="25"/>
  <c r="H48" i="25"/>
  <c r="C48" i="25"/>
  <c r="H47" i="25"/>
  <c r="C47" i="25"/>
  <c r="H46" i="25"/>
  <c r="C46" i="25"/>
  <c r="H45" i="25"/>
  <c r="C45" i="25"/>
  <c r="H44" i="25"/>
  <c r="H51" i="25" s="1"/>
  <c r="C44" i="25"/>
  <c r="H40" i="25"/>
  <c r="C40" i="25"/>
  <c r="H39" i="25"/>
  <c r="C39" i="25"/>
  <c r="H38" i="25"/>
  <c r="C38" i="25"/>
  <c r="H37" i="25"/>
  <c r="C37" i="25"/>
  <c r="H36" i="25"/>
  <c r="C36" i="25"/>
  <c r="H35" i="25"/>
  <c r="C35" i="25"/>
  <c r="H34" i="25"/>
  <c r="H41" i="25" s="1"/>
  <c r="C34" i="25"/>
  <c r="H31" i="25"/>
  <c r="H30" i="25"/>
  <c r="C30" i="25"/>
  <c r="H29" i="25"/>
  <c r="C29" i="25"/>
  <c r="H28" i="25"/>
  <c r="C28" i="25"/>
  <c r="H27" i="25"/>
  <c r="C27" i="25"/>
  <c r="H26" i="25"/>
  <c r="C26" i="25"/>
  <c r="H25" i="25"/>
  <c r="C25" i="25"/>
  <c r="H24" i="25"/>
  <c r="C24" i="25"/>
  <c r="H20" i="25"/>
  <c r="C20" i="25"/>
  <c r="H19" i="25"/>
  <c r="C19" i="25"/>
  <c r="H18" i="25"/>
  <c r="C18" i="25"/>
  <c r="H17" i="25"/>
  <c r="C17" i="25"/>
  <c r="H16" i="25"/>
  <c r="C16" i="25"/>
  <c r="H15" i="25"/>
  <c r="C15" i="25"/>
  <c r="H14" i="25"/>
  <c r="H21" i="25" s="1"/>
  <c r="C14" i="25"/>
  <c r="H70" i="24"/>
  <c r="C70" i="24"/>
  <c r="H69" i="24"/>
  <c r="C69" i="24"/>
  <c r="H68" i="24"/>
  <c r="C68" i="24"/>
  <c r="H67" i="24"/>
  <c r="C67" i="24"/>
  <c r="H66" i="24"/>
  <c r="C66" i="24"/>
  <c r="H65" i="24"/>
  <c r="C65" i="24"/>
  <c r="H64" i="24"/>
  <c r="C64" i="24"/>
  <c r="H60" i="24"/>
  <c r="C60" i="24"/>
  <c r="H59" i="24"/>
  <c r="C59" i="24"/>
  <c r="H58" i="24"/>
  <c r="C58" i="24"/>
  <c r="H57" i="24"/>
  <c r="H61" i="24" s="1"/>
  <c r="C57" i="24"/>
  <c r="H56" i="24"/>
  <c r="C56" i="24"/>
  <c r="H55" i="24"/>
  <c r="C55" i="24"/>
  <c r="H54" i="24"/>
  <c r="C54" i="24"/>
  <c r="H50" i="24"/>
  <c r="C50" i="24"/>
  <c r="H49" i="24"/>
  <c r="C49" i="24"/>
  <c r="H48" i="24"/>
  <c r="C48" i="24"/>
  <c r="H47" i="24"/>
  <c r="C47" i="24"/>
  <c r="H46" i="24"/>
  <c r="C46" i="24"/>
  <c r="H45" i="24"/>
  <c r="C45" i="24"/>
  <c r="H44" i="24"/>
  <c r="H51" i="24" s="1"/>
  <c r="C44" i="24"/>
  <c r="H41" i="24"/>
  <c r="H40" i="24"/>
  <c r="C40" i="24"/>
  <c r="H39" i="24"/>
  <c r="C39" i="24"/>
  <c r="H38" i="24"/>
  <c r="C38" i="24"/>
  <c r="H37" i="24"/>
  <c r="C37" i="24"/>
  <c r="H36" i="24"/>
  <c r="C36" i="24"/>
  <c r="H35" i="24"/>
  <c r="C35" i="24"/>
  <c r="H34" i="24"/>
  <c r="C34" i="24"/>
  <c r="H30" i="24"/>
  <c r="C30" i="24"/>
  <c r="H29" i="24"/>
  <c r="C29" i="24"/>
  <c r="H28" i="24"/>
  <c r="C28" i="24"/>
  <c r="H27" i="24"/>
  <c r="C27" i="24"/>
  <c r="H26" i="24"/>
  <c r="C26" i="24"/>
  <c r="H25" i="24"/>
  <c r="C25" i="24"/>
  <c r="H24" i="24"/>
  <c r="H31" i="24" s="1"/>
  <c r="C24" i="24"/>
  <c r="H21" i="24"/>
  <c r="H20" i="24"/>
  <c r="C20" i="24"/>
  <c r="H19" i="24"/>
  <c r="C19" i="24"/>
  <c r="H18" i="24"/>
  <c r="C18" i="24"/>
  <c r="H17" i="24"/>
  <c r="C17" i="24"/>
  <c r="H16" i="24"/>
  <c r="C16" i="24"/>
  <c r="H15" i="24"/>
  <c r="C15" i="24"/>
  <c r="H14" i="24"/>
  <c r="C14" i="24"/>
  <c r="H70" i="23"/>
  <c r="C70" i="23"/>
  <c r="H69" i="23"/>
  <c r="C69" i="23"/>
  <c r="H68" i="23"/>
  <c r="C68" i="23"/>
  <c r="H67" i="23"/>
  <c r="C67" i="23"/>
  <c r="H66" i="23"/>
  <c r="C66" i="23"/>
  <c r="H65" i="23"/>
  <c r="C65" i="23"/>
  <c r="H64" i="23"/>
  <c r="C64" i="23"/>
  <c r="H60" i="23"/>
  <c r="C60" i="23"/>
  <c r="H59" i="23"/>
  <c r="C59" i="23"/>
  <c r="H58" i="23"/>
  <c r="C58" i="23"/>
  <c r="H57" i="23"/>
  <c r="H61" i="23" s="1"/>
  <c r="C57" i="23"/>
  <c r="H56" i="23"/>
  <c r="C56" i="23"/>
  <c r="H55" i="23"/>
  <c r="C55" i="23"/>
  <c r="H54" i="23"/>
  <c r="C54" i="23"/>
  <c r="H50" i="23"/>
  <c r="C50" i="23"/>
  <c r="H49" i="23"/>
  <c r="C49" i="23"/>
  <c r="H48" i="23"/>
  <c r="C48" i="23"/>
  <c r="H47" i="23"/>
  <c r="C47" i="23"/>
  <c r="H46" i="23"/>
  <c r="C46" i="23"/>
  <c r="H45" i="23"/>
  <c r="C45" i="23"/>
  <c r="H44" i="23"/>
  <c r="H51" i="23" s="1"/>
  <c r="C44" i="23"/>
  <c r="H40" i="23"/>
  <c r="C40" i="23"/>
  <c r="H39" i="23"/>
  <c r="C39" i="23"/>
  <c r="H38" i="23"/>
  <c r="C38" i="23"/>
  <c r="H37" i="23"/>
  <c r="C37" i="23"/>
  <c r="H36" i="23"/>
  <c r="C36" i="23"/>
  <c r="H35" i="23"/>
  <c r="C35" i="23"/>
  <c r="H34" i="23"/>
  <c r="H41" i="23" s="1"/>
  <c r="C34" i="23"/>
  <c r="H30" i="23"/>
  <c r="C30" i="23"/>
  <c r="H29" i="23"/>
  <c r="C29" i="23"/>
  <c r="H28" i="23"/>
  <c r="C28" i="23"/>
  <c r="H27" i="23"/>
  <c r="C27" i="23"/>
  <c r="H26" i="23"/>
  <c r="C26" i="23"/>
  <c r="H25" i="23"/>
  <c r="C25" i="23"/>
  <c r="H24" i="23"/>
  <c r="H31" i="23" s="1"/>
  <c r="C24" i="23"/>
  <c r="H21" i="23"/>
  <c r="H20" i="23"/>
  <c r="C20" i="23"/>
  <c r="H19" i="23"/>
  <c r="C19" i="23"/>
  <c r="H18" i="23"/>
  <c r="C18" i="23"/>
  <c r="H17" i="23"/>
  <c r="C17" i="23"/>
  <c r="H16" i="23"/>
  <c r="C16" i="23"/>
  <c r="H15" i="23"/>
  <c r="C15" i="23"/>
  <c r="H14" i="23"/>
  <c r="C14" i="23"/>
  <c r="H70" i="22"/>
  <c r="C70" i="22"/>
  <c r="H69" i="22"/>
  <c r="C69" i="22"/>
  <c r="H68" i="22"/>
  <c r="C68" i="22"/>
  <c r="H67" i="22"/>
  <c r="C67" i="22"/>
  <c r="H66" i="22"/>
  <c r="C66" i="22"/>
  <c r="H65" i="22"/>
  <c r="C65" i="22"/>
  <c r="H64" i="22"/>
  <c r="H71" i="22" s="1"/>
  <c r="C64" i="22"/>
  <c r="H60" i="22"/>
  <c r="C60" i="22"/>
  <c r="H59" i="22"/>
  <c r="C59" i="22"/>
  <c r="H58" i="22"/>
  <c r="H61" i="22" s="1"/>
  <c r="C58" i="22"/>
  <c r="H57" i="22"/>
  <c r="C57" i="22"/>
  <c r="H56" i="22"/>
  <c r="C56" i="22"/>
  <c r="H55" i="22"/>
  <c r="C55" i="22"/>
  <c r="H54" i="22"/>
  <c r="C54" i="22"/>
  <c r="H50" i="22"/>
  <c r="C50" i="22"/>
  <c r="H49" i="22"/>
  <c r="C49" i="22"/>
  <c r="H48" i="22"/>
  <c r="C48" i="22"/>
  <c r="H47" i="22"/>
  <c r="C47" i="22"/>
  <c r="H46" i="22"/>
  <c r="C46" i="22"/>
  <c r="H45" i="22"/>
  <c r="C45" i="22"/>
  <c r="H44" i="22"/>
  <c r="H51" i="22" s="1"/>
  <c r="C44" i="22"/>
  <c r="H40" i="22"/>
  <c r="C40" i="22"/>
  <c r="H39" i="22"/>
  <c r="C39" i="22"/>
  <c r="H38" i="22"/>
  <c r="C38" i="22"/>
  <c r="H37" i="22"/>
  <c r="C37" i="22"/>
  <c r="H36" i="22"/>
  <c r="C36" i="22"/>
  <c r="H35" i="22"/>
  <c r="C35" i="22"/>
  <c r="H34" i="22"/>
  <c r="H41" i="22" s="1"/>
  <c r="C34" i="22"/>
  <c r="H30" i="22"/>
  <c r="C30" i="22"/>
  <c r="H29" i="22"/>
  <c r="C29" i="22"/>
  <c r="H28" i="22"/>
  <c r="C28" i="22"/>
  <c r="H27" i="22"/>
  <c r="C27" i="22"/>
  <c r="H26" i="22"/>
  <c r="C26" i="22"/>
  <c r="H25" i="22"/>
  <c r="C25" i="22"/>
  <c r="H24" i="22"/>
  <c r="H31" i="22" s="1"/>
  <c r="C24" i="22"/>
  <c r="H21" i="22"/>
  <c r="H20" i="22"/>
  <c r="C20" i="22"/>
  <c r="H19" i="22"/>
  <c r="C19" i="22"/>
  <c r="H18" i="22"/>
  <c r="C18" i="22"/>
  <c r="H17" i="22"/>
  <c r="C17" i="22"/>
  <c r="H16" i="22"/>
  <c r="C16" i="22"/>
  <c r="H15" i="22"/>
  <c r="C15" i="22"/>
  <c r="H14" i="22"/>
  <c r="C14" i="22"/>
  <c r="H70" i="21"/>
  <c r="C70" i="21"/>
  <c r="H69" i="21"/>
  <c r="C69" i="21"/>
  <c r="H68" i="21"/>
  <c r="C68" i="21"/>
  <c r="H67" i="21"/>
  <c r="C67" i="21"/>
  <c r="H66" i="21"/>
  <c r="C66" i="21"/>
  <c r="H65" i="21"/>
  <c r="C65" i="21"/>
  <c r="H64" i="21"/>
  <c r="H71" i="21" s="1"/>
  <c r="C64" i="21"/>
  <c r="H60" i="21"/>
  <c r="C60" i="21"/>
  <c r="H59" i="21"/>
  <c r="C59" i="21"/>
  <c r="H58" i="21"/>
  <c r="C58" i="21"/>
  <c r="H57" i="21"/>
  <c r="H61" i="21" s="1"/>
  <c r="C57" i="21"/>
  <c r="H56" i="21"/>
  <c r="C56" i="21"/>
  <c r="H55" i="21"/>
  <c r="C55" i="21"/>
  <c r="H54" i="21"/>
  <c r="C54" i="21"/>
  <c r="H50" i="21"/>
  <c r="C50" i="21"/>
  <c r="H49" i="21"/>
  <c r="C49" i="21"/>
  <c r="H48" i="21"/>
  <c r="C48" i="21"/>
  <c r="H47" i="21"/>
  <c r="C47" i="21"/>
  <c r="H46" i="21"/>
  <c r="C46" i="21"/>
  <c r="H45" i="21"/>
  <c r="C45" i="21"/>
  <c r="H44" i="21"/>
  <c r="H51" i="21" s="1"/>
  <c r="C44" i="21"/>
  <c r="H41" i="21"/>
  <c r="H40" i="21"/>
  <c r="C40" i="21"/>
  <c r="H39" i="21"/>
  <c r="C39" i="21"/>
  <c r="H38" i="21"/>
  <c r="C38" i="21"/>
  <c r="H37" i="21"/>
  <c r="C37" i="21"/>
  <c r="H36" i="21"/>
  <c r="C36" i="21"/>
  <c r="H35" i="21"/>
  <c r="C35" i="21"/>
  <c r="H34" i="21"/>
  <c r="C34" i="21"/>
  <c r="H30" i="21"/>
  <c r="C30" i="21"/>
  <c r="H29" i="21"/>
  <c r="C29" i="21"/>
  <c r="H28" i="21"/>
  <c r="C28" i="21"/>
  <c r="H27" i="21"/>
  <c r="C27" i="21"/>
  <c r="H26" i="21"/>
  <c r="C26" i="21"/>
  <c r="H25" i="21"/>
  <c r="C25" i="21"/>
  <c r="H24" i="21"/>
  <c r="H31" i="21" s="1"/>
  <c r="C24" i="21"/>
  <c r="H21" i="21"/>
  <c r="H20" i="21"/>
  <c r="C20" i="21"/>
  <c r="H19" i="21"/>
  <c r="C19" i="21"/>
  <c r="H18" i="21"/>
  <c r="C18" i="21"/>
  <c r="H17" i="21"/>
  <c r="C17" i="21"/>
  <c r="H16" i="21"/>
  <c r="C16" i="21"/>
  <c r="H15" i="21"/>
  <c r="C15" i="21"/>
  <c r="H14" i="21"/>
  <c r="C14" i="21"/>
  <c r="H70" i="20"/>
  <c r="C70" i="20"/>
  <c r="H69" i="20"/>
  <c r="C69" i="20"/>
  <c r="H68" i="20"/>
  <c r="C68" i="20"/>
  <c r="H67" i="20"/>
  <c r="C67" i="20"/>
  <c r="H66" i="20"/>
  <c r="C66" i="20"/>
  <c r="H65" i="20"/>
  <c r="C65" i="20"/>
  <c r="H64" i="20"/>
  <c r="C64" i="20"/>
  <c r="H60" i="20"/>
  <c r="C60" i="20"/>
  <c r="H59" i="20"/>
  <c r="C59" i="20"/>
  <c r="H58" i="20"/>
  <c r="C58" i="20"/>
  <c r="H57" i="20"/>
  <c r="H61" i="20" s="1"/>
  <c r="C57" i="20"/>
  <c r="H56" i="20"/>
  <c r="C56" i="20"/>
  <c r="H55" i="20"/>
  <c r="C55" i="20"/>
  <c r="H54" i="20"/>
  <c r="C54" i="20"/>
  <c r="H50" i="20"/>
  <c r="C50" i="20"/>
  <c r="H49" i="20"/>
  <c r="C49" i="20"/>
  <c r="H48" i="20"/>
  <c r="C48" i="20"/>
  <c r="H47" i="20"/>
  <c r="C47" i="20"/>
  <c r="H46" i="20"/>
  <c r="C46" i="20"/>
  <c r="H45" i="20"/>
  <c r="C45" i="20"/>
  <c r="H44" i="20"/>
  <c r="H51" i="20" s="1"/>
  <c r="C44" i="20"/>
  <c r="H41" i="20"/>
  <c r="H40" i="20"/>
  <c r="C40" i="20"/>
  <c r="H39" i="20"/>
  <c r="C39" i="20"/>
  <c r="H38" i="20"/>
  <c r="C38" i="20"/>
  <c r="H37" i="20"/>
  <c r="C37" i="20"/>
  <c r="H36" i="20"/>
  <c r="C36" i="20"/>
  <c r="H35" i="20"/>
  <c r="C35" i="20"/>
  <c r="H34" i="20"/>
  <c r="C34" i="20"/>
  <c r="H30" i="20"/>
  <c r="C30" i="20"/>
  <c r="H29" i="20"/>
  <c r="C29" i="20"/>
  <c r="H28" i="20"/>
  <c r="C28" i="20"/>
  <c r="H27" i="20"/>
  <c r="C27" i="20"/>
  <c r="H26" i="20"/>
  <c r="C26" i="20"/>
  <c r="H25" i="20"/>
  <c r="C25" i="20"/>
  <c r="H24" i="20"/>
  <c r="H31" i="20" s="1"/>
  <c r="C24" i="20"/>
  <c r="H21" i="20"/>
  <c r="H20" i="20"/>
  <c r="C20" i="20"/>
  <c r="H19" i="20"/>
  <c r="C19" i="20"/>
  <c r="H18" i="20"/>
  <c r="C18" i="20"/>
  <c r="H17" i="20"/>
  <c r="C17" i="20"/>
  <c r="H16" i="20"/>
  <c r="C16" i="20"/>
  <c r="H15" i="20"/>
  <c r="C15" i="20"/>
  <c r="H14" i="20"/>
  <c r="C14" i="20"/>
  <c r="H70" i="19"/>
  <c r="C70" i="19"/>
  <c r="H69" i="19"/>
  <c r="C69" i="19"/>
  <c r="H68" i="19"/>
  <c r="C68" i="19"/>
  <c r="H67" i="19"/>
  <c r="C67" i="19"/>
  <c r="H66" i="19"/>
  <c r="C66" i="19"/>
  <c r="H65" i="19"/>
  <c r="C65" i="19"/>
  <c r="H64" i="19"/>
  <c r="H71" i="19" s="1"/>
  <c r="C64" i="19"/>
  <c r="H60" i="19"/>
  <c r="C60" i="19"/>
  <c r="H59" i="19"/>
  <c r="C59" i="19"/>
  <c r="H58" i="19"/>
  <c r="H61" i="19" s="1"/>
  <c r="C58" i="19"/>
  <c r="H57" i="19"/>
  <c r="C57" i="19"/>
  <c r="H56" i="19"/>
  <c r="C56" i="19"/>
  <c r="H55" i="19"/>
  <c r="C55" i="19"/>
  <c r="H54" i="19"/>
  <c r="C54" i="19"/>
  <c r="H50" i="19"/>
  <c r="C50" i="19"/>
  <c r="H49" i="19"/>
  <c r="C49" i="19"/>
  <c r="H48" i="19"/>
  <c r="C48" i="19"/>
  <c r="H47" i="19"/>
  <c r="C47" i="19"/>
  <c r="H46" i="19"/>
  <c r="C46" i="19"/>
  <c r="H45" i="19"/>
  <c r="C45" i="19"/>
  <c r="H44" i="19"/>
  <c r="H51" i="19" s="1"/>
  <c r="C44" i="19"/>
  <c r="H40" i="19"/>
  <c r="C40" i="19"/>
  <c r="H39" i="19"/>
  <c r="C39" i="19"/>
  <c r="H38" i="19"/>
  <c r="C38" i="19"/>
  <c r="H37" i="19"/>
  <c r="C37" i="19"/>
  <c r="H36" i="19"/>
  <c r="C36" i="19"/>
  <c r="H35" i="19"/>
  <c r="C35" i="19"/>
  <c r="H34" i="19"/>
  <c r="H41" i="19" s="1"/>
  <c r="C34" i="19"/>
  <c r="H30" i="19"/>
  <c r="C30" i="19"/>
  <c r="H29" i="19"/>
  <c r="C29" i="19"/>
  <c r="H28" i="19"/>
  <c r="C28" i="19"/>
  <c r="H27" i="19"/>
  <c r="C27" i="19"/>
  <c r="H26" i="19"/>
  <c r="C26" i="19"/>
  <c r="H25" i="19"/>
  <c r="C25" i="19"/>
  <c r="H24" i="19"/>
  <c r="H31" i="19" s="1"/>
  <c r="C24" i="19"/>
  <c r="H21" i="19"/>
  <c r="H20" i="19"/>
  <c r="C20" i="19"/>
  <c r="H19" i="19"/>
  <c r="C19" i="19"/>
  <c r="H18" i="19"/>
  <c r="C18" i="19"/>
  <c r="H17" i="19"/>
  <c r="C17" i="19"/>
  <c r="H16" i="19"/>
  <c r="C16" i="19"/>
  <c r="H15" i="19"/>
  <c r="C15" i="19"/>
  <c r="H14" i="19"/>
  <c r="C14" i="19"/>
  <c r="H70" i="18"/>
  <c r="C70" i="18"/>
  <c r="H69" i="18"/>
  <c r="C69" i="18"/>
  <c r="H68" i="18"/>
  <c r="C68" i="18"/>
  <c r="H67" i="18"/>
  <c r="C67" i="18"/>
  <c r="H66" i="18"/>
  <c r="C66" i="18"/>
  <c r="H65" i="18"/>
  <c r="C65" i="18"/>
  <c r="H64" i="18"/>
  <c r="H71" i="18" s="1"/>
  <c r="C64" i="18"/>
  <c r="H60" i="18"/>
  <c r="C60" i="18"/>
  <c r="H59" i="18"/>
  <c r="C59" i="18"/>
  <c r="H58" i="18"/>
  <c r="C58" i="18"/>
  <c r="H57" i="18"/>
  <c r="C57" i="18"/>
  <c r="H56" i="18"/>
  <c r="C56" i="18"/>
  <c r="H55" i="18"/>
  <c r="C55" i="18"/>
  <c r="H54" i="18"/>
  <c r="H61" i="18" s="1"/>
  <c r="C54" i="18"/>
  <c r="H51" i="18"/>
  <c r="H50" i="18"/>
  <c r="C50" i="18"/>
  <c r="H49" i="18"/>
  <c r="C49" i="18"/>
  <c r="H48" i="18"/>
  <c r="C48" i="18"/>
  <c r="H47" i="18"/>
  <c r="C47" i="18"/>
  <c r="H46" i="18"/>
  <c r="C46" i="18"/>
  <c r="H45" i="18"/>
  <c r="C45" i="18"/>
  <c r="H44" i="18"/>
  <c r="C44" i="18"/>
  <c r="H40" i="18"/>
  <c r="C40" i="18"/>
  <c r="H39" i="18"/>
  <c r="C39" i="18"/>
  <c r="H38" i="18"/>
  <c r="C38" i="18"/>
  <c r="H37" i="18"/>
  <c r="C37" i="18"/>
  <c r="H36" i="18"/>
  <c r="C36" i="18"/>
  <c r="H35" i="18"/>
  <c r="C35" i="18"/>
  <c r="H34" i="18"/>
  <c r="H41" i="18" s="1"/>
  <c r="C34" i="18"/>
  <c r="H31" i="18"/>
  <c r="H30" i="18"/>
  <c r="C30" i="18"/>
  <c r="H29" i="18"/>
  <c r="C29" i="18"/>
  <c r="H28" i="18"/>
  <c r="C28" i="18"/>
  <c r="H27" i="18"/>
  <c r="C27" i="18"/>
  <c r="H26" i="18"/>
  <c r="C26" i="18"/>
  <c r="H25" i="18"/>
  <c r="C25" i="18"/>
  <c r="H24" i="18"/>
  <c r="C24" i="18"/>
  <c r="H20" i="18"/>
  <c r="C20" i="18"/>
  <c r="H19" i="18"/>
  <c r="C19" i="18"/>
  <c r="H18" i="18"/>
  <c r="C18" i="18"/>
  <c r="H17" i="18"/>
  <c r="C17" i="18"/>
  <c r="H16" i="18"/>
  <c r="C16" i="18"/>
  <c r="H15" i="18"/>
  <c r="C15" i="18"/>
  <c r="H14" i="18"/>
  <c r="H21" i="18" s="1"/>
  <c r="C14" i="18"/>
  <c r="H70" i="17"/>
  <c r="C70" i="17"/>
  <c r="H69" i="17"/>
  <c r="C69" i="17"/>
  <c r="H68" i="17"/>
  <c r="C68" i="17"/>
  <c r="H67" i="17"/>
  <c r="C67" i="17"/>
  <c r="H66" i="17"/>
  <c r="C66" i="17"/>
  <c r="H65" i="17"/>
  <c r="C65" i="17"/>
  <c r="H64" i="17"/>
  <c r="C64" i="17"/>
  <c r="H60" i="17"/>
  <c r="C60" i="17"/>
  <c r="H59" i="17"/>
  <c r="C59" i="17"/>
  <c r="H58" i="17"/>
  <c r="C58" i="17"/>
  <c r="H57" i="17"/>
  <c r="C57" i="17"/>
  <c r="H56" i="17"/>
  <c r="C56" i="17"/>
  <c r="H55" i="17"/>
  <c r="C55" i="17"/>
  <c r="H54" i="17"/>
  <c r="H61" i="17" s="1"/>
  <c r="C54" i="17"/>
  <c r="H51" i="17"/>
  <c r="H50" i="17"/>
  <c r="C50" i="17"/>
  <c r="H49" i="17"/>
  <c r="C49" i="17"/>
  <c r="H48" i="17"/>
  <c r="C48" i="17"/>
  <c r="H47" i="17"/>
  <c r="C47" i="17"/>
  <c r="H46" i="17"/>
  <c r="C46" i="17"/>
  <c r="H45" i="17"/>
  <c r="C45" i="17"/>
  <c r="H44" i="17"/>
  <c r="C44" i="17"/>
  <c r="H40" i="17"/>
  <c r="C40" i="17"/>
  <c r="H39" i="17"/>
  <c r="C39" i="17"/>
  <c r="H38" i="17"/>
  <c r="C38" i="17"/>
  <c r="H37" i="17"/>
  <c r="C37" i="17"/>
  <c r="H36" i="17"/>
  <c r="C36" i="17"/>
  <c r="H35" i="17"/>
  <c r="C35" i="17"/>
  <c r="H34" i="17"/>
  <c r="H41" i="17" s="1"/>
  <c r="C34" i="17"/>
  <c r="H30" i="17"/>
  <c r="C30" i="17"/>
  <c r="H29" i="17"/>
  <c r="C29" i="17"/>
  <c r="H28" i="17"/>
  <c r="C28" i="17"/>
  <c r="H27" i="17"/>
  <c r="C27" i="17"/>
  <c r="H26" i="17"/>
  <c r="C26" i="17"/>
  <c r="H25" i="17"/>
  <c r="C25" i="17"/>
  <c r="H24" i="17"/>
  <c r="H31" i="17" s="1"/>
  <c r="C24" i="17"/>
  <c r="H20" i="17"/>
  <c r="C20" i="17"/>
  <c r="H19" i="17"/>
  <c r="C19" i="17"/>
  <c r="H18" i="17"/>
  <c r="C18" i="17"/>
  <c r="H17" i="17"/>
  <c r="C17" i="17"/>
  <c r="H16" i="17"/>
  <c r="C16" i="17"/>
  <c r="H15" i="17"/>
  <c r="C15" i="17"/>
  <c r="H14" i="17"/>
  <c r="H21" i="17" s="1"/>
  <c r="C14" i="17"/>
  <c r="H70" i="16"/>
  <c r="C70" i="16"/>
  <c r="H69" i="16"/>
  <c r="C69" i="16"/>
  <c r="H68" i="16"/>
  <c r="C68" i="16"/>
  <c r="H67" i="16"/>
  <c r="C67" i="16"/>
  <c r="H66" i="16"/>
  <c r="C66" i="16"/>
  <c r="H65" i="16"/>
  <c r="C65" i="16"/>
  <c r="H64" i="16"/>
  <c r="C64" i="16"/>
  <c r="H60" i="16"/>
  <c r="C60" i="16"/>
  <c r="H59" i="16"/>
  <c r="C59" i="16"/>
  <c r="H58" i="16"/>
  <c r="C58" i="16"/>
  <c r="H57" i="16"/>
  <c r="H61" i="16" s="1"/>
  <c r="C57" i="16"/>
  <c r="H56" i="16"/>
  <c r="C56" i="16"/>
  <c r="H55" i="16"/>
  <c r="C55" i="16"/>
  <c r="H54" i="16"/>
  <c r="C54" i="16"/>
  <c r="H50" i="16"/>
  <c r="C50" i="16"/>
  <c r="H49" i="16"/>
  <c r="C49" i="16"/>
  <c r="H48" i="16"/>
  <c r="C48" i="16"/>
  <c r="H47" i="16"/>
  <c r="C47" i="16"/>
  <c r="H46" i="16"/>
  <c r="C46" i="16"/>
  <c r="H45" i="16"/>
  <c r="C45" i="16"/>
  <c r="H44" i="16"/>
  <c r="H51" i="16" s="1"/>
  <c r="C44" i="16"/>
  <c r="H40" i="16"/>
  <c r="C40" i="16"/>
  <c r="H39" i="16"/>
  <c r="C39" i="16"/>
  <c r="H38" i="16"/>
  <c r="C38" i="16"/>
  <c r="H37" i="16"/>
  <c r="C37" i="16"/>
  <c r="H36" i="16"/>
  <c r="C36" i="16"/>
  <c r="H35" i="16"/>
  <c r="C35" i="16"/>
  <c r="H34" i="16"/>
  <c r="H41" i="16" s="1"/>
  <c r="C34" i="16"/>
  <c r="H30" i="16"/>
  <c r="C30" i="16"/>
  <c r="H29" i="16"/>
  <c r="C29" i="16"/>
  <c r="H28" i="16"/>
  <c r="C28" i="16"/>
  <c r="H27" i="16"/>
  <c r="C27" i="16"/>
  <c r="H26" i="16"/>
  <c r="C26" i="16"/>
  <c r="H25" i="16"/>
  <c r="C25" i="16"/>
  <c r="H24" i="16"/>
  <c r="H31" i="16" s="1"/>
  <c r="C24" i="16"/>
  <c r="H21" i="16"/>
  <c r="H20" i="16"/>
  <c r="C20" i="16"/>
  <c r="H19" i="16"/>
  <c r="C19" i="16"/>
  <c r="H18" i="16"/>
  <c r="C18" i="16"/>
  <c r="H17" i="16"/>
  <c r="C17" i="16"/>
  <c r="H16" i="16"/>
  <c r="C16" i="16"/>
  <c r="H15" i="16"/>
  <c r="C15" i="16"/>
  <c r="H14" i="16"/>
  <c r="C14" i="16"/>
  <c r="H70" i="15"/>
  <c r="C70" i="15"/>
  <c r="H69" i="15"/>
  <c r="C69" i="15"/>
  <c r="H68" i="15"/>
  <c r="C68" i="15"/>
  <c r="H67" i="15"/>
  <c r="C67" i="15"/>
  <c r="H66" i="15"/>
  <c r="C66" i="15"/>
  <c r="H65" i="15"/>
  <c r="C65" i="15"/>
  <c r="H64" i="15"/>
  <c r="H71" i="15" s="1"/>
  <c r="C64" i="15"/>
  <c r="H60" i="15"/>
  <c r="C60" i="15"/>
  <c r="H59" i="15"/>
  <c r="C59" i="15"/>
  <c r="H58" i="15"/>
  <c r="C58" i="15"/>
  <c r="H57" i="15"/>
  <c r="C57" i="15"/>
  <c r="H56" i="15"/>
  <c r="C56" i="15"/>
  <c r="H55" i="15"/>
  <c r="C55" i="15"/>
  <c r="H54" i="15"/>
  <c r="C54" i="15"/>
  <c r="H51" i="15"/>
  <c r="H50" i="15"/>
  <c r="C50" i="15"/>
  <c r="H49" i="15"/>
  <c r="C49" i="15"/>
  <c r="H48" i="15"/>
  <c r="C48" i="15"/>
  <c r="H47" i="15"/>
  <c r="C47" i="15"/>
  <c r="H46" i="15"/>
  <c r="C46" i="15"/>
  <c r="H45" i="15"/>
  <c r="C45" i="15"/>
  <c r="H44" i="15"/>
  <c r="C44" i="15"/>
  <c r="H40" i="15"/>
  <c r="C40" i="15"/>
  <c r="H39" i="15"/>
  <c r="C39" i="15"/>
  <c r="H38" i="15"/>
  <c r="C38" i="15"/>
  <c r="H37" i="15"/>
  <c r="C37" i="15"/>
  <c r="H36" i="15"/>
  <c r="C36" i="15"/>
  <c r="H35" i="15"/>
  <c r="C35" i="15"/>
  <c r="H34" i="15"/>
  <c r="H41" i="15" s="1"/>
  <c r="C34" i="15"/>
  <c r="H30" i="15"/>
  <c r="C30" i="15"/>
  <c r="H29" i="15"/>
  <c r="C29" i="15"/>
  <c r="H28" i="15"/>
  <c r="C28" i="15"/>
  <c r="H27" i="15"/>
  <c r="C27" i="15"/>
  <c r="H26" i="15"/>
  <c r="C26" i="15"/>
  <c r="H25" i="15"/>
  <c r="C25" i="15"/>
  <c r="H24" i="15"/>
  <c r="H31" i="15" s="1"/>
  <c r="C24" i="15"/>
  <c r="H20" i="15"/>
  <c r="C20" i="15"/>
  <c r="H19" i="15"/>
  <c r="C19" i="15"/>
  <c r="H18" i="15"/>
  <c r="C18" i="15"/>
  <c r="H17" i="15"/>
  <c r="C17" i="15"/>
  <c r="H16" i="15"/>
  <c r="C16" i="15"/>
  <c r="H15" i="15"/>
  <c r="C15" i="15"/>
  <c r="H14" i="15"/>
  <c r="H21" i="15" s="1"/>
  <c r="C14" i="15"/>
  <c r="H70" i="14"/>
  <c r="C70" i="14"/>
  <c r="H69" i="14"/>
  <c r="C69" i="14"/>
  <c r="H68" i="14"/>
  <c r="C68" i="14"/>
  <c r="H67" i="14"/>
  <c r="C67" i="14"/>
  <c r="H66" i="14"/>
  <c r="C66" i="14"/>
  <c r="H65" i="14"/>
  <c r="C65" i="14"/>
  <c r="H64" i="14"/>
  <c r="C64" i="14"/>
  <c r="H60" i="14"/>
  <c r="C60" i="14"/>
  <c r="H59" i="14"/>
  <c r="C59" i="14"/>
  <c r="H58" i="14"/>
  <c r="C58" i="14"/>
  <c r="H57" i="14"/>
  <c r="H61" i="14" s="1"/>
  <c r="C57" i="14"/>
  <c r="H56" i="14"/>
  <c r="C56" i="14"/>
  <c r="H55" i="14"/>
  <c r="C55" i="14"/>
  <c r="H54" i="14"/>
  <c r="C54" i="14"/>
  <c r="H50" i="14"/>
  <c r="C50" i="14"/>
  <c r="H49" i="14"/>
  <c r="C49" i="14"/>
  <c r="H48" i="14"/>
  <c r="C48" i="14"/>
  <c r="H47" i="14"/>
  <c r="C47" i="14"/>
  <c r="H46" i="14"/>
  <c r="C46" i="14"/>
  <c r="H45" i="14"/>
  <c r="C45" i="14"/>
  <c r="H44" i="14"/>
  <c r="H51" i="14" s="1"/>
  <c r="C44" i="14"/>
  <c r="H40" i="14"/>
  <c r="C40" i="14"/>
  <c r="H39" i="14"/>
  <c r="C39" i="14"/>
  <c r="H38" i="14"/>
  <c r="C38" i="14"/>
  <c r="H37" i="14"/>
  <c r="C37" i="14"/>
  <c r="H36" i="14"/>
  <c r="C36" i="14"/>
  <c r="H35" i="14"/>
  <c r="C35" i="14"/>
  <c r="H34" i="14"/>
  <c r="H41" i="14" s="1"/>
  <c r="C34" i="14"/>
  <c r="H30" i="14"/>
  <c r="C30" i="14"/>
  <c r="H29" i="14"/>
  <c r="C29" i="14"/>
  <c r="H28" i="14"/>
  <c r="C28" i="14"/>
  <c r="H27" i="14"/>
  <c r="C27" i="14"/>
  <c r="H26" i="14"/>
  <c r="C26" i="14"/>
  <c r="H25" i="14"/>
  <c r="C25" i="14"/>
  <c r="H24" i="14"/>
  <c r="H31" i="14" s="1"/>
  <c r="C24" i="14"/>
  <c r="H21" i="14"/>
  <c r="H20" i="14"/>
  <c r="C20" i="14"/>
  <c r="H19" i="14"/>
  <c r="C19" i="14"/>
  <c r="H18" i="14"/>
  <c r="C18" i="14"/>
  <c r="H17" i="14"/>
  <c r="C17" i="14"/>
  <c r="H16" i="14"/>
  <c r="C16" i="14"/>
  <c r="H15" i="14"/>
  <c r="C15" i="14"/>
  <c r="H14" i="14"/>
  <c r="C14" i="14"/>
  <c r="H70" i="13"/>
  <c r="C70" i="13"/>
  <c r="H69" i="13"/>
  <c r="C69" i="13"/>
  <c r="H68" i="13"/>
  <c r="C68" i="13"/>
  <c r="H67" i="13"/>
  <c r="C67" i="13"/>
  <c r="H66" i="13"/>
  <c r="C66" i="13"/>
  <c r="H65" i="13"/>
  <c r="C65" i="13"/>
  <c r="H64" i="13"/>
  <c r="H71" i="13" s="1"/>
  <c r="C64" i="13"/>
  <c r="H60" i="13"/>
  <c r="C60" i="13"/>
  <c r="H59" i="13"/>
  <c r="C59" i="13"/>
  <c r="H58" i="13"/>
  <c r="C58" i="13"/>
  <c r="H57" i="13"/>
  <c r="H61" i="13" s="1"/>
  <c r="C57" i="13"/>
  <c r="H56" i="13"/>
  <c r="C56" i="13"/>
  <c r="H55" i="13"/>
  <c r="C55" i="13"/>
  <c r="H54" i="13"/>
  <c r="C54" i="13"/>
  <c r="H50" i="13"/>
  <c r="C50" i="13"/>
  <c r="H49" i="13"/>
  <c r="C49" i="13"/>
  <c r="H48" i="13"/>
  <c r="C48" i="13"/>
  <c r="H47" i="13"/>
  <c r="C47" i="13"/>
  <c r="H46" i="13"/>
  <c r="C46" i="13"/>
  <c r="H45" i="13"/>
  <c r="C45" i="13"/>
  <c r="H44" i="13"/>
  <c r="H51" i="13" s="1"/>
  <c r="C44" i="13"/>
  <c r="H40" i="13"/>
  <c r="C40" i="13"/>
  <c r="H39" i="13"/>
  <c r="C39" i="13"/>
  <c r="H38" i="13"/>
  <c r="C38" i="13"/>
  <c r="H37" i="13"/>
  <c r="C37" i="13"/>
  <c r="H36" i="13"/>
  <c r="C36" i="13"/>
  <c r="H35" i="13"/>
  <c r="C35" i="13"/>
  <c r="H34" i="13"/>
  <c r="H41" i="13" s="1"/>
  <c r="C34" i="13"/>
  <c r="H30" i="13"/>
  <c r="C30" i="13"/>
  <c r="H29" i="13"/>
  <c r="C29" i="13"/>
  <c r="H28" i="13"/>
  <c r="C28" i="13"/>
  <c r="H27" i="13"/>
  <c r="C27" i="13"/>
  <c r="H26" i="13"/>
  <c r="C26" i="13"/>
  <c r="H25" i="13"/>
  <c r="C25" i="13"/>
  <c r="H24" i="13"/>
  <c r="H31" i="13" s="1"/>
  <c r="C24" i="13"/>
  <c r="H21" i="13"/>
  <c r="H20" i="13"/>
  <c r="C20" i="13"/>
  <c r="H19" i="13"/>
  <c r="C19" i="13"/>
  <c r="H18" i="13"/>
  <c r="C18" i="13"/>
  <c r="H17" i="13"/>
  <c r="C17" i="13"/>
  <c r="H16" i="13"/>
  <c r="C16" i="13"/>
  <c r="H15" i="13"/>
  <c r="C15" i="13"/>
  <c r="H14" i="13"/>
  <c r="C14" i="13"/>
  <c r="H70" i="12"/>
  <c r="C70" i="12"/>
  <c r="H69" i="12"/>
  <c r="C69" i="12"/>
  <c r="H68" i="12"/>
  <c r="C68" i="12"/>
  <c r="H67" i="12"/>
  <c r="C67" i="12"/>
  <c r="H66" i="12"/>
  <c r="C66" i="12"/>
  <c r="H65" i="12"/>
  <c r="C65" i="12"/>
  <c r="H64" i="12"/>
  <c r="H71" i="12" s="1"/>
  <c r="C64" i="12"/>
  <c r="H60" i="12"/>
  <c r="C60" i="12"/>
  <c r="H59" i="12"/>
  <c r="C59" i="12"/>
  <c r="H58" i="12"/>
  <c r="C58" i="12"/>
  <c r="H57" i="12"/>
  <c r="C57" i="12"/>
  <c r="H56" i="12"/>
  <c r="C56" i="12"/>
  <c r="H55" i="12"/>
  <c r="C55" i="12"/>
  <c r="H54" i="12"/>
  <c r="C54" i="12"/>
  <c r="H51" i="12"/>
  <c r="H50" i="12"/>
  <c r="C50" i="12"/>
  <c r="H49" i="12"/>
  <c r="C49" i="12"/>
  <c r="H48" i="12"/>
  <c r="C48" i="12"/>
  <c r="H47" i="12"/>
  <c r="C47" i="12"/>
  <c r="H46" i="12"/>
  <c r="C46" i="12"/>
  <c r="H45" i="12"/>
  <c r="C45" i="12"/>
  <c r="H44" i="12"/>
  <c r="C44" i="12"/>
  <c r="H40" i="12"/>
  <c r="C40" i="12"/>
  <c r="H39" i="12"/>
  <c r="C39" i="12"/>
  <c r="H38" i="12"/>
  <c r="C38" i="12"/>
  <c r="H37" i="12"/>
  <c r="C37" i="12"/>
  <c r="H36" i="12"/>
  <c r="C36" i="12"/>
  <c r="H35" i="12"/>
  <c r="C35" i="12"/>
  <c r="H34" i="12"/>
  <c r="H41" i="12" s="1"/>
  <c r="C34" i="12"/>
  <c r="H30" i="12"/>
  <c r="C30" i="12"/>
  <c r="H29" i="12"/>
  <c r="C29" i="12"/>
  <c r="H28" i="12"/>
  <c r="C28" i="12"/>
  <c r="H27" i="12"/>
  <c r="C27" i="12"/>
  <c r="H26" i="12"/>
  <c r="C26" i="12"/>
  <c r="H25" i="12"/>
  <c r="C25" i="12"/>
  <c r="H24" i="12"/>
  <c r="H31" i="12" s="1"/>
  <c r="C24" i="12"/>
  <c r="H20" i="12"/>
  <c r="C20" i="12"/>
  <c r="H19" i="12"/>
  <c r="C19" i="12"/>
  <c r="H18" i="12"/>
  <c r="C18" i="12"/>
  <c r="H17" i="12"/>
  <c r="C17" i="12"/>
  <c r="H16" i="12"/>
  <c r="C16" i="12"/>
  <c r="H15" i="12"/>
  <c r="H21" i="12" s="1"/>
  <c r="C15" i="12"/>
  <c r="H14" i="12"/>
  <c r="C14" i="12"/>
  <c r="H70" i="11"/>
  <c r="C70" i="11"/>
  <c r="H69" i="11"/>
  <c r="C69" i="11"/>
  <c r="H68" i="11"/>
  <c r="C68" i="11"/>
  <c r="H67" i="11"/>
  <c r="C67" i="11"/>
  <c r="H66" i="11"/>
  <c r="C66" i="11"/>
  <c r="H65" i="11"/>
  <c r="C65" i="11"/>
  <c r="H64" i="11"/>
  <c r="C64" i="11"/>
  <c r="H60" i="11"/>
  <c r="C60" i="11"/>
  <c r="H59" i="11"/>
  <c r="C59" i="11"/>
  <c r="H58" i="11"/>
  <c r="C58" i="11"/>
  <c r="H57" i="11"/>
  <c r="C57" i="11"/>
  <c r="H56" i="11"/>
  <c r="C56" i="11"/>
  <c r="H55" i="11"/>
  <c r="C55" i="11"/>
  <c r="H54" i="11"/>
  <c r="C54" i="11"/>
  <c r="H51" i="11"/>
  <c r="H50" i="11"/>
  <c r="C50" i="11"/>
  <c r="H49" i="11"/>
  <c r="C49" i="11"/>
  <c r="H48" i="11"/>
  <c r="C48" i="11"/>
  <c r="H47" i="11"/>
  <c r="C47" i="11"/>
  <c r="H46" i="11"/>
  <c r="C46" i="11"/>
  <c r="H45" i="11"/>
  <c r="C45" i="11"/>
  <c r="H44" i="11"/>
  <c r="C44" i="11"/>
  <c r="H40" i="11"/>
  <c r="C40" i="11"/>
  <c r="H39" i="11"/>
  <c r="C39" i="11"/>
  <c r="H38" i="11"/>
  <c r="C38" i="11"/>
  <c r="H37" i="11"/>
  <c r="C37" i="11"/>
  <c r="H36" i="11"/>
  <c r="C36" i="11"/>
  <c r="H35" i="11"/>
  <c r="C35" i="11"/>
  <c r="H34" i="11"/>
  <c r="H41" i="11" s="1"/>
  <c r="C34" i="11"/>
  <c r="H30" i="11"/>
  <c r="C30" i="11"/>
  <c r="H29" i="11"/>
  <c r="C29" i="11"/>
  <c r="H28" i="11"/>
  <c r="C28" i="11"/>
  <c r="H27" i="11"/>
  <c r="C27" i="11"/>
  <c r="H26" i="11"/>
  <c r="C26" i="11"/>
  <c r="H25" i="11"/>
  <c r="C25" i="11"/>
  <c r="H24" i="11"/>
  <c r="H31" i="11" s="1"/>
  <c r="C24" i="11"/>
  <c r="H20" i="11"/>
  <c r="C20" i="11"/>
  <c r="H19" i="11"/>
  <c r="C19" i="11"/>
  <c r="H18" i="11"/>
  <c r="C18" i="11"/>
  <c r="H17" i="11"/>
  <c r="C17" i="11"/>
  <c r="H16" i="11"/>
  <c r="C16" i="11"/>
  <c r="H15" i="11"/>
  <c r="C15" i="11"/>
  <c r="H14" i="11"/>
  <c r="H21" i="11" s="1"/>
  <c r="C14" i="11"/>
  <c r="H70" i="10"/>
  <c r="C70" i="10"/>
  <c r="H69" i="10"/>
  <c r="C69" i="10"/>
  <c r="H68" i="10"/>
  <c r="C68" i="10"/>
  <c r="H67" i="10"/>
  <c r="C67" i="10"/>
  <c r="H66" i="10"/>
  <c r="C66" i="10"/>
  <c r="H65" i="10"/>
  <c r="C65" i="10"/>
  <c r="H64" i="10"/>
  <c r="H71" i="10" s="1"/>
  <c r="C64" i="10"/>
  <c r="H60" i="10"/>
  <c r="C60" i="10"/>
  <c r="H59" i="10"/>
  <c r="C59" i="10"/>
  <c r="H58" i="10"/>
  <c r="C58" i="10"/>
  <c r="H57" i="10"/>
  <c r="H61" i="10" s="1"/>
  <c r="C57" i="10"/>
  <c r="H56" i="10"/>
  <c r="C56" i="10"/>
  <c r="H55" i="10"/>
  <c r="C55" i="10"/>
  <c r="H54" i="10"/>
  <c r="C54" i="10"/>
  <c r="H50" i="10"/>
  <c r="C50" i="10"/>
  <c r="H49" i="10"/>
  <c r="C49" i="10"/>
  <c r="H48" i="10"/>
  <c r="C48" i="10"/>
  <c r="H47" i="10"/>
  <c r="C47" i="10"/>
  <c r="H46" i="10"/>
  <c r="C46" i="10"/>
  <c r="H45" i="10"/>
  <c r="C45" i="10"/>
  <c r="H44" i="10"/>
  <c r="H51" i="10" s="1"/>
  <c r="C44" i="10"/>
  <c r="H41" i="10"/>
  <c r="H40" i="10"/>
  <c r="C40" i="10"/>
  <c r="H39" i="10"/>
  <c r="C39" i="10"/>
  <c r="H38" i="10"/>
  <c r="C38" i="10"/>
  <c r="H37" i="10"/>
  <c r="C37" i="10"/>
  <c r="H36" i="10"/>
  <c r="C36" i="10"/>
  <c r="H35" i="10"/>
  <c r="C35" i="10"/>
  <c r="H34" i="10"/>
  <c r="C34" i="10"/>
  <c r="H30" i="10"/>
  <c r="C30" i="10"/>
  <c r="H29" i="10"/>
  <c r="C29" i="10"/>
  <c r="H28" i="10"/>
  <c r="C28" i="10"/>
  <c r="H27" i="10"/>
  <c r="C27" i="10"/>
  <c r="H26" i="10"/>
  <c r="C26" i="10"/>
  <c r="H25" i="10"/>
  <c r="C25" i="10"/>
  <c r="H24" i="10"/>
  <c r="H31" i="10" s="1"/>
  <c r="C24" i="10"/>
  <c r="H21" i="10"/>
  <c r="H20" i="10"/>
  <c r="C20" i="10"/>
  <c r="H19" i="10"/>
  <c r="C19" i="10"/>
  <c r="H18" i="10"/>
  <c r="C18" i="10"/>
  <c r="H17" i="10"/>
  <c r="C17" i="10"/>
  <c r="H16" i="10"/>
  <c r="C16" i="10"/>
  <c r="H15" i="10"/>
  <c r="C15" i="10"/>
  <c r="H14" i="10"/>
  <c r="C14" i="10"/>
  <c r="H70" i="9"/>
  <c r="C70" i="9"/>
  <c r="H69" i="9"/>
  <c r="C69" i="9"/>
  <c r="H68" i="9"/>
  <c r="C68" i="9"/>
  <c r="H67" i="9"/>
  <c r="C67" i="9"/>
  <c r="H66" i="9"/>
  <c r="C66" i="9"/>
  <c r="H65" i="9"/>
  <c r="C65" i="9"/>
  <c r="H64" i="9"/>
  <c r="H71" i="9" s="1"/>
  <c r="C64" i="9"/>
  <c r="H60" i="9"/>
  <c r="C60" i="9"/>
  <c r="H59" i="9"/>
  <c r="C59" i="9"/>
  <c r="H58" i="9"/>
  <c r="C58" i="9"/>
  <c r="H57" i="9"/>
  <c r="C57" i="9"/>
  <c r="H56" i="9"/>
  <c r="C56" i="9"/>
  <c r="H55" i="9"/>
  <c r="C55" i="9"/>
  <c r="H54" i="9"/>
  <c r="C54" i="9"/>
  <c r="H51" i="9"/>
  <c r="H50" i="9"/>
  <c r="C50" i="9"/>
  <c r="H49" i="9"/>
  <c r="C49" i="9"/>
  <c r="H48" i="9"/>
  <c r="C48" i="9"/>
  <c r="H47" i="9"/>
  <c r="C47" i="9"/>
  <c r="H46" i="9"/>
  <c r="C46" i="9"/>
  <c r="H45" i="9"/>
  <c r="C45" i="9"/>
  <c r="H44" i="9"/>
  <c r="C44" i="9"/>
  <c r="H40" i="9"/>
  <c r="C40" i="9"/>
  <c r="H39" i="9"/>
  <c r="C39" i="9"/>
  <c r="H38" i="9"/>
  <c r="C38" i="9"/>
  <c r="H37" i="9"/>
  <c r="C37" i="9"/>
  <c r="H36" i="9"/>
  <c r="C36" i="9"/>
  <c r="H35" i="9"/>
  <c r="C35" i="9"/>
  <c r="H34" i="9"/>
  <c r="H41" i="9" s="1"/>
  <c r="C34" i="9"/>
  <c r="H30" i="9"/>
  <c r="C30" i="9"/>
  <c r="H29" i="9"/>
  <c r="C29" i="9"/>
  <c r="H28" i="9"/>
  <c r="C28" i="9"/>
  <c r="H27" i="9"/>
  <c r="C27" i="9"/>
  <c r="H26" i="9"/>
  <c r="C26" i="9"/>
  <c r="H25" i="9"/>
  <c r="C25" i="9"/>
  <c r="H24" i="9"/>
  <c r="H31" i="9" s="1"/>
  <c r="C24" i="9"/>
  <c r="H20" i="9"/>
  <c r="C20" i="9"/>
  <c r="H19" i="9"/>
  <c r="C19" i="9"/>
  <c r="H18" i="9"/>
  <c r="C18" i="9"/>
  <c r="H17" i="9"/>
  <c r="C17" i="9"/>
  <c r="H16" i="9"/>
  <c r="C16" i="9"/>
  <c r="H15" i="9"/>
  <c r="C15" i="9"/>
  <c r="H14" i="9"/>
  <c r="H21" i="9" s="1"/>
  <c r="C14" i="9"/>
  <c r="H70" i="8"/>
  <c r="C70" i="8"/>
  <c r="H69" i="8"/>
  <c r="C69" i="8"/>
  <c r="H68" i="8"/>
  <c r="C68" i="8"/>
  <c r="H67" i="8"/>
  <c r="C67" i="8"/>
  <c r="H66" i="8"/>
  <c r="C66" i="8"/>
  <c r="H65" i="8"/>
  <c r="C65" i="8"/>
  <c r="H64" i="8"/>
  <c r="H71" i="8" s="1"/>
  <c r="C64" i="8"/>
  <c r="H60" i="8"/>
  <c r="C60" i="8"/>
  <c r="H59" i="8"/>
  <c r="C59" i="8"/>
  <c r="H58" i="8"/>
  <c r="C58" i="8"/>
  <c r="H57" i="8"/>
  <c r="H61" i="8" s="1"/>
  <c r="C57" i="8"/>
  <c r="H56" i="8"/>
  <c r="C56" i="8"/>
  <c r="H55" i="8"/>
  <c r="C55" i="8"/>
  <c r="H54" i="8"/>
  <c r="C54" i="8"/>
  <c r="H50" i="8"/>
  <c r="C50" i="8"/>
  <c r="H49" i="8"/>
  <c r="C49" i="8"/>
  <c r="H48" i="8"/>
  <c r="C48" i="8"/>
  <c r="H47" i="8"/>
  <c r="C47" i="8"/>
  <c r="H46" i="8"/>
  <c r="C46" i="8"/>
  <c r="H45" i="8"/>
  <c r="C45" i="8"/>
  <c r="H44" i="8"/>
  <c r="H51" i="8" s="1"/>
  <c r="C44" i="8"/>
  <c r="H40" i="8"/>
  <c r="C40" i="8"/>
  <c r="H39" i="8"/>
  <c r="C39" i="8"/>
  <c r="H38" i="8"/>
  <c r="C38" i="8"/>
  <c r="H37" i="8"/>
  <c r="C37" i="8"/>
  <c r="H36" i="8"/>
  <c r="C36" i="8"/>
  <c r="H35" i="8"/>
  <c r="C35" i="8"/>
  <c r="H34" i="8"/>
  <c r="H41" i="8" s="1"/>
  <c r="C34" i="8"/>
  <c r="H30" i="8"/>
  <c r="C30" i="8"/>
  <c r="H29" i="8"/>
  <c r="C29" i="8"/>
  <c r="H28" i="8"/>
  <c r="C28" i="8"/>
  <c r="H27" i="8"/>
  <c r="C27" i="8"/>
  <c r="H26" i="8"/>
  <c r="C26" i="8"/>
  <c r="H25" i="8"/>
  <c r="C25" i="8"/>
  <c r="H24" i="8"/>
  <c r="H31" i="8" s="1"/>
  <c r="C24" i="8"/>
  <c r="H21" i="8"/>
  <c r="H20" i="8"/>
  <c r="C20" i="8"/>
  <c r="H19" i="8"/>
  <c r="C19" i="8"/>
  <c r="H18" i="8"/>
  <c r="C18" i="8"/>
  <c r="H17" i="8"/>
  <c r="C17" i="8"/>
  <c r="H16" i="8"/>
  <c r="C16" i="8"/>
  <c r="H15" i="8"/>
  <c r="C15" i="8"/>
  <c r="H14" i="8"/>
  <c r="C14" i="8"/>
  <c r="H70" i="7"/>
  <c r="C70" i="7"/>
  <c r="H69" i="7"/>
  <c r="C69" i="7"/>
  <c r="H68" i="7"/>
  <c r="C68" i="7"/>
  <c r="H67" i="7"/>
  <c r="C67" i="7"/>
  <c r="H66" i="7"/>
  <c r="C66" i="7"/>
  <c r="H65" i="7"/>
  <c r="C65" i="7"/>
  <c r="H64" i="7"/>
  <c r="H71" i="7" s="1"/>
  <c r="C64" i="7"/>
  <c r="H60" i="7"/>
  <c r="C60" i="7"/>
  <c r="H59" i="7"/>
  <c r="C59" i="7"/>
  <c r="H58" i="7"/>
  <c r="C58" i="7"/>
  <c r="H57" i="7"/>
  <c r="C57" i="7"/>
  <c r="H56" i="7"/>
  <c r="C56" i="7"/>
  <c r="H55" i="7"/>
  <c r="C55" i="7"/>
  <c r="H54" i="7"/>
  <c r="C54" i="7"/>
  <c r="H51" i="7"/>
  <c r="H50" i="7"/>
  <c r="C50" i="7"/>
  <c r="H49" i="7"/>
  <c r="C49" i="7"/>
  <c r="H48" i="7"/>
  <c r="C48" i="7"/>
  <c r="H47" i="7"/>
  <c r="C47" i="7"/>
  <c r="H46" i="7"/>
  <c r="C46" i="7"/>
  <c r="H45" i="7"/>
  <c r="C45" i="7"/>
  <c r="H44" i="7"/>
  <c r="C44" i="7"/>
  <c r="H40" i="7"/>
  <c r="C40" i="7"/>
  <c r="H39" i="7"/>
  <c r="C39" i="7"/>
  <c r="H38" i="7"/>
  <c r="C38" i="7"/>
  <c r="H37" i="7"/>
  <c r="C37" i="7"/>
  <c r="H36" i="7"/>
  <c r="C36" i="7"/>
  <c r="H35" i="7"/>
  <c r="C35" i="7"/>
  <c r="H34" i="7"/>
  <c r="H41" i="7" s="1"/>
  <c r="C34" i="7"/>
  <c r="H30" i="7"/>
  <c r="C30" i="7"/>
  <c r="H29" i="7"/>
  <c r="C29" i="7"/>
  <c r="H28" i="7"/>
  <c r="C28" i="7"/>
  <c r="H27" i="7"/>
  <c r="C27" i="7"/>
  <c r="H26" i="7"/>
  <c r="C26" i="7"/>
  <c r="H25" i="7"/>
  <c r="C25" i="7"/>
  <c r="H24" i="7"/>
  <c r="H31" i="7" s="1"/>
  <c r="C24" i="7"/>
  <c r="H20" i="7"/>
  <c r="C20" i="7"/>
  <c r="H19" i="7"/>
  <c r="C19" i="7"/>
  <c r="H18" i="7"/>
  <c r="C18" i="7"/>
  <c r="H17" i="7"/>
  <c r="C17" i="7"/>
  <c r="H16" i="7"/>
  <c r="C16" i="7"/>
  <c r="H15" i="7"/>
  <c r="C15" i="7"/>
  <c r="H14" i="7"/>
  <c r="H21" i="7" s="1"/>
  <c r="C14" i="7"/>
  <c r="H70" i="6"/>
  <c r="C70" i="6"/>
  <c r="H69" i="6"/>
  <c r="C69" i="6"/>
  <c r="H68" i="6"/>
  <c r="C68" i="6"/>
  <c r="H67" i="6"/>
  <c r="C67" i="6"/>
  <c r="H66" i="6"/>
  <c r="C66" i="6"/>
  <c r="H65" i="6"/>
  <c r="C65" i="6"/>
  <c r="H64" i="6"/>
  <c r="C64" i="6"/>
  <c r="H60" i="6"/>
  <c r="C60" i="6"/>
  <c r="H59" i="6"/>
  <c r="C59" i="6"/>
  <c r="H58" i="6"/>
  <c r="C58" i="6"/>
  <c r="H57" i="6"/>
  <c r="C57" i="6"/>
  <c r="H56" i="6"/>
  <c r="C56" i="6"/>
  <c r="H55" i="6"/>
  <c r="C55" i="6"/>
  <c r="H54" i="6"/>
  <c r="H61" i="6" s="1"/>
  <c r="C54" i="6"/>
  <c r="H51" i="6"/>
  <c r="H50" i="6"/>
  <c r="C50" i="6"/>
  <c r="H49" i="6"/>
  <c r="C49" i="6"/>
  <c r="H48" i="6"/>
  <c r="C48" i="6"/>
  <c r="H47" i="6"/>
  <c r="C47" i="6"/>
  <c r="H46" i="6"/>
  <c r="C46" i="6"/>
  <c r="H45" i="6"/>
  <c r="C45" i="6"/>
  <c r="H44" i="6"/>
  <c r="C44" i="6"/>
  <c r="H40" i="6"/>
  <c r="C40" i="6"/>
  <c r="H39" i="6"/>
  <c r="C39" i="6"/>
  <c r="H38" i="6"/>
  <c r="C38" i="6"/>
  <c r="H37" i="6"/>
  <c r="C37" i="6"/>
  <c r="H36" i="6"/>
  <c r="C36" i="6"/>
  <c r="H35" i="6"/>
  <c r="C35" i="6"/>
  <c r="H34" i="6"/>
  <c r="H41" i="6" s="1"/>
  <c r="C34" i="6"/>
  <c r="H30" i="6"/>
  <c r="C30" i="6"/>
  <c r="H29" i="6"/>
  <c r="C29" i="6"/>
  <c r="H28" i="6"/>
  <c r="C28" i="6"/>
  <c r="H27" i="6"/>
  <c r="C27" i="6"/>
  <c r="H26" i="6"/>
  <c r="C26" i="6"/>
  <c r="H25" i="6"/>
  <c r="C25" i="6"/>
  <c r="H24" i="6"/>
  <c r="H31" i="6" s="1"/>
  <c r="C24" i="6"/>
  <c r="H20" i="6"/>
  <c r="C20" i="6"/>
  <c r="H19" i="6"/>
  <c r="C19" i="6"/>
  <c r="H18" i="6"/>
  <c r="C18" i="6"/>
  <c r="H17" i="6"/>
  <c r="C17" i="6"/>
  <c r="H16" i="6"/>
  <c r="C16" i="6"/>
  <c r="H15" i="6"/>
  <c r="C15" i="6"/>
  <c r="H14" i="6"/>
  <c r="H21" i="6" s="1"/>
  <c r="C14" i="6"/>
  <c r="H71" i="5"/>
  <c r="H70" i="5"/>
  <c r="C70" i="5"/>
  <c r="H69" i="5"/>
  <c r="C69" i="5"/>
  <c r="H68" i="5"/>
  <c r="C68" i="5"/>
  <c r="H67" i="5"/>
  <c r="C67" i="5"/>
  <c r="H66" i="5"/>
  <c r="C66" i="5"/>
  <c r="H65" i="5"/>
  <c r="C65" i="5"/>
  <c r="H64" i="5"/>
  <c r="C64" i="5"/>
  <c r="H60" i="5"/>
  <c r="C60" i="5"/>
  <c r="H59" i="5"/>
  <c r="C59" i="5"/>
  <c r="H58" i="5"/>
  <c r="C58" i="5"/>
  <c r="H57" i="5"/>
  <c r="C57" i="5"/>
  <c r="H56" i="5"/>
  <c r="C56" i="5"/>
  <c r="H55" i="5"/>
  <c r="C55" i="5"/>
  <c r="H54" i="5"/>
  <c r="H61" i="5" s="1"/>
  <c r="C54" i="5"/>
  <c r="H50" i="5"/>
  <c r="C50" i="5"/>
  <c r="H49" i="5"/>
  <c r="C49" i="5"/>
  <c r="H48" i="5"/>
  <c r="C48" i="5"/>
  <c r="H47" i="5"/>
  <c r="C47" i="5"/>
  <c r="H46" i="5"/>
  <c r="C46" i="5"/>
  <c r="H45" i="5"/>
  <c r="C45" i="5"/>
  <c r="H44" i="5"/>
  <c r="H51" i="5" s="1"/>
  <c r="C44" i="5"/>
  <c r="H40" i="5"/>
  <c r="C40" i="5"/>
  <c r="H39" i="5"/>
  <c r="C39" i="5"/>
  <c r="H38" i="5"/>
  <c r="C38" i="5"/>
  <c r="H37" i="5"/>
  <c r="C37" i="5"/>
  <c r="H36" i="5"/>
  <c r="C36" i="5"/>
  <c r="H35" i="5"/>
  <c r="C35" i="5"/>
  <c r="H34" i="5"/>
  <c r="H41" i="5" s="1"/>
  <c r="C34" i="5"/>
  <c r="H31" i="5"/>
  <c r="H30" i="5"/>
  <c r="C30" i="5"/>
  <c r="H29" i="5"/>
  <c r="C29" i="5"/>
  <c r="H28" i="5"/>
  <c r="C28" i="5"/>
  <c r="H27" i="5"/>
  <c r="C27" i="5"/>
  <c r="H26" i="5"/>
  <c r="C26" i="5"/>
  <c r="H25" i="5"/>
  <c r="C25" i="5"/>
  <c r="H24" i="5"/>
  <c r="C24" i="5"/>
  <c r="H20" i="5"/>
  <c r="C20" i="5"/>
  <c r="H19" i="5"/>
  <c r="C19" i="5"/>
  <c r="H18" i="5"/>
  <c r="C18" i="5"/>
  <c r="H17" i="5"/>
  <c r="C17" i="5"/>
  <c r="H16" i="5"/>
  <c r="C16" i="5"/>
  <c r="H15" i="5"/>
  <c r="C15" i="5"/>
  <c r="H14" i="5"/>
  <c r="H21" i="5" s="1"/>
  <c r="C14" i="5"/>
  <c r="H70" i="4"/>
  <c r="C70" i="4"/>
  <c r="H69" i="4"/>
  <c r="C69" i="4"/>
  <c r="H68" i="4"/>
  <c r="C68" i="4"/>
  <c r="H67" i="4"/>
  <c r="C67" i="4"/>
  <c r="H66" i="4"/>
  <c r="C66" i="4"/>
  <c r="H65" i="4"/>
  <c r="C65" i="4"/>
  <c r="H64" i="4"/>
  <c r="C64" i="4"/>
  <c r="H60" i="4"/>
  <c r="C60" i="4"/>
  <c r="H59" i="4"/>
  <c r="C59" i="4"/>
  <c r="H58" i="4"/>
  <c r="C58" i="4"/>
  <c r="H57" i="4"/>
  <c r="C57" i="4"/>
  <c r="H56" i="4"/>
  <c r="C56" i="4"/>
  <c r="H55" i="4"/>
  <c r="C55" i="4"/>
  <c r="H54" i="4"/>
  <c r="C54" i="4"/>
  <c r="H51" i="4"/>
  <c r="H50" i="4"/>
  <c r="C50" i="4"/>
  <c r="H49" i="4"/>
  <c r="C49" i="4"/>
  <c r="H48" i="4"/>
  <c r="C48" i="4"/>
  <c r="H47" i="4"/>
  <c r="C47" i="4"/>
  <c r="H46" i="4"/>
  <c r="C46" i="4"/>
  <c r="H45" i="4"/>
  <c r="C45" i="4"/>
  <c r="H44" i="4"/>
  <c r="C44" i="4"/>
  <c r="H40" i="4"/>
  <c r="C40" i="4"/>
  <c r="H39" i="4"/>
  <c r="C39" i="4"/>
  <c r="H38" i="4"/>
  <c r="C38" i="4"/>
  <c r="H37" i="4"/>
  <c r="C37" i="4"/>
  <c r="H36" i="4"/>
  <c r="C36" i="4"/>
  <c r="H35" i="4"/>
  <c r="C35" i="4"/>
  <c r="H34" i="4"/>
  <c r="H41" i="4" s="1"/>
  <c r="C34" i="4"/>
  <c r="H30" i="4"/>
  <c r="C30" i="4"/>
  <c r="H29" i="4"/>
  <c r="C29" i="4"/>
  <c r="H28" i="4"/>
  <c r="C28" i="4"/>
  <c r="H27" i="4"/>
  <c r="C27" i="4"/>
  <c r="H26" i="4"/>
  <c r="C26" i="4"/>
  <c r="H25" i="4"/>
  <c r="C25" i="4"/>
  <c r="H24" i="4"/>
  <c r="H31" i="4" s="1"/>
  <c r="C24" i="4"/>
  <c r="H20" i="4"/>
  <c r="C20" i="4"/>
  <c r="H19" i="4"/>
  <c r="C19" i="4"/>
  <c r="H18" i="4"/>
  <c r="C18" i="4"/>
  <c r="H17" i="4"/>
  <c r="C17" i="4"/>
  <c r="H16" i="4"/>
  <c r="C16" i="4"/>
  <c r="H15" i="4"/>
  <c r="C15" i="4"/>
  <c r="H14" i="4"/>
  <c r="H21" i="4" s="1"/>
  <c r="C14" i="4"/>
  <c r="H70" i="3"/>
  <c r="C70" i="3"/>
  <c r="H69" i="3"/>
  <c r="C69" i="3"/>
  <c r="H68" i="3"/>
  <c r="C68" i="3"/>
  <c r="H67" i="3"/>
  <c r="C67" i="3"/>
  <c r="H66" i="3"/>
  <c r="C66" i="3"/>
  <c r="H65" i="3"/>
  <c r="C65" i="3"/>
  <c r="H64" i="3"/>
  <c r="H71" i="3" s="1"/>
  <c r="C64" i="3"/>
  <c r="H60" i="3"/>
  <c r="C60" i="3"/>
  <c r="H59" i="3"/>
  <c r="C59" i="3"/>
  <c r="H58" i="3"/>
  <c r="C58" i="3"/>
  <c r="H57" i="3"/>
  <c r="C57" i="3"/>
  <c r="H56" i="3"/>
  <c r="C56" i="3"/>
  <c r="H55" i="3"/>
  <c r="C55" i="3"/>
  <c r="H54" i="3"/>
  <c r="H61" i="3" s="1"/>
  <c r="C54" i="3"/>
  <c r="H50" i="3"/>
  <c r="C50" i="3"/>
  <c r="H49" i="3"/>
  <c r="C49" i="3"/>
  <c r="H48" i="3"/>
  <c r="C48" i="3"/>
  <c r="H47" i="3"/>
  <c r="C47" i="3"/>
  <c r="H46" i="3"/>
  <c r="C46" i="3"/>
  <c r="H45" i="3"/>
  <c r="C45" i="3"/>
  <c r="H44" i="3"/>
  <c r="H51" i="3" s="1"/>
  <c r="C44" i="3"/>
  <c r="H40" i="3"/>
  <c r="C40" i="3"/>
  <c r="H39" i="3"/>
  <c r="C39" i="3"/>
  <c r="H38" i="3"/>
  <c r="C38" i="3"/>
  <c r="H37" i="3"/>
  <c r="C37" i="3"/>
  <c r="H36" i="3"/>
  <c r="C36" i="3"/>
  <c r="H35" i="3"/>
  <c r="C35" i="3"/>
  <c r="H34" i="3"/>
  <c r="H41" i="3" s="1"/>
  <c r="C34" i="3"/>
  <c r="H30" i="3"/>
  <c r="C30" i="3"/>
  <c r="H29" i="3"/>
  <c r="C29" i="3"/>
  <c r="H28" i="3"/>
  <c r="C28" i="3"/>
  <c r="H27" i="3"/>
  <c r="C27" i="3"/>
  <c r="H26" i="3"/>
  <c r="C26" i="3"/>
  <c r="H25" i="3"/>
  <c r="C25" i="3"/>
  <c r="H24" i="3"/>
  <c r="H31" i="3" s="1"/>
  <c r="C24" i="3"/>
  <c r="H20" i="3"/>
  <c r="C20" i="3"/>
  <c r="H19" i="3"/>
  <c r="C19" i="3"/>
  <c r="H18" i="3"/>
  <c r="C18" i="3"/>
  <c r="H17" i="3"/>
  <c r="C17" i="3"/>
  <c r="H16" i="3"/>
  <c r="C16" i="3"/>
  <c r="H15" i="3"/>
  <c r="C15" i="3"/>
  <c r="H14" i="3"/>
  <c r="H21" i="3" s="1"/>
  <c r="C14" i="3"/>
  <c r="H70" i="2"/>
  <c r="C70" i="2"/>
  <c r="H69" i="2"/>
  <c r="C69" i="2"/>
  <c r="H68" i="2"/>
  <c r="C68" i="2"/>
  <c r="H67" i="2"/>
  <c r="C67" i="2"/>
  <c r="H66" i="2"/>
  <c r="C66" i="2"/>
  <c r="H65" i="2"/>
  <c r="C65" i="2"/>
  <c r="H64" i="2"/>
  <c r="H71" i="2" s="1"/>
  <c r="C64" i="2"/>
  <c r="H60" i="2"/>
  <c r="C60" i="2"/>
  <c r="H59" i="2"/>
  <c r="C59" i="2"/>
  <c r="H58" i="2"/>
  <c r="C58" i="2"/>
  <c r="H57" i="2"/>
  <c r="C57" i="2"/>
  <c r="H56" i="2"/>
  <c r="C56" i="2"/>
  <c r="H55" i="2"/>
  <c r="C55" i="2"/>
  <c r="H54" i="2"/>
  <c r="C54" i="2"/>
  <c r="H51" i="2"/>
  <c r="H50" i="2"/>
  <c r="C50" i="2"/>
  <c r="H49" i="2"/>
  <c r="C49" i="2"/>
  <c r="H48" i="2"/>
  <c r="C48" i="2"/>
  <c r="H47" i="2"/>
  <c r="C47" i="2"/>
  <c r="H46" i="2"/>
  <c r="C46" i="2"/>
  <c r="H45" i="2"/>
  <c r="C45" i="2"/>
  <c r="H44" i="2"/>
  <c r="C44" i="2"/>
  <c r="H40" i="2"/>
  <c r="C40" i="2"/>
  <c r="H39" i="2"/>
  <c r="C39" i="2"/>
  <c r="H38" i="2"/>
  <c r="C38" i="2"/>
  <c r="H37" i="2"/>
  <c r="C37" i="2"/>
  <c r="H36" i="2"/>
  <c r="C36" i="2"/>
  <c r="H35" i="2"/>
  <c r="C35" i="2"/>
  <c r="H34" i="2"/>
  <c r="H41" i="2" s="1"/>
  <c r="C34" i="2"/>
  <c r="H30" i="2"/>
  <c r="C30" i="2"/>
  <c r="H29" i="2"/>
  <c r="C29" i="2"/>
  <c r="H28" i="2"/>
  <c r="C28" i="2"/>
  <c r="H27" i="2"/>
  <c r="C27" i="2"/>
  <c r="H26" i="2"/>
  <c r="C26" i="2"/>
  <c r="H25" i="2"/>
  <c r="C25" i="2"/>
  <c r="H24" i="2"/>
  <c r="H31" i="2" s="1"/>
  <c r="C24" i="2"/>
  <c r="H20" i="2"/>
  <c r="C20" i="2"/>
  <c r="H19" i="2"/>
  <c r="C19" i="2"/>
  <c r="H18" i="2"/>
  <c r="C18" i="2"/>
  <c r="H17" i="2"/>
  <c r="C17" i="2"/>
  <c r="H16" i="2"/>
  <c r="C16" i="2"/>
  <c r="H15" i="2"/>
  <c r="C15" i="2"/>
  <c r="H14" i="2"/>
  <c r="H21" i="2" s="1"/>
  <c r="C14" i="2"/>
  <c r="H71" i="30" l="1"/>
  <c r="H71" i="29"/>
  <c r="H61" i="29"/>
  <c r="H71" i="28"/>
  <c r="H61" i="27"/>
  <c r="H61" i="25"/>
  <c r="H71" i="24"/>
  <c r="H71" i="23"/>
  <c r="H71" i="20"/>
  <c r="H71" i="17"/>
  <c r="H71" i="16"/>
  <c r="H61" i="15"/>
  <c r="H71" i="14"/>
  <c r="H61" i="12"/>
  <c r="H71" i="11"/>
  <c r="H61" i="11"/>
  <c r="H61" i="9"/>
  <c r="H61" i="7"/>
  <c r="H71" i="6"/>
  <c r="H71" i="4"/>
  <c r="H61" i="4"/>
  <c r="H61" i="2"/>
  <c r="L70" i="31"/>
  <c r="K70" i="31"/>
  <c r="J70" i="31"/>
  <c r="I70" i="31"/>
  <c r="H70" i="31"/>
  <c r="C70" i="31"/>
  <c r="L69" i="31"/>
  <c r="K69" i="31"/>
  <c r="J69" i="31"/>
  <c r="I69" i="31"/>
  <c r="H69" i="31"/>
  <c r="C69" i="31"/>
  <c r="L68" i="31"/>
  <c r="K68" i="31"/>
  <c r="J68" i="31"/>
  <c r="I68" i="31"/>
  <c r="H68" i="31"/>
  <c r="C68" i="31"/>
  <c r="L67" i="31"/>
  <c r="K67" i="31"/>
  <c r="J67" i="31"/>
  <c r="I67" i="31"/>
  <c r="H67" i="31"/>
  <c r="C67" i="31"/>
  <c r="L66" i="31"/>
  <c r="K66" i="31"/>
  <c r="J66" i="31"/>
  <c r="I66" i="31"/>
  <c r="H66" i="31"/>
  <c r="C66" i="31"/>
  <c r="L65" i="31"/>
  <c r="K65" i="31"/>
  <c r="J65" i="31"/>
  <c r="I65" i="31"/>
  <c r="H65" i="31"/>
  <c r="C65" i="31"/>
  <c r="L64" i="31"/>
  <c r="K64" i="31"/>
  <c r="J64" i="31"/>
  <c r="J71" i="31" s="1"/>
  <c r="I64" i="31"/>
  <c r="H64" i="31"/>
  <c r="C64" i="31"/>
  <c r="L60" i="31"/>
  <c r="K60" i="31"/>
  <c r="J60" i="31"/>
  <c r="I60" i="31"/>
  <c r="H60" i="31"/>
  <c r="C60" i="31"/>
  <c r="L59" i="31"/>
  <c r="K59" i="31"/>
  <c r="J59" i="31"/>
  <c r="I59" i="31"/>
  <c r="H59" i="31"/>
  <c r="C59" i="31"/>
  <c r="L58" i="31"/>
  <c r="I58" i="31"/>
  <c r="H58" i="31"/>
  <c r="J58" i="31" s="1"/>
  <c r="C58" i="31"/>
  <c r="L57" i="31"/>
  <c r="I57" i="31"/>
  <c r="H57" i="31"/>
  <c r="J57" i="31" s="1"/>
  <c r="C57" i="31"/>
  <c r="L56" i="31"/>
  <c r="K56" i="31"/>
  <c r="J56" i="31"/>
  <c r="I56" i="31"/>
  <c r="H56" i="31"/>
  <c r="C56" i="31"/>
  <c r="L55" i="31"/>
  <c r="I55" i="31"/>
  <c r="H55" i="31"/>
  <c r="J55" i="31" s="1"/>
  <c r="C55" i="31"/>
  <c r="L54" i="31"/>
  <c r="I54" i="31"/>
  <c r="H54" i="31"/>
  <c r="C54" i="31"/>
  <c r="L50" i="31"/>
  <c r="K50" i="31"/>
  <c r="J50" i="31"/>
  <c r="I50" i="31"/>
  <c r="H50" i="31"/>
  <c r="C50" i="31"/>
  <c r="L49" i="31"/>
  <c r="I49" i="31"/>
  <c r="H49" i="31"/>
  <c r="J49" i="31" s="1"/>
  <c r="C49" i="31"/>
  <c r="L48" i="31"/>
  <c r="J48" i="31"/>
  <c r="I48" i="31"/>
  <c r="H48" i="31"/>
  <c r="K48" i="31" s="1"/>
  <c r="C48" i="31"/>
  <c r="L47" i="31"/>
  <c r="K47" i="31"/>
  <c r="I47" i="31"/>
  <c r="H47" i="31"/>
  <c r="J47" i="31" s="1"/>
  <c r="C47" i="31"/>
  <c r="L46" i="31"/>
  <c r="I46" i="31"/>
  <c r="H46" i="31"/>
  <c r="K46" i="31" s="1"/>
  <c r="C46" i="31"/>
  <c r="L45" i="31"/>
  <c r="I45" i="31"/>
  <c r="H45" i="31"/>
  <c r="J45" i="31" s="1"/>
  <c r="C45" i="31"/>
  <c r="L44" i="31"/>
  <c r="J44" i="31"/>
  <c r="I44" i="31"/>
  <c r="H44" i="31"/>
  <c r="K44" i="31" s="1"/>
  <c r="C44" i="31"/>
  <c r="L40" i="31"/>
  <c r="K40" i="31"/>
  <c r="J40" i="31"/>
  <c r="I40" i="31"/>
  <c r="H40" i="31"/>
  <c r="C40" i="31"/>
  <c r="L39" i="31"/>
  <c r="K39" i="31"/>
  <c r="J39" i="31"/>
  <c r="I39" i="31"/>
  <c r="H39" i="31"/>
  <c r="C39" i="31"/>
  <c r="L38" i="31"/>
  <c r="I38" i="31"/>
  <c r="H38" i="31"/>
  <c r="J38" i="31" s="1"/>
  <c r="C38" i="31"/>
  <c r="L37" i="31"/>
  <c r="K37" i="31"/>
  <c r="I37" i="31"/>
  <c r="H37" i="31"/>
  <c r="J37" i="31" s="1"/>
  <c r="C37" i="31"/>
  <c r="L36" i="31"/>
  <c r="I36" i="31"/>
  <c r="H36" i="31"/>
  <c r="J36" i="31" s="1"/>
  <c r="C36" i="31"/>
  <c r="L35" i="31"/>
  <c r="J35" i="31"/>
  <c r="I35" i="31"/>
  <c r="H35" i="31"/>
  <c r="K35" i="31" s="1"/>
  <c r="C35" i="31"/>
  <c r="L34" i="31"/>
  <c r="I34" i="31"/>
  <c r="H34" i="31"/>
  <c r="J34" i="31" s="1"/>
  <c r="C34" i="31"/>
  <c r="L30" i="31"/>
  <c r="K30" i="31"/>
  <c r="J30" i="31"/>
  <c r="I30" i="31"/>
  <c r="H30" i="31"/>
  <c r="C30" i="31"/>
  <c r="L29" i="31"/>
  <c r="I29" i="31"/>
  <c r="H29" i="31"/>
  <c r="K29" i="31" s="1"/>
  <c r="C29" i="31"/>
  <c r="L28" i="31"/>
  <c r="K28" i="31"/>
  <c r="I28" i="31"/>
  <c r="H28" i="31"/>
  <c r="J28" i="31" s="1"/>
  <c r="C28" i="31"/>
  <c r="L27" i="31"/>
  <c r="J27" i="31"/>
  <c r="I27" i="31"/>
  <c r="H27" i="31"/>
  <c r="K27" i="31" s="1"/>
  <c r="C27" i="31"/>
  <c r="L26" i="31"/>
  <c r="I26" i="31"/>
  <c r="H26" i="31"/>
  <c r="J26" i="31" s="1"/>
  <c r="C26" i="31"/>
  <c r="L25" i="31"/>
  <c r="I25" i="31"/>
  <c r="H25" i="31"/>
  <c r="K25" i="31" s="1"/>
  <c r="C25" i="31"/>
  <c r="L24" i="31"/>
  <c r="K24" i="31"/>
  <c r="I24" i="31"/>
  <c r="H24" i="31"/>
  <c r="C24" i="31"/>
  <c r="L20" i="31"/>
  <c r="K20" i="31"/>
  <c r="J20" i="31"/>
  <c r="I20" i="31"/>
  <c r="H20" i="31"/>
  <c r="C20" i="31"/>
  <c r="L19" i="31"/>
  <c r="I19" i="31"/>
  <c r="H19" i="31"/>
  <c r="J19" i="31" s="1"/>
  <c r="C19" i="31"/>
  <c r="L18" i="31"/>
  <c r="K18" i="31"/>
  <c r="I18" i="31"/>
  <c r="H18" i="31"/>
  <c r="J18" i="31" s="1"/>
  <c r="C18" i="31"/>
  <c r="L17" i="31"/>
  <c r="I17" i="31"/>
  <c r="H17" i="31"/>
  <c r="J17" i="31" s="1"/>
  <c r="C17" i="31"/>
  <c r="L16" i="31"/>
  <c r="I16" i="31"/>
  <c r="H16" i="31"/>
  <c r="J16" i="31" s="1"/>
  <c r="C16" i="31"/>
  <c r="L15" i="31"/>
  <c r="I15" i="31"/>
  <c r="H15" i="31"/>
  <c r="K15" i="31" s="1"/>
  <c r="C15" i="31"/>
  <c r="L14" i="31"/>
  <c r="K14" i="31"/>
  <c r="J14" i="31"/>
  <c r="I14" i="31"/>
  <c r="H14" i="31"/>
  <c r="C14" i="31"/>
  <c r="L70" i="30"/>
  <c r="K70" i="30"/>
  <c r="J70" i="30"/>
  <c r="I70" i="30"/>
  <c r="L69" i="30"/>
  <c r="K69" i="30"/>
  <c r="J69" i="30"/>
  <c r="I69" i="30"/>
  <c r="L68" i="30"/>
  <c r="K68" i="30"/>
  <c r="J68" i="30"/>
  <c r="I68" i="30"/>
  <c r="L67" i="30"/>
  <c r="K67" i="30"/>
  <c r="J67" i="30"/>
  <c r="I67" i="30"/>
  <c r="L66" i="30"/>
  <c r="K66" i="30"/>
  <c r="J66" i="30"/>
  <c r="I66" i="30"/>
  <c r="L65" i="30"/>
  <c r="K65" i="30"/>
  <c r="J65" i="30"/>
  <c r="I65" i="30"/>
  <c r="L64" i="30"/>
  <c r="K64" i="30"/>
  <c r="K71" i="30" s="1"/>
  <c r="J64" i="30"/>
  <c r="J71" i="30" s="1"/>
  <c r="I64" i="30"/>
  <c r="L60" i="30"/>
  <c r="K60" i="30"/>
  <c r="J60" i="30"/>
  <c r="I60" i="30"/>
  <c r="L59" i="30"/>
  <c r="K59" i="30"/>
  <c r="J59" i="30"/>
  <c r="I59" i="30"/>
  <c r="L58" i="30"/>
  <c r="K58" i="30"/>
  <c r="I58" i="30"/>
  <c r="J58" i="30"/>
  <c r="L57" i="30"/>
  <c r="K57" i="30"/>
  <c r="I57" i="30"/>
  <c r="J57" i="30"/>
  <c r="L56" i="30"/>
  <c r="K56" i="30"/>
  <c r="I56" i="30"/>
  <c r="J56" i="30"/>
  <c r="L55" i="30"/>
  <c r="I55" i="30"/>
  <c r="K55" i="30"/>
  <c r="L54" i="30"/>
  <c r="K54" i="30"/>
  <c r="I54" i="30"/>
  <c r="J54" i="30"/>
  <c r="L50" i="30"/>
  <c r="K50" i="30"/>
  <c r="J50" i="30"/>
  <c r="I50" i="30"/>
  <c r="L49" i="30"/>
  <c r="I49" i="30"/>
  <c r="K49" i="30"/>
  <c r="L48" i="30"/>
  <c r="I48" i="30"/>
  <c r="K48" i="30"/>
  <c r="L47" i="30"/>
  <c r="J47" i="30"/>
  <c r="I47" i="30"/>
  <c r="K47" i="30"/>
  <c r="L46" i="30"/>
  <c r="I46" i="30"/>
  <c r="K46" i="30"/>
  <c r="L45" i="30"/>
  <c r="J45" i="30"/>
  <c r="I45" i="30"/>
  <c r="K45" i="30"/>
  <c r="L44" i="30"/>
  <c r="I44" i="30"/>
  <c r="K44" i="30"/>
  <c r="L40" i="30"/>
  <c r="K40" i="30"/>
  <c r="J40" i="30"/>
  <c r="I40" i="30"/>
  <c r="L39" i="30"/>
  <c r="K39" i="30"/>
  <c r="I39" i="30"/>
  <c r="J39" i="30"/>
  <c r="L38" i="30"/>
  <c r="K38" i="30"/>
  <c r="I38" i="30"/>
  <c r="J38" i="30"/>
  <c r="L37" i="30"/>
  <c r="I37" i="30"/>
  <c r="J37" i="30"/>
  <c r="L36" i="30"/>
  <c r="K36" i="30"/>
  <c r="J36" i="30"/>
  <c r="I36" i="30"/>
  <c r="L35" i="30"/>
  <c r="I35" i="30"/>
  <c r="J35" i="30"/>
  <c r="L34" i="30"/>
  <c r="K34" i="30"/>
  <c r="J34" i="30"/>
  <c r="I34" i="30"/>
  <c r="L30" i="30"/>
  <c r="K30" i="30"/>
  <c r="J30" i="30"/>
  <c r="I30" i="30"/>
  <c r="L29" i="30"/>
  <c r="I29" i="30"/>
  <c r="K29" i="30"/>
  <c r="L28" i="30"/>
  <c r="I28" i="30"/>
  <c r="K28" i="30"/>
  <c r="L27" i="30"/>
  <c r="I27" i="30"/>
  <c r="K27" i="30"/>
  <c r="L26" i="30"/>
  <c r="J26" i="30"/>
  <c r="I26" i="30"/>
  <c r="K26" i="30"/>
  <c r="L25" i="30"/>
  <c r="I25" i="30"/>
  <c r="K25" i="30"/>
  <c r="L24" i="30"/>
  <c r="J24" i="30"/>
  <c r="I24" i="30"/>
  <c r="L20" i="30"/>
  <c r="K20" i="30"/>
  <c r="J20" i="30"/>
  <c r="I20" i="30"/>
  <c r="L19" i="30"/>
  <c r="K19" i="30"/>
  <c r="I19" i="30"/>
  <c r="J19" i="30"/>
  <c r="L18" i="30"/>
  <c r="K18" i="30"/>
  <c r="J18" i="30"/>
  <c r="I18" i="30"/>
  <c r="L17" i="30"/>
  <c r="K17" i="30"/>
  <c r="J17" i="30"/>
  <c r="I17" i="30"/>
  <c r="L16" i="30"/>
  <c r="K16" i="30"/>
  <c r="J16" i="30"/>
  <c r="I16" i="30"/>
  <c r="L15" i="30"/>
  <c r="K15" i="30"/>
  <c r="J15" i="30"/>
  <c r="I15" i="30"/>
  <c r="L14" i="30"/>
  <c r="K14" i="30"/>
  <c r="K21" i="30" s="1"/>
  <c r="J14" i="30"/>
  <c r="I14" i="30"/>
  <c r="L70" i="29"/>
  <c r="K70" i="29"/>
  <c r="J70" i="29"/>
  <c r="I70" i="29"/>
  <c r="L69" i="29"/>
  <c r="K69" i="29"/>
  <c r="J69" i="29"/>
  <c r="I69" i="29"/>
  <c r="L68" i="29"/>
  <c r="K68" i="29"/>
  <c r="J68" i="29"/>
  <c r="I68" i="29"/>
  <c r="L67" i="29"/>
  <c r="K67" i="29"/>
  <c r="J67" i="29"/>
  <c r="I67" i="29"/>
  <c r="L66" i="29"/>
  <c r="K66" i="29"/>
  <c r="J66" i="29"/>
  <c r="I66" i="29"/>
  <c r="L65" i="29"/>
  <c r="K65" i="29"/>
  <c r="J65" i="29"/>
  <c r="I65" i="29"/>
  <c r="L64" i="29"/>
  <c r="K64" i="29"/>
  <c r="J64" i="29"/>
  <c r="I64" i="29"/>
  <c r="L60" i="29"/>
  <c r="K60" i="29"/>
  <c r="J60" i="29"/>
  <c r="I60" i="29"/>
  <c r="L59" i="29"/>
  <c r="K59" i="29"/>
  <c r="J59" i="29"/>
  <c r="I59" i="29"/>
  <c r="L58" i="29"/>
  <c r="I58" i="29"/>
  <c r="K58" i="29"/>
  <c r="L57" i="29"/>
  <c r="I57" i="29"/>
  <c r="J57" i="29"/>
  <c r="L56" i="29"/>
  <c r="I56" i="29"/>
  <c r="K56" i="29"/>
  <c r="L55" i="29"/>
  <c r="I55" i="29"/>
  <c r="J55" i="29"/>
  <c r="L54" i="29"/>
  <c r="J54" i="29"/>
  <c r="I54" i="29"/>
  <c r="K54" i="29"/>
  <c r="L50" i="29"/>
  <c r="K50" i="29"/>
  <c r="J50" i="29"/>
  <c r="I50" i="29"/>
  <c r="L49" i="29"/>
  <c r="K49" i="29"/>
  <c r="J49" i="29"/>
  <c r="I49" i="29"/>
  <c r="L48" i="29"/>
  <c r="I48" i="29"/>
  <c r="K48" i="29"/>
  <c r="L47" i="29"/>
  <c r="I47" i="29"/>
  <c r="K47" i="29"/>
  <c r="L46" i="29"/>
  <c r="I46" i="29"/>
  <c r="K46" i="29"/>
  <c r="L45" i="29"/>
  <c r="K45" i="29"/>
  <c r="J45" i="29"/>
  <c r="I45" i="29"/>
  <c r="L44" i="29"/>
  <c r="I44" i="29"/>
  <c r="K44" i="29"/>
  <c r="L40" i="29"/>
  <c r="K40" i="29"/>
  <c r="J40" i="29"/>
  <c r="I40" i="29"/>
  <c r="L39" i="29"/>
  <c r="J39" i="29"/>
  <c r="I39" i="29"/>
  <c r="K39" i="29"/>
  <c r="L38" i="29"/>
  <c r="I38" i="29"/>
  <c r="J38" i="29"/>
  <c r="L37" i="29"/>
  <c r="J37" i="29"/>
  <c r="I37" i="29"/>
  <c r="K37" i="29"/>
  <c r="L36" i="29"/>
  <c r="I36" i="29"/>
  <c r="J36" i="29"/>
  <c r="L35" i="29"/>
  <c r="I35" i="29"/>
  <c r="K35" i="29"/>
  <c r="L34" i="29"/>
  <c r="I34" i="29"/>
  <c r="J34" i="29"/>
  <c r="L30" i="29"/>
  <c r="K30" i="29"/>
  <c r="J30" i="29"/>
  <c r="I30" i="29"/>
  <c r="L29" i="29"/>
  <c r="I29" i="29"/>
  <c r="K29" i="29"/>
  <c r="L28" i="29"/>
  <c r="K28" i="29"/>
  <c r="I28" i="29"/>
  <c r="J28" i="29"/>
  <c r="L27" i="29"/>
  <c r="I27" i="29"/>
  <c r="K27" i="29"/>
  <c r="L26" i="29"/>
  <c r="I26" i="29"/>
  <c r="J26" i="29"/>
  <c r="L25" i="29"/>
  <c r="I25" i="29"/>
  <c r="K25" i="29"/>
  <c r="L24" i="29"/>
  <c r="K24" i="29"/>
  <c r="I24" i="29"/>
  <c r="L20" i="29"/>
  <c r="K20" i="29"/>
  <c r="J20" i="29"/>
  <c r="I20" i="29"/>
  <c r="L19" i="29"/>
  <c r="I19" i="29"/>
  <c r="J19" i="29"/>
  <c r="L18" i="29"/>
  <c r="K18" i="29"/>
  <c r="J18" i="29"/>
  <c r="I18" i="29"/>
  <c r="L17" i="29"/>
  <c r="K17" i="29"/>
  <c r="J17" i="29"/>
  <c r="I17" i="29"/>
  <c r="L16" i="29"/>
  <c r="K16" i="29"/>
  <c r="J16" i="29"/>
  <c r="I16" i="29"/>
  <c r="L15" i="29"/>
  <c r="K15" i="29"/>
  <c r="J15" i="29"/>
  <c r="I15" i="29"/>
  <c r="L14" i="29"/>
  <c r="K14" i="29"/>
  <c r="J14" i="29"/>
  <c r="J21" i="29" s="1"/>
  <c r="I14" i="29"/>
  <c r="L70" i="28"/>
  <c r="K70" i="28"/>
  <c r="J70" i="28"/>
  <c r="I70" i="28"/>
  <c r="L69" i="28"/>
  <c r="K69" i="28"/>
  <c r="J69" i="28"/>
  <c r="I69" i="28"/>
  <c r="L68" i="28"/>
  <c r="K68" i="28"/>
  <c r="J68" i="28"/>
  <c r="I68" i="28"/>
  <c r="L67" i="28"/>
  <c r="K67" i="28"/>
  <c r="J67" i="28"/>
  <c r="I67" i="28"/>
  <c r="L66" i="28"/>
  <c r="K66" i="28"/>
  <c r="J66" i="28"/>
  <c r="I66" i="28"/>
  <c r="L65" i="28"/>
  <c r="K65" i="28"/>
  <c r="J65" i="28"/>
  <c r="I65" i="28"/>
  <c r="L64" i="28"/>
  <c r="K64" i="28"/>
  <c r="K71" i="28" s="1"/>
  <c r="K72" i="28" s="1"/>
  <c r="J64" i="28"/>
  <c r="J71" i="28" s="1"/>
  <c r="I64" i="28"/>
  <c r="L60" i="28"/>
  <c r="K60" i="28"/>
  <c r="J60" i="28"/>
  <c r="I60" i="28"/>
  <c r="L59" i="28"/>
  <c r="K59" i="28"/>
  <c r="J59" i="28"/>
  <c r="I59" i="28"/>
  <c r="L58" i="28"/>
  <c r="I58" i="28"/>
  <c r="K58" i="28"/>
  <c r="L57" i="28"/>
  <c r="K57" i="28"/>
  <c r="I57" i="28"/>
  <c r="J57" i="28"/>
  <c r="L56" i="28"/>
  <c r="I56" i="28"/>
  <c r="J56" i="28"/>
  <c r="L55" i="28"/>
  <c r="I55" i="28"/>
  <c r="J55" i="28"/>
  <c r="L54" i="28"/>
  <c r="K54" i="28"/>
  <c r="J54" i="28"/>
  <c r="I54" i="28"/>
  <c r="L50" i="28"/>
  <c r="K50" i="28"/>
  <c r="J50" i="28"/>
  <c r="I50" i="28"/>
  <c r="L49" i="28"/>
  <c r="K49" i="28"/>
  <c r="J49" i="28"/>
  <c r="I49" i="28"/>
  <c r="L48" i="28"/>
  <c r="I48" i="28"/>
  <c r="K48" i="28"/>
  <c r="L47" i="28"/>
  <c r="K47" i="28"/>
  <c r="I47" i="28"/>
  <c r="J47" i="28"/>
  <c r="L46" i="28"/>
  <c r="I46" i="28"/>
  <c r="K46" i="28"/>
  <c r="L45" i="28"/>
  <c r="K45" i="28"/>
  <c r="J45" i="28"/>
  <c r="I45" i="28"/>
  <c r="L44" i="28"/>
  <c r="I44" i="28"/>
  <c r="K44" i="28"/>
  <c r="L40" i="28"/>
  <c r="K40" i="28"/>
  <c r="J40" i="28"/>
  <c r="I40" i="28"/>
  <c r="L39" i="28"/>
  <c r="J39" i="28"/>
  <c r="I39" i="28"/>
  <c r="K39" i="28"/>
  <c r="L38" i="28"/>
  <c r="K38" i="28"/>
  <c r="I38" i="28"/>
  <c r="J38" i="28"/>
  <c r="L37" i="28"/>
  <c r="I37" i="28"/>
  <c r="K37" i="28"/>
  <c r="L36" i="28"/>
  <c r="I36" i="28"/>
  <c r="J36" i="28"/>
  <c r="L35" i="28"/>
  <c r="J35" i="28"/>
  <c r="I35" i="28"/>
  <c r="K35" i="28"/>
  <c r="L34" i="28"/>
  <c r="K34" i="28"/>
  <c r="I34" i="28"/>
  <c r="J34" i="28"/>
  <c r="L30" i="28"/>
  <c r="K30" i="28"/>
  <c r="J30" i="28"/>
  <c r="I30" i="28"/>
  <c r="L29" i="28"/>
  <c r="I29" i="28"/>
  <c r="K29" i="28"/>
  <c r="L28" i="28"/>
  <c r="K28" i="28"/>
  <c r="J28" i="28"/>
  <c r="I28" i="28"/>
  <c r="L27" i="28"/>
  <c r="I27" i="28"/>
  <c r="K27" i="28"/>
  <c r="L26" i="28"/>
  <c r="K26" i="28"/>
  <c r="I26" i="28"/>
  <c r="J26" i="28"/>
  <c r="L25" i="28"/>
  <c r="I25" i="28"/>
  <c r="K25" i="28"/>
  <c r="L24" i="28"/>
  <c r="K24" i="28"/>
  <c r="J24" i="28"/>
  <c r="I24" i="28"/>
  <c r="L20" i="28"/>
  <c r="K20" i="28"/>
  <c r="J20" i="28"/>
  <c r="I20" i="28"/>
  <c r="L19" i="28"/>
  <c r="K19" i="28"/>
  <c r="I19" i="28"/>
  <c r="J19" i="28"/>
  <c r="L18" i="28"/>
  <c r="K18" i="28"/>
  <c r="J18" i="28"/>
  <c r="I18" i="28"/>
  <c r="L17" i="28"/>
  <c r="K17" i="28"/>
  <c r="J17" i="28"/>
  <c r="I17" i="28"/>
  <c r="L16" i="28"/>
  <c r="K16" i="28"/>
  <c r="J16" i="28"/>
  <c r="I16" i="28"/>
  <c r="L15" i="28"/>
  <c r="K15" i="28"/>
  <c r="J15" i="28"/>
  <c r="I15" i="28"/>
  <c r="L14" i="28"/>
  <c r="K14" i="28"/>
  <c r="J14" i="28"/>
  <c r="I14" i="28"/>
  <c r="L70" i="27"/>
  <c r="K70" i="27"/>
  <c r="J70" i="27"/>
  <c r="I70" i="27"/>
  <c r="L69" i="27"/>
  <c r="K69" i="27"/>
  <c r="J69" i="27"/>
  <c r="I69" i="27"/>
  <c r="L68" i="27"/>
  <c r="K68" i="27"/>
  <c r="J68" i="27"/>
  <c r="I68" i="27"/>
  <c r="L67" i="27"/>
  <c r="K67" i="27"/>
  <c r="J67" i="27"/>
  <c r="I67" i="27"/>
  <c r="L66" i="27"/>
  <c r="K66" i="27"/>
  <c r="J66" i="27"/>
  <c r="I66" i="27"/>
  <c r="L65" i="27"/>
  <c r="K65" i="27"/>
  <c r="J65" i="27"/>
  <c r="I65" i="27"/>
  <c r="L64" i="27"/>
  <c r="K64" i="27"/>
  <c r="K71" i="27" s="1"/>
  <c r="J64" i="27"/>
  <c r="I64" i="27"/>
  <c r="L60" i="27"/>
  <c r="K60" i="27"/>
  <c r="J60" i="27"/>
  <c r="I60" i="27"/>
  <c r="L59" i="27"/>
  <c r="K59" i="27"/>
  <c r="J59" i="27"/>
  <c r="I59" i="27"/>
  <c r="L58" i="27"/>
  <c r="I58" i="27"/>
  <c r="K58" i="27"/>
  <c r="L57" i="27"/>
  <c r="K57" i="27"/>
  <c r="J57" i="27"/>
  <c r="I57" i="27"/>
  <c r="L56" i="27"/>
  <c r="I56" i="27"/>
  <c r="K56" i="27"/>
  <c r="L55" i="27"/>
  <c r="I55" i="27"/>
  <c r="K55" i="27"/>
  <c r="L54" i="27"/>
  <c r="I54" i="27"/>
  <c r="K54" i="27"/>
  <c r="L50" i="27"/>
  <c r="K50" i="27"/>
  <c r="J50" i="27"/>
  <c r="I50" i="27"/>
  <c r="L49" i="27"/>
  <c r="I49" i="27"/>
  <c r="K49" i="27"/>
  <c r="L48" i="27"/>
  <c r="I48" i="27"/>
  <c r="K48" i="27"/>
  <c r="L47" i="27"/>
  <c r="I47" i="27"/>
  <c r="K47" i="27"/>
  <c r="L46" i="27"/>
  <c r="I46" i="27"/>
  <c r="K46" i="27"/>
  <c r="L45" i="27"/>
  <c r="J45" i="27"/>
  <c r="I45" i="27"/>
  <c r="K45" i="27"/>
  <c r="L44" i="27"/>
  <c r="I44" i="27"/>
  <c r="K44" i="27"/>
  <c r="L40" i="27"/>
  <c r="K40" i="27"/>
  <c r="J40" i="27"/>
  <c r="I40" i="27"/>
  <c r="L39" i="27"/>
  <c r="I39" i="27"/>
  <c r="K39" i="27"/>
  <c r="L38" i="27"/>
  <c r="J38" i="27"/>
  <c r="I38" i="27"/>
  <c r="K38" i="27"/>
  <c r="L37" i="27"/>
  <c r="I37" i="27"/>
  <c r="K37" i="27"/>
  <c r="L36" i="27"/>
  <c r="K36" i="27"/>
  <c r="I36" i="27"/>
  <c r="J36" i="27"/>
  <c r="L35" i="27"/>
  <c r="I35" i="27"/>
  <c r="K35" i="27"/>
  <c r="L34" i="27"/>
  <c r="J34" i="27"/>
  <c r="I34" i="27"/>
  <c r="K34" i="27"/>
  <c r="L30" i="27"/>
  <c r="K30" i="27"/>
  <c r="J30" i="27"/>
  <c r="I30" i="27"/>
  <c r="L29" i="27"/>
  <c r="I29" i="27"/>
  <c r="K29" i="27"/>
  <c r="L28" i="27"/>
  <c r="I28" i="27"/>
  <c r="K28" i="27"/>
  <c r="L27" i="27"/>
  <c r="I27" i="27"/>
  <c r="K27" i="27"/>
  <c r="L26" i="27"/>
  <c r="J26" i="27"/>
  <c r="I26" i="27"/>
  <c r="K26" i="27"/>
  <c r="L25" i="27"/>
  <c r="I25" i="27"/>
  <c r="K25" i="27"/>
  <c r="L24" i="27"/>
  <c r="J24" i="27"/>
  <c r="I24" i="27"/>
  <c r="L20" i="27"/>
  <c r="K20" i="27"/>
  <c r="J20" i="27"/>
  <c r="I20" i="27"/>
  <c r="L19" i="27"/>
  <c r="K19" i="27"/>
  <c r="J19" i="27"/>
  <c r="I19" i="27"/>
  <c r="L18" i="27"/>
  <c r="K18" i="27"/>
  <c r="J18" i="27"/>
  <c r="I18" i="27"/>
  <c r="L17" i="27"/>
  <c r="K17" i="27"/>
  <c r="J17" i="27"/>
  <c r="I17" i="27"/>
  <c r="L16" i="27"/>
  <c r="K16" i="27"/>
  <c r="J16" i="27"/>
  <c r="I16" i="27"/>
  <c r="L15" i="27"/>
  <c r="K15" i="27"/>
  <c r="J15" i="27"/>
  <c r="I15" i="27"/>
  <c r="L14" i="27"/>
  <c r="K14" i="27"/>
  <c r="K21" i="27" s="1"/>
  <c r="J14" i="27"/>
  <c r="I14" i="27"/>
  <c r="L70" i="26"/>
  <c r="K70" i="26"/>
  <c r="J70" i="26"/>
  <c r="I70" i="26"/>
  <c r="L69" i="26"/>
  <c r="K69" i="26"/>
  <c r="J69" i="26"/>
  <c r="I69" i="26"/>
  <c r="L68" i="26"/>
  <c r="K68" i="26"/>
  <c r="J68" i="26"/>
  <c r="I68" i="26"/>
  <c r="L67" i="26"/>
  <c r="K67" i="26"/>
  <c r="J67" i="26"/>
  <c r="I67" i="26"/>
  <c r="L66" i="26"/>
  <c r="K66" i="26"/>
  <c r="J66" i="26"/>
  <c r="I66" i="26"/>
  <c r="L65" i="26"/>
  <c r="K65" i="26"/>
  <c r="J65" i="26"/>
  <c r="I65" i="26"/>
  <c r="L64" i="26"/>
  <c r="K64" i="26"/>
  <c r="J64" i="26"/>
  <c r="J71" i="26" s="1"/>
  <c r="I64" i="26"/>
  <c r="L60" i="26"/>
  <c r="K60" i="26"/>
  <c r="J60" i="26"/>
  <c r="I60" i="26"/>
  <c r="L59" i="26"/>
  <c r="K59" i="26"/>
  <c r="J59" i="26"/>
  <c r="I59" i="26"/>
  <c r="L58" i="26"/>
  <c r="J58" i="26"/>
  <c r="I58" i="26"/>
  <c r="K58" i="26"/>
  <c r="L57" i="26"/>
  <c r="I57" i="26"/>
  <c r="J57" i="26"/>
  <c r="L56" i="26"/>
  <c r="J56" i="26"/>
  <c r="I56" i="26"/>
  <c r="K56" i="26"/>
  <c r="L55" i="26"/>
  <c r="I55" i="26"/>
  <c r="J55" i="26"/>
  <c r="L54" i="26"/>
  <c r="I54" i="26"/>
  <c r="K54" i="26"/>
  <c r="L50" i="26"/>
  <c r="K50" i="26"/>
  <c r="J50" i="26"/>
  <c r="I50" i="26"/>
  <c r="L49" i="26"/>
  <c r="K49" i="26"/>
  <c r="J49" i="26"/>
  <c r="I49" i="26"/>
  <c r="L48" i="26"/>
  <c r="K48" i="26"/>
  <c r="I48" i="26"/>
  <c r="J48" i="26"/>
  <c r="L47" i="26"/>
  <c r="I47" i="26"/>
  <c r="J47" i="26"/>
  <c r="L46" i="26"/>
  <c r="K46" i="26"/>
  <c r="I46" i="26"/>
  <c r="J46" i="26"/>
  <c r="L45" i="26"/>
  <c r="K45" i="26"/>
  <c r="I45" i="26"/>
  <c r="J45" i="26"/>
  <c r="L44" i="26"/>
  <c r="I44" i="26"/>
  <c r="J44" i="26"/>
  <c r="L40" i="26"/>
  <c r="K40" i="26"/>
  <c r="J40" i="26"/>
  <c r="I40" i="26"/>
  <c r="L39" i="26"/>
  <c r="I39" i="26"/>
  <c r="K39" i="26"/>
  <c r="L38" i="26"/>
  <c r="I38" i="26"/>
  <c r="J38" i="26"/>
  <c r="L37" i="26"/>
  <c r="I37" i="26"/>
  <c r="K37" i="26"/>
  <c r="L36" i="26"/>
  <c r="I36" i="26"/>
  <c r="J36" i="26"/>
  <c r="L35" i="26"/>
  <c r="J35" i="26"/>
  <c r="I35" i="26"/>
  <c r="K35" i="26"/>
  <c r="L34" i="26"/>
  <c r="I34" i="26"/>
  <c r="J34" i="26"/>
  <c r="L30" i="26"/>
  <c r="K30" i="26"/>
  <c r="J30" i="26"/>
  <c r="I30" i="26"/>
  <c r="L29" i="26"/>
  <c r="I29" i="26"/>
  <c r="J29" i="26"/>
  <c r="L28" i="26"/>
  <c r="J28" i="26"/>
  <c r="I28" i="26"/>
  <c r="K28" i="26"/>
  <c r="L27" i="26"/>
  <c r="I27" i="26"/>
  <c r="J27" i="26"/>
  <c r="L26" i="26"/>
  <c r="I26" i="26"/>
  <c r="J26" i="26"/>
  <c r="L25" i="26"/>
  <c r="K25" i="26"/>
  <c r="I25" i="26"/>
  <c r="J25" i="26"/>
  <c r="L24" i="26"/>
  <c r="K24" i="26"/>
  <c r="I24" i="26"/>
  <c r="L20" i="26"/>
  <c r="K20" i="26"/>
  <c r="J20" i="26"/>
  <c r="I20" i="26"/>
  <c r="L19" i="26"/>
  <c r="I19" i="26"/>
  <c r="J19" i="26"/>
  <c r="L18" i="26"/>
  <c r="K18" i="26"/>
  <c r="J18" i="26"/>
  <c r="I18" i="26"/>
  <c r="L17" i="26"/>
  <c r="K17" i="26"/>
  <c r="J17" i="26"/>
  <c r="I17" i="26"/>
  <c r="L16" i="26"/>
  <c r="K16" i="26"/>
  <c r="J16" i="26"/>
  <c r="I16" i="26"/>
  <c r="L15" i="26"/>
  <c r="K15" i="26"/>
  <c r="J15" i="26"/>
  <c r="I15" i="26"/>
  <c r="L14" i="26"/>
  <c r="K14" i="26"/>
  <c r="J14" i="26"/>
  <c r="I14" i="26"/>
  <c r="L70" i="25"/>
  <c r="K70" i="25"/>
  <c r="J70" i="25"/>
  <c r="I70" i="25"/>
  <c r="L69" i="25"/>
  <c r="K69" i="25"/>
  <c r="J69" i="25"/>
  <c r="I69" i="25"/>
  <c r="L68" i="25"/>
  <c r="K68" i="25"/>
  <c r="J68" i="25"/>
  <c r="I68" i="25"/>
  <c r="L67" i="25"/>
  <c r="K67" i="25"/>
  <c r="J67" i="25"/>
  <c r="I67" i="25"/>
  <c r="L66" i="25"/>
  <c r="K66" i="25"/>
  <c r="J66" i="25"/>
  <c r="I66" i="25"/>
  <c r="L65" i="25"/>
  <c r="K65" i="25"/>
  <c r="J65" i="25"/>
  <c r="I65" i="25"/>
  <c r="L64" i="25"/>
  <c r="K64" i="25"/>
  <c r="J64" i="25"/>
  <c r="I64" i="25"/>
  <c r="L60" i="25"/>
  <c r="K60" i="25"/>
  <c r="J60" i="25"/>
  <c r="I60" i="25"/>
  <c r="L59" i="25"/>
  <c r="K59" i="25"/>
  <c r="J59" i="25"/>
  <c r="I59" i="25"/>
  <c r="L58" i="25"/>
  <c r="I58" i="25"/>
  <c r="K58" i="25"/>
  <c r="L57" i="25"/>
  <c r="K57" i="25"/>
  <c r="J57" i="25"/>
  <c r="I57" i="25"/>
  <c r="L56" i="25"/>
  <c r="I56" i="25"/>
  <c r="K56" i="25"/>
  <c r="L55" i="25"/>
  <c r="K55" i="25"/>
  <c r="J55" i="25"/>
  <c r="I55" i="25"/>
  <c r="L54" i="25"/>
  <c r="I54" i="25"/>
  <c r="K54" i="25"/>
  <c r="L50" i="25"/>
  <c r="K50" i="25"/>
  <c r="J50" i="25"/>
  <c r="I50" i="25"/>
  <c r="L49" i="25"/>
  <c r="I49" i="25"/>
  <c r="K49" i="25"/>
  <c r="L48" i="25"/>
  <c r="I48" i="25"/>
  <c r="K48" i="25"/>
  <c r="L47" i="25"/>
  <c r="J47" i="25"/>
  <c r="I47" i="25"/>
  <c r="K47" i="25"/>
  <c r="L46" i="25"/>
  <c r="I46" i="25"/>
  <c r="K46" i="25"/>
  <c r="L45" i="25"/>
  <c r="J45" i="25"/>
  <c r="I45" i="25"/>
  <c r="K45" i="25"/>
  <c r="L44" i="25"/>
  <c r="I44" i="25"/>
  <c r="K44" i="25"/>
  <c r="L40" i="25"/>
  <c r="K40" i="25"/>
  <c r="J40" i="25"/>
  <c r="I40" i="25"/>
  <c r="L39" i="25"/>
  <c r="I39" i="25"/>
  <c r="K39" i="25"/>
  <c r="L38" i="25"/>
  <c r="J38" i="25"/>
  <c r="I38" i="25"/>
  <c r="K38" i="25"/>
  <c r="L37" i="25"/>
  <c r="I37" i="25"/>
  <c r="K37" i="25"/>
  <c r="L36" i="25"/>
  <c r="I36" i="25"/>
  <c r="J36" i="25"/>
  <c r="L35" i="25"/>
  <c r="I35" i="25"/>
  <c r="K35" i="25"/>
  <c r="L34" i="25"/>
  <c r="J34" i="25"/>
  <c r="I34" i="25"/>
  <c r="K34" i="25"/>
  <c r="L30" i="25"/>
  <c r="K30" i="25"/>
  <c r="J30" i="25"/>
  <c r="I30" i="25"/>
  <c r="L29" i="25"/>
  <c r="I29" i="25"/>
  <c r="K29" i="25"/>
  <c r="L28" i="25"/>
  <c r="I28" i="25"/>
  <c r="K28" i="25"/>
  <c r="L27" i="25"/>
  <c r="I27" i="25"/>
  <c r="K27" i="25"/>
  <c r="L26" i="25"/>
  <c r="J26" i="25"/>
  <c r="I26" i="25"/>
  <c r="K26" i="25"/>
  <c r="L25" i="25"/>
  <c r="I25" i="25"/>
  <c r="K25" i="25"/>
  <c r="L24" i="25"/>
  <c r="J24" i="25"/>
  <c r="I24" i="25"/>
  <c r="L20" i="25"/>
  <c r="K20" i="25"/>
  <c r="J20" i="25"/>
  <c r="I20" i="25"/>
  <c r="L19" i="25"/>
  <c r="I19" i="25"/>
  <c r="J19" i="25"/>
  <c r="L18" i="25"/>
  <c r="K18" i="25"/>
  <c r="J18" i="25"/>
  <c r="I18" i="25"/>
  <c r="L17" i="25"/>
  <c r="K17" i="25"/>
  <c r="J17" i="25"/>
  <c r="I17" i="25"/>
  <c r="L16" i="25"/>
  <c r="K16" i="25"/>
  <c r="J16" i="25"/>
  <c r="I16" i="25"/>
  <c r="L15" i="25"/>
  <c r="K15" i="25"/>
  <c r="J15" i="25"/>
  <c r="I15" i="25"/>
  <c r="L14" i="25"/>
  <c r="K14" i="25"/>
  <c r="J14" i="25"/>
  <c r="I14" i="25"/>
  <c r="L70" i="24"/>
  <c r="K70" i="24"/>
  <c r="J70" i="24"/>
  <c r="I70" i="24"/>
  <c r="L69" i="24"/>
  <c r="K69" i="24"/>
  <c r="J69" i="24"/>
  <c r="I69" i="24"/>
  <c r="L68" i="24"/>
  <c r="K68" i="24"/>
  <c r="J68" i="24"/>
  <c r="I68" i="24"/>
  <c r="L67" i="24"/>
  <c r="K67" i="24"/>
  <c r="J67" i="24"/>
  <c r="I67" i="24"/>
  <c r="L66" i="24"/>
  <c r="K66" i="24"/>
  <c r="J66" i="24"/>
  <c r="I66" i="24"/>
  <c r="L65" i="24"/>
  <c r="K65" i="24"/>
  <c r="J65" i="24"/>
  <c r="I65" i="24"/>
  <c r="L64" i="24"/>
  <c r="K64" i="24"/>
  <c r="K71" i="24" s="1"/>
  <c r="J64" i="24"/>
  <c r="I64" i="24"/>
  <c r="L60" i="24"/>
  <c r="K60" i="24"/>
  <c r="J60" i="24"/>
  <c r="I60" i="24"/>
  <c r="L59" i="24"/>
  <c r="K59" i="24"/>
  <c r="J59" i="24"/>
  <c r="I59" i="24"/>
  <c r="L58" i="24"/>
  <c r="I58" i="24"/>
  <c r="K58" i="24"/>
  <c r="L57" i="24"/>
  <c r="I57" i="24"/>
  <c r="J57" i="24"/>
  <c r="L56" i="24"/>
  <c r="J56" i="24"/>
  <c r="I56" i="24"/>
  <c r="K56" i="24"/>
  <c r="L55" i="24"/>
  <c r="I55" i="24"/>
  <c r="J55" i="24"/>
  <c r="L54" i="24"/>
  <c r="J54" i="24"/>
  <c r="I54" i="24"/>
  <c r="K54" i="24"/>
  <c r="L50" i="24"/>
  <c r="K50" i="24"/>
  <c r="J50" i="24"/>
  <c r="I50" i="24"/>
  <c r="L49" i="24"/>
  <c r="I49" i="24"/>
  <c r="J49" i="24"/>
  <c r="L48" i="24"/>
  <c r="I48" i="24"/>
  <c r="J48" i="24"/>
  <c r="L47" i="24"/>
  <c r="K47" i="24"/>
  <c r="J47" i="24"/>
  <c r="I47" i="24"/>
  <c r="L46" i="24"/>
  <c r="I46" i="24"/>
  <c r="J46" i="24"/>
  <c r="L45" i="24"/>
  <c r="J45" i="24"/>
  <c r="I45" i="24"/>
  <c r="K45" i="24"/>
  <c r="L44" i="24"/>
  <c r="K44" i="24"/>
  <c r="I44" i="24"/>
  <c r="J44" i="24"/>
  <c r="L40" i="24"/>
  <c r="K40" i="24"/>
  <c r="J40" i="24"/>
  <c r="I40" i="24"/>
  <c r="L39" i="24"/>
  <c r="J39" i="24"/>
  <c r="I39" i="24"/>
  <c r="K39" i="24"/>
  <c r="L38" i="24"/>
  <c r="I38" i="24"/>
  <c r="J38" i="24"/>
  <c r="L37" i="24"/>
  <c r="J37" i="24"/>
  <c r="I37" i="24"/>
  <c r="K37" i="24"/>
  <c r="L36" i="24"/>
  <c r="I36" i="24"/>
  <c r="J36" i="24"/>
  <c r="L35" i="24"/>
  <c r="I35" i="24"/>
  <c r="K35" i="24"/>
  <c r="L34" i="24"/>
  <c r="I34" i="24"/>
  <c r="J34" i="24"/>
  <c r="L30" i="24"/>
  <c r="K30" i="24"/>
  <c r="J30" i="24"/>
  <c r="I30" i="24"/>
  <c r="L29" i="24"/>
  <c r="K29" i="24"/>
  <c r="I29" i="24"/>
  <c r="J29" i="24"/>
  <c r="L28" i="24"/>
  <c r="I28" i="24"/>
  <c r="K28" i="24"/>
  <c r="L27" i="24"/>
  <c r="K27" i="24"/>
  <c r="I27" i="24"/>
  <c r="J27" i="24"/>
  <c r="L26" i="24"/>
  <c r="I26" i="24"/>
  <c r="J26" i="24"/>
  <c r="L25" i="24"/>
  <c r="I25" i="24"/>
  <c r="J25" i="24"/>
  <c r="L24" i="24"/>
  <c r="K24" i="24"/>
  <c r="J24" i="24"/>
  <c r="I24" i="24"/>
  <c r="L20" i="24"/>
  <c r="K20" i="24"/>
  <c r="J20" i="24"/>
  <c r="I20" i="24"/>
  <c r="L19" i="24"/>
  <c r="I19" i="24"/>
  <c r="J19" i="24"/>
  <c r="L18" i="24"/>
  <c r="K18" i="24"/>
  <c r="J18" i="24"/>
  <c r="I18" i="24"/>
  <c r="L17" i="24"/>
  <c r="K17" i="24"/>
  <c r="J17" i="24"/>
  <c r="I17" i="24"/>
  <c r="L16" i="24"/>
  <c r="K16" i="24"/>
  <c r="J16" i="24"/>
  <c r="I16" i="24"/>
  <c r="L15" i="24"/>
  <c r="K15" i="24"/>
  <c r="J15" i="24"/>
  <c r="I15" i="24"/>
  <c r="L14" i="24"/>
  <c r="K14" i="24"/>
  <c r="J14" i="24"/>
  <c r="J21" i="24" s="1"/>
  <c r="I14" i="24"/>
  <c r="L70" i="23"/>
  <c r="K70" i="23"/>
  <c r="J70" i="23"/>
  <c r="I70" i="23"/>
  <c r="L69" i="23"/>
  <c r="K69" i="23"/>
  <c r="J69" i="23"/>
  <c r="I69" i="23"/>
  <c r="L68" i="23"/>
  <c r="K68" i="23"/>
  <c r="J68" i="23"/>
  <c r="I68" i="23"/>
  <c r="L67" i="23"/>
  <c r="K67" i="23"/>
  <c r="J67" i="23"/>
  <c r="I67" i="23"/>
  <c r="L66" i="23"/>
  <c r="K66" i="23"/>
  <c r="J66" i="23"/>
  <c r="I66" i="23"/>
  <c r="L65" i="23"/>
  <c r="K65" i="23"/>
  <c r="J65" i="23"/>
  <c r="I65" i="23"/>
  <c r="L64" i="23"/>
  <c r="K64" i="23"/>
  <c r="J64" i="23"/>
  <c r="I64" i="23"/>
  <c r="L60" i="23"/>
  <c r="K60" i="23"/>
  <c r="J60" i="23"/>
  <c r="I60" i="23"/>
  <c r="L59" i="23"/>
  <c r="K59" i="23"/>
  <c r="J59" i="23"/>
  <c r="I59" i="23"/>
  <c r="L58" i="23"/>
  <c r="J58" i="23"/>
  <c r="I58" i="23"/>
  <c r="K58" i="23"/>
  <c r="L57" i="23"/>
  <c r="I57" i="23"/>
  <c r="J57" i="23"/>
  <c r="L56" i="23"/>
  <c r="K56" i="23"/>
  <c r="J56" i="23"/>
  <c r="I56" i="23"/>
  <c r="L55" i="23"/>
  <c r="I55" i="23"/>
  <c r="J55" i="23"/>
  <c r="L54" i="23"/>
  <c r="I54" i="23"/>
  <c r="L50" i="23"/>
  <c r="K50" i="23"/>
  <c r="J50" i="23"/>
  <c r="I50" i="23"/>
  <c r="L49" i="23"/>
  <c r="J49" i="23"/>
  <c r="I49" i="23"/>
  <c r="K49" i="23"/>
  <c r="L48" i="23"/>
  <c r="I48" i="23"/>
  <c r="K48" i="23"/>
  <c r="L47" i="23"/>
  <c r="I47" i="23"/>
  <c r="K47" i="23"/>
  <c r="L46" i="23"/>
  <c r="I46" i="23"/>
  <c r="K46" i="23"/>
  <c r="L45" i="23"/>
  <c r="J45" i="23"/>
  <c r="I45" i="23"/>
  <c r="K45" i="23"/>
  <c r="L44" i="23"/>
  <c r="I44" i="23"/>
  <c r="K44" i="23"/>
  <c r="L40" i="23"/>
  <c r="K40" i="23"/>
  <c r="J40" i="23"/>
  <c r="I40" i="23"/>
  <c r="L39" i="23"/>
  <c r="J39" i="23"/>
  <c r="I39" i="23"/>
  <c r="K39" i="23"/>
  <c r="L38" i="23"/>
  <c r="I38" i="23"/>
  <c r="J38" i="23"/>
  <c r="L37" i="23"/>
  <c r="J37" i="23"/>
  <c r="I37" i="23"/>
  <c r="K37" i="23"/>
  <c r="L36" i="23"/>
  <c r="I36" i="23"/>
  <c r="J36" i="23"/>
  <c r="L35" i="23"/>
  <c r="J35" i="23"/>
  <c r="I35" i="23"/>
  <c r="K35" i="23"/>
  <c r="L34" i="23"/>
  <c r="I34" i="23"/>
  <c r="J34" i="23"/>
  <c r="L30" i="23"/>
  <c r="K30" i="23"/>
  <c r="J30" i="23"/>
  <c r="I30" i="23"/>
  <c r="L29" i="23"/>
  <c r="I29" i="23"/>
  <c r="K29" i="23"/>
  <c r="L28" i="23"/>
  <c r="J28" i="23"/>
  <c r="I28" i="23"/>
  <c r="K28" i="23"/>
  <c r="L27" i="23"/>
  <c r="I27" i="23"/>
  <c r="K27" i="23"/>
  <c r="L26" i="23"/>
  <c r="I26" i="23"/>
  <c r="K26" i="23"/>
  <c r="L25" i="23"/>
  <c r="I25" i="23"/>
  <c r="K25" i="23"/>
  <c r="L24" i="23"/>
  <c r="J24" i="23"/>
  <c r="I24" i="23"/>
  <c r="L20" i="23"/>
  <c r="K20" i="23"/>
  <c r="J20" i="23"/>
  <c r="I20" i="23"/>
  <c r="L19" i="23"/>
  <c r="I19" i="23"/>
  <c r="J19" i="23"/>
  <c r="L18" i="23"/>
  <c r="K18" i="23"/>
  <c r="J18" i="23"/>
  <c r="I18" i="23"/>
  <c r="L17" i="23"/>
  <c r="K17" i="23"/>
  <c r="J17" i="23"/>
  <c r="I17" i="23"/>
  <c r="L16" i="23"/>
  <c r="K16" i="23"/>
  <c r="J16" i="23"/>
  <c r="I16" i="23"/>
  <c r="L15" i="23"/>
  <c r="K15" i="23"/>
  <c r="J15" i="23"/>
  <c r="I15" i="23"/>
  <c r="L14" i="23"/>
  <c r="K14" i="23"/>
  <c r="J14" i="23"/>
  <c r="I14" i="23"/>
  <c r="L70" i="22"/>
  <c r="K70" i="22"/>
  <c r="J70" i="22"/>
  <c r="I70" i="22"/>
  <c r="L69" i="22"/>
  <c r="K69" i="22"/>
  <c r="J69" i="22"/>
  <c r="I69" i="22"/>
  <c r="L68" i="22"/>
  <c r="K68" i="22"/>
  <c r="J68" i="22"/>
  <c r="I68" i="22"/>
  <c r="L67" i="22"/>
  <c r="K67" i="22"/>
  <c r="J67" i="22"/>
  <c r="I67" i="22"/>
  <c r="L66" i="22"/>
  <c r="K66" i="22"/>
  <c r="J66" i="22"/>
  <c r="I66" i="22"/>
  <c r="L65" i="22"/>
  <c r="K65" i="22"/>
  <c r="J65" i="22"/>
  <c r="I65" i="22"/>
  <c r="L64" i="22"/>
  <c r="K64" i="22"/>
  <c r="K71" i="22" s="1"/>
  <c r="J64" i="22"/>
  <c r="I64" i="22"/>
  <c r="L60" i="22"/>
  <c r="K60" i="22"/>
  <c r="J60" i="22"/>
  <c r="I60" i="22"/>
  <c r="L59" i="22"/>
  <c r="K59" i="22"/>
  <c r="J59" i="22"/>
  <c r="I59" i="22"/>
  <c r="L58" i="22"/>
  <c r="I58" i="22"/>
  <c r="K58" i="22"/>
  <c r="L57" i="22"/>
  <c r="I57" i="22"/>
  <c r="J57" i="22"/>
  <c r="L56" i="22"/>
  <c r="I56" i="22"/>
  <c r="K56" i="22"/>
  <c r="L55" i="22"/>
  <c r="I55" i="22"/>
  <c r="J55" i="22"/>
  <c r="L54" i="22"/>
  <c r="J54" i="22"/>
  <c r="I54" i="22"/>
  <c r="K54" i="22"/>
  <c r="L50" i="22"/>
  <c r="K50" i="22"/>
  <c r="J50" i="22"/>
  <c r="I50" i="22"/>
  <c r="L49" i="22"/>
  <c r="K49" i="22"/>
  <c r="J49" i="22"/>
  <c r="I49" i="22"/>
  <c r="L48" i="22"/>
  <c r="I48" i="22"/>
  <c r="J48" i="22"/>
  <c r="L47" i="22"/>
  <c r="K47" i="22"/>
  <c r="J47" i="22"/>
  <c r="I47" i="22"/>
  <c r="L46" i="22"/>
  <c r="K46" i="22"/>
  <c r="I46" i="22"/>
  <c r="J46" i="22"/>
  <c r="L45" i="22"/>
  <c r="I45" i="22"/>
  <c r="J45" i="22"/>
  <c r="L44" i="22"/>
  <c r="K44" i="22"/>
  <c r="I44" i="22"/>
  <c r="J44" i="22"/>
  <c r="L40" i="22"/>
  <c r="K40" i="22"/>
  <c r="J40" i="22"/>
  <c r="I40" i="22"/>
  <c r="L39" i="22"/>
  <c r="I39" i="22"/>
  <c r="K39" i="22"/>
  <c r="L38" i="22"/>
  <c r="I38" i="22"/>
  <c r="J38" i="22"/>
  <c r="L37" i="22"/>
  <c r="J37" i="22"/>
  <c r="I37" i="22"/>
  <c r="K37" i="22"/>
  <c r="L36" i="22"/>
  <c r="I36" i="22"/>
  <c r="J36" i="22"/>
  <c r="L35" i="22"/>
  <c r="J35" i="22"/>
  <c r="I35" i="22"/>
  <c r="K35" i="22"/>
  <c r="L34" i="22"/>
  <c r="I34" i="22"/>
  <c r="J34" i="22"/>
  <c r="L30" i="22"/>
  <c r="K30" i="22"/>
  <c r="J30" i="22"/>
  <c r="I30" i="22"/>
  <c r="L29" i="22"/>
  <c r="K29" i="22"/>
  <c r="I29" i="22"/>
  <c r="J29" i="22"/>
  <c r="L28" i="22"/>
  <c r="K28" i="22"/>
  <c r="I28" i="22"/>
  <c r="J28" i="22"/>
  <c r="L27" i="22"/>
  <c r="I27" i="22"/>
  <c r="J27" i="22"/>
  <c r="L26" i="22"/>
  <c r="K26" i="22"/>
  <c r="J26" i="22"/>
  <c r="I26" i="22"/>
  <c r="L25" i="22"/>
  <c r="I25" i="22"/>
  <c r="J25" i="22"/>
  <c r="L24" i="22"/>
  <c r="I24" i="22"/>
  <c r="L20" i="22"/>
  <c r="K20" i="22"/>
  <c r="J20" i="22"/>
  <c r="I20" i="22"/>
  <c r="L19" i="22"/>
  <c r="I19" i="22"/>
  <c r="J19" i="22"/>
  <c r="L18" i="22"/>
  <c r="K18" i="22"/>
  <c r="J18" i="22"/>
  <c r="I18" i="22"/>
  <c r="L17" i="22"/>
  <c r="K17" i="22"/>
  <c r="J17" i="22"/>
  <c r="I17" i="22"/>
  <c r="L16" i="22"/>
  <c r="K16" i="22"/>
  <c r="J16" i="22"/>
  <c r="I16" i="22"/>
  <c r="L15" i="22"/>
  <c r="K15" i="22"/>
  <c r="J15" i="22"/>
  <c r="I15" i="22"/>
  <c r="L14" i="22"/>
  <c r="K14" i="22"/>
  <c r="J14" i="22"/>
  <c r="I14" i="22"/>
  <c r="L70" i="21"/>
  <c r="K70" i="21"/>
  <c r="J70" i="21"/>
  <c r="I70" i="21"/>
  <c r="L69" i="21"/>
  <c r="K69" i="21"/>
  <c r="J69" i="21"/>
  <c r="I69" i="21"/>
  <c r="L68" i="21"/>
  <c r="K68" i="21"/>
  <c r="J68" i="21"/>
  <c r="I68" i="21"/>
  <c r="L67" i="21"/>
  <c r="K67" i="21"/>
  <c r="J67" i="21"/>
  <c r="I67" i="21"/>
  <c r="L66" i="21"/>
  <c r="K66" i="21"/>
  <c r="J66" i="21"/>
  <c r="I66" i="21"/>
  <c r="L65" i="21"/>
  <c r="K65" i="21"/>
  <c r="J65" i="21"/>
  <c r="I65" i="21"/>
  <c r="L64" i="21"/>
  <c r="K64" i="21"/>
  <c r="J64" i="21"/>
  <c r="J71" i="21" s="1"/>
  <c r="I64" i="21"/>
  <c r="L60" i="21"/>
  <c r="K60" i="21"/>
  <c r="J60" i="21"/>
  <c r="I60" i="21"/>
  <c r="L59" i="21"/>
  <c r="K59" i="21"/>
  <c r="J59" i="21"/>
  <c r="I59" i="21"/>
  <c r="L58" i="21"/>
  <c r="K58" i="21"/>
  <c r="I58" i="21"/>
  <c r="J58" i="21"/>
  <c r="L57" i="21"/>
  <c r="I57" i="21"/>
  <c r="J57" i="21"/>
  <c r="L56" i="21"/>
  <c r="K56" i="21"/>
  <c r="J56" i="21"/>
  <c r="I56" i="21"/>
  <c r="L55" i="21"/>
  <c r="I55" i="21"/>
  <c r="J55" i="21"/>
  <c r="L54" i="21"/>
  <c r="K54" i="21"/>
  <c r="I54" i="21"/>
  <c r="L50" i="21"/>
  <c r="K50" i="21"/>
  <c r="J50" i="21"/>
  <c r="I50" i="21"/>
  <c r="L49" i="21"/>
  <c r="I49" i="21"/>
  <c r="J49" i="21"/>
  <c r="L48" i="21"/>
  <c r="I48" i="21"/>
  <c r="K48" i="21"/>
  <c r="L47" i="21"/>
  <c r="K47" i="21"/>
  <c r="I47" i="21"/>
  <c r="J47" i="21"/>
  <c r="L46" i="21"/>
  <c r="J46" i="21"/>
  <c r="I46" i="21"/>
  <c r="K46" i="21"/>
  <c r="L45" i="21"/>
  <c r="I45" i="21"/>
  <c r="J45" i="21"/>
  <c r="L44" i="21"/>
  <c r="I44" i="21"/>
  <c r="K44" i="21"/>
  <c r="L40" i="21"/>
  <c r="K40" i="21"/>
  <c r="J40" i="21"/>
  <c r="I40" i="21"/>
  <c r="L39" i="21"/>
  <c r="I39" i="21"/>
  <c r="K39" i="21"/>
  <c r="L38" i="21"/>
  <c r="I38" i="21"/>
  <c r="J38" i="21"/>
  <c r="L37" i="21"/>
  <c r="J37" i="21"/>
  <c r="I37" i="21"/>
  <c r="K37" i="21"/>
  <c r="L36" i="21"/>
  <c r="I36" i="21"/>
  <c r="J36" i="21"/>
  <c r="L35" i="21"/>
  <c r="I35" i="21"/>
  <c r="K35" i="21"/>
  <c r="L34" i="21"/>
  <c r="I34" i="21"/>
  <c r="J34" i="21"/>
  <c r="L30" i="21"/>
  <c r="K30" i="21"/>
  <c r="J30" i="21"/>
  <c r="I30" i="21"/>
  <c r="L29" i="21"/>
  <c r="I29" i="21"/>
  <c r="K29" i="21"/>
  <c r="L28" i="21"/>
  <c r="I28" i="21"/>
  <c r="J28" i="21"/>
  <c r="L27" i="21"/>
  <c r="J27" i="21"/>
  <c r="I27" i="21"/>
  <c r="K27" i="21"/>
  <c r="L26" i="21"/>
  <c r="K26" i="21"/>
  <c r="I26" i="21"/>
  <c r="J26" i="21"/>
  <c r="L25" i="21"/>
  <c r="I25" i="21"/>
  <c r="K25" i="21"/>
  <c r="L24" i="21"/>
  <c r="I24" i="21"/>
  <c r="L20" i="21"/>
  <c r="K20" i="21"/>
  <c r="J20" i="21"/>
  <c r="I20" i="21"/>
  <c r="L19" i="21"/>
  <c r="I19" i="21"/>
  <c r="J19" i="21"/>
  <c r="L18" i="21"/>
  <c r="K18" i="21"/>
  <c r="J18" i="21"/>
  <c r="I18" i="21"/>
  <c r="L17" i="21"/>
  <c r="K17" i="21"/>
  <c r="J17" i="21"/>
  <c r="I17" i="21"/>
  <c r="L16" i="21"/>
  <c r="K16" i="21"/>
  <c r="J16" i="21"/>
  <c r="I16" i="21"/>
  <c r="L15" i="21"/>
  <c r="K15" i="21"/>
  <c r="J15" i="21"/>
  <c r="I15" i="21"/>
  <c r="L14" i="21"/>
  <c r="K14" i="21"/>
  <c r="J14" i="21"/>
  <c r="I14" i="21"/>
  <c r="L70" i="20"/>
  <c r="K70" i="20"/>
  <c r="J70" i="20"/>
  <c r="I70" i="20"/>
  <c r="L69" i="20"/>
  <c r="K69" i="20"/>
  <c r="J69" i="20"/>
  <c r="I69" i="20"/>
  <c r="L68" i="20"/>
  <c r="K68" i="20"/>
  <c r="J68" i="20"/>
  <c r="I68" i="20"/>
  <c r="L67" i="20"/>
  <c r="K67" i="20"/>
  <c r="J67" i="20"/>
  <c r="I67" i="20"/>
  <c r="L66" i="20"/>
  <c r="K66" i="20"/>
  <c r="J66" i="20"/>
  <c r="I66" i="20"/>
  <c r="L65" i="20"/>
  <c r="K65" i="20"/>
  <c r="J65" i="20"/>
  <c r="I65" i="20"/>
  <c r="L64" i="20"/>
  <c r="K64" i="20"/>
  <c r="J64" i="20"/>
  <c r="J71" i="20" s="1"/>
  <c r="I64" i="20"/>
  <c r="L60" i="20"/>
  <c r="K60" i="20"/>
  <c r="J60" i="20"/>
  <c r="I60" i="20"/>
  <c r="L59" i="20"/>
  <c r="K59" i="20"/>
  <c r="J59" i="20"/>
  <c r="I59" i="20"/>
  <c r="L58" i="20"/>
  <c r="I58" i="20"/>
  <c r="K58" i="20"/>
  <c r="L57" i="20"/>
  <c r="K57" i="20"/>
  <c r="I57" i="20"/>
  <c r="J57" i="20"/>
  <c r="L56" i="20"/>
  <c r="J56" i="20"/>
  <c r="I56" i="20"/>
  <c r="K56" i="20"/>
  <c r="L55" i="20"/>
  <c r="I55" i="20"/>
  <c r="J55" i="20"/>
  <c r="L54" i="20"/>
  <c r="I54" i="20"/>
  <c r="K54" i="20"/>
  <c r="L50" i="20"/>
  <c r="K50" i="20"/>
  <c r="J50" i="20"/>
  <c r="I50" i="20"/>
  <c r="L49" i="20"/>
  <c r="I49" i="20"/>
  <c r="K49" i="20"/>
  <c r="L48" i="20"/>
  <c r="I48" i="20"/>
  <c r="K48" i="20"/>
  <c r="L47" i="20"/>
  <c r="K47" i="20"/>
  <c r="J47" i="20"/>
  <c r="I47" i="20"/>
  <c r="L46" i="20"/>
  <c r="I46" i="20"/>
  <c r="K46" i="20"/>
  <c r="L45" i="20"/>
  <c r="I45" i="20"/>
  <c r="K45" i="20"/>
  <c r="L44" i="20"/>
  <c r="I44" i="20"/>
  <c r="K44" i="20"/>
  <c r="L40" i="20"/>
  <c r="K40" i="20"/>
  <c r="J40" i="20"/>
  <c r="I40" i="20"/>
  <c r="L39" i="20"/>
  <c r="I39" i="20"/>
  <c r="K39" i="20"/>
  <c r="L38" i="20"/>
  <c r="I38" i="20"/>
  <c r="J38" i="20"/>
  <c r="L37" i="20"/>
  <c r="J37" i="20"/>
  <c r="I37" i="20"/>
  <c r="K37" i="20"/>
  <c r="L36" i="20"/>
  <c r="K36" i="20"/>
  <c r="I36" i="20"/>
  <c r="J36" i="20"/>
  <c r="L35" i="20"/>
  <c r="I35" i="20"/>
  <c r="K35" i="20"/>
  <c r="L34" i="20"/>
  <c r="I34" i="20"/>
  <c r="J34" i="20"/>
  <c r="L30" i="20"/>
  <c r="K30" i="20"/>
  <c r="J30" i="20"/>
  <c r="I30" i="20"/>
  <c r="L29" i="20"/>
  <c r="I29" i="20"/>
  <c r="K29" i="20"/>
  <c r="L28" i="20"/>
  <c r="I28" i="20"/>
  <c r="K28" i="20"/>
  <c r="L27" i="20"/>
  <c r="I27" i="20"/>
  <c r="K27" i="20"/>
  <c r="L26" i="20"/>
  <c r="K26" i="20"/>
  <c r="J26" i="20"/>
  <c r="I26" i="20"/>
  <c r="L25" i="20"/>
  <c r="I25" i="20"/>
  <c r="K25" i="20"/>
  <c r="L24" i="20"/>
  <c r="I24" i="20"/>
  <c r="L20" i="20"/>
  <c r="K20" i="20"/>
  <c r="J20" i="20"/>
  <c r="I20" i="20"/>
  <c r="L19" i="20"/>
  <c r="I19" i="20"/>
  <c r="J19" i="20"/>
  <c r="L18" i="20"/>
  <c r="K18" i="20"/>
  <c r="J18" i="20"/>
  <c r="I18" i="20"/>
  <c r="L17" i="20"/>
  <c r="K17" i="20"/>
  <c r="J17" i="20"/>
  <c r="I17" i="20"/>
  <c r="L16" i="20"/>
  <c r="K16" i="20"/>
  <c r="J16" i="20"/>
  <c r="I16" i="20"/>
  <c r="L15" i="20"/>
  <c r="K15" i="20"/>
  <c r="J15" i="20"/>
  <c r="I15" i="20"/>
  <c r="L14" i="20"/>
  <c r="K14" i="20"/>
  <c r="J14" i="20"/>
  <c r="I14" i="20"/>
  <c r="L70" i="19"/>
  <c r="K70" i="19"/>
  <c r="J70" i="19"/>
  <c r="I70" i="19"/>
  <c r="L69" i="19"/>
  <c r="K69" i="19"/>
  <c r="J69" i="19"/>
  <c r="I69" i="19"/>
  <c r="L68" i="19"/>
  <c r="K68" i="19"/>
  <c r="J68" i="19"/>
  <c r="I68" i="19"/>
  <c r="L67" i="19"/>
  <c r="K67" i="19"/>
  <c r="J67" i="19"/>
  <c r="I67" i="19"/>
  <c r="L66" i="19"/>
  <c r="K66" i="19"/>
  <c r="J66" i="19"/>
  <c r="I66" i="19"/>
  <c r="L65" i="19"/>
  <c r="K65" i="19"/>
  <c r="J65" i="19"/>
  <c r="I65" i="19"/>
  <c r="L64" i="19"/>
  <c r="K64" i="19"/>
  <c r="J64" i="19"/>
  <c r="I64" i="19"/>
  <c r="L60" i="19"/>
  <c r="K60" i="19"/>
  <c r="J60" i="19"/>
  <c r="I60" i="19"/>
  <c r="L59" i="19"/>
  <c r="K59" i="19"/>
  <c r="J59" i="19"/>
  <c r="I59" i="19"/>
  <c r="L58" i="19"/>
  <c r="I58" i="19"/>
  <c r="K58" i="19"/>
  <c r="L57" i="19"/>
  <c r="I57" i="19"/>
  <c r="J57" i="19"/>
  <c r="L56" i="19"/>
  <c r="J56" i="19"/>
  <c r="I56" i="19"/>
  <c r="K56" i="19"/>
  <c r="L55" i="19"/>
  <c r="I55" i="19"/>
  <c r="J55" i="19"/>
  <c r="L54" i="19"/>
  <c r="J54" i="19"/>
  <c r="I54" i="19"/>
  <c r="K54" i="19"/>
  <c r="L50" i="19"/>
  <c r="K50" i="19"/>
  <c r="J50" i="19"/>
  <c r="I50" i="19"/>
  <c r="L49" i="19"/>
  <c r="K49" i="19"/>
  <c r="I49" i="19"/>
  <c r="J49" i="19"/>
  <c r="L48" i="19"/>
  <c r="I48" i="19"/>
  <c r="J48" i="19"/>
  <c r="L47" i="19"/>
  <c r="K47" i="19"/>
  <c r="J47" i="19"/>
  <c r="I47" i="19"/>
  <c r="L46" i="19"/>
  <c r="I46" i="19"/>
  <c r="J46" i="19"/>
  <c r="L45" i="19"/>
  <c r="J45" i="19"/>
  <c r="I45" i="19"/>
  <c r="K45" i="19"/>
  <c r="L44" i="19"/>
  <c r="K44" i="19"/>
  <c r="I44" i="19"/>
  <c r="J44" i="19"/>
  <c r="L40" i="19"/>
  <c r="K40" i="19"/>
  <c r="J40" i="19"/>
  <c r="I40" i="19"/>
  <c r="L39" i="19"/>
  <c r="J39" i="19"/>
  <c r="I39" i="19"/>
  <c r="K39" i="19"/>
  <c r="L38" i="19"/>
  <c r="I38" i="19"/>
  <c r="J38" i="19"/>
  <c r="L37" i="19"/>
  <c r="J37" i="19"/>
  <c r="I37" i="19"/>
  <c r="K37" i="19"/>
  <c r="L36" i="19"/>
  <c r="I36" i="19"/>
  <c r="J36" i="19"/>
  <c r="L35" i="19"/>
  <c r="I35" i="19"/>
  <c r="K35" i="19"/>
  <c r="L34" i="19"/>
  <c r="I34" i="19"/>
  <c r="J34" i="19"/>
  <c r="L30" i="19"/>
  <c r="K30" i="19"/>
  <c r="J30" i="19"/>
  <c r="I30" i="19"/>
  <c r="L29" i="19"/>
  <c r="I29" i="19"/>
  <c r="J29" i="19"/>
  <c r="L28" i="19"/>
  <c r="J28" i="19"/>
  <c r="I28" i="19"/>
  <c r="K28" i="19"/>
  <c r="L27" i="19"/>
  <c r="K27" i="19"/>
  <c r="I27" i="19"/>
  <c r="J27" i="19"/>
  <c r="L26" i="19"/>
  <c r="I26" i="19"/>
  <c r="K26" i="19"/>
  <c r="L25" i="19"/>
  <c r="K25" i="19"/>
  <c r="I25" i="19"/>
  <c r="J25" i="19"/>
  <c r="L24" i="19"/>
  <c r="K24" i="19"/>
  <c r="I24" i="19"/>
  <c r="L20" i="19"/>
  <c r="K20" i="19"/>
  <c r="J20" i="19"/>
  <c r="I20" i="19"/>
  <c r="L19" i="19"/>
  <c r="I19" i="19"/>
  <c r="J19" i="19"/>
  <c r="L18" i="19"/>
  <c r="K18" i="19"/>
  <c r="J18" i="19"/>
  <c r="I18" i="19"/>
  <c r="L17" i="19"/>
  <c r="K17" i="19"/>
  <c r="J17" i="19"/>
  <c r="I17" i="19"/>
  <c r="L16" i="19"/>
  <c r="K16" i="19"/>
  <c r="J16" i="19"/>
  <c r="I16" i="19"/>
  <c r="L15" i="19"/>
  <c r="K15" i="19"/>
  <c r="J15" i="19"/>
  <c r="I15" i="19"/>
  <c r="L14" i="19"/>
  <c r="K14" i="19"/>
  <c r="J14" i="19"/>
  <c r="I14" i="19"/>
  <c r="L70" i="18"/>
  <c r="K70" i="18"/>
  <c r="J70" i="18"/>
  <c r="I70" i="18"/>
  <c r="L69" i="18"/>
  <c r="K69" i="18"/>
  <c r="J69" i="18"/>
  <c r="I69" i="18"/>
  <c r="L68" i="18"/>
  <c r="K68" i="18"/>
  <c r="J68" i="18"/>
  <c r="I68" i="18"/>
  <c r="L67" i="18"/>
  <c r="K67" i="18"/>
  <c r="J67" i="18"/>
  <c r="I67" i="18"/>
  <c r="L66" i="18"/>
  <c r="K66" i="18"/>
  <c r="J66" i="18"/>
  <c r="I66" i="18"/>
  <c r="L65" i="18"/>
  <c r="K65" i="18"/>
  <c r="J65" i="18"/>
  <c r="I65" i="18"/>
  <c r="L64" i="18"/>
  <c r="K64" i="18"/>
  <c r="J64" i="18"/>
  <c r="J71" i="18" s="1"/>
  <c r="I64" i="18"/>
  <c r="L60" i="18"/>
  <c r="K60" i="18"/>
  <c r="J60" i="18"/>
  <c r="I60" i="18"/>
  <c r="L59" i="18"/>
  <c r="K59" i="18"/>
  <c r="J59" i="18"/>
  <c r="I59" i="18"/>
  <c r="L58" i="18"/>
  <c r="K58" i="18"/>
  <c r="J58" i="18"/>
  <c r="I58" i="18"/>
  <c r="L57" i="18"/>
  <c r="I57" i="18"/>
  <c r="J57" i="18"/>
  <c r="L56" i="18"/>
  <c r="K56" i="18"/>
  <c r="J56" i="18"/>
  <c r="I56" i="18"/>
  <c r="L55" i="18"/>
  <c r="I55" i="18"/>
  <c r="J55" i="18"/>
  <c r="L54" i="18"/>
  <c r="K54" i="18"/>
  <c r="J54" i="18"/>
  <c r="I54" i="18"/>
  <c r="L50" i="18"/>
  <c r="K50" i="18"/>
  <c r="J50" i="18"/>
  <c r="I50" i="18"/>
  <c r="L49" i="18"/>
  <c r="K49" i="18"/>
  <c r="I49" i="18"/>
  <c r="J49" i="18"/>
  <c r="L48" i="18"/>
  <c r="J48" i="18"/>
  <c r="I48" i="18"/>
  <c r="K48" i="18"/>
  <c r="L47" i="18"/>
  <c r="K47" i="18"/>
  <c r="I47" i="18"/>
  <c r="J47" i="18"/>
  <c r="L46" i="18"/>
  <c r="J46" i="18"/>
  <c r="I46" i="18"/>
  <c r="K46" i="18"/>
  <c r="L45" i="18"/>
  <c r="K45" i="18"/>
  <c r="I45" i="18"/>
  <c r="J45" i="18"/>
  <c r="L44" i="18"/>
  <c r="J44" i="18"/>
  <c r="I44" i="18"/>
  <c r="K44" i="18"/>
  <c r="L40" i="18"/>
  <c r="K40" i="18"/>
  <c r="J40" i="18"/>
  <c r="I40" i="18"/>
  <c r="L39" i="18"/>
  <c r="K39" i="18"/>
  <c r="J39" i="18"/>
  <c r="I39" i="18"/>
  <c r="L38" i="18"/>
  <c r="I38" i="18"/>
  <c r="J38" i="18"/>
  <c r="L37" i="18"/>
  <c r="K37" i="18"/>
  <c r="J37" i="18"/>
  <c r="I37" i="18"/>
  <c r="L36" i="18"/>
  <c r="I36" i="18"/>
  <c r="J36" i="18"/>
  <c r="L35" i="18"/>
  <c r="K35" i="18"/>
  <c r="J35" i="18"/>
  <c r="I35" i="18"/>
  <c r="L34" i="18"/>
  <c r="I34" i="18"/>
  <c r="J34" i="18"/>
  <c r="L30" i="18"/>
  <c r="K30" i="18"/>
  <c r="J30" i="18"/>
  <c r="I30" i="18"/>
  <c r="L29" i="18"/>
  <c r="J29" i="18"/>
  <c r="I29" i="18"/>
  <c r="K29" i="18"/>
  <c r="L28" i="18"/>
  <c r="K28" i="18"/>
  <c r="I28" i="18"/>
  <c r="J28" i="18"/>
  <c r="L27" i="18"/>
  <c r="J27" i="18"/>
  <c r="I27" i="18"/>
  <c r="K27" i="18"/>
  <c r="L26" i="18"/>
  <c r="K26" i="18"/>
  <c r="I26" i="18"/>
  <c r="J26" i="18"/>
  <c r="L25" i="18"/>
  <c r="J25" i="18"/>
  <c r="I25" i="18"/>
  <c r="K25" i="18"/>
  <c r="L24" i="18"/>
  <c r="K24" i="18"/>
  <c r="I24" i="18"/>
  <c r="L20" i="18"/>
  <c r="K20" i="18"/>
  <c r="J20" i="18"/>
  <c r="I20" i="18"/>
  <c r="L19" i="18"/>
  <c r="I19" i="18"/>
  <c r="J19" i="18"/>
  <c r="L18" i="18"/>
  <c r="K18" i="18"/>
  <c r="J18" i="18"/>
  <c r="I18" i="18"/>
  <c r="L17" i="18"/>
  <c r="K17" i="18"/>
  <c r="J17" i="18"/>
  <c r="I17" i="18"/>
  <c r="L16" i="18"/>
  <c r="K16" i="18"/>
  <c r="J16" i="18"/>
  <c r="I16" i="18"/>
  <c r="L15" i="18"/>
  <c r="K15" i="18"/>
  <c r="J15" i="18"/>
  <c r="I15" i="18"/>
  <c r="L14" i="18"/>
  <c r="K14" i="18"/>
  <c r="J14" i="18"/>
  <c r="I14" i="18"/>
  <c r="L70" i="17"/>
  <c r="K70" i="17"/>
  <c r="J70" i="17"/>
  <c r="I70" i="17"/>
  <c r="L69" i="17"/>
  <c r="K69" i="17"/>
  <c r="J69" i="17"/>
  <c r="I69" i="17"/>
  <c r="L68" i="17"/>
  <c r="K68" i="17"/>
  <c r="J68" i="17"/>
  <c r="I68" i="17"/>
  <c r="L67" i="17"/>
  <c r="K67" i="17"/>
  <c r="J67" i="17"/>
  <c r="I67" i="17"/>
  <c r="L66" i="17"/>
  <c r="K66" i="17"/>
  <c r="J66" i="17"/>
  <c r="I66" i="17"/>
  <c r="L65" i="17"/>
  <c r="K65" i="17"/>
  <c r="J65" i="17"/>
  <c r="I65" i="17"/>
  <c r="L64" i="17"/>
  <c r="K64" i="17"/>
  <c r="K71" i="17" s="1"/>
  <c r="J64" i="17"/>
  <c r="J71" i="17" s="1"/>
  <c r="I64" i="17"/>
  <c r="L60" i="17"/>
  <c r="K60" i="17"/>
  <c r="J60" i="17"/>
  <c r="I60" i="17"/>
  <c r="L59" i="17"/>
  <c r="K59" i="17"/>
  <c r="J59" i="17"/>
  <c r="I59" i="17"/>
  <c r="L58" i="17"/>
  <c r="J58" i="17"/>
  <c r="I58" i="17"/>
  <c r="K58" i="17"/>
  <c r="L57" i="17"/>
  <c r="I57" i="17"/>
  <c r="J57" i="17"/>
  <c r="L56" i="17"/>
  <c r="J56" i="17"/>
  <c r="I56" i="17"/>
  <c r="K56" i="17"/>
  <c r="L55" i="17"/>
  <c r="I55" i="17"/>
  <c r="J55" i="17"/>
  <c r="L54" i="17"/>
  <c r="J54" i="17"/>
  <c r="I54" i="17"/>
  <c r="K54" i="17"/>
  <c r="L50" i="17"/>
  <c r="K50" i="17"/>
  <c r="J50" i="17"/>
  <c r="I50" i="17"/>
  <c r="L49" i="17"/>
  <c r="K49" i="17"/>
  <c r="J49" i="17"/>
  <c r="I49" i="17"/>
  <c r="L48" i="17"/>
  <c r="K48" i="17"/>
  <c r="I48" i="17"/>
  <c r="J48" i="17"/>
  <c r="L47" i="17"/>
  <c r="K47" i="17"/>
  <c r="J47" i="17"/>
  <c r="I47" i="17"/>
  <c r="L46" i="17"/>
  <c r="K46" i="17"/>
  <c r="I46" i="17"/>
  <c r="J46" i="17"/>
  <c r="L45" i="17"/>
  <c r="K45" i="17"/>
  <c r="J45" i="17"/>
  <c r="I45" i="17"/>
  <c r="L44" i="17"/>
  <c r="K44" i="17"/>
  <c r="K51" i="17" s="1"/>
  <c r="I44" i="17"/>
  <c r="J44" i="17"/>
  <c r="L40" i="17"/>
  <c r="K40" i="17"/>
  <c r="J40" i="17"/>
  <c r="I40" i="17"/>
  <c r="L39" i="17"/>
  <c r="J39" i="17"/>
  <c r="I39" i="17"/>
  <c r="K39" i="17"/>
  <c r="L38" i="17"/>
  <c r="I38" i="17"/>
  <c r="J38" i="17"/>
  <c r="L37" i="17"/>
  <c r="J37" i="17"/>
  <c r="I37" i="17"/>
  <c r="K37" i="17"/>
  <c r="L36" i="17"/>
  <c r="I36" i="17"/>
  <c r="J36" i="17"/>
  <c r="L35" i="17"/>
  <c r="J35" i="17"/>
  <c r="I35" i="17"/>
  <c r="K35" i="17"/>
  <c r="L34" i="17"/>
  <c r="I34" i="17"/>
  <c r="J34" i="17"/>
  <c r="L30" i="17"/>
  <c r="K30" i="17"/>
  <c r="J30" i="17"/>
  <c r="I30" i="17"/>
  <c r="L29" i="17"/>
  <c r="I29" i="17"/>
  <c r="K29" i="17"/>
  <c r="L28" i="17"/>
  <c r="K28" i="17"/>
  <c r="J28" i="17"/>
  <c r="I28" i="17"/>
  <c r="L27" i="17"/>
  <c r="I27" i="17"/>
  <c r="K27" i="17"/>
  <c r="L26" i="17"/>
  <c r="K26" i="17"/>
  <c r="J26" i="17"/>
  <c r="I26" i="17"/>
  <c r="L25" i="17"/>
  <c r="I25" i="17"/>
  <c r="K25" i="17"/>
  <c r="L24" i="17"/>
  <c r="K24" i="17"/>
  <c r="J24" i="17"/>
  <c r="I24" i="17"/>
  <c r="L20" i="17"/>
  <c r="K20" i="17"/>
  <c r="J20" i="17"/>
  <c r="I20" i="17"/>
  <c r="L19" i="17"/>
  <c r="I19" i="17"/>
  <c r="J19" i="17"/>
  <c r="L18" i="17"/>
  <c r="K18" i="17"/>
  <c r="J18" i="17"/>
  <c r="I18" i="17"/>
  <c r="L17" i="17"/>
  <c r="K17" i="17"/>
  <c r="J17" i="17"/>
  <c r="I17" i="17"/>
  <c r="L16" i="17"/>
  <c r="K16" i="17"/>
  <c r="J16" i="17"/>
  <c r="I16" i="17"/>
  <c r="L15" i="17"/>
  <c r="K15" i="17"/>
  <c r="J15" i="17"/>
  <c r="I15" i="17"/>
  <c r="L14" i="17"/>
  <c r="K14" i="17"/>
  <c r="J14" i="17"/>
  <c r="I14" i="17"/>
  <c r="L70" i="16"/>
  <c r="K70" i="16"/>
  <c r="J70" i="16"/>
  <c r="I70" i="16"/>
  <c r="L69" i="16"/>
  <c r="K69" i="16"/>
  <c r="J69" i="16"/>
  <c r="I69" i="16"/>
  <c r="L68" i="16"/>
  <c r="K68" i="16"/>
  <c r="J68" i="16"/>
  <c r="I68" i="16"/>
  <c r="L67" i="16"/>
  <c r="K67" i="16"/>
  <c r="J67" i="16"/>
  <c r="I67" i="16"/>
  <c r="L66" i="16"/>
  <c r="K66" i="16"/>
  <c r="J66" i="16"/>
  <c r="I66" i="16"/>
  <c r="L65" i="16"/>
  <c r="K65" i="16"/>
  <c r="J65" i="16"/>
  <c r="I65" i="16"/>
  <c r="L64" i="16"/>
  <c r="K64" i="16"/>
  <c r="J64" i="16"/>
  <c r="J71" i="16" s="1"/>
  <c r="I64" i="16"/>
  <c r="L60" i="16"/>
  <c r="K60" i="16"/>
  <c r="J60" i="16"/>
  <c r="I60" i="16"/>
  <c r="L59" i="16"/>
  <c r="K59" i="16"/>
  <c r="J59" i="16"/>
  <c r="I59" i="16"/>
  <c r="L58" i="16"/>
  <c r="K58" i="16"/>
  <c r="I58" i="16"/>
  <c r="J58" i="16"/>
  <c r="L57" i="16"/>
  <c r="I57" i="16"/>
  <c r="J57" i="16"/>
  <c r="L56" i="16"/>
  <c r="K56" i="16"/>
  <c r="J56" i="16"/>
  <c r="I56" i="16"/>
  <c r="L55" i="16"/>
  <c r="I55" i="16"/>
  <c r="J55" i="16"/>
  <c r="L54" i="16"/>
  <c r="K54" i="16"/>
  <c r="I54" i="16"/>
  <c r="J54" i="16"/>
  <c r="L50" i="16"/>
  <c r="K50" i="16"/>
  <c r="J50" i="16"/>
  <c r="I50" i="16"/>
  <c r="L49" i="16"/>
  <c r="I49" i="16"/>
  <c r="J49" i="16"/>
  <c r="L48" i="16"/>
  <c r="I48" i="16"/>
  <c r="K48" i="16"/>
  <c r="L47" i="16"/>
  <c r="J47" i="16"/>
  <c r="I47" i="16"/>
  <c r="K47" i="16"/>
  <c r="L46" i="16"/>
  <c r="I46" i="16"/>
  <c r="K46" i="16"/>
  <c r="L45" i="16"/>
  <c r="I45" i="16"/>
  <c r="J45" i="16"/>
  <c r="L44" i="16"/>
  <c r="I44" i="16"/>
  <c r="K44" i="16"/>
  <c r="L40" i="16"/>
  <c r="K40" i="16"/>
  <c r="J40" i="16"/>
  <c r="I40" i="16"/>
  <c r="L39" i="16"/>
  <c r="I39" i="16"/>
  <c r="J39" i="16"/>
  <c r="L38" i="16"/>
  <c r="I38" i="16"/>
  <c r="J38" i="16"/>
  <c r="L37" i="16"/>
  <c r="J37" i="16"/>
  <c r="I37" i="16"/>
  <c r="K37" i="16"/>
  <c r="L36" i="16"/>
  <c r="I36" i="16"/>
  <c r="J36" i="16"/>
  <c r="L35" i="16"/>
  <c r="I35" i="16"/>
  <c r="J35" i="16"/>
  <c r="L34" i="16"/>
  <c r="I34" i="16"/>
  <c r="J34" i="16"/>
  <c r="L30" i="16"/>
  <c r="K30" i="16"/>
  <c r="J30" i="16"/>
  <c r="I30" i="16"/>
  <c r="L29" i="16"/>
  <c r="I29" i="16"/>
  <c r="K29" i="16"/>
  <c r="L28" i="16"/>
  <c r="I28" i="16"/>
  <c r="J28" i="16"/>
  <c r="L27" i="16"/>
  <c r="I27" i="16"/>
  <c r="K27" i="16"/>
  <c r="L26" i="16"/>
  <c r="J26" i="16"/>
  <c r="I26" i="16"/>
  <c r="K26" i="16"/>
  <c r="L25" i="16"/>
  <c r="I25" i="16"/>
  <c r="K25" i="16"/>
  <c r="L24" i="16"/>
  <c r="I24" i="16"/>
  <c r="L20" i="16"/>
  <c r="K20" i="16"/>
  <c r="J20" i="16"/>
  <c r="I20" i="16"/>
  <c r="L19" i="16"/>
  <c r="I19" i="16"/>
  <c r="J19" i="16"/>
  <c r="L18" i="16"/>
  <c r="K18" i="16"/>
  <c r="J18" i="16"/>
  <c r="I18" i="16"/>
  <c r="L17" i="16"/>
  <c r="K17" i="16"/>
  <c r="J17" i="16"/>
  <c r="I17" i="16"/>
  <c r="L16" i="16"/>
  <c r="K16" i="16"/>
  <c r="J16" i="16"/>
  <c r="I16" i="16"/>
  <c r="L15" i="16"/>
  <c r="K15" i="16"/>
  <c r="J15" i="16"/>
  <c r="I15" i="16"/>
  <c r="L14" i="16"/>
  <c r="K14" i="16"/>
  <c r="J14" i="16"/>
  <c r="I14" i="16"/>
  <c r="L70" i="15"/>
  <c r="K70" i="15"/>
  <c r="J70" i="15"/>
  <c r="I70" i="15"/>
  <c r="L69" i="15"/>
  <c r="K69" i="15"/>
  <c r="J69" i="15"/>
  <c r="I69" i="15"/>
  <c r="L68" i="15"/>
  <c r="K68" i="15"/>
  <c r="J68" i="15"/>
  <c r="I68" i="15"/>
  <c r="L67" i="15"/>
  <c r="K67" i="15"/>
  <c r="J67" i="15"/>
  <c r="I67" i="15"/>
  <c r="L66" i="15"/>
  <c r="K66" i="15"/>
  <c r="J66" i="15"/>
  <c r="I66" i="15"/>
  <c r="L65" i="15"/>
  <c r="K65" i="15"/>
  <c r="J65" i="15"/>
  <c r="I65" i="15"/>
  <c r="L64" i="15"/>
  <c r="K64" i="15"/>
  <c r="J64" i="15"/>
  <c r="I64" i="15"/>
  <c r="L60" i="15"/>
  <c r="K60" i="15"/>
  <c r="J60" i="15"/>
  <c r="I60" i="15"/>
  <c r="L59" i="15"/>
  <c r="K59" i="15"/>
  <c r="J59" i="15"/>
  <c r="I59" i="15"/>
  <c r="L58" i="15"/>
  <c r="I58" i="15"/>
  <c r="K58" i="15"/>
  <c r="L57" i="15"/>
  <c r="I57" i="15"/>
  <c r="K57" i="15"/>
  <c r="L56" i="15"/>
  <c r="I56" i="15"/>
  <c r="K56" i="15"/>
  <c r="L55" i="15"/>
  <c r="J55" i="15"/>
  <c r="I55" i="15"/>
  <c r="K55" i="15"/>
  <c r="L54" i="15"/>
  <c r="I54" i="15"/>
  <c r="K54" i="15"/>
  <c r="L50" i="15"/>
  <c r="K50" i="15"/>
  <c r="J50" i="15"/>
  <c r="I50" i="15"/>
  <c r="L49" i="15"/>
  <c r="I49" i="15"/>
  <c r="K49" i="15"/>
  <c r="L48" i="15"/>
  <c r="I48" i="15"/>
  <c r="K48" i="15"/>
  <c r="L47" i="15"/>
  <c r="J47" i="15"/>
  <c r="I47" i="15"/>
  <c r="K47" i="15"/>
  <c r="L46" i="15"/>
  <c r="I46" i="15"/>
  <c r="K46" i="15"/>
  <c r="L45" i="15"/>
  <c r="J45" i="15"/>
  <c r="I45" i="15"/>
  <c r="K45" i="15"/>
  <c r="L44" i="15"/>
  <c r="I44" i="15"/>
  <c r="K44" i="15"/>
  <c r="L40" i="15"/>
  <c r="K40" i="15"/>
  <c r="J40" i="15"/>
  <c r="I40" i="15"/>
  <c r="L39" i="15"/>
  <c r="I39" i="15"/>
  <c r="K39" i="15"/>
  <c r="L38" i="15"/>
  <c r="K38" i="15"/>
  <c r="J38" i="15"/>
  <c r="I38" i="15"/>
  <c r="L37" i="15"/>
  <c r="I37" i="15"/>
  <c r="K37" i="15"/>
  <c r="L36" i="15"/>
  <c r="I36" i="15"/>
  <c r="K36" i="15"/>
  <c r="L35" i="15"/>
  <c r="I35" i="15"/>
  <c r="K35" i="15"/>
  <c r="L34" i="15"/>
  <c r="K34" i="15"/>
  <c r="J34" i="15"/>
  <c r="I34" i="15"/>
  <c r="L30" i="15"/>
  <c r="K30" i="15"/>
  <c r="J30" i="15"/>
  <c r="I30" i="15"/>
  <c r="L29" i="15"/>
  <c r="I29" i="15"/>
  <c r="K29" i="15"/>
  <c r="L28" i="15"/>
  <c r="J28" i="15"/>
  <c r="I28" i="15"/>
  <c r="K28" i="15"/>
  <c r="L27" i="15"/>
  <c r="I27" i="15"/>
  <c r="K27" i="15"/>
  <c r="L26" i="15"/>
  <c r="J26" i="15"/>
  <c r="I26" i="15"/>
  <c r="K26" i="15"/>
  <c r="L25" i="15"/>
  <c r="I25" i="15"/>
  <c r="K25" i="15"/>
  <c r="L24" i="15"/>
  <c r="I24" i="15"/>
  <c r="L20" i="15"/>
  <c r="K20" i="15"/>
  <c r="J20" i="15"/>
  <c r="I20" i="15"/>
  <c r="L19" i="15"/>
  <c r="I19" i="15"/>
  <c r="K19" i="15"/>
  <c r="L18" i="15"/>
  <c r="K18" i="15"/>
  <c r="J18" i="15"/>
  <c r="I18" i="15"/>
  <c r="L17" i="15"/>
  <c r="K17" i="15"/>
  <c r="J17" i="15"/>
  <c r="I17" i="15"/>
  <c r="L16" i="15"/>
  <c r="K16" i="15"/>
  <c r="J16" i="15"/>
  <c r="I16" i="15"/>
  <c r="L15" i="15"/>
  <c r="K15" i="15"/>
  <c r="J15" i="15"/>
  <c r="I15" i="15"/>
  <c r="L14" i="15"/>
  <c r="K14" i="15"/>
  <c r="J14" i="15"/>
  <c r="I14" i="15"/>
  <c r="L70" i="14"/>
  <c r="K70" i="14"/>
  <c r="J70" i="14"/>
  <c r="I70" i="14"/>
  <c r="L69" i="14"/>
  <c r="K69" i="14"/>
  <c r="J69" i="14"/>
  <c r="I69" i="14"/>
  <c r="L68" i="14"/>
  <c r="K68" i="14"/>
  <c r="J68" i="14"/>
  <c r="I68" i="14"/>
  <c r="L67" i="14"/>
  <c r="K67" i="14"/>
  <c r="J67" i="14"/>
  <c r="I67" i="14"/>
  <c r="L66" i="14"/>
  <c r="K66" i="14"/>
  <c r="J66" i="14"/>
  <c r="I66" i="14"/>
  <c r="L65" i="14"/>
  <c r="K65" i="14"/>
  <c r="J65" i="14"/>
  <c r="I65" i="14"/>
  <c r="L64" i="14"/>
  <c r="K64" i="14"/>
  <c r="K71" i="14" s="1"/>
  <c r="J64" i="14"/>
  <c r="I64" i="14"/>
  <c r="L60" i="14"/>
  <c r="K60" i="14"/>
  <c r="J60" i="14"/>
  <c r="I60" i="14"/>
  <c r="L59" i="14"/>
  <c r="K59" i="14"/>
  <c r="J59" i="14"/>
  <c r="I59" i="14"/>
  <c r="L58" i="14"/>
  <c r="K58" i="14"/>
  <c r="J58" i="14"/>
  <c r="I58" i="14"/>
  <c r="L57" i="14"/>
  <c r="I57" i="14"/>
  <c r="J57" i="14"/>
  <c r="L56" i="14"/>
  <c r="K56" i="14"/>
  <c r="J56" i="14"/>
  <c r="I56" i="14"/>
  <c r="L55" i="14"/>
  <c r="I55" i="14"/>
  <c r="J55" i="14"/>
  <c r="L54" i="14"/>
  <c r="K54" i="14"/>
  <c r="J54" i="14"/>
  <c r="I54" i="14"/>
  <c r="L50" i="14"/>
  <c r="K50" i="14"/>
  <c r="J50" i="14"/>
  <c r="I50" i="14"/>
  <c r="L49" i="14"/>
  <c r="K49" i="14"/>
  <c r="I49" i="14"/>
  <c r="J49" i="14"/>
  <c r="L48" i="14"/>
  <c r="J48" i="14"/>
  <c r="I48" i="14"/>
  <c r="K48" i="14"/>
  <c r="L47" i="14"/>
  <c r="K47" i="14"/>
  <c r="I47" i="14"/>
  <c r="J47" i="14"/>
  <c r="L46" i="14"/>
  <c r="J46" i="14"/>
  <c r="I46" i="14"/>
  <c r="K46" i="14"/>
  <c r="L45" i="14"/>
  <c r="K45" i="14"/>
  <c r="I45" i="14"/>
  <c r="J45" i="14"/>
  <c r="L44" i="14"/>
  <c r="J44" i="14"/>
  <c r="I44" i="14"/>
  <c r="K44" i="14"/>
  <c r="L40" i="14"/>
  <c r="K40" i="14"/>
  <c r="J40" i="14"/>
  <c r="I40" i="14"/>
  <c r="L39" i="14"/>
  <c r="K39" i="14"/>
  <c r="J39" i="14"/>
  <c r="I39" i="14"/>
  <c r="L38" i="14"/>
  <c r="I38" i="14"/>
  <c r="J38" i="14"/>
  <c r="L37" i="14"/>
  <c r="K37" i="14"/>
  <c r="J37" i="14"/>
  <c r="I37" i="14"/>
  <c r="L36" i="14"/>
  <c r="I36" i="14"/>
  <c r="J36" i="14"/>
  <c r="L35" i="14"/>
  <c r="K35" i="14"/>
  <c r="J35" i="14"/>
  <c r="I35" i="14"/>
  <c r="L34" i="14"/>
  <c r="I34" i="14"/>
  <c r="J34" i="14"/>
  <c r="L30" i="14"/>
  <c r="K30" i="14"/>
  <c r="J30" i="14"/>
  <c r="I30" i="14"/>
  <c r="L29" i="14"/>
  <c r="J29" i="14"/>
  <c r="I29" i="14"/>
  <c r="K29" i="14"/>
  <c r="L28" i="14"/>
  <c r="K28" i="14"/>
  <c r="I28" i="14"/>
  <c r="J28" i="14"/>
  <c r="L27" i="14"/>
  <c r="J27" i="14"/>
  <c r="I27" i="14"/>
  <c r="K27" i="14"/>
  <c r="L26" i="14"/>
  <c r="K26" i="14"/>
  <c r="I26" i="14"/>
  <c r="J26" i="14"/>
  <c r="L25" i="14"/>
  <c r="J25" i="14"/>
  <c r="I25" i="14"/>
  <c r="K25" i="14"/>
  <c r="L24" i="14"/>
  <c r="K24" i="14"/>
  <c r="I24" i="14"/>
  <c r="L20" i="14"/>
  <c r="K20" i="14"/>
  <c r="J20" i="14"/>
  <c r="I20" i="14"/>
  <c r="L19" i="14"/>
  <c r="I19" i="14"/>
  <c r="K19" i="14"/>
  <c r="L18" i="14"/>
  <c r="K18" i="14"/>
  <c r="J18" i="14"/>
  <c r="I18" i="14"/>
  <c r="L17" i="14"/>
  <c r="K17" i="14"/>
  <c r="J17" i="14"/>
  <c r="I17" i="14"/>
  <c r="L16" i="14"/>
  <c r="K16" i="14"/>
  <c r="J16" i="14"/>
  <c r="I16" i="14"/>
  <c r="L15" i="14"/>
  <c r="K15" i="14"/>
  <c r="J15" i="14"/>
  <c r="I15" i="14"/>
  <c r="L14" i="14"/>
  <c r="K14" i="14"/>
  <c r="J14" i="14"/>
  <c r="I14" i="14"/>
  <c r="L70" i="13"/>
  <c r="K70" i="13"/>
  <c r="J70" i="13"/>
  <c r="I70" i="13"/>
  <c r="L69" i="13"/>
  <c r="K69" i="13"/>
  <c r="J69" i="13"/>
  <c r="I69" i="13"/>
  <c r="L68" i="13"/>
  <c r="K68" i="13"/>
  <c r="J68" i="13"/>
  <c r="I68" i="13"/>
  <c r="L67" i="13"/>
  <c r="K67" i="13"/>
  <c r="J67" i="13"/>
  <c r="I67" i="13"/>
  <c r="L66" i="13"/>
  <c r="K66" i="13"/>
  <c r="J66" i="13"/>
  <c r="I66" i="13"/>
  <c r="L65" i="13"/>
  <c r="K65" i="13"/>
  <c r="J65" i="13"/>
  <c r="I65" i="13"/>
  <c r="L64" i="13"/>
  <c r="K64" i="13"/>
  <c r="K71" i="13" s="1"/>
  <c r="J64" i="13"/>
  <c r="I64" i="13"/>
  <c r="L60" i="13"/>
  <c r="K60" i="13"/>
  <c r="J60" i="13"/>
  <c r="I60" i="13"/>
  <c r="L59" i="13"/>
  <c r="K59" i="13"/>
  <c r="J59" i="13"/>
  <c r="I59" i="13"/>
  <c r="L58" i="13"/>
  <c r="J58" i="13"/>
  <c r="I58" i="13"/>
  <c r="K58" i="13"/>
  <c r="L57" i="13"/>
  <c r="I57" i="13"/>
  <c r="J57" i="13"/>
  <c r="L56" i="13"/>
  <c r="J56" i="13"/>
  <c r="I56" i="13"/>
  <c r="K56" i="13"/>
  <c r="L55" i="13"/>
  <c r="I55" i="13"/>
  <c r="J55" i="13"/>
  <c r="L54" i="13"/>
  <c r="J54" i="13"/>
  <c r="I54" i="13"/>
  <c r="K54" i="13"/>
  <c r="L50" i="13"/>
  <c r="K50" i="13"/>
  <c r="J50" i="13"/>
  <c r="I50" i="13"/>
  <c r="L49" i="13"/>
  <c r="K49" i="13"/>
  <c r="J49" i="13"/>
  <c r="I49" i="13"/>
  <c r="L48" i="13"/>
  <c r="K48" i="13"/>
  <c r="I48" i="13"/>
  <c r="J48" i="13"/>
  <c r="L47" i="13"/>
  <c r="K47" i="13"/>
  <c r="J47" i="13"/>
  <c r="I47" i="13"/>
  <c r="L46" i="13"/>
  <c r="K46" i="13"/>
  <c r="I46" i="13"/>
  <c r="J46" i="13"/>
  <c r="L45" i="13"/>
  <c r="K45" i="13"/>
  <c r="J45" i="13"/>
  <c r="I45" i="13"/>
  <c r="L44" i="13"/>
  <c r="K44" i="13"/>
  <c r="K51" i="13" s="1"/>
  <c r="I44" i="13"/>
  <c r="J44" i="13"/>
  <c r="L40" i="13"/>
  <c r="K40" i="13"/>
  <c r="J40" i="13"/>
  <c r="I40" i="13"/>
  <c r="L39" i="13"/>
  <c r="J39" i="13"/>
  <c r="I39" i="13"/>
  <c r="K39" i="13"/>
  <c r="L38" i="13"/>
  <c r="I38" i="13"/>
  <c r="J38" i="13"/>
  <c r="L37" i="13"/>
  <c r="J37" i="13"/>
  <c r="I37" i="13"/>
  <c r="K37" i="13"/>
  <c r="L36" i="13"/>
  <c r="I36" i="13"/>
  <c r="J36" i="13"/>
  <c r="L35" i="13"/>
  <c r="J35" i="13"/>
  <c r="I35" i="13"/>
  <c r="K35" i="13"/>
  <c r="L34" i="13"/>
  <c r="I34" i="13"/>
  <c r="J34" i="13"/>
  <c r="L30" i="13"/>
  <c r="K30" i="13"/>
  <c r="J30" i="13"/>
  <c r="I30" i="13"/>
  <c r="L29" i="13"/>
  <c r="K29" i="13"/>
  <c r="J29" i="13"/>
  <c r="I29" i="13"/>
  <c r="L28" i="13"/>
  <c r="K28" i="13"/>
  <c r="I28" i="13"/>
  <c r="J28" i="13"/>
  <c r="L27" i="13"/>
  <c r="K27" i="13"/>
  <c r="J27" i="13"/>
  <c r="I27" i="13"/>
  <c r="L26" i="13"/>
  <c r="K26" i="13"/>
  <c r="I26" i="13"/>
  <c r="J26" i="13"/>
  <c r="L25" i="13"/>
  <c r="K25" i="13"/>
  <c r="J25" i="13"/>
  <c r="I25" i="13"/>
  <c r="L24" i="13"/>
  <c r="K24" i="13"/>
  <c r="K31" i="13" s="1"/>
  <c r="I24" i="13"/>
  <c r="J24" i="13"/>
  <c r="L20" i="13"/>
  <c r="K20" i="13"/>
  <c r="J20" i="13"/>
  <c r="I20" i="13"/>
  <c r="L19" i="13"/>
  <c r="I19" i="13"/>
  <c r="J19" i="13"/>
  <c r="L18" i="13"/>
  <c r="K18" i="13"/>
  <c r="J18" i="13"/>
  <c r="I18" i="13"/>
  <c r="L17" i="13"/>
  <c r="K17" i="13"/>
  <c r="J17" i="13"/>
  <c r="I17" i="13"/>
  <c r="L16" i="13"/>
  <c r="K16" i="13"/>
  <c r="J16" i="13"/>
  <c r="I16" i="13"/>
  <c r="L15" i="13"/>
  <c r="K15" i="13"/>
  <c r="J15" i="13"/>
  <c r="I15" i="13"/>
  <c r="L14" i="13"/>
  <c r="K14" i="13"/>
  <c r="J14" i="13"/>
  <c r="I14" i="13"/>
  <c r="L70" i="12"/>
  <c r="K70" i="12"/>
  <c r="J70" i="12"/>
  <c r="I70" i="12"/>
  <c r="L69" i="12"/>
  <c r="K69" i="12"/>
  <c r="J69" i="12"/>
  <c r="I69" i="12"/>
  <c r="L68" i="12"/>
  <c r="K68" i="12"/>
  <c r="J68" i="12"/>
  <c r="I68" i="12"/>
  <c r="L67" i="12"/>
  <c r="K67" i="12"/>
  <c r="J67" i="12"/>
  <c r="I67" i="12"/>
  <c r="L66" i="12"/>
  <c r="K66" i="12"/>
  <c r="J66" i="12"/>
  <c r="I66" i="12"/>
  <c r="L65" i="12"/>
  <c r="K65" i="12"/>
  <c r="J65" i="12"/>
  <c r="I65" i="12"/>
  <c r="L64" i="12"/>
  <c r="K64" i="12"/>
  <c r="J64" i="12"/>
  <c r="I64" i="12"/>
  <c r="L60" i="12"/>
  <c r="K60" i="12"/>
  <c r="J60" i="12"/>
  <c r="I60" i="12"/>
  <c r="L59" i="12"/>
  <c r="K59" i="12"/>
  <c r="J59" i="12"/>
  <c r="I59" i="12"/>
  <c r="L58" i="12"/>
  <c r="I58" i="12"/>
  <c r="K58" i="12"/>
  <c r="L57" i="12"/>
  <c r="K57" i="12"/>
  <c r="J57" i="12"/>
  <c r="I57" i="12"/>
  <c r="L56" i="12"/>
  <c r="I56" i="12"/>
  <c r="K56" i="12"/>
  <c r="L55" i="12"/>
  <c r="K55" i="12"/>
  <c r="J55" i="12"/>
  <c r="I55" i="12"/>
  <c r="L54" i="12"/>
  <c r="I54" i="12"/>
  <c r="K54" i="12"/>
  <c r="L50" i="12"/>
  <c r="K50" i="12"/>
  <c r="J50" i="12"/>
  <c r="I50" i="12"/>
  <c r="L49" i="12"/>
  <c r="J49" i="12"/>
  <c r="I49" i="12"/>
  <c r="K49" i="12"/>
  <c r="L48" i="12"/>
  <c r="I48" i="12"/>
  <c r="K48" i="12"/>
  <c r="L47" i="12"/>
  <c r="J47" i="12"/>
  <c r="I47" i="12"/>
  <c r="K47" i="12"/>
  <c r="L46" i="12"/>
  <c r="I46" i="12"/>
  <c r="K46" i="12"/>
  <c r="L45" i="12"/>
  <c r="J45" i="12"/>
  <c r="I45" i="12"/>
  <c r="K45" i="12"/>
  <c r="L44" i="12"/>
  <c r="I44" i="12"/>
  <c r="K44" i="12"/>
  <c r="L40" i="12"/>
  <c r="K40" i="12"/>
  <c r="J40" i="12"/>
  <c r="I40" i="12"/>
  <c r="L39" i="12"/>
  <c r="I39" i="12"/>
  <c r="K39" i="12"/>
  <c r="L38" i="12"/>
  <c r="K38" i="12"/>
  <c r="J38" i="12"/>
  <c r="I38" i="12"/>
  <c r="L37" i="12"/>
  <c r="I37" i="12"/>
  <c r="K37" i="12"/>
  <c r="L36" i="12"/>
  <c r="K36" i="12"/>
  <c r="J36" i="12"/>
  <c r="I36" i="12"/>
  <c r="L35" i="12"/>
  <c r="I35" i="12"/>
  <c r="K35" i="12"/>
  <c r="L34" i="12"/>
  <c r="K34" i="12"/>
  <c r="K41" i="12" s="1"/>
  <c r="J34" i="12"/>
  <c r="I34" i="12"/>
  <c r="L30" i="12"/>
  <c r="K30" i="12"/>
  <c r="J30" i="12"/>
  <c r="I30" i="12"/>
  <c r="L29" i="12"/>
  <c r="I29" i="12"/>
  <c r="K29" i="12"/>
  <c r="L28" i="12"/>
  <c r="J28" i="12"/>
  <c r="I28" i="12"/>
  <c r="K28" i="12"/>
  <c r="L27" i="12"/>
  <c r="I27" i="12"/>
  <c r="K27" i="12"/>
  <c r="L26" i="12"/>
  <c r="J26" i="12"/>
  <c r="I26" i="12"/>
  <c r="K26" i="12"/>
  <c r="L25" i="12"/>
  <c r="I25" i="12"/>
  <c r="K25" i="12"/>
  <c r="L24" i="12"/>
  <c r="J24" i="12"/>
  <c r="I24" i="12"/>
  <c r="L20" i="12"/>
  <c r="K20" i="12"/>
  <c r="J20" i="12"/>
  <c r="I20" i="12"/>
  <c r="L19" i="12"/>
  <c r="K19" i="12"/>
  <c r="J19" i="12"/>
  <c r="I19" i="12"/>
  <c r="L18" i="12"/>
  <c r="K18" i="12"/>
  <c r="J18" i="12"/>
  <c r="I18" i="12"/>
  <c r="L17" i="12"/>
  <c r="K17" i="12"/>
  <c r="J17" i="12"/>
  <c r="I17" i="12"/>
  <c r="L16" i="12"/>
  <c r="K16" i="12"/>
  <c r="J16" i="12"/>
  <c r="I16" i="12"/>
  <c r="L15" i="12"/>
  <c r="K15" i="12"/>
  <c r="J15" i="12"/>
  <c r="I15" i="12"/>
  <c r="L14" i="12"/>
  <c r="K14" i="12"/>
  <c r="J14" i="12"/>
  <c r="I14" i="12"/>
  <c r="L70" i="11"/>
  <c r="K70" i="11"/>
  <c r="J70" i="11"/>
  <c r="I70" i="11"/>
  <c r="L69" i="11"/>
  <c r="K69" i="11"/>
  <c r="J69" i="11"/>
  <c r="I69" i="11"/>
  <c r="L68" i="11"/>
  <c r="K68" i="11"/>
  <c r="J68" i="11"/>
  <c r="I68" i="11"/>
  <c r="L67" i="11"/>
  <c r="K67" i="11"/>
  <c r="J67" i="11"/>
  <c r="I67" i="11"/>
  <c r="L66" i="11"/>
  <c r="K66" i="11"/>
  <c r="J66" i="11"/>
  <c r="I66" i="11"/>
  <c r="L65" i="11"/>
  <c r="K65" i="11"/>
  <c r="J65" i="11"/>
  <c r="I65" i="11"/>
  <c r="L64" i="11"/>
  <c r="K64" i="11"/>
  <c r="K71" i="11" s="1"/>
  <c r="J64" i="11"/>
  <c r="I64" i="11"/>
  <c r="L60" i="11"/>
  <c r="K60" i="11"/>
  <c r="J60" i="11"/>
  <c r="I60" i="11"/>
  <c r="L59" i="11"/>
  <c r="K59" i="11"/>
  <c r="J59" i="11"/>
  <c r="I59" i="11"/>
  <c r="L58" i="11"/>
  <c r="I58" i="11"/>
  <c r="K58" i="11"/>
  <c r="L57" i="11"/>
  <c r="K57" i="11"/>
  <c r="J57" i="11"/>
  <c r="I57" i="11"/>
  <c r="L56" i="11"/>
  <c r="K56" i="11"/>
  <c r="I56" i="11"/>
  <c r="J56" i="11"/>
  <c r="L55" i="11"/>
  <c r="K55" i="11"/>
  <c r="J55" i="11"/>
  <c r="I55" i="11"/>
  <c r="L54" i="11"/>
  <c r="K54" i="11"/>
  <c r="I54" i="11"/>
  <c r="J54" i="11"/>
  <c r="L50" i="11"/>
  <c r="K50" i="11"/>
  <c r="J50" i="11"/>
  <c r="I50" i="11"/>
  <c r="L49" i="11"/>
  <c r="J49" i="11"/>
  <c r="I49" i="11"/>
  <c r="K49" i="11"/>
  <c r="L48" i="11"/>
  <c r="I48" i="11"/>
  <c r="K48" i="11"/>
  <c r="L47" i="11"/>
  <c r="J47" i="11"/>
  <c r="I47" i="11"/>
  <c r="K47" i="11"/>
  <c r="L46" i="11"/>
  <c r="I46" i="11"/>
  <c r="K46" i="11"/>
  <c r="L45" i="11"/>
  <c r="J45" i="11"/>
  <c r="I45" i="11"/>
  <c r="K45" i="11"/>
  <c r="L44" i="11"/>
  <c r="I44" i="11"/>
  <c r="K44" i="11"/>
  <c r="L40" i="11"/>
  <c r="K40" i="11"/>
  <c r="J40" i="11"/>
  <c r="I40" i="11"/>
  <c r="L39" i="11"/>
  <c r="K39" i="11"/>
  <c r="I39" i="11"/>
  <c r="J39" i="11"/>
  <c r="L38" i="11"/>
  <c r="K38" i="11"/>
  <c r="J38" i="11"/>
  <c r="I38" i="11"/>
  <c r="L37" i="11"/>
  <c r="K37" i="11"/>
  <c r="I37" i="11"/>
  <c r="J37" i="11"/>
  <c r="L36" i="11"/>
  <c r="K36" i="11"/>
  <c r="J36" i="11"/>
  <c r="I36" i="11"/>
  <c r="L35" i="11"/>
  <c r="K35" i="11"/>
  <c r="I35" i="11"/>
  <c r="J35" i="11"/>
  <c r="L34" i="11"/>
  <c r="K34" i="11"/>
  <c r="K41" i="11" s="1"/>
  <c r="I34" i="11"/>
  <c r="J34" i="11"/>
  <c r="L30" i="11"/>
  <c r="K30" i="11"/>
  <c r="J30" i="11"/>
  <c r="I30" i="11"/>
  <c r="L29" i="11"/>
  <c r="I29" i="11"/>
  <c r="K29" i="11"/>
  <c r="L28" i="11"/>
  <c r="J28" i="11"/>
  <c r="I28" i="11"/>
  <c r="K28" i="11"/>
  <c r="L27" i="11"/>
  <c r="I27" i="11"/>
  <c r="K27" i="11"/>
  <c r="L26" i="11"/>
  <c r="J26" i="11"/>
  <c r="I26" i="11"/>
  <c r="K26" i="11"/>
  <c r="L25" i="11"/>
  <c r="I25" i="11"/>
  <c r="K25" i="11"/>
  <c r="L24" i="11"/>
  <c r="J24" i="11"/>
  <c r="I24" i="11"/>
  <c r="L20" i="11"/>
  <c r="K20" i="11"/>
  <c r="J20" i="11"/>
  <c r="I20" i="11"/>
  <c r="L19" i="11"/>
  <c r="J19" i="11"/>
  <c r="I19" i="11"/>
  <c r="K19" i="11"/>
  <c r="L18" i="11"/>
  <c r="K18" i="11"/>
  <c r="J18" i="11"/>
  <c r="I18" i="11"/>
  <c r="L17" i="11"/>
  <c r="K17" i="11"/>
  <c r="J17" i="11"/>
  <c r="I17" i="11"/>
  <c r="L16" i="11"/>
  <c r="K16" i="11"/>
  <c r="J16" i="11"/>
  <c r="I16" i="11"/>
  <c r="L15" i="11"/>
  <c r="K15" i="11"/>
  <c r="J15" i="11"/>
  <c r="I15" i="11"/>
  <c r="L14" i="11"/>
  <c r="K14" i="11"/>
  <c r="J14" i="11"/>
  <c r="I14" i="11"/>
  <c r="L70" i="10"/>
  <c r="K70" i="10"/>
  <c r="J70" i="10"/>
  <c r="I70" i="10"/>
  <c r="L69" i="10"/>
  <c r="K69" i="10"/>
  <c r="J69" i="10"/>
  <c r="I69" i="10"/>
  <c r="L68" i="10"/>
  <c r="K68" i="10"/>
  <c r="J68" i="10"/>
  <c r="I68" i="10"/>
  <c r="L67" i="10"/>
  <c r="K67" i="10"/>
  <c r="J67" i="10"/>
  <c r="I67" i="10"/>
  <c r="L66" i="10"/>
  <c r="K66" i="10"/>
  <c r="J66" i="10"/>
  <c r="I66" i="10"/>
  <c r="L65" i="10"/>
  <c r="K65" i="10"/>
  <c r="J65" i="10"/>
  <c r="I65" i="10"/>
  <c r="L64" i="10"/>
  <c r="K64" i="10"/>
  <c r="J64" i="10"/>
  <c r="I64" i="10"/>
  <c r="L60" i="10"/>
  <c r="K60" i="10"/>
  <c r="J60" i="10"/>
  <c r="I60" i="10"/>
  <c r="L59" i="10"/>
  <c r="K59" i="10"/>
  <c r="J59" i="10"/>
  <c r="I59" i="10"/>
  <c r="L58" i="10"/>
  <c r="J58" i="10"/>
  <c r="I58" i="10"/>
  <c r="K58" i="10"/>
  <c r="L57" i="10"/>
  <c r="I57" i="10"/>
  <c r="J57" i="10"/>
  <c r="L56" i="10"/>
  <c r="J56" i="10"/>
  <c r="I56" i="10"/>
  <c r="K56" i="10"/>
  <c r="L55" i="10"/>
  <c r="I55" i="10"/>
  <c r="J55" i="10"/>
  <c r="L54" i="10"/>
  <c r="J54" i="10"/>
  <c r="I54" i="10"/>
  <c r="K54" i="10"/>
  <c r="L50" i="10"/>
  <c r="K50" i="10"/>
  <c r="J50" i="10"/>
  <c r="I50" i="10"/>
  <c r="L49" i="10"/>
  <c r="K49" i="10"/>
  <c r="I49" i="10"/>
  <c r="J49" i="10"/>
  <c r="L48" i="10"/>
  <c r="K48" i="10"/>
  <c r="J48" i="10"/>
  <c r="I48" i="10"/>
  <c r="L47" i="10"/>
  <c r="K47" i="10"/>
  <c r="I47" i="10"/>
  <c r="J47" i="10"/>
  <c r="L46" i="10"/>
  <c r="K46" i="10"/>
  <c r="J46" i="10"/>
  <c r="I46" i="10"/>
  <c r="L45" i="10"/>
  <c r="K45" i="10"/>
  <c r="I45" i="10"/>
  <c r="J45" i="10"/>
  <c r="L44" i="10"/>
  <c r="K44" i="10"/>
  <c r="K51" i="10" s="1"/>
  <c r="J44" i="10"/>
  <c r="I44" i="10"/>
  <c r="L40" i="10"/>
  <c r="K40" i="10"/>
  <c r="J40" i="10"/>
  <c r="I40" i="10"/>
  <c r="L39" i="10"/>
  <c r="J39" i="10"/>
  <c r="I39" i="10"/>
  <c r="K39" i="10"/>
  <c r="L38" i="10"/>
  <c r="I38" i="10"/>
  <c r="J38" i="10"/>
  <c r="L37" i="10"/>
  <c r="J37" i="10"/>
  <c r="I37" i="10"/>
  <c r="K37" i="10"/>
  <c r="L36" i="10"/>
  <c r="I36" i="10"/>
  <c r="J36" i="10"/>
  <c r="L35" i="10"/>
  <c r="J35" i="10"/>
  <c r="I35" i="10"/>
  <c r="K35" i="10"/>
  <c r="L34" i="10"/>
  <c r="I34" i="10"/>
  <c r="J34" i="10"/>
  <c r="L30" i="10"/>
  <c r="K30" i="10"/>
  <c r="J30" i="10"/>
  <c r="I30" i="10"/>
  <c r="L29" i="10"/>
  <c r="K29" i="10"/>
  <c r="I29" i="10"/>
  <c r="J29" i="10"/>
  <c r="L28" i="10"/>
  <c r="K28" i="10"/>
  <c r="J28" i="10"/>
  <c r="I28" i="10"/>
  <c r="L27" i="10"/>
  <c r="K27" i="10"/>
  <c r="I27" i="10"/>
  <c r="J27" i="10"/>
  <c r="L26" i="10"/>
  <c r="K26" i="10"/>
  <c r="J26" i="10"/>
  <c r="I26" i="10"/>
  <c r="L25" i="10"/>
  <c r="K25" i="10"/>
  <c r="I25" i="10"/>
  <c r="L24" i="10"/>
  <c r="K24" i="10"/>
  <c r="J24" i="10"/>
  <c r="I24" i="10"/>
  <c r="L20" i="10"/>
  <c r="K20" i="10"/>
  <c r="J20" i="10"/>
  <c r="I20" i="10"/>
  <c r="L19" i="10"/>
  <c r="I19" i="10"/>
  <c r="J19" i="10"/>
  <c r="L18" i="10"/>
  <c r="K18" i="10"/>
  <c r="J18" i="10"/>
  <c r="I18" i="10"/>
  <c r="L17" i="10"/>
  <c r="K17" i="10"/>
  <c r="J17" i="10"/>
  <c r="I17" i="10"/>
  <c r="L16" i="10"/>
  <c r="K16" i="10"/>
  <c r="J16" i="10"/>
  <c r="I16" i="10"/>
  <c r="L15" i="10"/>
  <c r="K15" i="10"/>
  <c r="J15" i="10"/>
  <c r="I15" i="10"/>
  <c r="L14" i="10"/>
  <c r="K14" i="10"/>
  <c r="J14" i="10"/>
  <c r="I14" i="10"/>
  <c r="L70" i="9"/>
  <c r="K70" i="9"/>
  <c r="J70" i="9"/>
  <c r="I70" i="9"/>
  <c r="L69" i="9"/>
  <c r="K69" i="9"/>
  <c r="J69" i="9"/>
  <c r="I69" i="9"/>
  <c r="L68" i="9"/>
  <c r="K68" i="9"/>
  <c r="J68" i="9"/>
  <c r="I68" i="9"/>
  <c r="L67" i="9"/>
  <c r="K67" i="9"/>
  <c r="J67" i="9"/>
  <c r="I67" i="9"/>
  <c r="L66" i="9"/>
  <c r="K66" i="9"/>
  <c r="J66" i="9"/>
  <c r="I66" i="9"/>
  <c r="L65" i="9"/>
  <c r="K65" i="9"/>
  <c r="J65" i="9"/>
  <c r="I65" i="9"/>
  <c r="L64" i="9"/>
  <c r="K64" i="9"/>
  <c r="J64" i="9"/>
  <c r="J71" i="9" s="1"/>
  <c r="I64" i="9"/>
  <c r="L60" i="9"/>
  <c r="K60" i="9"/>
  <c r="J60" i="9"/>
  <c r="I60" i="9"/>
  <c r="L59" i="9"/>
  <c r="K59" i="9"/>
  <c r="J59" i="9"/>
  <c r="I59" i="9"/>
  <c r="L58" i="9"/>
  <c r="K58" i="9"/>
  <c r="I58" i="9"/>
  <c r="J58" i="9"/>
  <c r="L57" i="9"/>
  <c r="K57" i="9"/>
  <c r="I57" i="9"/>
  <c r="J57" i="9"/>
  <c r="L56" i="9"/>
  <c r="K56" i="9"/>
  <c r="I56" i="9"/>
  <c r="J56" i="9"/>
  <c r="L55" i="9"/>
  <c r="K55" i="9"/>
  <c r="I55" i="9"/>
  <c r="J55" i="9"/>
  <c r="L54" i="9"/>
  <c r="K54" i="9"/>
  <c r="K61" i="9" s="1"/>
  <c r="I54" i="9"/>
  <c r="J54" i="9"/>
  <c r="L50" i="9"/>
  <c r="K50" i="9"/>
  <c r="J50" i="9"/>
  <c r="I50" i="9"/>
  <c r="L49" i="9"/>
  <c r="J49" i="9"/>
  <c r="I49" i="9"/>
  <c r="K49" i="9"/>
  <c r="L48" i="9"/>
  <c r="I48" i="9"/>
  <c r="K48" i="9"/>
  <c r="L47" i="9"/>
  <c r="J47" i="9"/>
  <c r="I47" i="9"/>
  <c r="K47" i="9"/>
  <c r="L46" i="9"/>
  <c r="I46" i="9"/>
  <c r="K46" i="9"/>
  <c r="L45" i="9"/>
  <c r="J45" i="9"/>
  <c r="I45" i="9"/>
  <c r="K45" i="9"/>
  <c r="L44" i="9"/>
  <c r="I44" i="9"/>
  <c r="K44" i="9"/>
  <c r="L40" i="9"/>
  <c r="K40" i="9"/>
  <c r="J40" i="9"/>
  <c r="I40" i="9"/>
  <c r="L39" i="9"/>
  <c r="K39" i="9"/>
  <c r="I39" i="9"/>
  <c r="J39" i="9"/>
  <c r="L38" i="9"/>
  <c r="K38" i="9"/>
  <c r="J38" i="9"/>
  <c r="I38" i="9"/>
  <c r="L37" i="9"/>
  <c r="K37" i="9"/>
  <c r="I37" i="9"/>
  <c r="J37" i="9"/>
  <c r="L36" i="9"/>
  <c r="K36" i="9"/>
  <c r="J36" i="9"/>
  <c r="I36" i="9"/>
  <c r="L35" i="9"/>
  <c r="K35" i="9"/>
  <c r="I35" i="9"/>
  <c r="J35" i="9"/>
  <c r="L34" i="9"/>
  <c r="K34" i="9"/>
  <c r="K41" i="9" s="1"/>
  <c r="J34" i="9"/>
  <c r="I34" i="9"/>
  <c r="L30" i="9"/>
  <c r="K30" i="9"/>
  <c r="J30" i="9"/>
  <c r="I30" i="9"/>
  <c r="L29" i="9"/>
  <c r="J29" i="9"/>
  <c r="I29" i="9"/>
  <c r="K29" i="9"/>
  <c r="L28" i="9"/>
  <c r="I28" i="9"/>
  <c r="K28" i="9"/>
  <c r="L27" i="9"/>
  <c r="J27" i="9"/>
  <c r="I27" i="9"/>
  <c r="K27" i="9"/>
  <c r="L26" i="9"/>
  <c r="I26" i="9"/>
  <c r="K26" i="9"/>
  <c r="L25" i="9"/>
  <c r="J25" i="9"/>
  <c r="I25" i="9"/>
  <c r="K25" i="9"/>
  <c r="L24" i="9"/>
  <c r="I24" i="9"/>
  <c r="L20" i="9"/>
  <c r="K20" i="9"/>
  <c r="J20" i="9"/>
  <c r="I20" i="9"/>
  <c r="L19" i="9"/>
  <c r="K19" i="9"/>
  <c r="J19" i="9"/>
  <c r="I19" i="9"/>
  <c r="L18" i="9"/>
  <c r="K18" i="9"/>
  <c r="J18" i="9"/>
  <c r="I18" i="9"/>
  <c r="L17" i="9"/>
  <c r="K17" i="9"/>
  <c r="J17" i="9"/>
  <c r="I17" i="9"/>
  <c r="L16" i="9"/>
  <c r="K16" i="9"/>
  <c r="J16" i="9"/>
  <c r="I16" i="9"/>
  <c r="L15" i="9"/>
  <c r="K15" i="9"/>
  <c r="J15" i="9"/>
  <c r="I15" i="9"/>
  <c r="L14" i="9"/>
  <c r="K14" i="9"/>
  <c r="J14" i="9"/>
  <c r="I14" i="9"/>
  <c r="L70" i="8"/>
  <c r="K70" i="8"/>
  <c r="J70" i="8"/>
  <c r="I70" i="8"/>
  <c r="L69" i="8"/>
  <c r="K69" i="8"/>
  <c r="J69" i="8"/>
  <c r="I69" i="8"/>
  <c r="L68" i="8"/>
  <c r="K68" i="8"/>
  <c r="J68" i="8"/>
  <c r="I68" i="8"/>
  <c r="L67" i="8"/>
  <c r="K67" i="8"/>
  <c r="J67" i="8"/>
  <c r="I67" i="8"/>
  <c r="L66" i="8"/>
  <c r="K66" i="8"/>
  <c r="J66" i="8"/>
  <c r="I66" i="8"/>
  <c r="L65" i="8"/>
  <c r="K65" i="8"/>
  <c r="J65" i="8"/>
  <c r="I65" i="8"/>
  <c r="L64" i="8"/>
  <c r="K64" i="8"/>
  <c r="K71" i="8" s="1"/>
  <c r="J64" i="8"/>
  <c r="I64" i="8"/>
  <c r="L60" i="8"/>
  <c r="K60" i="8"/>
  <c r="J60" i="8"/>
  <c r="I60" i="8"/>
  <c r="L59" i="8"/>
  <c r="K59" i="8"/>
  <c r="J59" i="8"/>
  <c r="I59" i="8"/>
  <c r="L58" i="8"/>
  <c r="K58" i="8"/>
  <c r="I58" i="8"/>
  <c r="J58" i="8"/>
  <c r="L57" i="8"/>
  <c r="K57" i="8"/>
  <c r="J57" i="8"/>
  <c r="I57" i="8"/>
  <c r="L56" i="8"/>
  <c r="K56" i="8"/>
  <c r="I56" i="8"/>
  <c r="J56" i="8"/>
  <c r="L55" i="8"/>
  <c r="K55" i="8"/>
  <c r="J55" i="8"/>
  <c r="I55" i="8"/>
  <c r="L54" i="8"/>
  <c r="K54" i="8"/>
  <c r="K61" i="8" s="1"/>
  <c r="I54" i="8"/>
  <c r="J54" i="8"/>
  <c r="L50" i="8"/>
  <c r="K50" i="8"/>
  <c r="J50" i="8"/>
  <c r="I50" i="8"/>
  <c r="L49" i="8"/>
  <c r="J49" i="8"/>
  <c r="I49" i="8"/>
  <c r="K49" i="8"/>
  <c r="L48" i="8"/>
  <c r="I48" i="8"/>
  <c r="K48" i="8"/>
  <c r="L47" i="8"/>
  <c r="J47" i="8"/>
  <c r="I47" i="8"/>
  <c r="K47" i="8"/>
  <c r="L46" i="8"/>
  <c r="I46" i="8"/>
  <c r="K46" i="8"/>
  <c r="L45" i="8"/>
  <c r="J45" i="8"/>
  <c r="I45" i="8"/>
  <c r="K45" i="8"/>
  <c r="L44" i="8"/>
  <c r="I44" i="8"/>
  <c r="K44" i="8"/>
  <c r="L40" i="8"/>
  <c r="K40" i="8"/>
  <c r="J40" i="8"/>
  <c r="I40" i="8"/>
  <c r="L39" i="8"/>
  <c r="K39" i="8"/>
  <c r="I39" i="8"/>
  <c r="J39" i="8"/>
  <c r="L38" i="8"/>
  <c r="K38" i="8"/>
  <c r="J38" i="8"/>
  <c r="I38" i="8"/>
  <c r="L37" i="8"/>
  <c r="K37" i="8"/>
  <c r="I37" i="8"/>
  <c r="J37" i="8"/>
  <c r="L36" i="8"/>
  <c r="K36" i="8"/>
  <c r="J36" i="8"/>
  <c r="I36" i="8"/>
  <c r="L35" i="8"/>
  <c r="K35" i="8"/>
  <c r="I35" i="8"/>
  <c r="J35" i="8"/>
  <c r="L34" i="8"/>
  <c r="K34" i="8"/>
  <c r="K41" i="8" s="1"/>
  <c r="J34" i="8"/>
  <c r="I34" i="8"/>
  <c r="L30" i="8"/>
  <c r="K30" i="8"/>
  <c r="J30" i="8"/>
  <c r="I30" i="8"/>
  <c r="L29" i="8"/>
  <c r="I29" i="8"/>
  <c r="K29" i="8"/>
  <c r="L28" i="8"/>
  <c r="J28" i="8"/>
  <c r="I28" i="8"/>
  <c r="K28" i="8"/>
  <c r="L27" i="8"/>
  <c r="I27" i="8"/>
  <c r="K27" i="8"/>
  <c r="L26" i="8"/>
  <c r="J26" i="8"/>
  <c r="I26" i="8"/>
  <c r="K26" i="8"/>
  <c r="L25" i="8"/>
  <c r="I25" i="8"/>
  <c r="K25" i="8"/>
  <c r="L24" i="8"/>
  <c r="J24" i="8"/>
  <c r="I24" i="8"/>
  <c r="L20" i="8"/>
  <c r="K20" i="8"/>
  <c r="J20" i="8"/>
  <c r="I20" i="8"/>
  <c r="L19" i="8"/>
  <c r="K19" i="8"/>
  <c r="J19" i="8"/>
  <c r="I19" i="8"/>
  <c r="L18" i="8"/>
  <c r="K18" i="8"/>
  <c r="J18" i="8"/>
  <c r="I18" i="8"/>
  <c r="L17" i="8"/>
  <c r="K17" i="8"/>
  <c r="J17" i="8"/>
  <c r="I17" i="8"/>
  <c r="L16" i="8"/>
  <c r="K16" i="8"/>
  <c r="J16" i="8"/>
  <c r="I16" i="8"/>
  <c r="L15" i="8"/>
  <c r="K15" i="8"/>
  <c r="J15" i="8"/>
  <c r="I15" i="8"/>
  <c r="L14" i="8"/>
  <c r="K14" i="8"/>
  <c r="J14" i="8"/>
  <c r="J21" i="8" s="1"/>
  <c r="I14" i="8"/>
  <c r="L70" i="7"/>
  <c r="K70" i="7"/>
  <c r="J70" i="7"/>
  <c r="I70" i="7"/>
  <c r="L69" i="7"/>
  <c r="K69" i="7"/>
  <c r="J69" i="7"/>
  <c r="I69" i="7"/>
  <c r="L68" i="7"/>
  <c r="K68" i="7"/>
  <c r="J68" i="7"/>
  <c r="I68" i="7"/>
  <c r="L67" i="7"/>
  <c r="K67" i="7"/>
  <c r="J67" i="7"/>
  <c r="I67" i="7"/>
  <c r="L66" i="7"/>
  <c r="K66" i="7"/>
  <c r="J66" i="7"/>
  <c r="I66" i="7"/>
  <c r="L65" i="7"/>
  <c r="K65" i="7"/>
  <c r="J65" i="7"/>
  <c r="I65" i="7"/>
  <c r="L64" i="7"/>
  <c r="K64" i="7"/>
  <c r="J64" i="7"/>
  <c r="J71" i="7" s="1"/>
  <c r="I64" i="7"/>
  <c r="L60" i="7"/>
  <c r="K60" i="7"/>
  <c r="J60" i="7"/>
  <c r="I60" i="7"/>
  <c r="L59" i="7"/>
  <c r="K59" i="7"/>
  <c r="J59" i="7"/>
  <c r="I59" i="7"/>
  <c r="L58" i="7"/>
  <c r="J58" i="7"/>
  <c r="I58" i="7"/>
  <c r="K58" i="7"/>
  <c r="L57" i="7"/>
  <c r="K57" i="7"/>
  <c r="I57" i="7"/>
  <c r="J57" i="7"/>
  <c r="L56" i="7"/>
  <c r="J56" i="7"/>
  <c r="I56" i="7"/>
  <c r="K56" i="7"/>
  <c r="L55" i="7"/>
  <c r="K55" i="7"/>
  <c r="I55" i="7"/>
  <c r="J55" i="7"/>
  <c r="L54" i="7"/>
  <c r="I54" i="7"/>
  <c r="K54" i="7"/>
  <c r="L50" i="7"/>
  <c r="K50" i="7"/>
  <c r="J50" i="7"/>
  <c r="I50" i="7"/>
  <c r="L49" i="7"/>
  <c r="J49" i="7"/>
  <c r="I49" i="7"/>
  <c r="K49" i="7"/>
  <c r="L48" i="7"/>
  <c r="I48" i="7"/>
  <c r="K48" i="7"/>
  <c r="L47" i="7"/>
  <c r="J47" i="7"/>
  <c r="I47" i="7"/>
  <c r="K47" i="7"/>
  <c r="L46" i="7"/>
  <c r="I46" i="7"/>
  <c r="K46" i="7"/>
  <c r="L45" i="7"/>
  <c r="J45" i="7"/>
  <c r="I45" i="7"/>
  <c r="K45" i="7"/>
  <c r="L44" i="7"/>
  <c r="I44" i="7"/>
  <c r="K44" i="7"/>
  <c r="L40" i="7"/>
  <c r="K40" i="7"/>
  <c r="J40" i="7"/>
  <c r="I40" i="7"/>
  <c r="L39" i="7"/>
  <c r="I39" i="7"/>
  <c r="K39" i="7"/>
  <c r="L38" i="7"/>
  <c r="K38" i="7"/>
  <c r="I38" i="7"/>
  <c r="J38" i="7"/>
  <c r="L37" i="7"/>
  <c r="I37" i="7"/>
  <c r="K37" i="7"/>
  <c r="L36" i="7"/>
  <c r="K36" i="7"/>
  <c r="I36" i="7"/>
  <c r="J36" i="7"/>
  <c r="L35" i="7"/>
  <c r="I35" i="7"/>
  <c r="K35" i="7"/>
  <c r="L34" i="7"/>
  <c r="K34" i="7"/>
  <c r="I34" i="7"/>
  <c r="J34" i="7"/>
  <c r="L30" i="7"/>
  <c r="K30" i="7"/>
  <c r="J30" i="7"/>
  <c r="I30" i="7"/>
  <c r="L29" i="7"/>
  <c r="I29" i="7"/>
  <c r="K29" i="7"/>
  <c r="L28" i="7"/>
  <c r="J28" i="7"/>
  <c r="I28" i="7"/>
  <c r="K28" i="7"/>
  <c r="L27" i="7"/>
  <c r="I27" i="7"/>
  <c r="K27" i="7"/>
  <c r="L26" i="7"/>
  <c r="J26" i="7"/>
  <c r="I26" i="7"/>
  <c r="K26" i="7"/>
  <c r="L25" i="7"/>
  <c r="I25" i="7"/>
  <c r="K25" i="7"/>
  <c r="L24" i="7"/>
  <c r="J24" i="7"/>
  <c r="I24" i="7"/>
  <c r="L20" i="7"/>
  <c r="K20" i="7"/>
  <c r="J20" i="7"/>
  <c r="I20" i="7"/>
  <c r="L19" i="7"/>
  <c r="J19" i="7"/>
  <c r="I19" i="7"/>
  <c r="K19" i="7"/>
  <c r="L18" i="7"/>
  <c r="K18" i="7"/>
  <c r="J18" i="7"/>
  <c r="I18" i="7"/>
  <c r="L17" i="7"/>
  <c r="K17" i="7"/>
  <c r="J17" i="7"/>
  <c r="I17" i="7"/>
  <c r="L16" i="7"/>
  <c r="K16" i="7"/>
  <c r="J16" i="7"/>
  <c r="I16" i="7"/>
  <c r="L15" i="7"/>
  <c r="K15" i="7"/>
  <c r="J15" i="7"/>
  <c r="I15" i="7"/>
  <c r="L14" i="7"/>
  <c r="K14" i="7"/>
  <c r="J14" i="7"/>
  <c r="I14" i="7"/>
  <c r="L70" i="6"/>
  <c r="K70" i="6"/>
  <c r="J70" i="6"/>
  <c r="I70" i="6"/>
  <c r="L69" i="6"/>
  <c r="K69" i="6"/>
  <c r="J69" i="6"/>
  <c r="I69" i="6"/>
  <c r="L68" i="6"/>
  <c r="K68" i="6"/>
  <c r="J68" i="6"/>
  <c r="I68" i="6"/>
  <c r="L67" i="6"/>
  <c r="K67" i="6"/>
  <c r="J67" i="6"/>
  <c r="I67" i="6"/>
  <c r="L66" i="6"/>
  <c r="K66" i="6"/>
  <c r="J66" i="6"/>
  <c r="I66" i="6"/>
  <c r="L65" i="6"/>
  <c r="K65" i="6"/>
  <c r="J65" i="6"/>
  <c r="I65" i="6"/>
  <c r="L64" i="6"/>
  <c r="K64" i="6"/>
  <c r="J64" i="6"/>
  <c r="J71" i="6" s="1"/>
  <c r="I64" i="6"/>
  <c r="L60" i="6"/>
  <c r="K60" i="6"/>
  <c r="J60" i="6"/>
  <c r="I60" i="6"/>
  <c r="L59" i="6"/>
  <c r="K59" i="6"/>
  <c r="J59" i="6"/>
  <c r="I59" i="6"/>
  <c r="L58" i="6"/>
  <c r="I58" i="6"/>
  <c r="K58" i="6"/>
  <c r="L57" i="6"/>
  <c r="K57" i="6"/>
  <c r="J57" i="6"/>
  <c r="I57" i="6"/>
  <c r="L56" i="6"/>
  <c r="I56" i="6"/>
  <c r="K56" i="6"/>
  <c r="L55" i="6"/>
  <c r="K55" i="6"/>
  <c r="J55" i="6"/>
  <c r="I55" i="6"/>
  <c r="L54" i="6"/>
  <c r="I54" i="6"/>
  <c r="K54" i="6"/>
  <c r="L50" i="6"/>
  <c r="K50" i="6"/>
  <c r="J50" i="6"/>
  <c r="I50" i="6"/>
  <c r="L49" i="6"/>
  <c r="J49" i="6"/>
  <c r="I49" i="6"/>
  <c r="K49" i="6"/>
  <c r="L48" i="6"/>
  <c r="I48" i="6"/>
  <c r="K48" i="6"/>
  <c r="L47" i="6"/>
  <c r="J47" i="6"/>
  <c r="I47" i="6"/>
  <c r="K47" i="6"/>
  <c r="L46" i="6"/>
  <c r="I46" i="6"/>
  <c r="K46" i="6"/>
  <c r="L45" i="6"/>
  <c r="J45" i="6"/>
  <c r="I45" i="6"/>
  <c r="K45" i="6"/>
  <c r="L44" i="6"/>
  <c r="I44" i="6"/>
  <c r="K44" i="6"/>
  <c r="L40" i="6"/>
  <c r="K40" i="6"/>
  <c r="J40" i="6"/>
  <c r="I40" i="6"/>
  <c r="L39" i="6"/>
  <c r="I39" i="6"/>
  <c r="K39" i="6"/>
  <c r="L38" i="6"/>
  <c r="K38" i="6"/>
  <c r="J38" i="6"/>
  <c r="I38" i="6"/>
  <c r="L37" i="6"/>
  <c r="I37" i="6"/>
  <c r="K37" i="6"/>
  <c r="L36" i="6"/>
  <c r="K36" i="6"/>
  <c r="J36" i="6"/>
  <c r="I36" i="6"/>
  <c r="L35" i="6"/>
  <c r="I35" i="6"/>
  <c r="K35" i="6"/>
  <c r="L34" i="6"/>
  <c r="K34" i="6"/>
  <c r="K41" i="6" s="1"/>
  <c r="J34" i="6"/>
  <c r="I34" i="6"/>
  <c r="L30" i="6"/>
  <c r="K30" i="6"/>
  <c r="J30" i="6"/>
  <c r="I30" i="6"/>
  <c r="L29" i="6"/>
  <c r="I29" i="6"/>
  <c r="K29" i="6"/>
  <c r="L28" i="6"/>
  <c r="J28" i="6"/>
  <c r="I28" i="6"/>
  <c r="K28" i="6"/>
  <c r="L27" i="6"/>
  <c r="I27" i="6"/>
  <c r="K27" i="6"/>
  <c r="L26" i="6"/>
  <c r="J26" i="6"/>
  <c r="I26" i="6"/>
  <c r="K26" i="6"/>
  <c r="L25" i="6"/>
  <c r="I25" i="6"/>
  <c r="K25" i="6"/>
  <c r="L24" i="6"/>
  <c r="J24" i="6"/>
  <c r="I24" i="6"/>
  <c r="L20" i="6"/>
  <c r="K20" i="6"/>
  <c r="J20" i="6"/>
  <c r="I20" i="6"/>
  <c r="L19" i="6"/>
  <c r="K19" i="6"/>
  <c r="J19" i="6"/>
  <c r="I19" i="6"/>
  <c r="L18" i="6"/>
  <c r="K18" i="6"/>
  <c r="J18" i="6"/>
  <c r="I18" i="6"/>
  <c r="L17" i="6"/>
  <c r="K17" i="6"/>
  <c r="J17" i="6"/>
  <c r="I17" i="6"/>
  <c r="L16" i="6"/>
  <c r="K16" i="6"/>
  <c r="J16" i="6"/>
  <c r="I16" i="6"/>
  <c r="L15" i="6"/>
  <c r="K15" i="6"/>
  <c r="J15" i="6"/>
  <c r="I15" i="6"/>
  <c r="L14" i="6"/>
  <c r="K14" i="6"/>
  <c r="J14" i="6"/>
  <c r="I14" i="6"/>
  <c r="L70" i="5"/>
  <c r="K70" i="5"/>
  <c r="J70" i="5"/>
  <c r="I70" i="5"/>
  <c r="L69" i="5"/>
  <c r="K69" i="5"/>
  <c r="J69" i="5"/>
  <c r="I69" i="5"/>
  <c r="L68" i="5"/>
  <c r="K68" i="5"/>
  <c r="J68" i="5"/>
  <c r="I68" i="5"/>
  <c r="L67" i="5"/>
  <c r="K67" i="5"/>
  <c r="J67" i="5"/>
  <c r="I67" i="5"/>
  <c r="L66" i="5"/>
  <c r="K66" i="5"/>
  <c r="J66" i="5"/>
  <c r="I66" i="5"/>
  <c r="L65" i="5"/>
  <c r="K65" i="5"/>
  <c r="J65" i="5"/>
  <c r="I65" i="5"/>
  <c r="L64" i="5"/>
  <c r="K64" i="5"/>
  <c r="K71" i="5" s="1"/>
  <c r="J64" i="5"/>
  <c r="J71" i="5" s="1"/>
  <c r="I64" i="5"/>
  <c r="L60" i="5"/>
  <c r="K60" i="5"/>
  <c r="J60" i="5"/>
  <c r="I60" i="5"/>
  <c r="L59" i="5"/>
  <c r="K59" i="5"/>
  <c r="J59" i="5"/>
  <c r="I59" i="5"/>
  <c r="L58" i="5"/>
  <c r="K58" i="5"/>
  <c r="J58" i="5"/>
  <c r="I58" i="5"/>
  <c r="L57" i="5"/>
  <c r="I57" i="5"/>
  <c r="J57" i="5"/>
  <c r="L56" i="5"/>
  <c r="J56" i="5"/>
  <c r="I56" i="5"/>
  <c r="K56" i="5"/>
  <c r="L55" i="5"/>
  <c r="I55" i="5"/>
  <c r="J55" i="5"/>
  <c r="L54" i="5"/>
  <c r="J54" i="5"/>
  <c r="I54" i="5"/>
  <c r="K54" i="5"/>
  <c r="L50" i="5"/>
  <c r="K50" i="5"/>
  <c r="J50" i="5"/>
  <c r="I50" i="5"/>
  <c r="L49" i="5"/>
  <c r="K49" i="5"/>
  <c r="J49" i="5"/>
  <c r="I49" i="5"/>
  <c r="L48" i="5"/>
  <c r="I48" i="5"/>
  <c r="K48" i="5"/>
  <c r="L47" i="5"/>
  <c r="K47" i="5"/>
  <c r="J47" i="5"/>
  <c r="I47" i="5"/>
  <c r="L46" i="5"/>
  <c r="I46" i="5"/>
  <c r="K46" i="5"/>
  <c r="L45" i="5"/>
  <c r="K45" i="5"/>
  <c r="J45" i="5"/>
  <c r="I45" i="5"/>
  <c r="L44" i="5"/>
  <c r="I44" i="5"/>
  <c r="K44" i="5"/>
  <c r="L40" i="5"/>
  <c r="K40" i="5"/>
  <c r="J40" i="5"/>
  <c r="I40" i="5"/>
  <c r="L39" i="5"/>
  <c r="J39" i="5"/>
  <c r="I39" i="5"/>
  <c r="K39" i="5"/>
  <c r="L38" i="5"/>
  <c r="I38" i="5"/>
  <c r="J38" i="5"/>
  <c r="L37" i="5"/>
  <c r="J37" i="5"/>
  <c r="I37" i="5"/>
  <c r="K37" i="5"/>
  <c r="L36" i="5"/>
  <c r="I36" i="5"/>
  <c r="J36" i="5"/>
  <c r="L35" i="5"/>
  <c r="J35" i="5"/>
  <c r="I35" i="5"/>
  <c r="K35" i="5"/>
  <c r="L34" i="5"/>
  <c r="I34" i="5"/>
  <c r="J34" i="5"/>
  <c r="J41" i="5" s="1"/>
  <c r="L30" i="5"/>
  <c r="K30" i="5"/>
  <c r="J30" i="5"/>
  <c r="I30" i="5"/>
  <c r="L29" i="5"/>
  <c r="J29" i="5"/>
  <c r="I29" i="5"/>
  <c r="K29" i="5"/>
  <c r="L28" i="5"/>
  <c r="K28" i="5"/>
  <c r="I28" i="5"/>
  <c r="J28" i="5"/>
  <c r="L27" i="5"/>
  <c r="J27" i="5"/>
  <c r="I27" i="5"/>
  <c r="K27" i="5"/>
  <c r="L26" i="5"/>
  <c r="K26" i="5"/>
  <c r="I26" i="5"/>
  <c r="J26" i="5"/>
  <c r="L25" i="5"/>
  <c r="J25" i="5"/>
  <c r="I25" i="5"/>
  <c r="K25" i="5"/>
  <c r="L24" i="5"/>
  <c r="K24" i="5"/>
  <c r="I24" i="5"/>
  <c r="L20" i="5"/>
  <c r="K20" i="5"/>
  <c r="J20" i="5"/>
  <c r="I20" i="5"/>
  <c r="L19" i="5"/>
  <c r="I19" i="5"/>
  <c r="J19" i="5"/>
  <c r="L18" i="5"/>
  <c r="K18" i="5"/>
  <c r="J18" i="5"/>
  <c r="I18" i="5"/>
  <c r="L17" i="5"/>
  <c r="K17" i="5"/>
  <c r="J17" i="5"/>
  <c r="I17" i="5"/>
  <c r="L16" i="5"/>
  <c r="K16" i="5"/>
  <c r="J16" i="5"/>
  <c r="I16" i="5"/>
  <c r="L15" i="5"/>
  <c r="K15" i="5"/>
  <c r="J15" i="5"/>
  <c r="I15" i="5"/>
  <c r="L14" i="5"/>
  <c r="K14" i="5"/>
  <c r="J14" i="5"/>
  <c r="I14" i="5"/>
  <c r="L70" i="4"/>
  <c r="K70" i="4"/>
  <c r="J70" i="4"/>
  <c r="I70" i="4"/>
  <c r="L69" i="4"/>
  <c r="K69" i="4"/>
  <c r="J69" i="4"/>
  <c r="I69" i="4"/>
  <c r="L68" i="4"/>
  <c r="K68" i="4"/>
  <c r="J68" i="4"/>
  <c r="I68" i="4"/>
  <c r="L67" i="4"/>
  <c r="K67" i="4"/>
  <c r="J67" i="4"/>
  <c r="I67" i="4"/>
  <c r="L66" i="4"/>
  <c r="K66" i="4"/>
  <c r="J66" i="4"/>
  <c r="I66" i="4"/>
  <c r="L65" i="4"/>
  <c r="K65" i="4"/>
  <c r="J65" i="4"/>
  <c r="I65" i="4"/>
  <c r="L64" i="4"/>
  <c r="K64" i="4"/>
  <c r="K71" i="4" s="1"/>
  <c r="J64" i="4"/>
  <c r="J71" i="4" s="1"/>
  <c r="I64" i="4"/>
  <c r="L60" i="4"/>
  <c r="K60" i="4"/>
  <c r="J60" i="4"/>
  <c r="I60" i="4"/>
  <c r="L59" i="4"/>
  <c r="K59" i="4"/>
  <c r="J59" i="4"/>
  <c r="I59" i="4"/>
  <c r="L58" i="4"/>
  <c r="K58" i="4"/>
  <c r="I58" i="4"/>
  <c r="J58" i="4"/>
  <c r="L57" i="4"/>
  <c r="K57" i="4"/>
  <c r="I57" i="4"/>
  <c r="J57" i="4"/>
  <c r="L56" i="4"/>
  <c r="K56" i="4"/>
  <c r="J56" i="4"/>
  <c r="I56" i="4"/>
  <c r="L55" i="4"/>
  <c r="K55" i="4"/>
  <c r="I55" i="4"/>
  <c r="J55" i="4"/>
  <c r="L54" i="4"/>
  <c r="K54" i="4"/>
  <c r="J54" i="4"/>
  <c r="I54" i="4"/>
  <c r="L50" i="4"/>
  <c r="K50" i="4"/>
  <c r="J50" i="4"/>
  <c r="I50" i="4"/>
  <c r="L49" i="4"/>
  <c r="J49" i="4"/>
  <c r="I49" i="4"/>
  <c r="K49" i="4"/>
  <c r="L48" i="4"/>
  <c r="I48" i="4"/>
  <c r="K48" i="4"/>
  <c r="L47" i="4"/>
  <c r="J47" i="4"/>
  <c r="I47" i="4"/>
  <c r="K47" i="4"/>
  <c r="L46" i="4"/>
  <c r="I46" i="4"/>
  <c r="K46" i="4"/>
  <c r="L45" i="4"/>
  <c r="J45" i="4"/>
  <c r="I45" i="4"/>
  <c r="K45" i="4"/>
  <c r="L44" i="4"/>
  <c r="I44" i="4"/>
  <c r="K44" i="4"/>
  <c r="L40" i="4"/>
  <c r="K40" i="4"/>
  <c r="J40" i="4"/>
  <c r="I40" i="4"/>
  <c r="L39" i="4"/>
  <c r="K39" i="4"/>
  <c r="I39" i="4"/>
  <c r="J39" i="4"/>
  <c r="L38" i="4"/>
  <c r="K38" i="4"/>
  <c r="I38" i="4"/>
  <c r="J38" i="4"/>
  <c r="L37" i="4"/>
  <c r="K37" i="4"/>
  <c r="I37" i="4"/>
  <c r="J37" i="4"/>
  <c r="L36" i="4"/>
  <c r="K36" i="4"/>
  <c r="I36" i="4"/>
  <c r="J36" i="4"/>
  <c r="L35" i="4"/>
  <c r="K35" i="4"/>
  <c r="I35" i="4"/>
  <c r="J35" i="4"/>
  <c r="L34" i="4"/>
  <c r="K34" i="4"/>
  <c r="K41" i="4" s="1"/>
  <c r="I34" i="4"/>
  <c r="J34" i="4"/>
  <c r="L30" i="4"/>
  <c r="K30" i="4"/>
  <c r="J30" i="4"/>
  <c r="I30" i="4"/>
  <c r="L29" i="4"/>
  <c r="I29" i="4"/>
  <c r="K29" i="4"/>
  <c r="L28" i="4"/>
  <c r="J28" i="4"/>
  <c r="I28" i="4"/>
  <c r="K28" i="4"/>
  <c r="L27" i="4"/>
  <c r="I27" i="4"/>
  <c r="K27" i="4"/>
  <c r="L26" i="4"/>
  <c r="J26" i="4"/>
  <c r="I26" i="4"/>
  <c r="K26" i="4"/>
  <c r="L25" i="4"/>
  <c r="I25" i="4"/>
  <c r="K25" i="4"/>
  <c r="L24" i="4"/>
  <c r="J24" i="4"/>
  <c r="I24" i="4"/>
  <c r="L20" i="4"/>
  <c r="K20" i="4"/>
  <c r="J20" i="4"/>
  <c r="I20" i="4"/>
  <c r="L19" i="4"/>
  <c r="J19" i="4"/>
  <c r="I19" i="4"/>
  <c r="K19" i="4"/>
  <c r="L18" i="4"/>
  <c r="K18" i="4"/>
  <c r="J18" i="4"/>
  <c r="I18" i="4"/>
  <c r="L17" i="4"/>
  <c r="K17" i="4"/>
  <c r="J17" i="4"/>
  <c r="I17" i="4"/>
  <c r="L16" i="4"/>
  <c r="K16" i="4"/>
  <c r="J16" i="4"/>
  <c r="I16" i="4"/>
  <c r="L15" i="4"/>
  <c r="K15" i="4"/>
  <c r="J15" i="4"/>
  <c r="I15" i="4"/>
  <c r="L14" i="4"/>
  <c r="K14" i="4"/>
  <c r="J14" i="4"/>
  <c r="I14" i="4"/>
  <c r="L70" i="3"/>
  <c r="K70" i="3"/>
  <c r="J70" i="3"/>
  <c r="I70" i="3"/>
  <c r="L69" i="3"/>
  <c r="K69" i="3"/>
  <c r="J69" i="3"/>
  <c r="I69" i="3"/>
  <c r="L68" i="3"/>
  <c r="K68" i="3"/>
  <c r="J68" i="3"/>
  <c r="I68" i="3"/>
  <c r="L67" i="3"/>
  <c r="K67" i="3"/>
  <c r="J67" i="3"/>
  <c r="I67" i="3"/>
  <c r="L66" i="3"/>
  <c r="K66" i="3"/>
  <c r="J66" i="3"/>
  <c r="I66" i="3"/>
  <c r="L65" i="3"/>
  <c r="K65" i="3"/>
  <c r="J65" i="3"/>
  <c r="I65" i="3"/>
  <c r="L64" i="3"/>
  <c r="K64" i="3"/>
  <c r="J64" i="3"/>
  <c r="J71" i="3" s="1"/>
  <c r="I64" i="3"/>
  <c r="L60" i="3"/>
  <c r="K60" i="3"/>
  <c r="J60" i="3"/>
  <c r="I60" i="3"/>
  <c r="L59" i="3"/>
  <c r="K59" i="3"/>
  <c r="J59" i="3"/>
  <c r="I59" i="3"/>
  <c r="L58" i="3"/>
  <c r="I58" i="3"/>
  <c r="K58" i="3"/>
  <c r="L57" i="3"/>
  <c r="K57" i="3"/>
  <c r="J57" i="3"/>
  <c r="I57" i="3"/>
  <c r="L56" i="3"/>
  <c r="I56" i="3"/>
  <c r="K56" i="3"/>
  <c r="L55" i="3"/>
  <c r="K55" i="3"/>
  <c r="J55" i="3"/>
  <c r="I55" i="3"/>
  <c r="L54" i="3"/>
  <c r="I54" i="3"/>
  <c r="K54" i="3"/>
  <c r="L50" i="3"/>
  <c r="K50" i="3"/>
  <c r="J50" i="3"/>
  <c r="I50" i="3"/>
  <c r="L49" i="3"/>
  <c r="J49" i="3"/>
  <c r="I49" i="3"/>
  <c r="K49" i="3"/>
  <c r="L48" i="3"/>
  <c r="K48" i="3"/>
  <c r="I48" i="3"/>
  <c r="J48" i="3"/>
  <c r="L47" i="3"/>
  <c r="J47" i="3"/>
  <c r="I47" i="3"/>
  <c r="K47" i="3"/>
  <c r="L46" i="3"/>
  <c r="K46" i="3"/>
  <c r="I46" i="3"/>
  <c r="J46" i="3"/>
  <c r="L45" i="3"/>
  <c r="J45" i="3"/>
  <c r="I45" i="3"/>
  <c r="K45" i="3"/>
  <c r="L44" i="3"/>
  <c r="K44" i="3"/>
  <c r="I44" i="3"/>
  <c r="J44" i="3"/>
  <c r="L40" i="3"/>
  <c r="K40" i="3"/>
  <c r="J40" i="3"/>
  <c r="I40" i="3"/>
  <c r="L39" i="3"/>
  <c r="I39" i="3"/>
  <c r="K39" i="3"/>
  <c r="L38" i="3"/>
  <c r="K38" i="3"/>
  <c r="J38" i="3"/>
  <c r="I38" i="3"/>
  <c r="L37" i="3"/>
  <c r="I37" i="3"/>
  <c r="K37" i="3"/>
  <c r="L36" i="3"/>
  <c r="K36" i="3"/>
  <c r="J36" i="3"/>
  <c r="I36" i="3"/>
  <c r="L35" i="3"/>
  <c r="I35" i="3"/>
  <c r="K35" i="3"/>
  <c r="L34" i="3"/>
  <c r="K34" i="3"/>
  <c r="J34" i="3"/>
  <c r="I34" i="3"/>
  <c r="L30" i="3"/>
  <c r="K30" i="3"/>
  <c r="J30" i="3"/>
  <c r="I30" i="3"/>
  <c r="L29" i="3"/>
  <c r="K29" i="3"/>
  <c r="I29" i="3"/>
  <c r="J29" i="3"/>
  <c r="L28" i="3"/>
  <c r="J28" i="3"/>
  <c r="I28" i="3"/>
  <c r="K28" i="3"/>
  <c r="L27" i="3"/>
  <c r="K27" i="3"/>
  <c r="I27" i="3"/>
  <c r="J27" i="3"/>
  <c r="L26" i="3"/>
  <c r="J26" i="3"/>
  <c r="I26" i="3"/>
  <c r="K26" i="3"/>
  <c r="L25" i="3"/>
  <c r="K25" i="3"/>
  <c r="I25" i="3"/>
  <c r="J25" i="3"/>
  <c r="L24" i="3"/>
  <c r="J24" i="3"/>
  <c r="I24" i="3"/>
  <c r="K24" i="3"/>
  <c r="L20" i="3"/>
  <c r="K20" i="3"/>
  <c r="J20" i="3"/>
  <c r="I20" i="3"/>
  <c r="L19" i="3"/>
  <c r="K19" i="3"/>
  <c r="J19" i="3"/>
  <c r="I19" i="3"/>
  <c r="L18" i="3"/>
  <c r="K18" i="3"/>
  <c r="J18" i="3"/>
  <c r="I18" i="3"/>
  <c r="L17" i="3"/>
  <c r="K17" i="3"/>
  <c r="J17" i="3"/>
  <c r="I17" i="3"/>
  <c r="L16" i="3"/>
  <c r="K16" i="3"/>
  <c r="J16" i="3"/>
  <c r="I16" i="3"/>
  <c r="L15" i="3"/>
  <c r="K15" i="3"/>
  <c r="J15" i="3"/>
  <c r="I15" i="3"/>
  <c r="L14" i="3"/>
  <c r="K14" i="3"/>
  <c r="J14" i="3"/>
  <c r="I14" i="3"/>
  <c r="K71" i="31" l="1"/>
  <c r="K71" i="29"/>
  <c r="J61" i="16"/>
  <c r="J72" i="5"/>
  <c r="K61" i="4"/>
  <c r="K41" i="27"/>
  <c r="J41" i="23"/>
  <c r="J21" i="23"/>
  <c r="J41" i="18"/>
  <c r="K51" i="18"/>
  <c r="J41" i="14"/>
  <c r="K51" i="14"/>
  <c r="K61" i="11"/>
  <c r="J21" i="10"/>
  <c r="K31" i="10"/>
  <c r="K51" i="9"/>
  <c r="K41" i="7"/>
  <c r="K61" i="7"/>
  <c r="J21" i="4"/>
  <c r="J51" i="3"/>
  <c r="K17" i="31"/>
  <c r="K16" i="31"/>
  <c r="J15" i="31"/>
  <c r="J21" i="31" s="1"/>
  <c r="H61" i="31"/>
  <c r="H21" i="31"/>
  <c r="H31" i="31"/>
  <c r="K26" i="31"/>
  <c r="K31" i="31" s="1"/>
  <c r="J41" i="31"/>
  <c r="J46" i="31"/>
  <c r="K54" i="31"/>
  <c r="K58" i="31"/>
  <c r="J25" i="31"/>
  <c r="J29" i="31"/>
  <c r="K45" i="31"/>
  <c r="K51" i="31" s="1"/>
  <c r="K49" i="31"/>
  <c r="H51" i="31"/>
  <c r="J54" i="31"/>
  <c r="J28" i="30"/>
  <c r="K37" i="30"/>
  <c r="K61" i="30"/>
  <c r="K35" i="30"/>
  <c r="K41" i="30" s="1"/>
  <c r="J49" i="30"/>
  <c r="J55" i="30"/>
  <c r="J47" i="29"/>
  <c r="J56" i="29"/>
  <c r="K26" i="29"/>
  <c r="J35" i="29"/>
  <c r="J41" i="29" s="1"/>
  <c r="J58" i="29"/>
  <c r="K21" i="28"/>
  <c r="K56" i="28"/>
  <c r="K36" i="28"/>
  <c r="K41" i="28" s="1"/>
  <c r="K55" i="28"/>
  <c r="J58" i="28"/>
  <c r="J61" i="28" s="1"/>
  <c r="J21" i="28"/>
  <c r="J37" i="28"/>
  <c r="J41" i="28" s="1"/>
  <c r="J42" i="28" s="1"/>
  <c r="J21" i="27"/>
  <c r="J22" i="27" s="1"/>
  <c r="J28" i="27"/>
  <c r="J47" i="27"/>
  <c r="J55" i="27"/>
  <c r="J49" i="27"/>
  <c r="K27" i="26"/>
  <c r="J39" i="26"/>
  <c r="K47" i="26"/>
  <c r="K26" i="26"/>
  <c r="K31" i="26" s="1"/>
  <c r="K29" i="26"/>
  <c r="J37" i="26"/>
  <c r="K44" i="26"/>
  <c r="J54" i="26"/>
  <c r="J61" i="26" s="1"/>
  <c r="K71" i="26"/>
  <c r="J72" i="26" s="1"/>
  <c r="K19" i="25"/>
  <c r="K36" i="25"/>
  <c r="K61" i="25"/>
  <c r="J28" i="25"/>
  <c r="J21" i="25"/>
  <c r="K51" i="25"/>
  <c r="J49" i="25"/>
  <c r="J71" i="25"/>
  <c r="K26" i="24"/>
  <c r="K49" i="24"/>
  <c r="K25" i="24"/>
  <c r="K31" i="24" s="1"/>
  <c r="J28" i="24"/>
  <c r="J31" i="24" s="1"/>
  <c r="K48" i="24"/>
  <c r="J58" i="24"/>
  <c r="J35" i="24"/>
  <c r="J41" i="24" s="1"/>
  <c r="K46" i="24"/>
  <c r="J71" i="24"/>
  <c r="J72" i="24" s="1"/>
  <c r="K24" i="23"/>
  <c r="J54" i="23"/>
  <c r="J61" i="23" s="1"/>
  <c r="J26" i="23"/>
  <c r="K51" i="23"/>
  <c r="J47" i="23"/>
  <c r="K54" i="23"/>
  <c r="K25" i="22"/>
  <c r="K45" i="22"/>
  <c r="K48" i="22"/>
  <c r="K51" i="22" s="1"/>
  <c r="J58" i="22"/>
  <c r="J61" i="22" s="1"/>
  <c r="J21" i="22"/>
  <c r="K24" i="22"/>
  <c r="K27" i="22"/>
  <c r="J39" i="22"/>
  <c r="J41" i="22" s="1"/>
  <c r="J56" i="22"/>
  <c r="K24" i="21"/>
  <c r="K31" i="21" s="1"/>
  <c r="K28" i="21"/>
  <c r="J35" i="21"/>
  <c r="J39" i="21"/>
  <c r="J41" i="21" s="1"/>
  <c r="J44" i="21"/>
  <c r="J48" i="21"/>
  <c r="J21" i="21"/>
  <c r="J25" i="21"/>
  <c r="J29" i="21"/>
  <c r="K45" i="21"/>
  <c r="K49" i="21"/>
  <c r="J54" i="21"/>
  <c r="J61" i="21" s="1"/>
  <c r="J24" i="20"/>
  <c r="J28" i="20"/>
  <c r="K34" i="20"/>
  <c r="K38" i="20"/>
  <c r="J45" i="20"/>
  <c r="J49" i="20"/>
  <c r="J54" i="20"/>
  <c r="J58" i="20"/>
  <c r="K51" i="20"/>
  <c r="K19" i="20"/>
  <c r="K24" i="20"/>
  <c r="J35" i="20"/>
  <c r="J39" i="20"/>
  <c r="K55" i="20"/>
  <c r="K61" i="20" s="1"/>
  <c r="J26" i="19"/>
  <c r="K48" i="19"/>
  <c r="J58" i="19"/>
  <c r="J61" i="19" s="1"/>
  <c r="J24" i="19"/>
  <c r="K29" i="19"/>
  <c r="K31" i="19" s="1"/>
  <c r="J35" i="19"/>
  <c r="J41" i="19" s="1"/>
  <c r="K46" i="19"/>
  <c r="K24" i="16"/>
  <c r="K28" i="16"/>
  <c r="K35" i="16"/>
  <c r="K39" i="16"/>
  <c r="K45" i="16"/>
  <c r="K49" i="16"/>
  <c r="J41" i="16"/>
  <c r="J24" i="16"/>
  <c r="J36" i="15"/>
  <c r="K51" i="15"/>
  <c r="J49" i="15"/>
  <c r="J19" i="15"/>
  <c r="J21" i="15" s="1"/>
  <c r="J24" i="15"/>
  <c r="K61" i="15"/>
  <c r="J57" i="15"/>
  <c r="K71" i="15"/>
  <c r="J71" i="14"/>
  <c r="J72" i="14" s="1"/>
  <c r="J71" i="12"/>
  <c r="K21" i="12"/>
  <c r="K21" i="11"/>
  <c r="J21" i="11"/>
  <c r="K21" i="8"/>
  <c r="J22" i="8" s="1"/>
  <c r="J21" i="7"/>
  <c r="K21" i="6"/>
  <c r="K21" i="4"/>
  <c r="K71" i="3"/>
  <c r="J72" i="3" s="1"/>
  <c r="K61" i="3"/>
  <c r="K21" i="3"/>
  <c r="J72" i="31"/>
  <c r="H71" i="31"/>
  <c r="J72" i="30"/>
  <c r="J71" i="29"/>
  <c r="J72" i="29" s="1"/>
  <c r="J71" i="27"/>
  <c r="J72" i="27" s="1"/>
  <c r="J21" i="26"/>
  <c r="K71" i="25"/>
  <c r="K21" i="25"/>
  <c r="J22" i="25" s="1"/>
  <c r="K71" i="23"/>
  <c r="J71" i="23"/>
  <c r="J71" i="22"/>
  <c r="J72" i="22" s="1"/>
  <c r="K71" i="21"/>
  <c r="J72" i="21" s="1"/>
  <c r="K71" i="20"/>
  <c r="J72" i="20" s="1"/>
  <c r="K21" i="20"/>
  <c r="K71" i="19"/>
  <c r="J71" i="19"/>
  <c r="K71" i="18"/>
  <c r="J72" i="18" s="1"/>
  <c r="J21" i="18"/>
  <c r="J72" i="17"/>
  <c r="K71" i="16"/>
  <c r="K72" i="16" s="1"/>
  <c r="J21" i="16"/>
  <c r="J71" i="15"/>
  <c r="J72" i="15" s="1"/>
  <c r="K21" i="15"/>
  <c r="J71" i="13"/>
  <c r="J72" i="13" s="1"/>
  <c r="J21" i="13"/>
  <c r="K71" i="12"/>
  <c r="K72" i="12" s="1"/>
  <c r="J21" i="12"/>
  <c r="K22" i="12" s="1"/>
  <c r="J71" i="11"/>
  <c r="K72" i="11" s="1"/>
  <c r="J71" i="10"/>
  <c r="K71" i="10"/>
  <c r="K71" i="9"/>
  <c r="K72" i="9" s="1"/>
  <c r="J21" i="9"/>
  <c r="K21" i="9"/>
  <c r="J71" i="8"/>
  <c r="J72" i="8" s="1"/>
  <c r="K71" i="7"/>
  <c r="K72" i="7" s="1"/>
  <c r="K21" i="7"/>
  <c r="J22" i="7" s="1"/>
  <c r="K71" i="6"/>
  <c r="K72" i="6" s="1"/>
  <c r="J21" i="6"/>
  <c r="K22" i="6" s="1"/>
  <c r="J21" i="5"/>
  <c r="K72" i="4"/>
  <c r="J22" i="4"/>
  <c r="J21" i="3"/>
  <c r="K22" i="3" s="1"/>
  <c r="J51" i="31"/>
  <c r="K72" i="31"/>
  <c r="J61" i="31"/>
  <c r="K19" i="31"/>
  <c r="K21" i="31" s="1"/>
  <c r="J24" i="31"/>
  <c r="J31" i="31" s="1"/>
  <c r="K34" i="31"/>
  <c r="K36" i="31"/>
  <c r="K38" i="31"/>
  <c r="K55" i="31"/>
  <c r="K57" i="31"/>
  <c r="H41" i="31"/>
  <c r="J21" i="30"/>
  <c r="J22" i="30" s="1"/>
  <c r="K72" i="30"/>
  <c r="J61" i="30"/>
  <c r="J62" i="30" s="1"/>
  <c r="J41" i="30"/>
  <c r="K51" i="30"/>
  <c r="K24" i="30"/>
  <c r="K31" i="30" s="1"/>
  <c r="J25" i="30"/>
  <c r="J27" i="30"/>
  <c r="J29" i="30"/>
  <c r="J44" i="30"/>
  <c r="J46" i="30"/>
  <c r="J48" i="30"/>
  <c r="K72" i="29"/>
  <c r="K31" i="29"/>
  <c r="K51" i="29"/>
  <c r="K19" i="29"/>
  <c r="K21" i="29" s="1"/>
  <c r="J24" i="29"/>
  <c r="K34" i="29"/>
  <c r="K36" i="29"/>
  <c r="K38" i="29"/>
  <c r="K55" i="29"/>
  <c r="K61" i="29" s="1"/>
  <c r="K57" i="29"/>
  <c r="J25" i="29"/>
  <c r="J27" i="29"/>
  <c r="J29" i="29"/>
  <c r="J44" i="29"/>
  <c r="J46" i="29"/>
  <c r="J48" i="29"/>
  <c r="J72" i="28"/>
  <c r="K31" i="28"/>
  <c r="J22" i="28"/>
  <c r="K51" i="28"/>
  <c r="J25" i="28"/>
  <c r="J27" i="28"/>
  <c r="J29" i="28"/>
  <c r="J44" i="28"/>
  <c r="J46" i="28"/>
  <c r="J48" i="28"/>
  <c r="K22" i="27"/>
  <c r="K51" i="27"/>
  <c r="K61" i="27"/>
  <c r="K24" i="27"/>
  <c r="K31" i="27" s="1"/>
  <c r="J35" i="27"/>
  <c r="J37" i="27"/>
  <c r="J39" i="27"/>
  <c r="J54" i="27"/>
  <c r="J56" i="27"/>
  <c r="J58" i="27"/>
  <c r="J25" i="27"/>
  <c r="J27" i="27"/>
  <c r="J29" i="27"/>
  <c r="J44" i="27"/>
  <c r="J46" i="27"/>
  <c r="J48" i="27"/>
  <c r="J51" i="26"/>
  <c r="K72" i="26"/>
  <c r="J41" i="26"/>
  <c r="K19" i="26"/>
  <c r="K21" i="26" s="1"/>
  <c r="J24" i="26"/>
  <c r="J31" i="26" s="1"/>
  <c r="K34" i="26"/>
  <c r="K36" i="26"/>
  <c r="K38" i="26"/>
  <c r="K55" i="26"/>
  <c r="K57" i="26"/>
  <c r="K41" i="25"/>
  <c r="K24" i="25"/>
  <c r="K31" i="25" s="1"/>
  <c r="J35" i="25"/>
  <c r="J37" i="25"/>
  <c r="J39" i="25"/>
  <c r="J54" i="25"/>
  <c r="J56" i="25"/>
  <c r="J58" i="25"/>
  <c r="J25" i="25"/>
  <c r="J27" i="25"/>
  <c r="J29" i="25"/>
  <c r="J44" i="25"/>
  <c r="J46" i="25"/>
  <c r="J48" i="25"/>
  <c r="J51" i="24"/>
  <c r="J61" i="24"/>
  <c r="K19" i="24"/>
  <c r="K21" i="24" s="1"/>
  <c r="K34" i="24"/>
  <c r="K36" i="24"/>
  <c r="K38" i="24"/>
  <c r="K55" i="24"/>
  <c r="K57" i="24"/>
  <c r="K31" i="23"/>
  <c r="K19" i="23"/>
  <c r="K21" i="23" s="1"/>
  <c r="K22" i="23" s="1"/>
  <c r="K34" i="23"/>
  <c r="K36" i="23"/>
  <c r="K38" i="23"/>
  <c r="K55" i="23"/>
  <c r="K57" i="23"/>
  <c r="J25" i="23"/>
  <c r="J27" i="23"/>
  <c r="J29" i="23"/>
  <c r="J44" i="23"/>
  <c r="J46" i="23"/>
  <c r="J48" i="23"/>
  <c r="J51" i="22"/>
  <c r="K72" i="22"/>
  <c r="K19" i="22"/>
  <c r="K21" i="22" s="1"/>
  <c r="J24" i="22"/>
  <c r="J31" i="22" s="1"/>
  <c r="K34" i="22"/>
  <c r="K36" i="22"/>
  <c r="K38" i="22"/>
  <c r="K55" i="22"/>
  <c r="K57" i="22"/>
  <c r="J51" i="21"/>
  <c r="K19" i="21"/>
  <c r="K21" i="21" s="1"/>
  <c r="J24" i="21"/>
  <c r="J31" i="21" s="1"/>
  <c r="K34" i="21"/>
  <c r="K36" i="21"/>
  <c r="K38" i="21"/>
  <c r="K55" i="21"/>
  <c r="K61" i="21" s="1"/>
  <c r="K57" i="21"/>
  <c r="K31" i="20"/>
  <c r="J21" i="20"/>
  <c r="J25" i="20"/>
  <c r="J27" i="20"/>
  <c r="J29" i="20"/>
  <c r="J44" i="20"/>
  <c r="J46" i="20"/>
  <c r="J48" i="20"/>
  <c r="J51" i="19"/>
  <c r="J31" i="19"/>
  <c r="J21" i="19"/>
  <c r="K19" i="19"/>
  <c r="K21" i="19" s="1"/>
  <c r="K22" i="19" s="1"/>
  <c r="K34" i="19"/>
  <c r="K36" i="19"/>
  <c r="K38" i="19"/>
  <c r="K55" i="19"/>
  <c r="K57" i="19"/>
  <c r="K31" i="18"/>
  <c r="J51" i="18"/>
  <c r="J52" i="18" s="1"/>
  <c r="K72" i="18"/>
  <c r="J61" i="18"/>
  <c r="K19" i="18"/>
  <c r="K21" i="18" s="1"/>
  <c r="J24" i="18"/>
  <c r="J31" i="18" s="1"/>
  <c r="K34" i="18"/>
  <c r="K36" i="18"/>
  <c r="K38" i="18"/>
  <c r="K55" i="18"/>
  <c r="K57" i="18"/>
  <c r="J21" i="17"/>
  <c r="J51" i="17"/>
  <c r="J52" i="17" s="1"/>
  <c r="K31" i="17"/>
  <c r="J61" i="17"/>
  <c r="K72" i="17"/>
  <c r="J41" i="17"/>
  <c r="K19" i="17"/>
  <c r="K21" i="17" s="1"/>
  <c r="K34" i="17"/>
  <c r="K36" i="17"/>
  <c r="K38" i="17"/>
  <c r="K55" i="17"/>
  <c r="K57" i="17"/>
  <c r="J25" i="17"/>
  <c r="J31" i="17" s="1"/>
  <c r="J32" i="17" s="1"/>
  <c r="J27" i="17"/>
  <c r="J29" i="17"/>
  <c r="K19" i="16"/>
  <c r="K21" i="16" s="1"/>
  <c r="K34" i="16"/>
  <c r="K36" i="16"/>
  <c r="K38" i="16"/>
  <c r="K55" i="16"/>
  <c r="K57" i="16"/>
  <c r="K61" i="16" s="1"/>
  <c r="K62" i="16" s="1"/>
  <c r="J25" i="16"/>
  <c r="J27" i="16"/>
  <c r="J29" i="16"/>
  <c r="J44" i="16"/>
  <c r="J46" i="16"/>
  <c r="J48" i="16"/>
  <c r="K41" i="15"/>
  <c r="K72" i="15"/>
  <c r="K24" i="15"/>
  <c r="K31" i="15" s="1"/>
  <c r="J35" i="15"/>
  <c r="J37" i="15"/>
  <c r="J39" i="15"/>
  <c r="J54" i="15"/>
  <c r="J56" i="15"/>
  <c r="J58" i="15"/>
  <c r="J25" i="15"/>
  <c r="J27" i="15"/>
  <c r="J29" i="15"/>
  <c r="J44" i="15"/>
  <c r="J46" i="15"/>
  <c r="J48" i="15"/>
  <c r="K31" i="14"/>
  <c r="J51" i="14"/>
  <c r="J52" i="14" s="1"/>
  <c r="K72" i="14"/>
  <c r="K21" i="14"/>
  <c r="J61" i="14"/>
  <c r="J19" i="14"/>
  <c r="J21" i="14" s="1"/>
  <c r="J24" i="14"/>
  <c r="J31" i="14" s="1"/>
  <c r="J32" i="14" s="1"/>
  <c r="K34" i="14"/>
  <c r="K41" i="14" s="1"/>
  <c r="K42" i="14" s="1"/>
  <c r="K36" i="14"/>
  <c r="K38" i="14"/>
  <c r="K55" i="14"/>
  <c r="K57" i="14"/>
  <c r="J51" i="13"/>
  <c r="J52" i="13" s="1"/>
  <c r="K52" i="13"/>
  <c r="J61" i="13"/>
  <c r="K72" i="13"/>
  <c r="J31" i="13"/>
  <c r="J32" i="13" s="1"/>
  <c r="J41" i="13"/>
  <c r="K19" i="13"/>
  <c r="K21" i="13" s="1"/>
  <c r="K34" i="13"/>
  <c r="K36" i="13"/>
  <c r="K38" i="13"/>
  <c r="K55" i="13"/>
  <c r="K57" i="13"/>
  <c r="K51" i="12"/>
  <c r="K61" i="12"/>
  <c r="K24" i="12"/>
  <c r="K31" i="12" s="1"/>
  <c r="J35" i="12"/>
  <c r="J37" i="12"/>
  <c r="J39" i="12"/>
  <c r="J54" i="12"/>
  <c r="J56" i="12"/>
  <c r="J58" i="12"/>
  <c r="J25" i="12"/>
  <c r="J27" i="12"/>
  <c r="J29" i="12"/>
  <c r="J44" i="12"/>
  <c r="J46" i="12"/>
  <c r="J48" i="12"/>
  <c r="J41" i="11"/>
  <c r="J42" i="11" s="1"/>
  <c r="J22" i="11"/>
  <c r="K42" i="11"/>
  <c r="K51" i="11"/>
  <c r="K24" i="11"/>
  <c r="K31" i="11" s="1"/>
  <c r="J58" i="11"/>
  <c r="J61" i="11" s="1"/>
  <c r="J25" i="11"/>
  <c r="J31" i="11" s="1"/>
  <c r="J32" i="11" s="1"/>
  <c r="J27" i="11"/>
  <c r="J29" i="11"/>
  <c r="J44" i="11"/>
  <c r="J46" i="11"/>
  <c r="J48" i="11"/>
  <c r="J51" i="10"/>
  <c r="J52" i="10" s="1"/>
  <c r="J61" i="10"/>
  <c r="J41" i="10"/>
  <c r="K52" i="10"/>
  <c r="K19" i="10"/>
  <c r="K21" i="10" s="1"/>
  <c r="K34" i="10"/>
  <c r="K36" i="10"/>
  <c r="K38" i="10"/>
  <c r="K55" i="10"/>
  <c r="K57" i="10"/>
  <c r="J25" i="10"/>
  <c r="J31" i="10" s="1"/>
  <c r="J32" i="10" s="1"/>
  <c r="J61" i="9"/>
  <c r="J62" i="9" s="1"/>
  <c r="J41" i="9"/>
  <c r="J42" i="9" s="1"/>
  <c r="K22" i="9"/>
  <c r="K62" i="9"/>
  <c r="J24" i="9"/>
  <c r="J26" i="9"/>
  <c r="J28" i="9"/>
  <c r="K24" i="9"/>
  <c r="K31" i="9" s="1"/>
  <c r="J44" i="9"/>
  <c r="J46" i="9"/>
  <c r="J48" i="9"/>
  <c r="J41" i="8"/>
  <c r="J42" i="8" s="1"/>
  <c r="K22" i="8"/>
  <c r="K42" i="8"/>
  <c r="K51" i="8"/>
  <c r="K72" i="8"/>
  <c r="J61" i="8"/>
  <c r="J62" i="8" s="1"/>
  <c r="K24" i="8"/>
  <c r="K31" i="8" s="1"/>
  <c r="J25" i="8"/>
  <c r="J27" i="8"/>
  <c r="J29" i="8"/>
  <c r="J44" i="8"/>
  <c r="J46" i="8"/>
  <c r="J48" i="8"/>
  <c r="K51" i="7"/>
  <c r="K22" i="7"/>
  <c r="K24" i="7"/>
  <c r="K31" i="7" s="1"/>
  <c r="J35" i="7"/>
  <c r="J41" i="7" s="1"/>
  <c r="J37" i="7"/>
  <c r="J39" i="7"/>
  <c r="J54" i="7"/>
  <c r="J61" i="7" s="1"/>
  <c r="J25" i="7"/>
  <c r="J31" i="7" s="1"/>
  <c r="J27" i="7"/>
  <c r="J29" i="7"/>
  <c r="J44" i="7"/>
  <c r="J46" i="7"/>
  <c r="J48" i="7"/>
  <c r="K51" i="6"/>
  <c r="K61" i="6"/>
  <c r="K24" i="6"/>
  <c r="K31" i="6" s="1"/>
  <c r="J35" i="6"/>
  <c r="J41" i="6" s="1"/>
  <c r="J37" i="6"/>
  <c r="J39" i="6"/>
  <c r="J54" i="6"/>
  <c r="J56" i="6"/>
  <c r="J58" i="6"/>
  <c r="J25" i="6"/>
  <c r="J27" i="6"/>
  <c r="J29" i="6"/>
  <c r="J44" i="6"/>
  <c r="J46" i="6"/>
  <c r="J48" i="6"/>
  <c r="J61" i="5"/>
  <c r="K51" i="5"/>
  <c r="K72" i="5"/>
  <c r="K31" i="5"/>
  <c r="K19" i="5"/>
  <c r="K21" i="5" s="1"/>
  <c r="J24" i="5"/>
  <c r="J31" i="5" s="1"/>
  <c r="K34" i="5"/>
  <c r="K41" i="5" s="1"/>
  <c r="K42" i="5" s="1"/>
  <c r="K36" i="5"/>
  <c r="K38" i="5"/>
  <c r="K55" i="5"/>
  <c r="K57" i="5"/>
  <c r="J44" i="5"/>
  <c r="J46" i="5"/>
  <c r="J48" i="5"/>
  <c r="K22" i="4"/>
  <c r="J61" i="4"/>
  <c r="J62" i="4" s="1"/>
  <c r="J72" i="4"/>
  <c r="J41" i="4"/>
  <c r="J42" i="4" s="1"/>
  <c r="K51" i="4"/>
  <c r="K24" i="4"/>
  <c r="K31" i="4" s="1"/>
  <c r="J25" i="4"/>
  <c r="J27" i="4"/>
  <c r="J31" i="4" s="1"/>
  <c r="J32" i="4" s="1"/>
  <c r="J29" i="4"/>
  <c r="J44" i="4"/>
  <c r="J46" i="4"/>
  <c r="J48" i="4"/>
  <c r="J31" i="3"/>
  <c r="K51" i="3"/>
  <c r="K52" i="3" s="1"/>
  <c r="J22" i="3"/>
  <c r="K31" i="3"/>
  <c r="K41" i="3"/>
  <c r="K72" i="3"/>
  <c r="J35" i="3"/>
  <c r="J37" i="3"/>
  <c r="J39" i="3"/>
  <c r="J54" i="3"/>
  <c r="J56" i="3"/>
  <c r="J58" i="3"/>
  <c r="Q130" i="31"/>
  <c r="Q129" i="31"/>
  <c r="Q128" i="31"/>
  <c r="Q127" i="31"/>
  <c r="N126" i="31"/>
  <c r="P126" i="31" s="1"/>
  <c r="Q125" i="31"/>
  <c r="P123" i="31"/>
  <c r="N123" i="31"/>
  <c r="Q130" i="30"/>
  <c r="Q129" i="30"/>
  <c r="Q128" i="30"/>
  <c r="Q127" i="30"/>
  <c r="N126" i="30"/>
  <c r="P126" i="30" s="1"/>
  <c r="Q125" i="30"/>
  <c r="N123" i="30"/>
  <c r="P123" i="30" s="1"/>
  <c r="Q130" i="29"/>
  <c r="Q129" i="29"/>
  <c r="Q128" i="29"/>
  <c r="Q127" i="29"/>
  <c r="N126" i="29"/>
  <c r="P126" i="29" s="1"/>
  <c r="Q125" i="29"/>
  <c r="N123" i="29"/>
  <c r="P123" i="29" s="1"/>
  <c r="Q130" i="28"/>
  <c r="Q129" i="28"/>
  <c r="Q128" i="28"/>
  <c r="Q127" i="28"/>
  <c r="N126" i="28"/>
  <c r="P126" i="28" s="1"/>
  <c r="Q125" i="28"/>
  <c r="N123" i="28"/>
  <c r="P123" i="28" s="1"/>
  <c r="Q130" i="27"/>
  <c r="Q129" i="27"/>
  <c r="Q128" i="27"/>
  <c r="Q127" i="27"/>
  <c r="P126" i="27"/>
  <c r="N126" i="27"/>
  <c r="Q125" i="27"/>
  <c r="N123" i="27"/>
  <c r="P123" i="27" s="1"/>
  <c r="Q130" i="26"/>
  <c r="Q129" i="26"/>
  <c r="Q128" i="26"/>
  <c r="N126" i="26"/>
  <c r="P126" i="26" s="1"/>
  <c r="Q125" i="26"/>
  <c r="N123" i="26"/>
  <c r="P123" i="26" s="1"/>
  <c r="Q130" i="25"/>
  <c r="Q129" i="25"/>
  <c r="Q128" i="25"/>
  <c r="N126" i="25"/>
  <c r="P126" i="25" s="1"/>
  <c r="Q125" i="25"/>
  <c r="N123" i="25"/>
  <c r="P123" i="25" s="1"/>
  <c r="Q130" i="24"/>
  <c r="Q129" i="24"/>
  <c r="Q128" i="24"/>
  <c r="P126" i="24"/>
  <c r="N126" i="24"/>
  <c r="Q125" i="24"/>
  <c r="N123" i="24"/>
  <c r="P123" i="24" s="1"/>
  <c r="Q130" i="23"/>
  <c r="Q129" i="23"/>
  <c r="Q128" i="23"/>
  <c r="N126" i="23"/>
  <c r="P126" i="23" s="1"/>
  <c r="Q125" i="23"/>
  <c r="N123" i="23"/>
  <c r="P123" i="23" s="1"/>
  <c r="Q130" i="22"/>
  <c r="Q129" i="22"/>
  <c r="Q128" i="22"/>
  <c r="N126" i="22"/>
  <c r="P126" i="22" s="1"/>
  <c r="Q125" i="22"/>
  <c r="N123" i="22"/>
  <c r="P123" i="22" s="1"/>
  <c r="Q130" i="21"/>
  <c r="Q129" i="21"/>
  <c r="Q128" i="21"/>
  <c r="N126" i="21"/>
  <c r="P126" i="21" s="1"/>
  <c r="Q125" i="21"/>
  <c r="P123" i="21"/>
  <c r="N123" i="21"/>
  <c r="Q130" i="20"/>
  <c r="Q129" i="20"/>
  <c r="Q128" i="20"/>
  <c r="P126" i="20"/>
  <c r="N126" i="20"/>
  <c r="Q125" i="20"/>
  <c r="N123" i="20"/>
  <c r="P123" i="20" s="1"/>
  <c r="Q130" i="19"/>
  <c r="Q129" i="19"/>
  <c r="Q128" i="19"/>
  <c r="P126" i="19"/>
  <c r="N126" i="19"/>
  <c r="Q125" i="19"/>
  <c r="N123" i="19"/>
  <c r="P123" i="19" s="1"/>
  <c r="Q130" i="18"/>
  <c r="Q129" i="18"/>
  <c r="Q128" i="18"/>
  <c r="P126" i="18"/>
  <c r="N126" i="18"/>
  <c r="Q125" i="18"/>
  <c r="N123" i="18"/>
  <c r="P123" i="18" s="1"/>
  <c r="Q130" i="17"/>
  <c r="Q129" i="17"/>
  <c r="Q128" i="17"/>
  <c r="N126" i="17"/>
  <c r="P126" i="17" s="1"/>
  <c r="Q125" i="17"/>
  <c r="N123" i="17"/>
  <c r="P123" i="17" s="1"/>
  <c r="Q130" i="16"/>
  <c r="Q129" i="16"/>
  <c r="Q128" i="16"/>
  <c r="N126" i="16"/>
  <c r="P126" i="16" s="1"/>
  <c r="Q125" i="16"/>
  <c r="N123" i="16"/>
  <c r="P123" i="16" s="1"/>
  <c r="Q130" i="15"/>
  <c r="Q129" i="15"/>
  <c r="Q128" i="15"/>
  <c r="P126" i="15"/>
  <c r="N126" i="15"/>
  <c r="Q125" i="15"/>
  <c r="N123" i="15"/>
  <c r="P123" i="15" s="1"/>
  <c r="Q130" i="14"/>
  <c r="Q129" i="14"/>
  <c r="Q128" i="14"/>
  <c r="P126" i="14"/>
  <c r="N126" i="14"/>
  <c r="Q125" i="14"/>
  <c r="N123" i="14"/>
  <c r="P123" i="14" s="1"/>
  <c r="Q130" i="13"/>
  <c r="Q129" i="13"/>
  <c r="Q128" i="13"/>
  <c r="N126" i="13"/>
  <c r="P126" i="13" s="1"/>
  <c r="Q125" i="13"/>
  <c r="N123" i="13"/>
  <c r="P123" i="13" s="1"/>
  <c r="Q130" i="12"/>
  <c r="Q129" i="12"/>
  <c r="Q128" i="12"/>
  <c r="N126" i="12"/>
  <c r="P126" i="12" s="1"/>
  <c r="Q125" i="12"/>
  <c r="P123" i="12"/>
  <c r="N123" i="12"/>
  <c r="Q130" i="11"/>
  <c r="Q129" i="11"/>
  <c r="Q128" i="11"/>
  <c r="N126" i="11"/>
  <c r="P126" i="11" s="1"/>
  <c r="Q125" i="11"/>
  <c r="P123" i="11"/>
  <c r="N123" i="11"/>
  <c r="Q130" i="10"/>
  <c r="Q129" i="10"/>
  <c r="Q128" i="10"/>
  <c r="N126" i="10"/>
  <c r="P126" i="10" s="1"/>
  <c r="Q125" i="10"/>
  <c r="N123" i="10"/>
  <c r="P123" i="10" s="1"/>
  <c r="Q130" i="9"/>
  <c r="Q129" i="9"/>
  <c r="Q128" i="9"/>
  <c r="N126" i="9"/>
  <c r="P126" i="9" s="1"/>
  <c r="Q125" i="9"/>
  <c r="N123" i="9"/>
  <c r="P123" i="9" s="1"/>
  <c r="Q130" i="8"/>
  <c r="Q129" i="8"/>
  <c r="Q128" i="8"/>
  <c r="N126" i="8"/>
  <c r="P126" i="8" s="1"/>
  <c r="Q125" i="8"/>
  <c r="N123" i="8"/>
  <c r="P123" i="8" s="1"/>
  <c r="Q130" i="7"/>
  <c r="Q129" i="7"/>
  <c r="Q128" i="7"/>
  <c r="N126" i="7"/>
  <c r="P126" i="7" s="1"/>
  <c r="Q125" i="7"/>
  <c r="N123" i="7"/>
  <c r="P123" i="7" s="1"/>
  <c r="Q130" i="6"/>
  <c r="Q129" i="6"/>
  <c r="Q128" i="6"/>
  <c r="N126" i="6"/>
  <c r="P126" i="6" s="1"/>
  <c r="Q125" i="6"/>
  <c r="N123" i="6"/>
  <c r="P123" i="6" s="1"/>
  <c r="Q130" i="5"/>
  <c r="Q129" i="5"/>
  <c r="Q128" i="5"/>
  <c r="N126" i="5"/>
  <c r="P126" i="5" s="1"/>
  <c r="Q125" i="5"/>
  <c r="P123" i="5"/>
  <c r="N123" i="5"/>
  <c r="Q130" i="4"/>
  <c r="Q129" i="4"/>
  <c r="Q128" i="4"/>
  <c r="N126" i="4"/>
  <c r="P126" i="4" s="1"/>
  <c r="Q125" i="4"/>
  <c r="N123" i="4"/>
  <c r="P123" i="4" s="1"/>
  <c r="Q130" i="3"/>
  <c r="Q129" i="3"/>
  <c r="Q128" i="3"/>
  <c r="N126" i="3"/>
  <c r="P126" i="3" s="1"/>
  <c r="Q125" i="3"/>
  <c r="P123" i="3"/>
  <c r="N123" i="3"/>
  <c r="K72" i="25" l="1"/>
  <c r="K61" i="24"/>
  <c r="K62" i="24" s="1"/>
  <c r="J72" i="23"/>
  <c r="K72" i="20"/>
  <c r="J61" i="20"/>
  <c r="J72" i="19"/>
  <c r="K61" i="14"/>
  <c r="K62" i="14" s="1"/>
  <c r="K61" i="10"/>
  <c r="K62" i="10" s="1"/>
  <c r="J72" i="9"/>
  <c r="J62" i="7"/>
  <c r="K62" i="30"/>
  <c r="J61" i="29"/>
  <c r="K62" i="29" s="1"/>
  <c r="K22" i="28"/>
  <c r="K61" i="28"/>
  <c r="K62" i="28" s="1"/>
  <c r="J31" i="27"/>
  <c r="J32" i="27" s="1"/>
  <c r="K61" i="26"/>
  <c r="J51" i="25"/>
  <c r="J52" i="25" s="1"/>
  <c r="J31" i="25"/>
  <c r="J32" i="25" s="1"/>
  <c r="K41" i="24"/>
  <c r="K51" i="24"/>
  <c r="K52" i="24" s="1"/>
  <c r="J32" i="24"/>
  <c r="K72" i="24"/>
  <c r="K41" i="23"/>
  <c r="K42" i="23" s="1"/>
  <c r="K61" i="23"/>
  <c r="K62" i="23" s="1"/>
  <c r="K62" i="21"/>
  <c r="K51" i="21"/>
  <c r="K52" i="21" s="1"/>
  <c r="K72" i="21"/>
  <c r="J41" i="20"/>
  <c r="K41" i="20"/>
  <c r="K42" i="20" s="1"/>
  <c r="K61" i="19"/>
  <c r="K51" i="19"/>
  <c r="K52" i="19" s="1"/>
  <c r="K61" i="18"/>
  <c r="K62" i="18" s="1"/>
  <c r="J32" i="18"/>
  <c r="K61" i="17"/>
  <c r="K52" i="17"/>
  <c r="K51" i="16"/>
  <c r="K31" i="16"/>
  <c r="J41" i="15"/>
  <c r="J42" i="15" s="1"/>
  <c r="K61" i="13"/>
  <c r="K62" i="13" s="1"/>
  <c r="J31" i="12"/>
  <c r="J32" i="12" s="1"/>
  <c r="J41" i="12"/>
  <c r="J51" i="11"/>
  <c r="J52" i="11" s="1"/>
  <c r="K72" i="10"/>
  <c r="J31" i="9"/>
  <c r="J32" i="9" s="1"/>
  <c r="J31" i="8"/>
  <c r="J32" i="8" s="1"/>
  <c r="J61" i="6"/>
  <c r="J31" i="6"/>
  <c r="J32" i="6" s="1"/>
  <c r="K32" i="5"/>
  <c r="K61" i="5"/>
  <c r="J62" i="5" s="1"/>
  <c r="K42" i="4"/>
  <c r="J41" i="3"/>
  <c r="J42" i="3" s="1"/>
  <c r="K32" i="3"/>
  <c r="K61" i="31"/>
  <c r="K62" i="31" s="1"/>
  <c r="J32" i="31"/>
  <c r="J52" i="31"/>
  <c r="J31" i="30"/>
  <c r="J32" i="30" s="1"/>
  <c r="J51" i="30"/>
  <c r="J52" i="30" s="1"/>
  <c r="J42" i="30"/>
  <c r="K41" i="29"/>
  <c r="K42" i="29" s="1"/>
  <c r="K42" i="28"/>
  <c r="J31" i="28"/>
  <c r="J32" i="28" s="1"/>
  <c r="J41" i="27"/>
  <c r="K42" i="27" s="1"/>
  <c r="J51" i="27"/>
  <c r="J52" i="27" s="1"/>
  <c r="K62" i="26"/>
  <c r="J32" i="26"/>
  <c r="K51" i="26"/>
  <c r="J52" i="26" s="1"/>
  <c r="J41" i="25"/>
  <c r="J42" i="25" s="1"/>
  <c r="J72" i="25"/>
  <c r="K22" i="25"/>
  <c r="J52" i="24"/>
  <c r="K42" i="24"/>
  <c r="J31" i="23"/>
  <c r="J32" i="23" s="1"/>
  <c r="K72" i="23"/>
  <c r="K61" i="22"/>
  <c r="K62" i="22" s="1"/>
  <c r="J52" i="22"/>
  <c r="K31" i="22"/>
  <c r="J32" i="22" s="1"/>
  <c r="J52" i="21"/>
  <c r="J32" i="21"/>
  <c r="J51" i="20"/>
  <c r="J52" i="20" s="1"/>
  <c r="J31" i="20"/>
  <c r="J32" i="20" s="1"/>
  <c r="J22" i="20"/>
  <c r="J62" i="20"/>
  <c r="J32" i="19"/>
  <c r="K62" i="19"/>
  <c r="J52" i="19"/>
  <c r="K62" i="17"/>
  <c r="J31" i="16"/>
  <c r="J32" i="16" s="1"/>
  <c r="J22" i="15"/>
  <c r="K22" i="15"/>
  <c r="J31" i="15"/>
  <c r="J32" i="15" s="1"/>
  <c r="J22" i="14"/>
  <c r="J22" i="12"/>
  <c r="J72" i="11"/>
  <c r="K22" i="11"/>
  <c r="J72" i="10"/>
  <c r="J32" i="7"/>
  <c r="J62" i="6"/>
  <c r="J22" i="6"/>
  <c r="K22" i="30"/>
  <c r="K72" i="27"/>
  <c r="K72" i="19"/>
  <c r="K22" i="17"/>
  <c r="J72" i="16"/>
  <c r="J72" i="12"/>
  <c r="J22" i="9"/>
  <c r="J72" i="7"/>
  <c r="J72" i="6"/>
  <c r="K22" i="31"/>
  <c r="J22" i="31"/>
  <c r="K41" i="31"/>
  <c r="K52" i="31"/>
  <c r="J62" i="31"/>
  <c r="K32" i="31"/>
  <c r="K42" i="30"/>
  <c r="K22" i="29"/>
  <c r="J22" i="29"/>
  <c r="J62" i="29"/>
  <c r="J31" i="29"/>
  <c r="J32" i="29" s="1"/>
  <c r="J51" i="29"/>
  <c r="J52" i="29" s="1"/>
  <c r="J51" i="28"/>
  <c r="J52" i="28" s="1"/>
  <c r="J42" i="27"/>
  <c r="J61" i="27"/>
  <c r="J62" i="27" s="1"/>
  <c r="K32" i="27"/>
  <c r="K22" i="26"/>
  <c r="J22" i="26"/>
  <c r="K41" i="26"/>
  <c r="K42" i="26" s="1"/>
  <c r="K32" i="26"/>
  <c r="J62" i="26"/>
  <c r="K32" i="25"/>
  <c r="K42" i="25"/>
  <c r="J61" i="25"/>
  <c r="K22" i="24"/>
  <c r="J22" i="24"/>
  <c r="J42" i="24"/>
  <c r="J62" i="24"/>
  <c r="K32" i="24"/>
  <c r="J51" i="23"/>
  <c r="J22" i="23"/>
  <c r="J62" i="23"/>
  <c r="J42" i="23"/>
  <c r="K22" i="22"/>
  <c r="J22" i="22"/>
  <c r="K41" i="22"/>
  <c r="K42" i="22" s="1"/>
  <c r="K52" i="22"/>
  <c r="K22" i="21"/>
  <c r="J22" i="21"/>
  <c r="K41" i="21"/>
  <c r="J62" i="21"/>
  <c r="K32" i="21"/>
  <c r="K62" i="20"/>
  <c r="K22" i="20"/>
  <c r="K52" i="20"/>
  <c r="J42" i="20"/>
  <c r="J62" i="19"/>
  <c r="K41" i="19"/>
  <c r="K42" i="19" s="1"/>
  <c r="J22" i="19"/>
  <c r="K32" i="19"/>
  <c r="K22" i="18"/>
  <c r="J22" i="18"/>
  <c r="K41" i="18"/>
  <c r="K52" i="18"/>
  <c r="J62" i="18"/>
  <c r="K32" i="18"/>
  <c r="K41" i="17"/>
  <c r="K42" i="17" s="1"/>
  <c r="J62" i="17"/>
  <c r="J42" i="17"/>
  <c r="K32" i="17"/>
  <c r="J22" i="17"/>
  <c r="K22" i="16"/>
  <c r="J22" i="16"/>
  <c r="J51" i="16"/>
  <c r="J62" i="16"/>
  <c r="K41" i="16"/>
  <c r="K32" i="16"/>
  <c r="K32" i="15"/>
  <c r="J51" i="15"/>
  <c r="K42" i="15"/>
  <c r="J61" i="15"/>
  <c r="K32" i="14"/>
  <c r="K22" i="14"/>
  <c r="K52" i="14"/>
  <c r="J62" i="14"/>
  <c r="J42" i="14"/>
  <c r="K22" i="13"/>
  <c r="J22" i="13"/>
  <c r="K41" i="13"/>
  <c r="K42" i="13" s="1"/>
  <c r="K32" i="13"/>
  <c r="J42" i="13"/>
  <c r="J42" i="12"/>
  <c r="K42" i="12"/>
  <c r="K32" i="12"/>
  <c r="J51" i="12"/>
  <c r="J52" i="12" s="1"/>
  <c r="J61" i="12"/>
  <c r="J62" i="12" s="1"/>
  <c r="J62" i="11"/>
  <c r="K62" i="11"/>
  <c r="K52" i="11"/>
  <c r="K32" i="11"/>
  <c r="K22" i="10"/>
  <c r="J22" i="10"/>
  <c r="K41" i="10"/>
  <c r="K42" i="10" s="1"/>
  <c r="K32" i="10"/>
  <c r="J42" i="10"/>
  <c r="J62" i="10"/>
  <c r="K32" i="9"/>
  <c r="K42" i="9"/>
  <c r="J51" i="9"/>
  <c r="K62" i="8"/>
  <c r="J51" i="8"/>
  <c r="J52" i="8" s="1"/>
  <c r="K32" i="8"/>
  <c r="K52" i="8"/>
  <c r="J42" i="7"/>
  <c r="K42" i="7"/>
  <c r="K32" i="7"/>
  <c r="J51" i="7"/>
  <c r="J52" i="7" s="1"/>
  <c r="K62" i="7"/>
  <c r="J42" i="6"/>
  <c r="K42" i="6"/>
  <c r="K32" i="6"/>
  <c r="K62" i="6"/>
  <c r="J51" i="6"/>
  <c r="J52" i="6" s="1"/>
  <c r="K52" i="6"/>
  <c r="K22" i="5"/>
  <c r="J22" i="5"/>
  <c r="J51" i="5"/>
  <c r="J52" i="5" s="1"/>
  <c r="J32" i="5"/>
  <c r="J42" i="5"/>
  <c r="J51" i="4"/>
  <c r="J52" i="4" s="1"/>
  <c r="K62" i="4"/>
  <c r="K32" i="4"/>
  <c r="J61" i="3"/>
  <c r="J32" i="3"/>
  <c r="K42" i="3"/>
  <c r="J52" i="3"/>
  <c r="O149" i="31"/>
  <c r="J149" i="31"/>
  <c r="H149" i="31"/>
  <c r="O148" i="31"/>
  <c r="J148" i="31"/>
  <c r="H148" i="31"/>
  <c r="O147" i="31"/>
  <c r="J147" i="31"/>
  <c r="H147" i="31"/>
  <c r="O146" i="31"/>
  <c r="J146" i="31"/>
  <c r="H146" i="31"/>
  <c r="O145" i="31"/>
  <c r="J145" i="31"/>
  <c r="H145" i="31"/>
  <c r="O144" i="31"/>
  <c r="J144" i="31"/>
  <c r="H144" i="31"/>
  <c r="O143" i="31"/>
  <c r="J143" i="31"/>
  <c r="H143" i="31"/>
  <c r="O142" i="31"/>
  <c r="N142" i="31"/>
  <c r="J142" i="31"/>
  <c r="H142" i="31"/>
  <c r="O149" i="30"/>
  <c r="J149" i="30"/>
  <c r="H149" i="30"/>
  <c r="O148" i="30"/>
  <c r="J148" i="30"/>
  <c r="H148" i="30"/>
  <c r="O147" i="30"/>
  <c r="J147" i="30"/>
  <c r="H147" i="30"/>
  <c r="O146" i="30"/>
  <c r="J146" i="30"/>
  <c r="H146" i="30"/>
  <c r="O145" i="30"/>
  <c r="J145" i="30"/>
  <c r="H145" i="30"/>
  <c r="O144" i="30"/>
  <c r="J144" i="30"/>
  <c r="H144" i="30"/>
  <c r="O143" i="30"/>
  <c r="J143" i="30"/>
  <c r="H143" i="30"/>
  <c r="O142" i="30"/>
  <c r="N142" i="30"/>
  <c r="J142" i="30"/>
  <c r="H142" i="30"/>
  <c r="O149" i="29"/>
  <c r="J149" i="29"/>
  <c r="H149" i="29"/>
  <c r="O148" i="29"/>
  <c r="J148" i="29"/>
  <c r="H148" i="29"/>
  <c r="O147" i="29"/>
  <c r="J147" i="29"/>
  <c r="H147" i="29"/>
  <c r="O146" i="29"/>
  <c r="J146" i="29"/>
  <c r="H146" i="29"/>
  <c r="O145" i="29"/>
  <c r="J145" i="29"/>
  <c r="H145" i="29"/>
  <c r="O144" i="29"/>
  <c r="J144" i="29"/>
  <c r="H144" i="29"/>
  <c r="O143" i="29"/>
  <c r="J143" i="29"/>
  <c r="H143" i="29"/>
  <c r="O142" i="29"/>
  <c r="N142" i="29"/>
  <c r="J142" i="29"/>
  <c r="H142" i="29"/>
  <c r="O149" i="28"/>
  <c r="J149" i="28"/>
  <c r="H149" i="28"/>
  <c r="O148" i="28"/>
  <c r="J148" i="28"/>
  <c r="H148" i="28"/>
  <c r="O147" i="28"/>
  <c r="J147" i="28"/>
  <c r="H147" i="28"/>
  <c r="O146" i="28"/>
  <c r="J146" i="28"/>
  <c r="H146" i="28"/>
  <c r="O145" i="28"/>
  <c r="J145" i="28"/>
  <c r="H145" i="28"/>
  <c r="O144" i="28"/>
  <c r="J144" i="28"/>
  <c r="H144" i="28"/>
  <c r="O143" i="28"/>
  <c r="J143" i="28"/>
  <c r="H143" i="28"/>
  <c r="O142" i="28"/>
  <c r="N142" i="28"/>
  <c r="J142" i="28"/>
  <c r="H142" i="28"/>
  <c r="O149" i="27"/>
  <c r="J149" i="27"/>
  <c r="H149" i="27"/>
  <c r="O148" i="27"/>
  <c r="J148" i="27"/>
  <c r="H148" i="27"/>
  <c r="O147" i="27"/>
  <c r="J147" i="27"/>
  <c r="H147" i="27"/>
  <c r="O146" i="27"/>
  <c r="J146" i="27"/>
  <c r="H146" i="27"/>
  <c r="O145" i="27"/>
  <c r="J145" i="27"/>
  <c r="H145" i="27"/>
  <c r="O144" i="27"/>
  <c r="J144" i="27"/>
  <c r="H144" i="27"/>
  <c r="O143" i="27"/>
  <c r="J143" i="27"/>
  <c r="H143" i="27"/>
  <c r="O142" i="27"/>
  <c r="N142" i="27"/>
  <c r="J142" i="27"/>
  <c r="H142" i="27"/>
  <c r="O149" i="26"/>
  <c r="J149" i="26"/>
  <c r="H149" i="26"/>
  <c r="O148" i="26"/>
  <c r="J148" i="26"/>
  <c r="H148" i="26"/>
  <c r="O147" i="26"/>
  <c r="J147" i="26"/>
  <c r="H147" i="26"/>
  <c r="O146" i="26"/>
  <c r="J146" i="26"/>
  <c r="H146" i="26"/>
  <c r="O145" i="26"/>
  <c r="J145" i="26"/>
  <c r="H145" i="26"/>
  <c r="O144" i="26"/>
  <c r="J144" i="26"/>
  <c r="H144" i="26"/>
  <c r="O143" i="26"/>
  <c r="J143" i="26"/>
  <c r="H143" i="26"/>
  <c r="O142" i="26"/>
  <c r="N142" i="26"/>
  <c r="J142" i="26"/>
  <c r="H142" i="26"/>
  <c r="O149" i="25"/>
  <c r="J149" i="25"/>
  <c r="H149" i="25"/>
  <c r="O148" i="25"/>
  <c r="J148" i="25"/>
  <c r="H148" i="25"/>
  <c r="O147" i="25"/>
  <c r="J147" i="25"/>
  <c r="H147" i="25"/>
  <c r="O146" i="25"/>
  <c r="J146" i="25"/>
  <c r="H146" i="25"/>
  <c r="O145" i="25"/>
  <c r="J145" i="25"/>
  <c r="H145" i="25"/>
  <c r="O144" i="25"/>
  <c r="J144" i="25"/>
  <c r="H144" i="25"/>
  <c r="O143" i="25"/>
  <c r="J143" i="25"/>
  <c r="H143" i="25"/>
  <c r="O142" i="25"/>
  <c r="N142" i="25"/>
  <c r="J142" i="25"/>
  <c r="H142" i="25"/>
  <c r="O149" i="24"/>
  <c r="J149" i="24"/>
  <c r="H149" i="24"/>
  <c r="O148" i="24"/>
  <c r="J148" i="24"/>
  <c r="H148" i="24"/>
  <c r="O147" i="24"/>
  <c r="J147" i="24"/>
  <c r="H147" i="24"/>
  <c r="O146" i="24"/>
  <c r="J146" i="24"/>
  <c r="H146" i="24"/>
  <c r="O145" i="24"/>
  <c r="J145" i="24"/>
  <c r="H145" i="24"/>
  <c r="O144" i="24"/>
  <c r="J144" i="24"/>
  <c r="H144" i="24"/>
  <c r="O143" i="24"/>
  <c r="J143" i="24"/>
  <c r="H143" i="24"/>
  <c r="O142" i="24"/>
  <c r="N142" i="24"/>
  <c r="J142" i="24"/>
  <c r="H142" i="24"/>
  <c r="O149" i="23"/>
  <c r="J149" i="23"/>
  <c r="H149" i="23"/>
  <c r="O148" i="23"/>
  <c r="J148" i="23"/>
  <c r="H148" i="23"/>
  <c r="O147" i="23"/>
  <c r="J147" i="23"/>
  <c r="H147" i="23"/>
  <c r="O146" i="23"/>
  <c r="J146" i="23"/>
  <c r="H146" i="23"/>
  <c r="O145" i="23"/>
  <c r="J145" i="23"/>
  <c r="H145" i="23"/>
  <c r="O144" i="23"/>
  <c r="J144" i="23"/>
  <c r="H144" i="23"/>
  <c r="O143" i="23"/>
  <c r="J143" i="23"/>
  <c r="H143" i="23"/>
  <c r="O142" i="23"/>
  <c r="N142" i="23"/>
  <c r="J142" i="23"/>
  <c r="H142" i="23"/>
  <c r="O149" i="22"/>
  <c r="J149" i="22"/>
  <c r="H149" i="22"/>
  <c r="O148" i="22"/>
  <c r="J148" i="22"/>
  <c r="H148" i="22"/>
  <c r="O147" i="22"/>
  <c r="J147" i="22"/>
  <c r="H147" i="22"/>
  <c r="O146" i="22"/>
  <c r="J146" i="22"/>
  <c r="H146" i="22"/>
  <c r="O145" i="22"/>
  <c r="J145" i="22"/>
  <c r="H145" i="22"/>
  <c r="O144" i="22"/>
  <c r="J144" i="22"/>
  <c r="H144" i="22"/>
  <c r="O143" i="22"/>
  <c r="J143" i="22"/>
  <c r="H143" i="22"/>
  <c r="O142" i="22"/>
  <c r="N142" i="22"/>
  <c r="J142" i="22"/>
  <c r="H142" i="22"/>
  <c r="O149" i="21"/>
  <c r="J149" i="21"/>
  <c r="H149" i="21"/>
  <c r="O148" i="21"/>
  <c r="J148" i="21"/>
  <c r="H148" i="21"/>
  <c r="O147" i="21"/>
  <c r="J147" i="21"/>
  <c r="H147" i="21"/>
  <c r="O146" i="21"/>
  <c r="J146" i="21"/>
  <c r="H146" i="21"/>
  <c r="O145" i="21"/>
  <c r="J145" i="21"/>
  <c r="H145" i="21"/>
  <c r="O144" i="21"/>
  <c r="J144" i="21"/>
  <c r="H144" i="21"/>
  <c r="O143" i="21"/>
  <c r="J143" i="21"/>
  <c r="H143" i="21"/>
  <c r="O142" i="21"/>
  <c r="N142" i="21"/>
  <c r="J142" i="21"/>
  <c r="H142" i="21"/>
  <c r="O149" i="20"/>
  <c r="J149" i="20"/>
  <c r="H149" i="20"/>
  <c r="O148" i="20"/>
  <c r="J148" i="20"/>
  <c r="H148" i="20"/>
  <c r="O147" i="20"/>
  <c r="J147" i="20"/>
  <c r="H147" i="20"/>
  <c r="O146" i="20"/>
  <c r="J146" i="20"/>
  <c r="H146" i="20"/>
  <c r="O145" i="20"/>
  <c r="J145" i="20"/>
  <c r="H145" i="20"/>
  <c r="O144" i="20"/>
  <c r="J144" i="20"/>
  <c r="H144" i="20"/>
  <c r="O143" i="20"/>
  <c r="J143" i="20"/>
  <c r="H143" i="20"/>
  <c r="O142" i="20"/>
  <c r="N142" i="20"/>
  <c r="J142" i="20"/>
  <c r="H142" i="20"/>
  <c r="O149" i="19"/>
  <c r="J149" i="19"/>
  <c r="H149" i="19"/>
  <c r="O148" i="19"/>
  <c r="J148" i="19"/>
  <c r="H148" i="19"/>
  <c r="O147" i="19"/>
  <c r="J147" i="19"/>
  <c r="H147" i="19"/>
  <c r="O146" i="19"/>
  <c r="J146" i="19"/>
  <c r="H146" i="19"/>
  <c r="O145" i="19"/>
  <c r="J145" i="19"/>
  <c r="H145" i="19"/>
  <c r="O144" i="19"/>
  <c r="J144" i="19"/>
  <c r="H144" i="19"/>
  <c r="O143" i="19"/>
  <c r="J143" i="19"/>
  <c r="H143" i="19"/>
  <c r="O142" i="19"/>
  <c r="N142" i="19"/>
  <c r="J142" i="19"/>
  <c r="H142" i="19"/>
  <c r="O149" i="18"/>
  <c r="J149" i="18"/>
  <c r="H149" i="18"/>
  <c r="O148" i="18"/>
  <c r="J148" i="18"/>
  <c r="H148" i="18"/>
  <c r="O147" i="18"/>
  <c r="J147" i="18"/>
  <c r="H147" i="18"/>
  <c r="O146" i="18"/>
  <c r="J146" i="18"/>
  <c r="H146" i="18"/>
  <c r="O145" i="18"/>
  <c r="J145" i="18"/>
  <c r="H145" i="18"/>
  <c r="O144" i="18"/>
  <c r="J144" i="18"/>
  <c r="H144" i="18"/>
  <c r="O143" i="18"/>
  <c r="J143" i="18"/>
  <c r="H143" i="18"/>
  <c r="O142" i="18"/>
  <c r="N142" i="18"/>
  <c r="J142" i="18"/>
  <c r="H142" i="18"/>
  <c r="O149" i="17"/>
  <c r="J149" i="17"/>
  <c r="H149" i="17"/>
  <c r="O148" i="17"/>
  <c r="J148" i="17"/>
  <c r="H148" i="17"/>
  <c r="O147" i="17"/>
  <c r="J147" i="17"/>
  <c r="H147" i="17"/>
  <c r="O146" i="17"/>
  <c r="J146" i="17"/>
  <c r="H146" i="17"/>
  <c r="O145" i="17"/>
  <c r="J145" i="17"/>
  <c r="H145" i="17"/>
  <c r="O144" i="17"/>
  <c r="J144" i="17"/>
  <c r="H144" i="17"/>
  <c r="O143" i="17"/>
  <c r="J143" i="17"/>
  <c r="H143" i="17"/>
  <c r="O142" i="17"/>
  <c r="N142" i="17"/>
  <c r="J142" i="17"/>
  <c r="H142" i="17"/>
  <c r="O149" i="16"/>
  <c r="J149" i="16"/>
  <c r="H149" i="16"/>
  <c r="O148" i="16"/>
  <c r="J148" i="16"/>
  <c r="H148" i="16"/>
  <c r="O147" i="16"/>
  <c r="J147" i="16"/>
  <c r="H147" i="16"/>
  <c r="O146" i="16"/>
  <c r="J146" i="16"/>
  <c r="H146" i="16"/>
  <c r="O145" i="16"/>
  <c r="J145" i="16"/>
  <c r="H145" i="16"/>
  <c r="O144" i="16"/>
  <c r="J144" i="16"/>
  <c r="H144" i="16"/>
  <c r="O143" i="16"/>
  <c r="J143" i="16"/>
  <c r="H143" i="16"/>
  <c r="O142" i="16"/>
  <c r="N142" i="16"/>
  <c r="J142" i="16"/>
  <c r="H142" i="16"/>
  <c r="O149" i="15"/>
  <c r="J149" i="15"/>
  <c r="H149" i="15"/>
  <c r="O148" i="15"/>
  <c r="J148" i="15"/>
  <c r="H148" i="15"/>
  <c r="O147" i="15"/>
  <c r="J147" i="15"/>
  <c r="H147" i="15"/>
  <c r="O146" i="15"/>
  <c r="J146" i="15"/>
  <c r="H146" i="15"/>
  <c r="O145" i="15"/>
  <c r="J145" i="15"/>
  <c r="H145" i="15"/>
  <c r="O144" i="15"/>
  <c r="J144" i="15"/>
  <c r="H144" i="15"/>
  <c r="O143" i="15"/>
  <c r="J143" i="15"/>
  <c r="H143" i="15"/>
  <c r="O142" i="15"/>
  <c r="N142" i="15"/>
  <c r="J142" i="15"/>
  <c r="H142" i="15"/>
  <c r="O149" i="14"/>
  <c r="J149" i="14"/>
  <c r="H149" i="14"/>
  <c r="O148" i="14"/>
  <c r="J148" i="14"/>
  <c r="H148" i="14"/>
  <c r="O147" i="14"/>
  <c r="J147" i="14"/>
  <c r="H147" i="14"/>
  <c r="O146" i="14"/>
  <c r="J146" i="14"/>
  <c r="H146" i="14"/>
  <c r="O145" i="14"/>
  <c r="J145" i="14"/>
  <c r="H145" i="14"/>
  <c r="O144" i="14"/>
  <c r="J144" i="14"/>
  <c r="H144" i="14"/>
  <c r="O143" i="14"/>
  <c r="J143" i="14"/>
  <c r="H143" i="14"/>
  <c r="O142" i="14"/>
  <c r="N142" i="14"/>
  <c r="J142" i="14"/>
  <c r="H142" i="14"/>
  <c r="O149" i="13"/>
  <c r="J149" i="13"/>
  <c r="H149" i="13"/>
  <c r="O148" i="13"/>
  <c r="J148" i="13"/>
  <c r="H148" i="13"/>
  <c r="O147" i="13"/>
  <c r="J147" i="13"/>
  <c r="H147" i="13"/>
  <c r="O146" i="13"/>
  <c r="J146" i="13"/>
  <c r="H146" i="13"/>
  <c r="O145" i="13"/>
  <c r="J145" i="13"/>
  <c r="H145" i="13"/>
  <c r="O144" i="13"/>
  <c r="J144" i="13"/>
  <c r="H144" i="13"/>
  <c r="O143" i="13"/>
  <c r="J143" i="13"/>
  <c r="H143" i="13"/>
  <c r="O142" i="13"/>
  <c r="N142" i="13"/>
  <c r="J142" i="13"/>
  <c r="H142" i="13"/>
  <c r="O149" i="12"/>
  <c r="J149" i="12"/>
  <c r="H149" i="12"/>
  <c r="O148" i="12"/>
  <c r="J148" i="12"/>
  <c r="H148" i="12"/>
  <c r="O147" i="12"/>
  <c r="J147" i="12"/>
  <c r="H147" i="12"/>
  <c r="O146" i="12"/>
  <c r="J146" i="12"/>
  <c r="H146" i="12"/>
  <c r="O145" i="12"/>
  <c r="J145" i="12"/>
  <c r="H145" i="12"/>
  <c r="O144" i="12"/>
  <c r="J144" i="12"/>
  <c r="H144" i="12"/>
  <c r="O143" i="12"/>
  <c r="J143" i="12"/>
  <c r="H143" i="12"/>
  <c r="O142" i="12"/>
  <c r="N142" i="12"/>
  <c r="J142" i="12"/>
  <c r="H142" i="12"/>
  <c r="O149" i="11"/>
  <c r="J149" i="11"/>
  <c r="H149" i="11"/>
  <c r="O148" i="11"/>
  <c r="J148" i="11"/>
  <c r="H148" i="11"/>
  <c r="O147" i="11"/>
  <c r="J147" i="11"/>
  <c r="H147" i="11"/>
  <c r="O146" i="11"/>
  <c r="J146" i="11"/>
  <c r="H146" i="11"/>
  <c r="O145" i="11"/>
  <c r="J145" i="11"/>
  <c r="H145" i="11"/>
  <c r="O144" i="11"/>
  <c r="J144" i="11"/>
  <c r="H144" i="11"/>
  <c r="O143" i="11"/>
  <c r="J143" i="11"/>
  <c r="H143" i="11"/>
  <c r="O142" i="11"/>
  <c r="N142" i="11"/>
  <c r="J142" i="11"/>
  <c r="H142" i="11"/>
  <c r="O149" i="10"/>
  <c r="J149" i="10"/>
  <c r="H149" i="10"/>
  <c r="O148" i="10"/>
  <c r="J148" i="10"/>
  <c r="H148" i="10"/>
  <c r="O147" i="10"/>
  <c r="J147" i="10"/>
  <c r="H147" i="10"/>
  <c r="O146" i="10"/>
  <c r="J146" i="10"/>
  <c r="H146" i="10"/>
  <c r="O145" i="10"/>
  <c r="J145" i="10"/>
  <c r="H145" i="10"/>
  <c r="O144" i="10"/>
  <c r="J144" i="10"/>
  <c r="H144" i="10"/>
  <c r="O143" i="10"/>
  <c r="J143" i="10"/>
  <c r="H143" i="10"/>
  <c r="O142" i="10"/>
  <c r="N142" i="10"/>
  <c r="J142" i="10"/>
  <c r="H142" i="10"/>
  <c r="O149" i="9"/>
  <c r="J149" i="9"/>
  <c r="H149" i="9"/>
  <c r="O148" i="9"/>
  <c r="J148" i="9"/>
  <c r="H148" i="9"/>
  <c r="O147" i="9"/>
  <c r="J147" i="9"/>
  <c r="H147" i="9"/>
  <c r="O146" i="9"/>
  <c r="J146" i="9"/>
  <c r="H146" i="9"/>
  <c r="O145" i="9"/>
  <c r="J145" i="9"/>
  <c r="H145" i="9"/>
  <c r="O144" i="9"/>
  <c r="J144" i="9"/>
  <c r="H144" i="9"/>
  <c r="O143" i="9"/>
  <c r="J143" i="9"/>
  <c r="H143" i="9"/>
  <c r="O142" i="9"/>
  <c r="N142" i="9"/>
  <c r="J142" i="9"/>
  <c r="H142" i="9"/>
  <c r="O149" i="8"/>
  <c r="J149" i="8"/>
  <c r="H149" i="8"/>
  <c r="O148" i="8"/>
  <c r="J148" i="8"/>
  <c r="H148" i="8"/>
  <c r="O147" i="8"/>
  <c r="J147" i="8"/>
  <c r="H147" i="8"/>
  <c r="O146" i="8"/>
  <c r="J146" i="8"/>
  <c r="H146" i="8"/>
  <c r="O145" i="8"/>
  <c r="J145" i="8"/>
  <c r="H145" i="8"/>
  <c r="O144" i="8"/>
  <c r="J144" i="8"/>
  <c r="H144" i="8"/>
  <c r="O143" i="8"/>
  <c r="J143" i="8"/>
  <c r="H143" i="8"/>
  <c r="O142" i="8"/>
  <c r="N142" i="8"/>
  <c r="J142" i="8"/>
  <c r="H142" i="8"/>
  <c r="O149" i="7"/>
  <c r="J149" i="7"/>
  <c r="H149" i="7"/>
  <c r="O148" i="7"/>
  <c r="J148" i="7"/>
  <c r="H148" i="7"/>
  <c r="O147" i="7"/>
  <c r="J147" i="7"/>
  <c r="H147" i="7"/>
  <c r="O146" i="7"/>
  <c r="J146" i="7"/>
  <c r="H146" i="7"/>
  <c r="O145" i="7"/>
  <c r="J145" i="7"/>
  <c r="H145" i="7"/>
  <c r="O144" i="7"/>
  <c r="J144" i="7"/>
  <c r="H144" i="7"/>
  <c r="O143" i="7"/>
  <c r="J143" i="7"/>
  <c r="H143" i="7"/>
  <c r="O142" i="7"/>
  <c r="N142" i="7"/>
  <c r="J142" i="7"/>
  <c r="H142" i="7"/>
  <c r="O149" i="6"/>
  <c r="J149" i="6"/>
  <c r="H149" i="6"/>
  <c r="O148" i="6"/>
  <c r="J148" i="6"/>
  <c r="H148" i="6"/>
  <c r="O147" i="6"/>
  <c r="J147" i="6"/>
  <c r="H147" i="6"/>
  <c r="O146" i="6"/>
  <c r="J146" i="6"/>
  <c r="H146" i="6"/>
  <c r="O145" i="6"/>
  <c r="J145" i="6"/>
  <c r="H145" i="6"/>
  <c r="O144" i="6"/>
  <c r="J144" i="6"/>
  <c r="H144" i="6"/>
  <c r="O143" i="6"/>
  <c r="J143" i="6"/>
  <c r="H143" i="6"/>
  <c r="O142" i="6"/>
  <c r="N142" i="6"/>
  <c r="J142" i="6"/>
  <c r="H142" i="6"/>
  <c r="O149" i="5"/>
  <c r="J149" i="5"/>
  <c r="H149" i="5"/>
  <c r="O148" i="5"/>
  <c r="J148" i="5"/>
  <c r="H148" i="5"/>
  <c r="O147" i="5"/>
  <c r="J147" i="5"/>
  <c r="H147" i="5"/>
  <c r="O146" i="5"/>
  <c r="J146" i="5"/>
  <c r="H146" i="5"/>
  <c r="O145" i="5"/>
  <c r="J145" i="5"/>
  <c r="H145" i="5"/>
  <c r="O144" i="5"/>
  <c r="J144" i="5"/>
  <c r="H144" i="5"/>
  <c r="O143" i="5"/>
  <c r="J143" i="5"/>
  <c r="H143" i="5"/>
  <c r="O142" i="5"/>
  <c r="N142" i="5"/>
  <c r="J142" i="5"/>
  <c r="H142" i="5"/>
  <c r="O149" i="4"/>
  <c r="J149" i="4"/>
  <c r="H149" i="4"/>
  <c r="O148" i="4"/>
  <c r="J148" i="4"/>
  <c r="H148" i="4"/>
  <c r="O147" i="4"/>
  <c r="J147" i="4"/>
  <c r="H147" i="4"/>
  <c r="O146" i="4"/>
  <c r="J146" i="4"/>
  <c r="H146" i="4"/>
  <c r="O145" i="4"/>
  <c r="J145" i="4"/>
  <c r="H145" i="4"/>
  <c r="O144" i="4"/>
  <c r="J144" i="4"/>
  <c r="H144" i="4"/>
  <c r="O143" i="4"/>
  <c r="J143" i="4"/>
  <c r="H143" i="4"/>
  <c r="O142" i="4"/>
  <c r="N142" i="4"/>
  <c r="J142" i="4"/>
  <c r="H142" i="4"/>
  <c r="O149" i="3"/>
  <c r="J149" i="3"/>
  <c r="H149" i="3"/>
  <c r="O148" i="3"/>
  <c r="J148" i="3"/>
  <c r="H148" i="3"/>
  <c r="O147" i="3"/>
  <c r="J147" i="3"/>
  <c r="H147" i="3"/>
  <c r="O146" i="3"/>
  <c r="J146" i="3"/>
  <c r="H146" i="3"/>
  <c r="O145" i="3"/>
  <c r="J145" i="3"/>
  <c r="H145" i="3"/>
  <c r="O144" i="3"/>
  <c r="J144" i="3"/>
  <c r="H144" i="3"/>
  <c r="O143" i="3"/>
  <c r="J143" i="3"/>
  <c r="H143" i="3"/>
  <c r="O142" i="3"/>
  <c r="N142" i="3"/>
  <c r="J142" i="3"/>
  <c r="H142" i="3"/>
  <c r="Q115" i="31"/>
  <c r="M115" i="31"/>
  <c r="P114" i="31"/>
  <c r="M114" i="31"/>
  <c r="Q113" i="31"/>
  <c r="N113" i="31"/>
  <c r="Q115" i="30"/>
  <c r="M115" i="30"/>
  <c r="P114" i="30"/>
  <c r="M114" i="30"/>
  <c r="Q113" i="30"/>
  <c r="N113" i="30"/>
  <c r="Q115" i="29"/>
  <c r="M115" i="29"/>
  <c r="P114" i="29"/>
  <c r="M114" i="29"/>
  <c r="Q113" i="29"/>
  <c r="N113" i="29"/>
  <c r="Q115" i="28"/>
  <c r="M115" i="28"/>
  <c r="P114" i="28"/>
  <c r="M114" i="28"/>
  <c r="Q113" i="28"/>
  <c r="N113" i="28"/>
  <c r="Q115" i="27"/>
  <c r="M115" i="27"/>
  <c r="P114" i="27"/>
  <c r="M114" i="27"/>
  <c r="Q113" i="27"/>
  <c r="N113" i="27"/>
  <c r="M115" i="26"/>
  <c r="Q113" i="26"/>
  <c r="M115" i="25"/>
  <c r="Q113" i="25"/>
  <c r="Q113" i="24"/>
  <c r="M115" i="24" s="1"/>
  <c r="Q113" i="23"/>
  <c r="M115" i="23" s="1"/>
  <c r="Q113" i="22"/>
  <c r="M115" i="22" s="1"/>
  <c r="M115" i="21"/>
  <c r="Q113" i="21"/>
  <c r="M115" i="20"/>
  <c r="Q113" i="20"/>
  <c r="Q113" i="19"/>
  <c r="M115" i="19" s="1"/>
  <c r="Q113" i="18"/>
  <c r="M115" i="18" s="1"/>
  <c r="Q113" i="17"/>
  <c r="M115" i="17" s="1"/>
  <c r="M115" i="16"/>
  <c r="Q113" i="16"/>
  <c r="M115" i="15"/>
  <c r="Q113" i="15"/>
  <c r="M115" i="14"/>
  <c r="Q113" i="14"/>
  <c r="Q113" i="13"/>
  <c r="M115" i="13" s="1"/>
  <c r="Q113" i="12"/>
  <c r="M115" i="12" s="1"/>
  <c r="Q113" i="11"/>
  <c r="M115" i="11" s="1"/>
  <c r="M115" i="10"/>
  <c r="Q113" i="10"/>
  <c r="Q113" i="9"/>
  <c r="M115" i="9" s="1"/>
  <c r="M115" i="8"/>
  <c r="Q113" i="8"/>
  <c r="M115" i="7"/>
  <c r="Q113" i="7"/>
  <c r="Q113" i="6"/>
  <c r="M115" i="6" s="1"/>
  <c r="Q113" i="5"/>
  <c r="M115" i="5" s="1"/>
  <c r="Q113" i="4"/>
  <c r="M115" i="4" s="1"/>
  <c r="M115" i="3"/>
  <c r="Q113" i="3"/>
  <c r="Q113" i="2"/>
  <c r="M115" i="2" s="1"/>
  <c r="J62" i="28" l="1"/>
  <c r="J62" i="22"/>
  <c r="J62" i="13"/>
  <c r="K62" i="5"/>
  <c r="K52" i="30"/>
  <c r="K52" i="25"/>
  <c r="K52" i="7"/>
  <c r="K52" i="4"/>
  <c r="K32" i="30"/>
  <c r="J42" i="29"/>
  <c r="K32" i="28"/>
  <c r="K52" i="28"/>
  <c r="K52" i="27"/>
  <c r="K62" i="27"/>
  <c r="K52" i="26"/>
  <c r="K32" i="23"/>
  <c r="K32" i="22"/>
  <c r="K32" i="20"/>
  <c r="K42" i="31"/>
  <c r="J42" i="31"/>
  <c r="K32" i="29"/>
  <c r="K52" i="29"/>
  <c r="J42" i="26"/>
  <c r="J62" i="25"/>
  <c r="K62" i="25"/>
  <c r="J52" i="23"/>
  <c r="K52" i="23"/>
  <c r="J42" i="22"/>
  <c r="K42" i="21"/>
  <c r="J42" i="21"/>
  <c r="J42" i="19"/>
  <c r="K42" i="18"/>
  <c r="J42" i="18"/>
  <c r="J52" i="16"/>
  <c r="K52" i="16"/>
  <c r="K42" i="16"/>
  <c r="J42" i="16"/>
  <c r="J62" i="15"/>
  <c r="K62" i="15"/>
  <c r="J52" i="15"/>
  <c r="K52" i="15"/>
  <c r="K62" i="12"/>
  <c r="K52" i="12"/>
  <c r="J52" i="9"/>
  <c r="K52" i="9"/>
  <c r="K52" i="5"/>
  <c r="J62" i="3"/>
  <c r="K62" i="3"/>
  <c r="O142" i="2"/>
  <c r="H146" i="2"/>
  <c r="Q105" i="31" l="1"/>
  <c r="N105" i="31"/>
  <c r="P105" i="31" s="1"/>
  <c r="Q105" i="30"/>
  <c r="P105" i="30"/>
  <c r="N105" i="30"/>
  <c r="Q105" i="29"/>
  <c r="N105" i="29"/>
  <c r="P105" i="29" s="1"/>
  <c r="Q105" i="28"/>
  <c r="N105" i="28"/>
  <c r="P105" i="28" s="1"/>
  <c r="Q105" i="27"/>
  <c r="P105" i="27"/>
  <c r="N105" i="27"/>
  <c r="P105" i="26"/>
  <c r="N105" i="26"/>
  <c r="N105" i="25"/>
  <c r="P105" i="25" s="1"/>
  <c r="N105" i="24"/>
  <c r="P105" i="24" s="1"/>
  <c r="N105" i="23"/>
  <c r="P105" i="23" s="1"/>
  <c r="N105" i="22"/>
  <c r="P105" i="22" s="1"/>
  <c r="N105" i="21"/>
  <c r="P105" i="21" s="1"/>
  <c r="N105" i="20"/>
  <c r="P105" i="20" s="1"/>
  <c r="N105" i="19"/>
  <c r="P105" i="19" s="1"/>
  <c r="N105" i="18"/>
  <c r="P105" i="18" s="1"/>
  <c r="N105" i="17"/>
  <c r="P105" i="17" s="1"/>
  <c r="N105" i="16"/>
  <c r="P105" i="16" s="1"/>
  <c r="N105" i="15"/>
  <c r="P105" i="15" s="1"/>
  <c r="P105" i="14"/>
  <c r="N105" i="14"/>
  <c r="N105" i="13"/>
  <c r="P105" i="13" s="1"/>
  <c r="N105" i="12"/>
  <c r="P105" i="12" s="1"/>
  <c r="N105" i="11"/>
  <c r="P105" i="11" s="1"/>
  <c r="P105" i="10"/>
  <c r="N105" i="10"/>
  <c r="P105" i="9"/>
  <c r="N105" i="9"/>
  <c r="N105" i="8"/>
  <c r="P105" i="8" s="1"/>
  <c r="N105" i="7"/>
  <c r="P105" i="7" s="1"/>
  <c r="N105" i="6"/>
  <c r="P105" i="6" s="1"/>
  <c r="P105" i="5"/>
  <c r="N105" i="5"/>
  <c r="P105" i="4"/>
  <c r="N105" i="4"/>
  <c r="P105" i="3"/>
  <c r="N105" i="3"/>
  <c r="K74" i="28" l="1"/>
  <c r="K74" i="20"/>
  <c r="K74" i="22" l="1"/>
  <c r="K74" i="14"/>
  <c r="K74" i="17"/>
  <c r="K74" i="10"/>
  <c r="K74" i="6"/>
  <c r="K74" i="4"/>
  <c r="J74" i="4"/>
  <c r="K74" i="31"/>
  <c r="J74" i="31"/>
  <c r="K74" i="30"/>
  <c r="J74" i="30"/>
  <c r="K74" i="29"/>
  <c r="J74" i="29"/>
  <c r="K74" i="27"/>
  <c r="J74" i="27"/>
  <c r="J74" i="25"/>
  <c r="K74" i="25"/>
  <c r="K74" i="24"/>
  <c r="J74" i="24"/>
  <c r="J74" i="23"/>
  <c r="J74" i="22"/>
  <c r="J75" i="22" s="1"/>
  <c r="K74" i="21"/>
  <c r="J74" i="20"/>
  <c r="J75" i="20" s="1"/>
  <c r="J74" i="19"/>
  <c r="K74" i="18"/>
  <c r="J74" i="17"/>
  <c r="K74" i="16"/>
  <c r="K74" i="15"/>
  <c r="J74" i="15"/>
  <c r="K74" i="13"/>
  <c r="J74" i="13"/>
  <c r="J74" i="12"/>
  <c r="K74" i="12"/>
  <c r="K74" i="11"/>
  <c r="J74" i="11"/>
  <c r="J74" i="10"/>
  <c r="J74" i="9"/>
  <c r="K74" i="9"/>
  <c r="K74" i="8"/>
  <c r="J74" i="8"/>
  <c r="J74" i="7"/>
  <c r="K74" i="7"/>
  <c r="J74" i="6"/>
  <c r="J74" i="5"/>
  <c r="J74" i="3"/>
  <c r="K74" i="3"/>
  <c r="O72" i="1"/>
  <c r="J75" i="17" l="1"/>
  <c r="J75" i="24"/>
  <c r="J75" i="30"/>
  <c r="J75" i="27"/>
  <c r="J75" i="10"/>
  <c r="K75" i="22"/>
  <c r="J75" i="13"/>
  <c r="J75" i="7"/>
  <c r="J75" i="29"/>
  <c r="J75" i="12"/>
  <c r="J75" i="6"/>
  <c r="K75" i="31"/>
  <c r="J75" i="25"/>
  <c r="J75" i="15"/>
  <c r="K75" i="11"/>
  <c r="K75" i="9"/>
  <c r="J75" i="8"/>
  <c r="J75" i="4"/>
  <c r="K75" i="4"/>
  <c r="J75" i="3"/>
  <c r="J75" i="31"/>
  <c r="K75" i="30"/>
  <c r="K75" i="29"/>
  <c r="J74" i="28"/>
  <c r="K75" i="27"/>
  <c r="J74" i="26"/>
  <c r="K74" i="26"/>
  <c r="K75" i="25"/>
  <c r="K75" i="24"/>
  <c r="K74" i="23"/>
  <c r="K75" i="23" s="1"/>
  <c r="J74" i="21"/>
  <c r="J75" i="21" s="1"/>
  <c r="K75" i="20"/>
  <c r="K74" i="19"/>
  <c r="K75" i="19" s="1"/>
  <c r="J74" i="18"/>
  <c r="J75" i="18" s="1"/>
  <c r="K75" i="17"/>
  <c r="J74" i="16"/>
  <c r="J75" i="16" s="1"/>
  <c r="K75" i="15"/>
  <c r="J74" i="14"/>
  <c r="K75" i="13"/>
  <c r="K75" i="12"/>
  <c r="J75" i="11"/>
  <c r="K75" i="10"/>
  <c r="J75" i="9"/>
  <c r="K75" i="8"/>
  <c r="K75" i="7"/>
  <c r="K75" i="6"/>
  <c r="K74" i="5"/>
  <c r="K75" i="5" s="1"/>
  <c r="K75" i="3"/>
  <c r="E178" i="26"/>
  <c r="E178" i="25"/>
  <c r="E178" i="24"/>
  <c r="E178" i="23"/>
  <c r="E178" i="22"/>
  <c r="E178" i="21"/>
  <c r="E178" i="20"/>
  <c r="E178" i="19"/>
  <c r="E178" i="18"/>
  <c r="E178" i="17"/>
  <c r="E178" i="16"/>
  <c r="E178" i="15"/>
  <c r="E178" i="14"/>
  <c r="E178" i="13"/>
  <c r="E178" i="12"/>
  <c r="E178" i="11"/>
  <c r="E178" i="10"/>
  <c r="E178" i="9"/>
  <c r="E178" i="8"/>
  <c r="E178" i="7"/>
  <c r="E178" i="6"/>
  <c r="E178" i="5"/>
  <c r="E178" i="4"/>
  <c r="E178" i="3"/>
  <c r="E178" i="2"/>
  <c r="J75" i="26" l="1"/>
  <c r="J75" i="23"/>
  <c r="J75" i="28"/>
  <c r="K75" i="28"/>
  <c r="K75" i="26"/>
  <c r="K75" i="21"/>
  <c r="J75" i="19"/>
  <c r="K75" i="18"/>
  <c r="K75" i="16"/>
  <c r="J75" i="14"/>
  <c r="K75" i="14"/>
  <c r="J75" i="5"/>
  <c r="D110" i="31" l="1"/>
  <c r="D111" i="31" s="1"/>
  <c r="D110" i="30"/>
  <c r="D111" i="30" s="1"/>
  <c r="D110" i="29"/>
  <c r="D111" i="29" s="1"/>
  <c r="D110" i="28"/>
  <c r="D111" i="28" s="1"/>
  <c r="D110" i="27"/>
  <c r="D111" i="27" s="1"/>
  <c r="D110" i="26"/>
  <c r="D111" i="26" s="1"/>
  <c r="D110" i="25"/>
  <c r="D111" i="25" s="1"/>
  <c r="D110" i="24"/>
  <c r="D111" i="24" s="1"/>
  <c r="D110" i="23"/>
  <c r="D111" i="23" s="1"/>
  <c r="D110" i="22"/>
  <c r="D111" i="22" s="1"/>
  <c r="D110" i="21"/>
  <c r="D111" i="21" s="1"/>
  <c r="D110" i="20"/>
  <c r="D111" i="20" s="1"/>
  <c r="D110" i="19"/>
  <c r="D111" i="19" s="1"/>
  <c r="D110" i="18"/>
  <c r="D111" i="18" s="1"/>
  <c r="D110" i="17"/>
  <c r="D111" i="17" s="1"/>
  <c r="D110" i="16"/>
  <c r="N187" i="16" s="1"/>
  <c r="D110" i="15"/>
  <c r="D111" i="15" s="1"/>
  <c r="D110" i="14"/>
  <c r="D111" i="14" s="1"/>
  <c r="D110" i="13"/>
  <c r="D111" i="13" s="1"/>
  <c r="D110" i="12"/>
  <c r="D111" i="12" s="1"/>
  <c r="D110" i="11"/>
  <c r="D111" i="11" s="1"/>
  <c r="D110" i="10"/>
  <c r="D111" i="10" s="1"/>
  <c r="D110" i="9"/>
  <c r="D111" i="9" s="1"/>
  <c r="D110" i="8"/>
  <c r="D111" i="8" s="1"/>
  <c r="D110" i="7"/>
  <c r="D111" i="7" s="1"/>
  <c r="D110" i="6"/>
  <c r="D111" i="6" s="1"/>
  <c r="D110" i="5"/>
  <c r="D111" i="5" s="1"/>
  <c r="D110" i="4"/>
  <c r="D111" i="4" s="1"/>
  <c r="D110" i="3"/>
  <c r="D111" i="3" s="1"/>
  <c r="D216" i="26"/>
  <c r="D215" i="26"/>
  <c r="N198" i="26"/>
  <c r="D196" i="26"/>
  <c r="N188" i="26"/>
  <c r="L188" i="26"/>
  <c r="N186" i="26"/>
  <c r="L186" i="26"/>
  <c r="N185" i="26"/>
  <c r="L185" i="26"/>
  <c r="I185" i="26"/>
  <c r="E185" i="26"/>
  <c r="N184" i="26"/>
  <c r="L184" i="26"/>
  <c r="I184" i="26"/>
  <c r="E184" i="26"/>
  <c r="I183" i="26"/>
  <c r="E183" i="26"/>
  <c r="N182" i="26"/>
  <c r="L182" i="26"/>
  <c r="L181" i="26"/>
  <c r="E179" i="26"/>
  <c r="K176" i="26"/>
  <c r="O166" i="26"/>
  <c r="O165" i="26"/>
  <c r="D159" i="26"/>
  <c r="D158" i="26"/>
  <c r="D157" i="26"/>
  <c r="D156" i="26"/>
  <c r="D216" i="25"/>
  <c r="D215" i="25"/>
  <c r="N198" i="25"/>
  <c r="D196" i="25"/>
  <c r="N188" i="25"/>
  <c r="L188" i="25"/>
  <c r="N186" i="25"/>
  <c r="L186" i="25"/>
  <c r="N185" i="25"/>
  <c r="L185" i="25"/>
  <c r="I185" i="25"/>
  <c r="E185" i="25"/>
  <c r="N184" i="25"/>
  <c r="L184" i="25"/>
  <c r="I184" i="25"/>
  <c r="E184" i="25"/>
  <c r="I183" i="25"/>
  <c r="E183" i="25"/>
  <c r="N182" i="25"/>
  <c r="L182" i="25"/>
  <c r="L181" i="25"/>
  <c r="E179" i="25"/>
  <c r="K176" i="25"/>
  <c r="O166" i="25"/>
  <c r="O165" i="25"/>
  <c r="D159" i="25"/>
  <c r="D158" i="25"/>
  <c r="D157" i="25"/>
  <c r="D156" i="25"/>
  <c r="D216" i="24"/>
  <c r="D215" i="24"/>
  <c r="N198" i="24"/>
  <c r="D196" i="24"/>
  <c r="N188" i="24"/>
  <c r="L188" i="24"/>
  <c r="N186" i="24"/>
  <c r="L186" i="24"/>
  <c r="N185" i="24"/>
  <c r="L185" i="24"/>
  <c r="I185" i="24"/>
  <c r="E185" i="24"/>
  <c r="N184" i="24"/>
  <c r="L184" i="24"/>
  <c r="I184" i="24"/>
  <c r="E184" i="24"/>
  <c r="I183" i="24"/>
  <c r="E183" i="24"/>
  <c r="N182" i="24"/>
  <c r="L182" i="24"/>
  <c r="L181" i="24"/>
  <c r="E179" i="24"/>
  <c r="K176" i="24"/>
  <c r="O166" i="24"/>
  <c r="O165" i="24"/>
  <c r="D159" i="24"/>
  <c r="D158" i="24"/>
  <c r="D157" i="24"/>
  <c r="D156" i="24"/>
  <c r="D216" i="23"/>
  <c r="D215" i="23"/>
  <c r="N198" i="23"/>
  <c r="D196" i="23"/>
  <c r="N188" i="23"/>
  <c r="L188" i="23"/>
  <c r="N186" i="23"/>
  <c r="L186" i="23"/>
  <c r="N185" i="23"/>
  <c r="L185" i="23"/>
  <c r="I185" i="23"/>
  <c r="E185" i="23"/>
  <c r="N184" i="23"/>
  <c r="L184" i="23"/>
  <c r="I184" i="23"/>
  <c r="E184" i="23"/>
  <c r="I183" i="23"/>
  <c r="E183" i="23"/>
  <c r="N182" i="23"/>
  <c r="L182" i="23"/>
  <c r="L181" i="23"/>
  <c r="E179" i="23"/>
  <c r="K176" i="23"/>
  <c r="O166" i="23"/>
  <c r="O165" i="23"/>
  <c r="D159" i="23"/>
  <c r="D158" i="23"/>
  <c r="D157" i="23"/>
  <c r="D156" i="23"/>
  <c r="D216" i="22"/>
  <c r="D215" i="22"/>
  <c r="N198" i="22"/>
  <c r="D196" i="22"/>
  <c r="N188" i="22"/>
  <c r="L188" i="22"/>
  <c r="N186" i="22"/>
  <c r="L186" i="22"/>
  <c r="N185" i="22"/>
  <c r="L185" i="22"/>
  <c r="I185" i="22"/>
  <c r="E185" i="22"/>
  <c r="N184" i="22"/>
  <c r="L184" i="22"/>
  <c r="I184" i="22"/>
  <c r="E184" i="22"/>
  <c r="I183" i="22"/>
  <c r="E183" i="22"/>
  <c r="N182" i="22"/>
  <c r="L182" i="22"/>
  <c r="L181" i="22"/>
  <c r="E179" i="22"/>
  <c r="K176" i="22"/>
  <c r="O166" i="22"/>
  <c r="O165" i="22"/>
  <c r="D159" i="22"/>
  <c r="D158" i="22"/>
  <c r="D157" i="22"/>
  <c r="D156" i="22"/>
  <c r="D216" i="21"/>
  <c r="D215" i="21"/>
  <c r="N198" i="21"/>
  <c r="D196" i="21"/>
  <c r="N188" i="21"/>
  <c r="L188" i="21"/>
  <c r="N186" i="21"/>
  <c r="L186" i="21"/>
  <c r="N185" i="21"/>
  <c r="L185" i="21"/>
  <c r="I185" i="21"/>
  <c r="E185" i="21"/>
  <c r="N184" i="21"/>
  <c r="L184" i="21"/>
  <c r="I184" i="21"/>
  <c r="E184" i="21"/>
  <c r="I183" i="21"/>
  <c r="E183" i="21"/>
  <c r="N182" i="21"/>
  <c r="L182" i="21"/>
  <c r="L181" i="21"/>
  <c r="E179" i="21"/>
  <c r="K176" i="21"/>
  <c r="O166" i="21"/>
  <c r="O165" i="21"/>
  <c r="D159" i="21"/>
  <c r="D158" i="21"/>
  <c r="D157" i="21"/>
  <c r="D156" i="21"/>
  <c r="D216" i="20"/>
  <c r="D215" i="20"/>
  <c r="N198" i="20"/>
  <c r="D196" i="20"/>
  <c r="N188" i="20"/>
  <c r="L188" i="20"/>
  <c r="N186" i="20"/>
  <c r="L186" i="20"/>
  <c r="N185" i="20"/>
  <c r="L185" i="20"/>
  <c r="I185" i="20"/>
  <c r="E185" i="20"/>
  <c r="N184" i="20"/>
  <c r="L184" i="20"/>
  <c r="I184" i="20"/>
  <c r="E184" i="20"/>
  <c r="I183" i="20"/>
  <c r="E183" i="20"/>
  <c r="N182" i="20"/>
  <c r="L182" i="20"/>
  <c r="L181" i="20"/>
  <c r="E179" i="20"/>
  <c r="K176" i="20"/>
  <c r="O166" i="20"/>
  <c r="O165" i="20"/>
  <c r="D159" i="20"/>
  <c r="D158" i="20"/>
  <c r="D157" i="20"/>
  <c r="D156" i="20"/>
  <c r="D216" i="19"/>
  <c r="D215" i="19"/>
  <c r="N198" i="19"/>
  <c r="D196" i="19"/>
  <c r="N188" i="19"/>
  <c r="L188" i="19"/>
  <c r="N186" i="19"/>
  <c r="L186" i="19"/>
  <c r="N185" i="19"/>
  <c r="L185" i="19"/>
  <c r="I185" i="19"/>
  <c r="E185" i="19"/>
  <c r="N184" i="19"/>
  <c r="L184" i="19"/>
  <c r="I184" i="19"/>
  <c r="E184" i="19"/>
  <c r="I183" i="19"/>
  <c r="E183" i="19"/>
  <c r="N182" i="19"/>
  <c r="L182" i="19"/>
  <c r="L181" i="19"/>
  <c r="E179" i="19"/>
  <c r="K176" i="19"/>
  <c r="O166" i="19"/>
  <c r="O165" i="19"/>
  <c r="D159" i="19"/>
  <c r="D158" i="19"/>
  <c r="D157" i="19"/>
  <c r="D156" i="19"/>
  <c r="D216" i="18"/>
  <c r="D215" i="18"/>
  <c r="N198" i="18"/>
  <c r="D196" i="18"/>
  <c r="N188" i="18"/>
  <c r="L188" i="18"/>
  <c r="N186" i="18"/>
  <c r="L186" i="18"/>
  <c r="N185" i="18"/>
  <c r="L185" i="18"/>
  <c r="I185" i="18"/>
  <c r="E185" i="18"/>
  <c r="N184" i="18"/>
  <c r="L184" i="18"/>
  <c r="I184" i="18"/>
  <c r="E184" i="18"/>
  <c r="I183" i="18"/>
  <c r="E183" i="18"/>
  <c r="N182" i="18"/>
  <c r="L182" i="18"/>
  <c r="L181" i="18"/>
  <c r="E179" i="18"/>
  <c r="K176" i="18"/>
  <c r="O166" i="18"/>
  <c r="O165" i="18"/>
  <c r="D159" i="18"/>
  <c r="D158" i="18"/>
  <c r="D157" i="18"/>
  <c r="D156" i="18"/>
  <c r="D216" i="17"/>
  <c r="D215" i="17"/>
  <c r="N198" i="17"/>
  <c r="D196" i="17"/>
  <c r="N188" i="17"/>
  <c r="L188" i="17"/>
  <c r="N186" i="17"/>
  <c r="L186" i="17"/>
  <c r="N185" i="17"/>
  <c r="L185" i="17"/>
  <c r="I185" i="17"/>
  <c r="E185" i="17"/>
  <c r="N184" i="17"/>
  <c r="L184" i="17"/>
  <c r="I184" i="17"/>
  <c r="E184" i="17"/>
  <c r="I183" i="17"/>
  <c r="E183" i="17"/>
  <c r="N182" i="17"/>
  <c r="L182" i="17"/>
  <c r="L181" i="17"/>
  <c r="E179" i="17"/>
  <c r="K176" i="17"/>
  <c r="O166" i="17"/>
  <c r="O165" i="17"/>
  <c r="D159" i="17"/>
  <c r="D158" i="17"/>
  <c r="D157" i="17"/>
  <c r="D156" i="17"/>
  <c r="D216" i="16"/>
  <c r="D215" i="16"/>
  <c r="N198" i="16"/>
  <c r="D196" i="16"/>
  <c r="N188" i="16"/>
  <c r="L188" i="16"/>
  <c r="N186" i="16"/>
  <c r="L186" i="16"/>
  <c r="N185" i="16"/>
  <c r="L185" i="16"/>
  <c r="I185" i="16"/>
  <c r="E185" i="16"/>
  <c r="N184" i="16"/>
  <c r="L184" i="16"/>
  <c r="I184" i="16"/>
  <c r="E184" i="16"/>
  <c r="I183" i="16"/>
  <c r="E183" i="16"/>
  <c r="N182" i="16"/>
  <c r="L182" i="16"/>
  <c r="L181" i="16"/>
  <c r="E179" i="16"/>
  <c r="K176" i="16"/>
  <c r="O166" i="16"/>
  <c r="O165" i="16"/>
  <c r="D159" i="16"/>
  <c r="D158" i="16"/>
  <c r="D157" i="16"/>
  <c r="D156" i="16"/>
  <c r="D216" i="15"/>
  <c r="D215" i="15"/>
  <c r="N198" i="15"/>
  <c r="D196" i="15"/>
  <c r="N188" i="15"/>
  <c r="L188" i="15"/>
  <c r="N186" i="15"/>
  <c r="L186" i="15"/>
  <c r="N185" i="15"/>
  <c r="L185" i="15"/>
  <c r="I185" i="15"/>
  <c r="E185" i="15"/>
  <c r="N184" i="15"/>
  <c r="L184" i="15"/>
  <c r="I184" i="15"/>
  <c r="E184" i="15"/>
  <c r="I183" i="15"/>
  <c r="E183" i="15"/>
  <c r="N182" i="15"/>
  <c r="L182" i="15"/>
  <c r="L181" i="15"/>
  <c r="E179" i="15"/>
  <c r="K176" i="15"/>
  <c r="O166" i="15"/>
  <c r="O165" i="15"/>
  <c r="D159" i="15"/>
  <c r="D158" i="15"/>
  <c r="D157" i="15"/>
  <c r="D156" i="15"/>
  <c r="D216" i="14"/>
  <c r="D215" i="14"/>
  <c r="N198" i="14"/>
  <c r="D196" i="14"/>
  <c r="N188" i="14"/>
  <c r="L188" i="14"/>
  <c r="N186" i="14"/>
  <c r="L186" i="14"/>
  <c r="N185" i="14"/>
  <c r="L185" i="14"/>
  <c r="I185" i="14"/>
  <c r="E185" i="14"/>
  <c r="N184" i="14"/>
  <c r="L184" i="14"/>
  <c r="I184" i="14"/>
  <c r="E184" i="14"/>
  <c r="I183" i="14"/>
  <c r="E183" i="14"/>
  <c r="N182" i="14"/>
  <c r="L182" i="14"/>
  <c r="L181" i="14"/>
  <c r="E179" i="14"/>
  <c r="K176" i="14"/>
  <c r="O166" i="14"/>
  <c r="O165" i="14"/>
  <c r="D159" i="14"/>
  <c r="D158" i="14"/>
  <c r="D157" i="14"/>
  <c r="D156" i="14"/>
  <c r="D216" i="13"/>
  <c r="D215" i="13"/>
  <c r="N198" i="13"/>
  <c r="D196" i="13"/>
  <c r="N188" i="13"/>
  <c r="L188" i="13"/>
  <c r="N186" i="13"/>
  <c r="L186" i="13"/>
  <c r="N185" i="13"/>
  <c r="L185" i="13"/>
  <c r="I185" i="13"/>
  <c r="E185" i="13"/>
  <c r="N184" i="13"/>
  <c r="L184" i="13"/>
  <c r="I184" i="13"/>
  <c r="E184" i="13"/>
  <c r="I183" i="13"/>
  <c r="E183" i="13"/>
  <c r="N182" i="13"/>
  <c r="L182" i="13"/>
  <c r="L181" i="13"/>
  <c r="E179" i="13"/>
  <c r="K176" i="13"/>
  <c r="O166" i="13"/>
  <c r="O165" i="13"/>
  <c r="D159" i="13"/>
  <c r="D158" i="13"/>
  <c r="D157" i="13"/>
  <c r="D156" i="13"/>
  <c r="D216" i="12"/>
  <c r="D215" i="12"/>
  <c r="N198" i="12"/>
  <c r="D196" i="12"/>
  <c r="N188" i="12"/>
  <c r="L188" i="12"/>
  <c r="N186" i="12"/>
  <c r="L186" i="12"/>
  <c r="N185" i="12"/>
  <c r="L185" i="12"/>
  <c r="I185" i="12"/>
  <c r="E185" i="12"/>
  <c r="N184" i="12"/>
  <c r="L184" i="12"/>
  <c r="I184" i="12"/>
  <c r="E184" i="12"/>
  <c r="I183" i="12"/>
  <c r="E183" i="12"/>
  <c r="N182" i="12"/>
  <c r="L182" i="12"/>
  <c r="L181" i="12"/>
  <c r="E179" i="12"/>
  <c r="K176" i="12"/>
  <c r="O166" i="12"/>
  <c r="O165" i="12"/>
  <c r="D159" i="12"/>
  <c r="D158" i="12"/>
  <c r="D157" i="12"/>
  <c r="D156" i="12"/>
  <c r="D216" i="11"/>
  <c r="D215" i="11"/>
  <c r="N198" i="11"/>
  <c r="D196" i="11"/>
  <c r="N188" i="11"/>
  <c r="L188" i="11"/>
  <c r="N186" i="11"/>
  <c r="L186" i="11"/>
  <c r="N185" i="11"/>
  <c r="L185" i="11"/>
  <c r="I185" i="11"/>
  <c r="E185" i="11"/>
  <c r="N184" i="11"/>
  <c r="L184" i="11"/>
  <c r="I184" i="11"/>
  <c r="E184" i="11"/>
  <c r="I183" i="11"/>
  <c r="E183" i="11"/>
  <c r="N182" i="11"/>
  <c r="L182" i="11"/>
  <c r="L181" i="11"/>
  <c r="E179" i="11"/>
  <c r="K176" i="11"/>
  <c r="O166" i="11"/>
  <c r="O165" i="11"/>
  <c r="D159" i="11"/>
  <c r="D158" i="11"/>
  <c r="D157" i="11"/>
  <c r="D156" i="11"/>
  <c r="D216" i="10"/>
  <c r="D215" i="10"/>
  <c r="N198" i="10"/>
  <c r="D196" i="10"/>
  <c r="N188" i="10"/>
  <c r="L188" i="10"/>
  <c r="N186" i="10"/>
  <c r="L186" i="10"/>
  <c r="N185" i="10"/>
  <c r="L185" i="10"/>
  <c r="I185" i="10"/>
  <c r="E185" i="10"/>
  <c r="N184" i="10"/>
  <c r="L184" i="10"/>
  <c r="I184" i="10"/>
  <c r="E184" i="10"/>
  <c r="I183" i="10"/>
  <c r="E183" i="10"/>
  <c r="N182" i="10"/>
  <c r="L182" i="10"/>
  <c r="L181" i="10"/>
  <c r="E179" i="10"/>
  <c r="K176" i="10"/>
  <c r="O166" i="10"/>
  <c r="O165" i="10"/>
  <c r="D159" i="10"/>
  <c r="D158" i="10"/>
  <c r="D157" i="10"/>
  <c r="D156" i="10"/>
  <c r="D216" i="9"/>
  <c r="D215" i="9"/>
  <c r="N198" i="9"/>
  <c r="D196" i="9"/>
  <c r="N188" i="9"/>
  <c r="L188" i="9"/>
  <c r="N186" i="9"/>
  <c r="L186" i="9"/>
  <c r="N185" i="9"/>
  <c r="L185" i="9"/>
  <c r="I185" i="9"/>
  <c r="E185" i="9"/>
  <c r="N184" i="9"/>
  <c r="L184" i="9"/>
  <c r="I184" i="9"/>
  <c r="E184" i="9"/>
  <c r="I183" i="9"/>
  <c r="E183" i="9"/>
  <c r="N182" i="9"/>
  <c r="L182" i="9"/>
  <c r="L181" i="9"/>
  <c r="E179" i="9"/>
  <c r="K176" i="9"/>
  <c r="O166" i="9"/>
  <c r="O165" i="9"/>
  <c r="D159" i="9"/>
  <c r="D158" i="9"/>
  <c r="D157" i="9"/>
  <c r="D156" i="9"/>
  <c r="D216" i="8"/>
  <c r="D215" i="8"/>
  <c r="N198" i="8"/>
  <c r="D196" i="8"/>
  <c r="N188" i="8"/>
  <c r="L188" i="8"/>
  <c r="N186" i="8"/>
  <c r="L186" i="8"/>
  <c r="N185" i="8"/>
  <c r="L185" i="8"/>
  <c r="I185" i="8"/>
  <c r="E185" i="8"/>
  <c r="N184" i="8"/>
  <c r="L184" i="8"/>
  <c r="I184" i="8"/>
  <c r="E184" i="8"/>
  <c r="I183" i="8"/>
  <c r="E183" i="8"/>
  <c r="N182" i="8"/>
  <c r="L182" i="8"/>
  <c r="L181" i="8"/>
  <c r="E179" i="8"/>
  <c r="K176" i="8"/>
  <c r="O166" i="8"/>
  <c r="O165" i="8"/>
  <c r="D159" i="8"/>
  <c r="D158" i="8"/>
  <c r="D157" i="8"/>
  <c r="D156" i="8"/>
  <c r="D216" i="7"/>
  <c r="D215" i="7"/>
  <c r="N198" i="7"/>
  <c r="D196" i="7"/>
  <c r="N188" i="7"/>
  <c r="L188" i="7"/>
  <c r="N186" i="7"/>
  <c r="L186" i="7"/>
  <c r="N185" i="7"/>
  <c r="L185" i="7"/>
  <c r="I185" i="7"/>
  <c r="E185" i="7"/>
  <c r="N184" i="7"/>
  <c r="L184" i="7"/>
  <c r="I184" i="7"/>
  <c r="E184" i="7"/>
  <c r="I183" i="7"/>
  <c r="E183" i="7"/>
  <c r="N182" i="7"/>
  <c r="L182" i="7"/>
  <c r="L181" i="7"/>
  <c r="E179" i="7"/>
  <c r="K176" i="7"/>
  <c r="O166" i="7"/>
  <c r="O165" i="7"/>
  <c r="D159" i="7"/>
  <c r="D158" i="7"/>
  <c r="D157" i="7"/>
  <c r="D156" i="7"/>
  <c r="D216" i="6"/>
  <c r="D215" i="6"/>
  <c r="N198" i="6"/>
  <c r="D196" i="6"/>
  <c r="N188" i="6"/>
  <c r="L188" i="6"/>
  <c r="N186" i="6"/>
  <c r="L186" i="6"/>
  <c r="N185" i="6"/>
  <c r="L185" i="6"/>
  <c r="I185" i="6"/>
  <c r="E185" i="6"/>
  <c r="N184" i="6"/>
  <c r="L184" i="6"/>
  <c r="I184" i="6"/>
  <c r="E184" i="6"/>
  <c r="I183" i="6"/>
  <c r="E183" i="6"/>
  <c r="N182" i="6"/>
  <c r="L182" i="6"/>
  <c r="L181" i="6"/>
  <c r="E179" i="6"/>
  <c r="K176" i="6"/>
  <c r="O166" i="6"/>
  <c r="O165" i="6"/>
  <c r="D159" i="6"/>
  <c r="D158" i="6"/>
  <c r="D157" i="6"/>
  <c r="D156" i="6"/>
  <c r="D216" i="5"/>
  <c r="D215" i="5"/>
  <c r="N198" i="5"/>
  <c r="D196" i="5"/>
  <c r="N188" i="5"/>
  <c r="L188" i="5"/>
  <c r="N186" i="5"/>
  <c r="L186" i="5"/>
  <c r="N185" i="5"/>
  <c r="L185" i="5"/>
  <c r="I185" i="5"/>
  <c r="E185" i="5"/>
  <c r="N184" i="5"/>
  <c r="L184" i="5"/>
  <c r="I184" i="5"/>
  <c r="E184" i="5"/>
  <c r="I183" i="5"/>
  <c r="E183" i="5"/>
  <c r="N182" i="5"/>
  <c r="L182" i="5"/>
  <c r="L181" i="5"/>
  <c r="E179" i="5"/>
  <c r="K176" i="5"/>
  <c r="O166" i="5"/>
  <c r="O165" i="5"/>
  <c r="D159" i="5"/>
  <c r="D158" i="5"/>
  <c r="D157" i="5"/>
  <c r="D156" i="5"/>
  <c r="D216" i="4"/>
  <c r="D215" i="4"/>
  <c r="N198" i="4"/>
  <c r="D196" i="4"/>
  <c r="N188" i="4"/>
  <c r="L188" i="4"/>
  <c r="N186" i="4"/>
  <c r="L186" i="4"/>
  <c r="N185" i="4"/>
  <c r="L185" i="4"/>
  <c r="I185" i="4"/>
  <c r="E185" i="4"/>
  <c r="N184" i="4"/>
  <c r="L184" i="4"/>
  <c r="I184" i="4"/>
  <c r="E184" i="4"/>
  <c r="I183" i="4"/>
  <c r="E183" i="4"/>
  <c r="N182" i="4"/>
  <c r="L182" i="4"/>
  <c r="L181" i="4"/>
  <c r="E179" i="4"/>
  <c r="K176" i="4"/>
  <c r="O166" i="4"/>
  <c r="O165" i="4"/>
  <c r="D159" i="4"/>
  <c r="D158" i="4"/>
  <c r="D157" i="4"/>
  <c r="D156" i="4"/>
  <c r="D216" i="3"/>
  <c r="D215" i="3"/>
  <c r="N198" i="3"/>
  <c r="D196" i="3"/>
  <c r="N188" i="3"/>
  <c r="L188" i="3"/>
  <c r="N186" i="3"/>
  <c r="L186" i="3"/>
  <c r="N185" i="3"/>
  <c r="L185" i="3"/>
  <c r="I185" i="3"/>
  <c r="E185" i="3"/>
  <c r="N184" i="3"/>
  <c r="L184" i="3"/>
  <c r="I184" i="3"/>
  <c r="E184" i="3"/>
  <c r="I183" i="3"/>
  <c r="E183" i="3"/>
  <c r="N182" i="3"/>
  <c r="L182" i="3"/>
  <c r="L181" i="3"/>
  <c r="E179" i="3"/>
  <c r="K176" i="3"/>
  <c r="O166" i="3"/>
  <c r="O165" i="3"/>
  <c r="D159" i="3"/>
  <c r="D158" i="3"/>
  <c r="D157" i="3"/>
  <c r="D156" i="3"/>
  <c r="N188" i="2"/>
  <c r="L188" i="2"/>
  <c r="E185" i="2"/>
  <c r="D216" i="31"/>
  <c r="D215" i="31"/>
  <c r="N198" i="31"/>
  <c r="N196" i="31"/>
  <c r="D196" i="31"/>
  <c r="O166" i="31"/>
  <c r="O165" i="31"/>
  <c r="D159" i="31"/>
  <c r="D158" i="31"/>
  <c r="D157" i="31"/>
  <c r="D156" i="31"/>
  <c r="D216" i="30"/>
  <c r="D215" i="30"/>
  <c r="N198" i="30"/>
  <c r="N196" i="30"/>
  <c r="D196" i="30"/>
  <c r="O166" i="30"/>
  <c r="O165" i="30"/>
  <c r="D159" i="30"/>
  <c r="D158" i="30"/>
  <c r="D157" i="30"/>
  <c r="D156" i="30"/>
  <c r="D216" i="29"/>
  <c r="D215" i="29"/>
  <c r="N198" i="29"/>
  <c r="N196" i="29"/>
  <c r="D196" i="29"/>
  <c r="O166" i="29"/>
  <c r="O165" i="29"/>
  <c r="D159" i="29"/>
  <c r="D158" i="29"/>
  <c r="D157" i="29"/>
  <c r="D156" i="29"/>
  <c r="D216" i="28"/>
  <c r="D215" i="28"/>
  <c r="N198" i="28"/>
  <c r="N196" i="28"/>
  <c r="D196" i="28"/>
  <c r="O166" i="28"/>
  <c r="O165" i="28"/>
  <c r="D159" i="28"/>
  <c r="D158" i="28"/>
  <c r="D157" i="28"/>
  <c r="D156" i="28"/>
  <c r="D196" i="27"/>
  <c r="N187" i="4" l="1"/>
  <c r="N187" i="14"/>
  <c r="N187" i="12"/>
  <c r="N187" i="8"/>
  <c r="N187" i="6"/>
  <c r="N187" i="20"/>
  <c r="N187" i="7"/>
  <c r="N187" i="3"/>
  <c r="N187" i="25"/>
  <c r="N187" i="21"/>
  <c r="N187" i="18"/>
  <c r="N187" i="17"/>
  <c r="N187" i="13"/>
  <c r="N187" i="10"/>
  <c r="N187" i="9"/>
  <c r="N187" i="5"/>
  <c r="N187" i="11"/>
  <c r="N187" i="23"/>
  <c r="N187" i="26"/>
  <c r="N187" i="24"/>
  <c r="N187" i="15"/>
  <c r="N187" i="22"/>
  <c r="N187" i="19"/>
  <c r="D111" i="16"/>
  <c r="D216" i="27" l="1"/>
  <c r="D215" i="27"/>
  <c r="N198" i="27"/>
  <c r="O166" i="27"/>
  <c r="O165" i="27"/>
  <c r="D159" i="27"/>
  <c r="D158" i="27"/>
  <c r="D157" i="27"/>
  <c r="D156" i="27"/>
  <c r="Q130" i="2" l="1"/>
  <c r="D196" i="2"/>
  <c r="A34" i="32" l="1"/>
  <c r="B34" i="32"/>
  <c r="A35" i="32"/>
  <c r="B35" i="32"/>
  <c r="A36" i="32"/>
  <c r="B36" i="32"/>
  <c r="A37" i="32"/>
  <c r="B37" i="32"/>
  <c r="N198" i="2" l="1"/>
  <c r="B33" i="32"/>
  <c r="A33" i="32"/>
  <c r="T154" i="31"/>
  <c r="G167" i="31" s="1"/>
  <c r="T153" i="31"/>
  <c r="T152" i="31"/>
  <c r="T151" i="31"/>
  <c r="N98" i="31" s="1"/>
  <c r="T150" i="31"/>
  <c r="T149" i="31"/>
  <c r="T148" i="31"/>
  <c r="G171" i="31" s="1"/>
  <c r="T147" i="31"/>
  <c r="G170" i="31" s="1"/>
  <c r="T146" i="31"/>
  <c r="G169" i="31" s="1"/>
  <c r="T145" i="31"/>
  <c r="T144" i="31"/>
  <c r="T143" i="31"/>
  <c r="T142" i="31"/>
  <c r="T141" i="31"/>
  <c r="T154" i="30"/>
  <c r="G167" i="30" s="1"/>
  <c r="T153" i="30"/>
  <c r="N104" i="30" s="1"/>
  <c r="T152" i="30"/>
  <c r="T151" i="30"/>
  <c r="T150" i="30"/>
  <c r="T149" i="30"/>
  <c r="T148" i="30"/>
  <c r="G171" i="30" s="1"/>
  <c r="T147" i="30"/>
  <c r="G170" i="30" s="1"/>
  <c r="T146" i="30"/>
  <c r="G169" i="30" s="1"/>
  <c r="T145" i="30"/>
  <c r="T144" i="30"/>
  <c r="T143" i="30"/>
  <c r="T142" i="30"/>
  <c r="T141" i="30"/>
  <c r="T154" i="29"/>
  <c r="G167" i="29" s="1"/>
  <c r="T153" i="29"/>
  <c r="T152" i="29"/>
  <c r="T151" i="29"/>
  <c r="N98" i="29" s="1"/>
  <c r="T150" i="29"/>
  <c r="T149" i="29"/>
  <c r="T148" i="29"/>
  <c r="G171" i="29" s="1"/>
  <c r="T147" i="29"/>
  <c r="G170" i="29" s="1"/>
  <c r="T146" i="29"/>
  <c r="G169" i="29" s="1"/>
  <c r="T145" i="29"/>
  <c r="T144" i="29"/>
  <c r="T143" i="29"/>
  <c r="T142" i="29"/>
  <c r="T141" i="29"/>
  <c r="T154" i="28"/>
  <c r="G167" i="28" s="1"/>
  <c r="T153" i="28"/>
  <c r="N104" i="28" s="1"/>
  <c r="T152" i="28"/>
  <c r="T151" i="28"/>
  <c r="T150" i="28"/>
  <c r="T149" i="28"/>
  <c r="T148" i="28"/>
  <c r="G171" i="28" s="1"/>
  <c r="T147" i="28"/>
  <c r="G170" i="28" s="1"/>
  <c r="T146" i="28"/>
  <c r="G169" i="28" s="1"/>
  <c r="T145" i="28"/>
  <c r="T144" i="28"/>
  <c r="T143" i="28"/>
  <c r="T142" i="28"/>
  <c r="T141" i="28"/>
  <c r="T154" i="27"/>
  <c r="G167" i="27" s="1"/>
  <c r="T153" i="27"/>
  <c r="T152" i="27"/>
  <c r="T151" i="27"/>
  <c r="N98" i="27" s="1"/>
  <c r="T150" i="27"/>
  <c r="T149" i="27"/>
  <c r="T148" i="27"/>
  <c r="G171" i="27" s="1"/>
  <c r="T147" i="27"/>
  <c r="G170" i="27" s="1"/>
  <c r="T146" i="27"/>
  <c r="G169" i="27" s="1"/>
  <c r="T145" i="27"/>
  <c r="T144" i="27"/>
  <c r="T143" i="27"/>
  <c r="T142" i="27"/>
  <c r="T141" i="27"/>
  <c r="T154" i="26"/>
  <c r="G167" i="26" s="1"/>
  <c r="T153" i="26"/>
  <c r="N104" i="26" s="1"/>
  <c r="L175" i="26" s="1"/>
  <c r="T152" i="26"/>
  <c r="T151" i="26"/>
  <c r="T150" i="26"/>
  <c r="T149" i="26"/>
  <c r="T148" i="26"/>
  <c r="G171" i="26" s="1"/>
  <c r="T147" i="26"/>
  <c r="G170" i="26" s="1"/>
  <c r="T146" i="26"/>
  <c r="G169" i="26" s="1"/>
  <c r="T145" i="26"/>
  <c r="T144" i="26"/>
  <c r="T143" i="26"/>
  <c r="T142" i="26"/>
  <c r="T141" i="26"/>
  <c r="T154" i="25"/>
  <c r="G167" i="25" s="1"/>
  <c r="T153" i="25"/>
  <c r="T152" i="25"/>
  <c r="T151" i="25"/>
  <c r="N98" i="25" s="1"/>
  <c r="T150" i="25"/>
  <c r="T149" i="25"/>
  <c r="T148" i="25"/>
  <c r="G171" i="25" s="1"/>
  <c r="T147" i="25"/>
  <c r="G170" i="25" s="1"/>
  <c r="T146" i="25"/>
  <c r="G169" i="25" s="1"/>
  <c r="T145" i="25"/>
  <c r="T144" i="25"/>
  <c r="T143" i="25"/>
  <c r="T142" i="25"/>
  <c r="T141" i="25"/>
  <c r="T154" i="24"/>
  <c r="G167" i="24" s="1"/>
  <c r="T153" i="24"/>
  <c r="N104" i="24" s="1"/>
  <c r="L175" i="24" s="1"/>
  <c r="T152" i="24"/>
  <c r="T151" i="24"/>
  <c r="T150" i="24"/>
  <c r="T149" i="24"/>
  <c r="T148" i="24"/>
  <c r="G171" i="24" s="1"/>
  <c r="T147" i="24"/>
  <c r="G170" i="24" s="1"/>
  <c r="T146" i="24"/>
  <c r="G169" i="24" s="1"/>
  <c r="T145" i="24"/>
  <c r="T144" i="24"/>
  <c r="T143" i="24"/>
  <c r="T142" i="24"/>
  <c r="T141" i="24"/>
  <c r="T154" i="23"/>
  <c r="G167" i="23" s="1"/>
  <c r="T153" i="23"/>
  <c r="T152" i="23"/>
  <c r="T151" i="23"/>
  <c r="N98" i="23" s="1"/>
  <c r="T150" i="23"/>
  <c r="T149" i="23"/>
  <c r="T148" i="23"/>
  <c r="G171" i="23" s="1"/>
  <c r="T147" i="23"/>
  <c r="G170" i="23" s="1"/>
  <c r="T146" i="23"/>
  <c r="G169" i="23" s="1"/>
  <c r="T145" i="23"/>
  <c r="T144" i="23"/>
  <c r="T143" i="23"/>
  <c r="T142" i="23"/>
  <c r="T141" i="23"/>
  <c r="T154" i="22"/>
  <c r="G167" i="22" s="1"/>
  <c r="T153" i="22"/>
  <c r="N104" i="22" s="1"/>
  <c r="L175" i="22" s="1"/>
  <c r="T152" i="22"/>
  <c r="T151" i="22"/>
  <c r="T150" i="22"/>
  <c r="T149" i="22"/>
  <c r="T148" i="22"/>
  <c r="G171" i="22" s="1"/>
  <c r="T147" i="22"/>
  <c r="G170" i="22" s="1"/>
  <c r="T146" i="22"/>
  <c r="G169" i="22" s="1"/>
  <c r="T145" i="22"/>
  <c r="T144" i="22"/>
  <c r="T143" i="22"/>
  <c r="T142" i="22"/>
  <c r="T141" i="22"/>
  <c r="T154" i="21"/>
  <c r="G167" i="21" s="1"/>
  <c r="T153" i="21"/>
  <c r="T152" i="21"/>
  <c r="T151" i="21"/>
  <c r="N98" i="21" s="1"/>
  <c r="T150" i="21"/>
  <c r="T149" i="21"/>
  <c r="T148" i="21"/>
  <c r="G171" i="21" s="1"/>
  <c r="T147" i="21"/>
  <c r="G170" i="21" s="1"/>
  <c r="T146" i="21"/>
  <c r="G169" i="21" s="1"/>
  <c r="T145" i="21"/>
  <c r="T144" i="21"/>
  <c r="T143" i="21"/>
  <c r="T142" i="21"/>
  <c r="T141" i="21"/>
  <c r="T154" i="20"/>
  <c r="G167" i="20" s="1"/>
  <c r="T153" i="20"/>
  <c r="N104" i="20" s="1"/>
  <c r="L175" i="20" s="1"/>
  <c r="T152" i="20"/>
  <c r="T151" i="20"/>
  <c r="T150" i="20"/>
  <c r="T149" i="20"/>
  <c r="T148" i="20"/>
  <c r="G171" i="20" s="1"/>
  <c r="T147" i="20"/>
  <c r="G170" i="20" s="1"/>
  <c r="T146" i="20"/>
  <c r="G169" i="20" s="1"/>
  <c r="T145" i="20"/>
  <c r="T144" i="20"/>
  <c r="T143" i="20"/>
  <c r="T142" i="20"/>
  <c r="T141" i="20"/>
  <c r="T154" i="19"/>
  <c r="G167" i="19" s="1"/>
  <c r="T153" i="19"/>
  <c r="T152" i="19"/>
  <c r="T151" i="19"/>
  <c r="N98" i="19" s="1"/>
  <c r="T150" i="19"/>
  <c r="T149" i="19"/>
  <c r="T148" i="19"/>
  <c r="G171" i="19" s="1"/>
  <c r="T147" i="19"/>
  <c r="G170" i="19" s="1"/>
  <c r="T146" i="19"/>
  <c r="G169" i="19" s="1"/>
  <c r="T145" i="19"/>
  <c r="T144" i="19"/>
  <c r="T143" i="19"/>
  <c r="T142" i="19"/>
  <c r="T141" i="19"/>
  <c r="T154" i="18"/>
  <c r="G167" i="18" s="1"/>
  <c r="T153" i="18"/>
  <c r="N104" i="18" s="1"/>
  <c r="L175" i="18" s="1"/>
  <c r="T152" i="18"/>
  <c r="T151" i="18"/>
  <c r="T150" i="18"/>
  <c r="T149" i="18"/>
  <c r="T148" i="18"/>
  <c r="G171" i="18" s="1"/>
  <c r="T147" i="18"/>
  <c r="G170" i="18" s="1"/>
  <c r="T146" i="18"/>
  <c r="G169" i="18" s="1"/>
  <c r="T145" i="18"/>
  <c r="T144" i="18"/>
  <c r="T143" i="18"/>
  <c r="T142" i="18"/>
  <c r="T141" i="18"/>
  <c r="T154" i="17"/>
  <c r="G167" i="17" s="1"/>
  <c r="T153" i="17"/>
  <c r="T152" i="17"/>
  <c r="T151" i="17"/>
  <c r="N98" i="17" s="1"/>
  <c r="T150" i="17"/>
  <c r="T149" i="17"/>
  <c r="T148" i="17"/>
  <c r="G171" i="17" s="1"/>
  <c r="T147" i="17"/>
  <c r="G170" i="17" s="1"/>
  <c r="T146" i="17"/>
  <c r="G169" i="17" s="1"/>
  <c r="T145" i="17"/>
  <c r="T144" i="17"/>
  <c r="T143" i="17"/>
  <c r="T142" i="17"/>
  <c r="T141" i="17"/>
  <c r="T154" i="16"/>
  <c r="G167" i="16" s="1"/>
  <c r="T153" i="16"/>
  <c r="N104" i="16" s="1"/>
  <c r="L175" i="16" s="1"/>
  <c r="T152" i="16"/>
  <c r="T151" i="16"/>
  <c r="T150" i="16"/>
  <c r="T149" i="16"/>
  <c r="T148" i="16"/>
  <c r="G171" i="16" s="1"/>
  <c r="T147" i="16"/>
  <c r="G170" i="16" s="1"/>
  <c r="T146" i="16"/>
  <c r="G169" i="16" s="1"/>
  <c r="T145" i="16"/>
  <c r="T144" i="16"/>
  <c r="T143" i="16"/>
  <c r="T142" i="16"/>
  <c r="T141" i="16"/>
  <c r="T154" i="15"/>
  <c r="G167" i="15" s="1"/>
  <c r="T153" i="15"/>
  <c r="T152" i="15"/>
  <c r="T151" i="15"/>
  <c r="N98" i="15" s="1"/>
  <c r="T150" i="15"/>
  <c r="T149" i="15"/>
  <c r="T148" i="15"/>
  <c r="G171" i="15" s="1"/>
  <c r="T147" i="15"/>
  <c r="G170" i="15" s="1"/>
  <c r="T146" i="15"/>
  <c r="G169" i="15" s="1"/>
  <c r="T145" i="15"/>
  <c r="T144" i="15"/>
  <c r="T143" i="15"/>
  <c r="T142" i="15"/>
  <c r="T141" i="15"/>
  <c r="T154" i="14"/>
  <c r="G167" i="14" s="1"/>
  <c r="T153" i="14"/>
  <c r="N104" i="14" s="1"/>
  <c r="L175" i="14" s="1"/>
  <c r="T152" i="14"/>
  <c r="T151" i="14"/>
  <c r="T150" i="14"/>
  <c r="T149" i="14"/>
  <c r="T148" i="14"/>
  <c r="G171" i="14" s="1"/>
  <c r="T147" i="14"/>
  <c r="G170" i="14" s="1"/>
  <c r="T146" i="14"/>
  <c r="G169" i="14" s="1"/>
  <c r="T145" i="14"/>
  <c r="T144" i="14"/>
  <c r="T143" i="14"/>
  <c r="T142" i="14"/>
  <c r="T141" i="14"/>
  <c r="T154" i="13"/>
  <c r="G167" i="13" s="1"/>
  <c r="T153" i="13"/>
  <c r="T152" i="13"/>
  <c r="T151" i="13"/>
  <c r="N98" i="13" s="1"/>
  <c r="T150" i="13"/>
  <c r="T149" i="13"/>
  <c r="T148" i="13"/>
  <c r="G171" i="13" s="1"/>
  <c r="T147" i="13"/>
  <c r="G170" i="13" s="1"/>
  <c r="T146" i="13"/>
  <c r="G169" i="13" s="1"/>
  <c r="T145" i="13"/>
  <c r="T144" i="13"/>
  <c r="T143" i="13"/>
  <c r="T142" i="13"/>
  <c r="T141" i="13"/>
  <c r="T154" i="12"/>
  <c r="G167" i="12" s="1"/>
  <c r="T153" i="12"/>
  <c r="N104" i="12" s="1"/>
  <c r="L175" i="12" s="1"/>
  <c r="T152" i="12"/>
  <c r="T151" i="12"/>
  <c r="T150" i="12"/>
  <c r="T149" i="12"/>
  <c r="T148" i="12"/>
  <c r="G171" i="12" s="1"/>
  <c r="T147" i="12"/>
  <c r="G170" i="12" s="1"/>
  <c r="T146" i="12"/>
  <c r="G169" i="12" s="1"/>
  <c r="T145" i="12"/>
  <c r="T144" i="12"/>
  <c r="T143" i="12"/>
  <c r="T142" i="12"/>
  <c r="T141" i="12"/>
  <c r="T154" i="11"/>
  <c r="G167" i="11" s="1"/>
  <c r="T153" i="11"/>
  <c r="N104" i="11" s="1"/>
  <c r="L175" i="11" s="1"/>
  <c r="T152" i="11"/>
  <c r="T151" i="11"/>
  <c r="N98" i="11" s="1"/>
  <c r="T150" i="11"/>
  <c r="T149" i="11"/>
  <c r="T148" i="11"/>
  <c r="G171" i="11" s="1"/>
  <c r="T147" i="11"/>
  <c r="G170" i="11" s="1"/>
  <c r="T146" i="11"/>
  <c r="G169" i="11" s="1"/>
  <c r="T145" i="11"/>
  <c r="T144" i="11"/>
  <c r="T143" i="11"/>
  <c r="T142" i="11"/>
  <c r="T141" i="11"/>
  <c r="T154" i="10"/>
  <c r="G167" i="10" s="1"/>
  <c r="T153" i="10"/>
  <c r="N104" i="10" s="1"/>
  <c r="L175" i="10" s="1"/>
  <c r="T152" i="10"/>
  <c r="T151" i="10"/>
  <c r="T150" i="10"/>
  <c r="T149" i="10"/>
  <c r="T148" i="10"/>
  <c r="G171" i="10" s="1"/>
  <c r="T147" i="10"/>
  <c r="G170" i="10" s="1"/>
  <c r="T146" i="10"/>
  <c r="G169" i="10" s="1"/>
  <c r="T145" i="10"/>
  <c r="T144" i="10"/>
  <c r="T143" i="10"/>
  <c r="T142" i="10"/>
  <c r="T141" i="10"/>
  <c r="T154" i="9"/>
  <c r="G167" i="9" s="1"/>
  <c r="T153" i="9"/>
  <c r="T152" i="9"/>
  <c r="T151" i="9"/>
  <c r="N98" i="9" s="1"/>
  <c r="T150" i="9"/>
  <c r="T149" i="9"/>
  <c r="T148" i="9"/>
  <c r="G171" i="9" s="1"/>
  <c r="T147" i="9"/>
  <c r="G170" i="9" s="1"/>
  <c r="T146" i="9"/>
  <c r="G169" i="9" s="1"/>
  <c r="T145" i="9"/>
  <c r="T144" i="9"/>
  <c r="T143" i="9"/>
  <c r="T142" i="9"/>
  <c r="T141" i="9"/>
  <c r="T154" i="8"/>
  <c r="G167" i="8" s="1"/>
  <c r="T153" i="8"/>
  <c r="N104" i="8" s="1"/>
  <c r="L175" i="8" s="1"/>
  <c r="T152" i="8"/>
  <c r="T151" i="8"/>
  <c r="T150" i="8"/>
  <c r="T149" i="8"/>
  <c r="T148" i="8"/>
  <c r="G171" i="8" s="1"/>
  <c r="T147" i="8"/>
  <c r="G170" i="8" s="1"/>
  <c r="T146" i="8"/>
  <c r="G169" i="8" s="1"/>
  <c r="T145" i="8"/>
  <c r="T144" i="8"/>
  <c r="T143" i="8"/>
  <c r="T142" i="8"/>
  <c r="T141" i="8"/>
  <c r="T154" i="7"/>
  <c r="G167" i="7" s="1"/>
  <c r="T153" i="7"/>
  <c r="T152" i="7"/>
  <c r="T151" i="7"/>
  <c r="N98" i="7" s="1"/>
  <c r="T150" i="7"/>
  <c r="T149" i="7"/>
  <c r="T148" i="7"/>
  <c r="G171" i="7" s="1"/>
  <c r="T147" i="7"/>
  <c r="G170" i="7" s="1"/>
  <c r="T146" i="7"/>
  <c r="G169" i="7" s="1"/>
  <c r="T145" i="7"/>
  <c r="T144" i="7"/>
  <c r="T143" i="7"/>
  <c r="T142" i="7"/>
  <c r="T141" i="7"/>
  <c r="T154" i="6"/>
  <c r="G167" i="6" s="1"/>
  <c r="T153" i="6"/>
  <c r="N104" i="6" s="1"/>
  <c r="L175" i="6" s="1"/>
  <c r="T152" i="6"/>
  <c r="T151" i="6"/>
  <c r="T150" i="6"/>
  <c r="T149" i="6"/>
  <c r="T148" i="6"/>
  <c r="G171" i="6" s="1"/>
  <c r="T147" i="6"/>
  <c r="G170" i="6" s="1"/>
  <c r="T146" i="6"/>
  <c r="G169" i="6" s="1"/>
  <c r="T145" i="6"/>
  <c r="T144" i="6"/>
  <c r="T143" i="6"/>
  <c r="T142" i="6"/>
  <c r="T141" i="6"/>
  <c r="T154" i="5"/>
  <c r="G167" i="5" s="1"/>
  <c r="T153" i="5"/>
  <c r="T152" i="5"/>
  <c r="T151" i="5"/>
  <c r="N98" i="5" s="1"/>
  <c r="T150" i="5"/>
  <c r="T149" i="5"/>
  <c r="T148" i="5"/>
  <c r="G171" i="5" s="1"/>
  <c r="T147" i="5"/>
  <c r="G170" i="5" s="1"/>
  <c r="T146" i="5"/>
  <c r="G169" i="5" s="1"/>
  <c r="T145" i="5"/>
  <c r="T144" i="5"/>
  <c r="T143" i="5"/>
  <c r="T142" i="5"/>
  <c r="T141" i="5"/>
  <c r="T154" i="4"/>
  <c r="G167" i="4" s="1"/>
  <c r="T153" i="4"/>
  <c r="N104" i="4" s="1"/>
  <c r="L175" i="4" s="1"/>
  <c r="T152" i="4"/>
  <c r="T151" i="4"/>
  <c r="T150" i="4"/>
  <c r="T149" i="4"/>
  <c r="T148" i="4"/>
  <c r="G171" i="4" s="1"/>
  <c r="T147" i="4"/>
  <c r="G170" i="4" s="1"/>
  <c r="T146" i="4"/>
  <c r="G169" i="4" s="1"/>
  <c r="T145" i="4"/>
  <c r="T144" i="4"/>
  <c r="T143" i="4"/>
  <c r="T142" i="4"/>
  <c r="T141" i="4"/>
  <c r="T154" i="3"/>
  <c r="G167" i="3" s="1"/>
  <c r="T153" i="3"/>
  <c r="T152" i="3"/>
  <c r="T151" i="3"/>
  <c r="N98" i="3" s="1"/>
  <c r="T150" i="3"/>
  <c r="T149" i="3"/>
  <c r="T148" i="3"/>
  <c r="G171" i="3" s="1"/>
  <c r="T147" i="3"/>
  <c r="G170" i="3" s="1"/>
  <c r="T146" i="3"/>
  <c r="G169" i="3" s="1"/>
  <c r="T145" i="3"/>
  <c r="T144" i="3"/>
  <c r="T143" i="3"/>
  <c r="T142" i="3"/>
  <c r="T141" i="3"/>
  <c r="B244" i="31"/>
  <c r="B245" i="31" s="1"/>
  <c r="B246" i="31" s="1"/>
  <c r="B247" i="31" s="1"/>
  <c r="B248" i="31" s="1"/>
  <c r="B249" i="31" s="1"/>
  <c r="B250" i="31" s="1"/>
  <c r="B251" i="31" s="1"/>
  <c r="B252" i="31" s="1"/>
  <c r="B253" i="31" s="1"/>
  <c r="B254" i="31" s="1"/>
  <c r="B255" i="31" s="1"/>
  <c r="B256" i="31" s="1"/>
  <c r="B257" i="31" s="1"/>
  <c r="B258" i="31" s="1"/>
  <c r="B259" i="31" s="1"/>
  <c r="B260" i="31" s="1"/>
  <c r="B261" i="31" s="1"/>
  <c r="B262" i="31" s="1"/>
  <c r="B263" i="31" s="1"/>
  <c r="B264" i="31" s="1"/>
  <c r="B265" i="31" s="1"/>
  <c r="B266" i="31" s="1"/>
  <c r="B267" i="31" s="1"/>
  <c r="B268" i="31" s="1"/>
  <c r="B269" i="31" s="1"/>
  <c r="B270" i="31" s="1"/>
  <c r="B271" i="31" s="1"/>
  <c r="K133" i="31"/>
  <c r="T132" i="31"/>
  <c r="W130" i="31"/>
  <c r="W129" i="31"/>
  <c r="W128" i="31"/>
  <c r="W127" i="31"/>
  <c r="W126" i="31"/>
  <c r="W125" i="31"/>
  <c r="W124" i="31"/>
  <c r="W123" i="31"/>
  <c r="W122" i="31"/>
  <c r="W121" i="31"/>
  <c r="W120" i="31"/>
  <c r="W119" i="31"/>
  <c r="W118" i="31"/>
  <c r="W117" i="31"/>
  <c r="W116" i="31"/>
  <c r="W115" i="31"/>
  <c r="W114" i="31"/>
  <c r="W113" i="31"/>
  <c r="N104" i="31"/>
  <c r="N103" i="31"/>
  <c r="P99" i="31"/>
  <c r="D97" i="31"/>
  <c r="P96" i="31"/>
  <c r="D96" i="31"/>
  <c r="E94" i="31"/>
  <c r="D94" i="31"/>
  <c r="T84" i="31"/>
  <c r="F4" i="31"/>
  <c r="B244" i="30"/>
  <c r="B245" i="30" s="1"/>
  <c r="B246" i="30" s="1"/>
  <c r="B247" i="30" s="1"/>
  <c r="B248" i="30" s="1"/>
  <c r="B249" i="30" s="1"/>
  <c r="B250" i="30" s="1"/>
  <c r="B251" i="30" s="1"/>
  <c r="B252" i="30" s="1"/>
  <c r="B253" i="30" s="1"/>
  <c r="B254" i="30" s="1"/>
  <c r="B255" i="30" s="1"/>
  <c r="B256" i="30" s="1"/>
  <c r="B257" i="30" s="1"/>
  <c r="B258" i="30" s="1"/>
  <c r="B259" i="30" s="1"/>
  <c r="B260" i="30" s="1"/>
  <c r="B261" i="30" s="1"/>
  <c r="B262" i="30" s="1"/>
  <c r="B263" i="30" s="1"/>
  <c r="B264" i="30" s="1"/>
  <c r="B265" i="30" s="1"/>
  <c r="B266" i="30" s="1"/>
  <c r="B267" i="30" s="1"/>
  <c r="B268" i="30" s="1"/>
  <c r="B269" i="30" s="1"/>
  <c r="B270" i="30" s="1"/>
  <c r="B271" i="30" s="1"/>
  <c r="T132" i="30"/>
  <c r="W130" i="30"/>
  <c r="W129" i="30"/>
  <c r="W128" i="30"/>
  <c r="W127" i="30"/>
  <c r="W126" i="30"/>
  <c r="W125" i="30"/>
  <c r="W124" i="30"/>
  <c r="W123" i="30"/>
  <c r="W122" i="30"/>
  <c r="W121" i="30"/>
  <c r="W120" i="30"/>
  <c r="W119" i="30"/>
  <c r="W118" i="30"/>
  <c r="W117" i="30"/>
  <c r="W116" i="30"/>
  <c r="W115" i="30"/>
  <c r="W114" i="30"/>
  <c r="W113" i="30"/>
  <c r="P99" i="30"/>
  <c r="N98" i="30"/>
  <c r="D97" i="30"/>
  <c r="P96" i="30"/>
  <c r="D96" i="30"/>
  <c r="E94" i="30"/>
  <c r="D94" i="30"/>
  <c r="T84" i="30"/>
  <c r="B245" i="29"/>
  <c r="B246" i="29" s="1"/>
  <c r="B247" i="29" s="1"/>
  <c r="B248" i="29" s="1"/>
  <c r="B249" i="29" s="1"/>
  <c r="B250" i="29" s="1"/>
  <c r="B251" i="29" s="1"/>
  <c r="B252" i="29" s="1"/>
  <c r="B253" i="29" s="1"/>
  <c r="B254" i="29" s="1"/>
  <c r="B255" i="29" s="1"/>
  <c r="B256" i="29" s="1"/>
  <c r="B257" i="29" s="1"/>
  <c r="B258" i="29" s="1"/>
  <c r="B259" i="29" s="1"/>
  <c r="B260" i="29" s="1"/>
  <c r="B261" i="29" s="1"/>
  <c r="B262" i="29" s="1"/>
  <c r="B263" i="29" s="1"/>
  <c r="B264" i="29" s="1"/>
  <c r="B265" i="29" s="1"/>
  <c r="B266" i="29" s="1"/>
  <c r="B267" i="29" s="1"/>
  <c r="B268" i="29" s="1"/>
  <c r="B269" i="29" s="1"/>
  <c r="B270" i="29" s="1"/>
  <c r="B271" i="29" s="1"/>
  <c r="B244" i="29"/>
  <c r="T132" i="29"/>
  <c r="W130" i="29"/>
  <c r="W129" i="29"/>
  <c r="W128" i="29"/>
  <c r="W127" i="29"/>
  <c r="W126" i="29"/>
  <c r="W125" i="29"/>
  <c r="W124" i="29"/>
  <c r="W123" i="29"/>
  <c r="W122" i="29"/>
  <c r="W121" i="29"/>
  <c r="W120" i="29"/>
  <c r="W119" i="29"/>
  <c r="W118" i="29"/>
  <c r="W117" i="29"/>
  <c r="W116" i="29"/>
  <c r="W115" i="29"/>
  <c r="W114" i="29"/>
  <c r="W113" i="29"/>
  <c r="N104" i="29"/>
  <c r="N103" i="29"/>
  <c r="P99" i="29"/>
  <c r="D97" i="29"/>
  <c r="P96" i="29"/>
  <c r="D96" i="29"/>
  <c r="E94" i="29"/>
  <c r="D94" i="29"/>
  <c r="T84" i="29"/>
  <c r="F4" i="29"/>
  <c r="B244" i="28"/>
  <c r="B245" i="28" s="1"/>
  <c r="B246" i="28" s="1"/>
  <c r="B247" i="28" s="1"/>
  <c r="B248" i="28" s="1"/>
  <c r="B249" i="28" s="1"/>
  <c r="B250" i="28" s="1"/>
  <c r="B251" i="28" s="1"/>
  <c r="B252" i="28" s="1"/>
  <c r="B253" i="28" s="1"/>
  <c r="B254" i="28" s="1"/>
  <c r="B255" i="28" s="1"/>
  <c r="B256" i="28" s="1"/>
  <c r="B257" i="28" s="1"/>
  <c r="B258" i="28" s="1"/>
  <c r="B259" i="28" s="1"/>
  <c r="B260" i="28" s="1"/>
  <c r="B261" i="28" s="1"/>
  <c r="B262" i="28" s="1"/>
  <c r="B263" i="28" s="1"/>
  <c r="B264" i="28" s="1"/>
  <c r="B265" i="28" s="1"/>
  <c r="B266" i="28" s="1"/>
  <c r="B267" i="28" s="1"/>
  <c r="B268" i="28" s="1"/>
  <c r="B269" i="28" s="1"/>
  <c r="B270" i="28" s="1"/>
  <c r="B271" i="28" s="1"/>
  <c r="T132" i="28"/>
  <c r="W130" i="28"/>
  <c r="W129" i="28"/>
  <c r="W128" i="28"/>
  <c r="W127" i="28"/>
  <c r="W126" i="28"/>
  <c r="W125" i="28"/>
  <c r="W124" i="28"/>
  <c r="W123" i="28"/>
  <c r="W122" i="28"/>
  <c r="W121" i="28"/>
  <c r="W120" i="28"/>
  <c r="W119" i="28"/>
  <c r="W118" i="28"/>
  <c r="W117" i="28"/>
  <c r="W116" i="28"/>
  <c r="W115" i="28"/>
  <c r="W114" i="28"/>
  <c r="W113" i="28"/>
  <c r="P99" i="28"/>
  <c r="N98" i="28"/>
  <c r="D97" i="28"/>
  <c r="P96" i="28"/>
  <c r="D96" i="28"/>
  <c r="E94" i="28"/>
  <c r="D94" i="28"/>
  <c r="T84" i="28"/>
  <c r="F5" i="28"/>
  <c r="B244" i="27"/>
  <c r="B245" i="27" s="1"/>
  <c r="B246" i="27" s="1"/>
  <c r="B247" i="27" s="1"/>
  <c r="B248" i="27" s="1"/>
  <c r="B249" i="27" s="1"/>
  <c r="B250" i="27" s="1"/>
  <c r="B251" i="27" s="1"/>
  <c r="B252" i="27" s="1"/>
  <c r="B253" i="27" s="1"/>
  <c r="B254" i="27" s="1"/>
  <c r="B255" i="27" s="1"/>
  <c r="B256" i="27" s="1"/>
  <c r="B257" i="27" s="1"/>
  <c r="B258" i="27" s="1"/>
  <c r="B259" i="27" s="1"/>
  <c r="B260" i="27" s="1"/>
  <c r="B261" i="27" s="1"/>
  <c r="B262" i="27" s="1"/>
  <c r="B263" i="27" s="1"/>
  <c r="B264" i="27" s="1"/>
  <c r="B265" i="27" s="1"/>
  <c r="B266" i="27" s="1"/>
  <c r="B267" i="27" s="1"/>
  <c r="B268" i="27" s="1"/>
  <c r="B269" i="27" s="1"/>
  <c r="B270" i="27" s="1"/>
  <c r="B271" i="27" s="1"/>
  <c r="K133" i="27"/>
  <c r="T132" i="27"/>
  <c r="W130" i="27"/>
  <c r="W129" i="27"/>
  <c r="W128" i="27"/>
  <c r="W127" i="27"/>
  <c r="W126" i="27"/>
  <c r="W125" i="27"/>
  <c r="W124" i="27"/>
  <c r="W123" i="27"/>
  <c r="W122" i="27"/>
  <c r="W121" i="27"/>
  <c r="W120" i="27"/>
  <c r="W119" i="27"/>
  <c r="W118" i="27"/>
  <c r="W117" i="27"/>
  <c r="W116" i="27"/>
  <c r="W115" i="27"/>
  <c r="W114" i="27"/>
  <c r="W113" i="27"/>
  <c r="N104" i="27"/>
  <c r="N103" i="27"/>
  <c r="P99" i="27"/>
  <c r="D97" i="27"/>
  <c r="P96" i="27"/>
  <c r="D96" i="27"/>
  <c r="E94" i="27"/>
  <c r="D94" i="27"/>
  <c r="T84" i="27"/>
  <c r="F4" i="27"/>
  <c r="B244" i="26"/>
  <c r="B245" i="26" s="1"/>
  <c r="B246" i="26" s="1"/>
  <c r="B247" i="26" s="1"/>
  <c r="B248" i="26" s="1"/>
  <c r="B249" i="26" s="1"/>
  <c r="B250" i="26" s="1"/>
  <c r="B251" i="26" s="1"/>
  <c r="B252" i="26" s="1"/>
  <c r="B253" i="26" s="1"/>
  <c r="B254" i="26" s="1"/>
  <c r="B255" i="26" s="1"/>
  <c r="B256" i="26" s="1"/>
  <c r="B257" i="26" s="1"/>
  <c r="B258" i="26" s="1"/>
  <c r="B259" i="26" s="1"/>
  <c r="B260" i="26" s="1"/>
  <c r="B261" i="26" s="1"/>
  <c r="B262" i="26" s="1"/>
  <c r="B263" i="26" s="1"/>
  <c r="B264" i="26" s="1"/>
  <c r="B265" i="26" s="1"/>
  <c r="B266" i="26" s="1"/>
  <c r="B267" i="26" s="1"/>
  <c r="B268" i="26" s="1"/>
  <c r="B269" i="26" s="1"/>
  <c r="B270" i="26" s="1"/>
  <c r="B271" i="26" s="1"/>
  <c r="T132" i="26"/>
  <c r="W130" i="26"/>
  <c r="W129" i="26"/>
  <c r="W128" i="26"/>
  <c r="W127" i="26"/>
  <c r="W126" i="26"/>
  <c r="W125" i="26"/>
  <c r="W124" i="26"/>
  <c r="W123" i="26"/>
  <c r="W122" i="26"/>
  <c r="W121" i="26"/>
  <c r="W120" i="26"/>
  <c r="W119" i="26"/>
  <c r="W118" i="26"/>
  <c r="W117" i="26"/>
  <c r="W116" i="26"/>
  <c r="W115" i="26"/>
  <c r="W114" i="26"/>
  <c r="W113" i="26"/>
  <c r="P99" i="26"/>
  <c r="I179" i="26" s="1"/>
  <c r="N98" i="26"/>
  <c r="D97" i="26"/>
  <c r="P96" i="26"/>
  <c r="I177" i="26" s="1"/>
  <c r="D96" i="26"/>
  <c r="E94" i="26"/>
  <c r="D94" i="26"/>
  <c r="T84" i="26"/>
  <c r="B244" i="25"/>
  <c r="B245" i="25" s="1"/>
  <c r="B246" i="25" s="1"/>
  <c r="B247" i="25" s="1"/>
  <c r="B248" i="25" s="1"/>
  <c r="B249" i="25" s="1"/>
  <c r="B250" i="25" s="1"/>
  <c r="B251" i="25" s="1"/>
  <c r="B252" i="25" s="1"/>
  <c r="B253" i="25" s="1"/>
  <c r="B254" i="25" s="1"/>
  <c r="B255" i="25" s="1"/>
  <c r="B256" i="25" s="1"/>
  <c r="B257" i="25" s="1"/>
  <c r="B258" i="25" s="1"/>
  <c r="B259" i="25" s="1"/>
  <c r="B260" i="25" s="1"/>
  <c r="B261" i="25" s="1"/>
  <c r="B262" i="25" s="1"/>
  <c r="B263" i="25" s="1"/>
  <c r="B264" i="25" s="1"/>
  <c r="B265" i="25" s="1"/>
  <c r="B266" i="25" s="1"/>
  <c r="B267" i="25" s="1"/>
  <c r="B268" i="25" s="1"/>
  <c r="B269" i="25" s="1"/>
  <c r="B270" i="25" s="1"/>
  <c r="B271" i="25" s="1"/>
  <c r="T132" i="25"/>
  <c r="W130" i="25"/>
  <c r="W129" i="25"/>
  <c r="W128" i="25"/>
  <c r="W127" i="25"/>
  <c r="W126" i="25"/>
  <c r="W125" i="25"/>
  <c r="W124" i="25"/>
  <c r="W123" i="25"/>
  <c r="W122" i="25"/>
  <c r="W121" i="25"/>
  <c r="W120" i="25"/>
  <c r="W119" i="25"/>
  <c r="W118" i="25"/>
  <c r="P118" i="25"/>
  <c r="N183" i="25" s="1"/>
  <c r="W117" i="25"/>
  <c r="W116" i="25"/>
  <c r="W115" i="25"/>
  <c r="W114" i="25"/>
  <c r="W113" i="25"/>
  <c r="N104" i="25"/>
  <c r="L175" i="25" s="1"/>
  <c r="N103" i="25"/>
  <c r="L174" i="25" s="1"/>
  <c r="P99" i="25"/>
  <c r="I179" i="25" s="1"/>
  <c r="D97" i="25"/>
  <c r="P96" i="25"/>
  <c r="I177" i="25" s="1"/>
  <c r="D96" i="25"/>
  <c r="E94" i="25"/>
  <c r="D94" i="25"/>
  <c r="T84" i="25"/>
  <c r="F5" i="25"/>
  <c r="F4" i="25"/>
  <c r="B244" i="24"/>
  <c r="B245" i="24" s="1"/>
  <c r="B246" i="24" s="1"/>
  <c r="B247" i="24" s="1"/>
  <c r="B248" i="24" s="1"/>
  <c r="B249" i="24" s="1"/>
  <c r="B250" i="24" s="1"/>
  <c r="B251" i="24" s="1"/>
  <c r="B252" i="24" s="1"/>
  <c r="B253" i="24" s="1"/>
  <c r="B254" i="24" s="1"/>
  <c r="B255" i="24" s="1"/>
  <c r="B256" i="24" s="1"/>
  <c r="B257" i="24" s="1"/>
  <c r="B258" i="24" s="1"/>
  <c r="B259" i="24" s="1"/>
  <c r="B260" i="24" s="1"/>
  <c r="B261" i="24" s="1"/>
  <c r="B262" i="24" s="1"/>
  <c r="B263" i="24" s="1"/>
  <c r="B264" i="24" s="1"/>
  <c r="B265" i="24" s="1"/>
  <c r="B266" i="24" s="1"/>
  <c r="B267" i="24" s="1"/>
  <c r="B268" i="24" s="1"/>
  <c r="B269" i="24" s="1"/>
  <c r="B270" i="24" s="1"/>
  <c r="B271" i="24" s="1"/>
  <c r="T132" i="24"/>
  <c r="W130" i="24"/>
  <c r="W129" i="24"/>
  <c r="W128" i="24"/>
  <c r="W127" i="24"/>
  <c r="W126" i="24"/>
  <c r="W125" i="24"/>
  <c r="W124" i="24"/>
  <c r="W123" i="24"/>
  <c r="W122" i="24"/>
  <c r="W121" i="24"/>
  <c r="W120" i="24"/>
  <c r="W119" i="24"/>
  <c r="W118" i="24"/>
  <c r="W117" i="24"/>
  <c r="W116" i="24"/>
  <c r="W115" i="24"/>
  <c r="W114" i="24"/>
  <c r="W113" i="24"/>
  <c r="P99" i="24"/>
  <c r="I179" i="24" s="1"/>
  <c r="N98" i="24"/>
  <c r="D97" i="24"/>
  <c r="P96" i="24"/>
  <c r="I177" i="24" s="1"/>
  <c r="D96" i="24"/>
  <c r="E94" i="24"/>
  <c r="D94" i="24"/>
  <c r="T84" i="24"/>
  <c r="B244" i="23"/>
  <c r="B245" i="23" s="1"/>
  <c r="B246" i="23" s="1"/>
  <c r="B247" i="23" s="1"/>
  <c r="B248" i="23" s="1"/>
  <c r="B249" i="23" s="1"/>
  <c r="B250" i="23" s="1"/>
  <c r="B251" i="23" s="1"/>
  <c r="B252" i="23" s="1"/>
  <c r="B253" i="23" s="1"/>
  <c r="B254" i="23" s="1"/>
  <c r="B255" i="23" s="1"/>
  <c r="B256" i="23" s="1"/>
  <c r="B257" i="23" s="1"/>
  <c r="B258" i="23" s="1"/>
  <c r="B259" i="23" s="1"/>
  <c r="B260" i="23" s="1"/>
  <c r="B261" i="23" s="1"/>
  <c r="B262" i="23" s="1"/>
  <c r="B263" i="23" s="1"/>
  <c r="B264" i="23" s="1"/>
  <c r="B265" i="23" s="1"/>
  <c r="B266" i="23" s="1"/>
  <c r="B267" i="23" s="1"/>
  <c r="B268" i="23" s="1"/>
  <c r="B269" i="23" s="1"/>
  <c r="B270" i="23" s="1"/>
  <c r="B271" i="23" s="1"/>
  <c r="N104" i="23"/>
  <c r="L175" i="23" s="1"/>
  <c r="T132" i="23"/>
  <c r="W130" i="23"/>
  <c r="W129" i="23"/>
  <c r="W128" i="23"/>
  <c r="W127" i="23"/>
  <c r="W126" i="23"/>
  <c r="W125" i="23"/>
  <c r="W124" i="23"/>
  <c r="W123" i="23"/>
  <c r="W122" i="23"/>
  <c r="W121" i="23"/>
  <c r="W120" i="23"/>
  <c r="W119" i="23"/>
  <c r="W118" i="23"/>
  <c r="P118" i="23"/>
  <c r="N183" i="23" s="1"/>
  <c r="W117" i="23"/>
  <c r="W116" i="23"/>
  <c r="W115" i="23"/>
  <c r="W114" i="23"/>
  <c r="W113" i="23"/>
  <c r="N103" i="23"/>
  <c r="L174" i="23" s="1"/>
  <c r="P99" i="23"/>
  <c r="I179" i="23" s="1"/>
  <c r="D97" i="23"/>
  <c r="P96" i="23"/>
  <c r="I177" i="23" s="1"/>
  <c r="D96" i="23"/>
  <c r="E94" i="23"/>
  <c r="D94" i="23"/>
  <c r="T84" i="23"/>
  <c r="B244" i="22"/>
  <c r="B245" i="22" s="1"/>
  <c r="B246" i="22" s="1"/>
  <c r="B247" i="22" s="1"/>
  <c r="B248" i="22" s="1"/>
  <c r="B249" i="22" s="1"/>
  <c r="B250" i="22" s="1"/>
  <c r="B251" i="22" s="1"/>
  <c r="B252" i="22" s="1"/>
  <c r="B253" i="22" s="1"/>
  <c r="B254" i="22" s="1"/>
  <c r="B255" i="22" s="1"/>
  <c r="B256" i="22" s="1"/>
  <c r="B257" i="22" s="1"/>
  <c r="B258" i="22" s="1"/>
  <c r="B259" i="22" s="1"/>
  <c r="B260" i="22" s="1"/>
  <c r="B261" i="22" s="1"/>
  <c r="B262" i="22" s="1"/>
  <c r="B263" i="22" s="1"/>
  <c r="B264" i="22" s="1"/>
  <c r="B265" i="22" s="1"/>
  <c r="B266" i="22" s="1"/>
  <c r="B267" i="22" s="1"/>
  <c r="B268" i="22" s="1"/>
  <c r="B269" i="22" s="1"/>
  <c r="B270" i="22" s="1"/>
  <c r="B271" i="22" s="1"/>
  <c r="T132" i="22"/>
  <c r="W130" i="22"/>
  <c r="W129" i="22"/>
  <c r="W128" i="22"/>
  <c r="W127" i="22"/>
  <c r="W126" i="22"/>
  <c r="W125" i="22"/>
  <c r="W124" i="22"/>
  <c r="W123" i="22"/>
  <c r="W122" i="22"/>
  <c r="W121" i="22"/>
  <c r="W120" i="22"/>
  <c r="W119" i="22"/>
  <c r="W118" i="22"/>
  <c r="W117" i="22"/>
  <c r="W116" i="22"/>
  <c r="W115" i="22"/>
  <c r="W114" i="22"/>
  <c r="W113" i="22"/>
  <c r="P99" i="22"/>
  <c r="I179" i="22" s="1"/>
  <c r="N98" i="22"/>
  <c r="D97" i="22"/>
  <c r="P96" i="22"/>
  <c r="I177" i="22" s="1"/>
  <c r="D96" i="22"/>
  <c r="E94" i="22"/>
  <c r="D94" i="22"/>
  <c r="T84" i="22"/>
  <c r="B244" i="21"/>
  <c r="B245" i="21" s="1"/>
  <c r="B246" i="21" s="1"/>
  <c r="B247" i="21" s="1"/>
  <c r="B248" i="21" s="1"/>
  <c r="B249" i="21" s="1"/>
  <c r="B250" i="21" s="1"/>
  <c r="B251" i="21" s="1"/>
  <c r="B252" i="21" s="1"/>
  <c r="B253" i="21" s="1"/>
  <c r="B254" i="21" s="1"/>
  <c r="B255" i="21" s="1"/>
  <c r="B256" i="21" s="1"/>
  <c r="B257" i="21" s="1"/>
  <c r="B258" i="21" s="1"/>
  <c r="B259" i="21" s="1"/>
  <c r="B260" i="21" s="1"/>
  <c r="B261" i="21" s="1"/>
  <c r="B262" i="21" s="1"/>
  <c r="B263" i="21" s="1"/>
  <c r="B264" i="21" s="1"/>
  <c r="B265" i="21" s="1"/>
  <c r="B266" i="21" s="1"/>
  <c r="B267" i="21" s="1"/>
  <c r="B268" i="21" s="1"/>
  <c r="B269" i="21" s="1"/>
  <c r="B270" i="21" s="1"/>
  <c r="B271" i="21" s="1"/>
  <c r="T132" i="21"/>
  <c r="W130" i="21"/>
  <c r="W129" i="21"/>
  <c r="W128" i="21"/>
  <c r="W127" i="21"/>
  <c r="W126" i="21"/>
  <c r="W125" i="21"/>
  <c r="W124" i="21"/>
  <c r="W123" i="21"/>
  <c r="W122" i="21"/>
  <c r="W121" i="21"/>
  <c r="W120" i="21"/>
  <c r="W119" i="21"/>
  <c r="W118" i="21"/>
  <c r="W117" i="21"/>
  <c r="W116" i="21"/>
  <c r="W115" i="21"/>
  <c r="W114" i="21"/>
  <c r="W113" i="21"/>
  <c r="N104" i="21"/>
  <c r="L175" i="21" s="1"/>
  <c r="N103" i="21"/>
  <c r="L174" i="21" s="1"/>
  <c r="P99" i="21"/>
  <c r="I179" i="21" s="1"/>
  <c r="D97" i="21"/>
  <c r="P96" i="21"/>
  <c r="I177" i="21" s="1"/>
  <c r="D96" i="21"/>
  <c r="E94" i="21"/>
  <c r="D94" i="21"/>
  <c r="T84" i="21"/>
  <c r="F5" i="21"/>
  <c r="F4" i="21"/>
  <c r="B244" i="20"/>
  <c r="B245" i="20" s="1"/>
  <c r="B246" i="20" s="1"/>
  <c r="B247" i="20" s="1"/>
  <c r="B248" i="20" s="1"/>
  <c r="B249" i="20" s="1"/>
  <c r="B250" i="20" s="1"/>
  <c r="B251" i="20" s="1"/>
  <c r="B252" i="20" s="1"/>
  <c r="B253" i="20" s="1"/>
  <c r="B254" i="20" s="1"/>
  <c r="B255" i="20" s="1"/>
  <c r="B256" i="20" s="1"/>
  <c r="B257" i="20" s="1"/>
  <c r="B258" i="20" s="1"/>
  <c r="B259" i="20" s="1"/>
  <c r="B260" i="20" s="1"/>
  <c r="B261" i="20" s="1"/>
  <c r="B262" i="20" s="1"/>
  <c r="B263" i="20" s="1"/>
  <c r="B264" i="20" s="1"/>
  <c r="B265" i="20" s="1"/>
  <c r="B266" i="20" s="1"/>
  <c r="B267" i="20" s="1"/>
  <c r="B268" i="20" s="1"/>
  <c r="B269" i="20" s="1"/>
  <c r="B270" i="20" s="1"/>
  <c r="B271" i="20" s="1"/>
  <c r="T132" i="20"/>
  <c r="W130" i="20"/>
  <c r="W129" i="20"/>
  <c r="W128" i="20"/>
  <c r="W127" i="20"/>
  <c r="W126" i="20"/>
  <c r="W125" i="20"/>
  <c r="W124" i="20"/>
  <c r="W123" i="20"/>
  <c r="W122" i="20"/>
  <c r="W121" i="20"/>
  <c r="W120" i="20"/>
  <c r="W119" i="20"/>
  <c r="W118" i="20"/>
  <c r="W117" i="20"/>
  <c r="W116" i="20"/>
  <c r="W115" i="20"/>
  <c r="W114" i="20"/>
  <c r="W113" i="20"/>
  <c r="P99" i="20"/>
  <c r="I179" i="20" s="1"/>
  <c r="N98" i="20"/>
  <c r="D97" i="20"/>
  <c r="P96" i="20"/>
  <c r="I177" i="20" s="1"/>
  <c r="D96" i="20"/>
  <c r="E94" i="20"/>
  <c r="D94" i="20"/>
  <c r="T84" i="20"/>
  <c r="B244" i="19"/>
  <c r="B245" i="19" s="1"/>
  <c r="B246" i="19" s="1"/>
  <c r="B247" i="19" s="1"/>
  <c r="B248" i="19" s="1"/>
  <c r="B249" i="19" s="1"/>
  <c r="B250" i="19" s="1"/>
  <c r="B251" i="19" s="1"/>
  <c r="B252" i="19" s="1"/>
  <c r="B253" i="19" s="1"/>
  <c r="B254" i="19" s="1"/>
  <c r="B255" i="19" s="1"/>
  <c r="B256" i="19" s="1"/>
  <c r="B257" i="19" s="1"/>
  <c r="B258" i="19" s="1"/>
  <c r="B259" i="19" s="1"/>
  <c r="B260" i="19" s="1"/>
  <c r="B261" i="19" s="1"/>
  <c r="B262" i="19" s="1"/>
  <c r="B263" i="19" s="1"/>
  <c r="B264" i="19" s="1"/>
  <c r="B265" i="19" s="1"/>
  <c r="B266" i="19" s="1"/>
  <c r="B267" i="19" s="1"/>
  <c r="B268" i="19" s="1"/>
  <c r="B269" i="19" s="1"/>
  <c r="B270" i="19" s="1"/>
  <c r="B271" i="19" s="1"/>
  <c r="T132" i="19"/>
  <c r="W130" i="19"/>
  <c r="W129" i="19"/>
  <c r="W128" i="19"/>
  <c r="W127" i="19"/>
  <c r="W126" i="19"/>
  <c r="W125" i="19"/>
  <c r="W124" i="19"/>
  <c r="W123" i="19"/>
  <c r="W122" i="19"/>
  <c r="W121" i="19"/>
  <c r="W120" i="19"/>
  <c r="W119" i="19"/>
  <c r="W118" i="19"/>
  <c r="P118" i="19"/>
  <c r="N183" i="19" s="1"/>
  <c r="W117" i="19"/>
  <c r="W116" i="19"/>
  <c r="W115" i="19"/>
  <c r="W114" i="19"/>
  <c r="W113" i="19"/>
  <c r="N104" i="19"/>
  <c r="L175" i="19" s="1"/>
  <c r="N103" i="19"/>
  <c r="L174" i="19" s="1"/>
  <c r="P99" i="19"/>
  <c r="I179" i="19" s="1"/>
  <c r="D97" i="19"/>
  <c r="P96" i="19"/>
  <c r="I177" i="19" s="1"/>
  <c r="D96" i="19"/>
  <c r="E94" i="19"/>
  <c r="D94" i="19"/>
  <c r="T84" i="19"/>
  <c r="F4" i="19"/>
  <c r="B244" i="18"/>
  <c r="B245" i="18" s="1"/>
  <c r="B246" i="18" s="1"/>
  <c r="B247" i="18" s="1"/>
  <c r="B248" i="18" s="1"/>
  <c r="B249" i="18" s="1"/>
  <c r="B250" i="18" s="1"/>
  <c r="B251" i="18" s="1"/>
  <c r="B252" i="18" s="1"/>
  <c r="B253" i="18" s="1"/>
  <c r="B254" i="18" s="1"/>
  <c r="B255" i="18" s="1"/>
  <c r="B256" i="18" s="1"/>
  <c r="B257" i="18" s="1"/>
  <c r="B258" i="18" s="1"/>
  <c r="B259" i="18" s="1"/>
  <c r="B260" i="18" s="1"/>
  <c r="B261" i="18" s="1"/>
  <c r="B262" i="18" s="1"/>
  <c r="B263" i="18" s="1"/>
  <c r="B264" i="18" s="1"/>
  <c r="B265" i="18" s="1"/>
  <c r="B266" i="18" s="1"/>
  <c r="B267" i="18" s="1"/>
  <c r="B268" i="18" s="1"/>
  <c r="B269" i="18" s="1"/>
  <c r="B270" i="18" s="1"/>
  <c r="B271" i="18" s="1"/>
  <c r="T132" i="18"/>
  <c r="W130" i="18"/>
  <c r="W129" i="18"/>
  <c r="W128" i="18"/>
  <c r="W127" i="18"/>
  <c r="W126" i="18"/>
  <c r="W125" i="18"/>
  <c r="W124" i="18"/>
  <c r="W123" i="18"/>
  <c r="W122" i="18"/>
  <c r="W121" i="18"/>
  <c r="W120" i="18"/>
  <c r="W119" i="18"/>
  <c r="W118" i="18"/>
  <c r="W117" i="18"/>
  <c r="W116" i="18"/>
  <c r="W115" i="18"/>
  <c r="W114" i="18"/>
  <c r="W113" i="18"/>
  <c r="P99" i="18"/>
  <c r="I179" i="18" s="1"/>
  <c r="N98" i="18"/>
  <c r="D97" i="18"/>
  <c r="P96" i="18"/>
  <c r="I177" i="18" s="1"/>
  <c r="D96" i="18"/>
  <c r="E94" i="18"/>
  <c r="D94" i="18"/>
  <c r="T84" i="18"/>
  <c r="B244" i="17"/>
  <c r="B245" i="17" s="1"/>
  <c r="B246" i="17" s="1"/>
  <c r="B247" i="17" s="1"/>
  <c r="B248" i="17" s="1"/>
  <c r="B249" i="17" s="1"/>
  <c r="B250" i="17" s="1"/>
  <c r="B251" i="17" s="1"/>
  <c r="B252" i="17" s="1"/>
  <c r="B253" i="17" s="1"/>
  <c r="B254" i="17" s="1"/>
  <c r="B255" i="17" s="1"/>
  <c r="B256" i="17" s="1"/>
  <c r="B257" i="17" s="1"/>
  <c r="B258" i="17" s="1"/>
  <c r="B259" i="17" s="1"/>
  <c r="B260" i="17" s="1"/>
  <c r="B261" i="17" s="1"/>
  <c r="B262" i="17" s="1"/>
  <c r="B263" i="17" s="1"/>
  <c r="B264" i="17" s="1"/>
  <c r="B265" i="17" s="1"/>
  <c r="B266" i="17" s="1"/>
  <c r="B267" i="17" s="1"/>
  <c r="B268" i="17" s="1"/>
  <c r="B269" i="17" s="1"/>
  <c r="B270" i="17" s="1"/>
  <c r="B271" i="17" s="1"/>
  <c r="T132" i="17"/>
  <c r="W130" i="17"/>
  <c r="W129" i="17"/>
  <c r="W128" i="17"/>
  <c r="W127" i="17"/>
  <c r="W126" i="17"/>
  <c r="W125" i="17"/>
  <c r="W124" i="17"/>
  <c r="W123" i="17"/>
  <c r="W122" i="17"/>
  <c r="W121" i="17"/>
  <c r="W120" i="17"/>
  <c r="W119" i="17"/>
  <c r="W118" i="17"/>
  <c r="P118" i="17"/>
  <c r="N183" i="17" s="1"/>
  <c r="W117" i="17"/>
  <c r="W116" i="17"/>
  <c r="W115" i="17"/>
  <c r="W114" i="17"/>
  <c r="W113" i="17"/>
  <c r="N104" i="17"/>
  <c r="L175" i="17" s="1"/>
  <c r="N103" i="17"/>
  <c r="L174" i="17" s="1"/>
  <c r="P99" i="17"/>
  <c r="I179" i="17" s="1"/>
  <c r="D97" i="17"/>
  <c r="P96" i="17"/>
  <c r="I177" i="17" s="1"/>
  <c r="D96" i="17"/>
  <c r="E94" i="17"/>
  <c r="D94" i="17"/>
  <c r="T84" i="17"/>
  <c r="B244" i="16"/>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T132" i="16"/>
  <c r="W130" i="16"/>
  <c r="W129" i="16"/>
  <c r="W128" i="16"/>
  <c r="W127" i="16"/>
  <c r="W126" i="16"/>
  <c r="W125" i="16"/>
  <c r="W124" i="16"/>
  <c r="W123" i="16"/>
  <c r="W122" i="16"/>
  <c r="W121" i="16"/>
  <c r="W120" i="16"/>
  <c r="W119" i="16"/>
  <c r="W118" i="16"/>
  <c r="W117" i="16"/>
  <c r="W116" i="16"/>
  <c r="W115" i="16"/>
  <c r="W114" i="16"/>
  <c r="W113" i="16"/>
  <c r="P99" i="16"/>
  <c r="I179" i="16" s="1"/>
  <c r="N98" i="16"/>
  <c r="D97" i="16"/>
  <c r="P96" i="16"/>
  <c r="I177" i="16" s="1"/>
  <c r="D96" i="16"/>
  <c r="E94" i="16"/>
  <c r="D94" i="16"/>
  <c r="T84" i="16"/>
  <c r="B244" i="15"/>
  <c r="B245" i="15" s="1"/>
  <c r="B246" i="15" s="1"/>
  <c r="B247" i="15" s="1"/>
  <c r="B248" i="15" s="1"/>
  <c r="B249" i="15" s="1"/>
  <c r="B250" i="15" s="1"/>
  <c r="B251" i="15" s="1"/>
  <c r="B252" i="15" s="1"/>
  <c r="B253" i="15" s="1"/>
  <c r="B254" i="15" s="1"/>
  <c r="B255" i="15" s="1"/>
  <c r="B256" i="15" s="1"/>
  <c r="B257" i="15" s="1"/>
  <c r="B258" i="15" s="1"/>
  <c r="B259" i="15" s="1"/>
  <c r="B260" i="15" s="1"/>
  <c r="B261" i="15" s="1"/>
  <c r="B262" i="15" s="1"/>
  <c r="B263" i="15" s="1"/>
  <c r="B264" i="15" s="1"/>
  <c r="B265" i="15" s="1"/>
  <c r="B266" i="15" s="1"/>
  <c r="B267" i="15" s="1"/>
  <c r="B268" i="15" s="1"/>
  <c r="B269" i="15" s="1"/>
  <c r="B270" i="15" s="1"/>
  <c r="B271" i="15" s="1"/>
  <c r="K133" i="15"/>
  <c r="T132" i="15"/>
  <c r="W130" i="15"/>
  <c r="W129" i="15"/>
  <c r="W128" i="15"/>
  <c r="W127" i="15"/>
  <c r="W126" i="15"/>
  <c r="W125" i="15"/>
  <c r="W124" i="15"/>
  <c r="W123" i="15"/>
  <c r="W122" i="15"/>
  <c r="W121" i="15"/>
  <c r="W120" i="15"/>
  <c r="W119" i="15"/>
  <c r="W118" i="15"/>
  <c r="P118" i="15"/>
  <c r="N183" i="15" s="1"/>
  <c r="W117" i="15"/>
  <c r="W116" i="15"/>
  <c r="W115" i="15"/>
  <c r="W114" i="15"/>
  <c r="W113" i="15"/>
  <c r="N104" i="15"/>
  <c r="L175" i="15" s="1"/>
  <c r="P99" i="15"/>
  <c r="I179" i="15" s="1"/>
  <c r="D97" i="15"/>
  <c r="P96" i="15"/>
  <c r="I177" i="15" s="1"/>
  <c r="D96" i="15"/>
  <c r="E94" i="15"/>
  <c r="D94" i="15"/>
  <c r="T84" i="15"/>
  <c r="F4" i="15"/>
  <c r="B244" i="14"/>
  <c r="B245" i="14" s="1"/>
  <c r="B246" i="14" s="1"/>
  <c r="B247" i="14" s="1"/>
  <c r="B248" i="14" s="1"/>
  <c r="B249" i="14" s="1"/>
  <c r="B250" i="14" s="1"/>
  <c r="B251" i="14" s="1"/>
  <c r="B252" i="14" s="1"/>
  <c r="B253" i="14" s="1"/>
  <c r="B254" i="14" s="1"/>
  <c r="B255" i="14" s="1"/>
  <c r="B256" i="14" s="1"/>
  <c r="B257" i="14" s="1"/>
  <c r="B258" i="14" s="1"/>
  <c r="B259" i="14" s="1"/>
  <c r="B260" i="14" s="1"/>
  <c r="B261" i="14" s="1"/>
  <c r="B262" i="14" s="1"/>
  <c r="B263" i="14" s="1"/>
  <c r="B264" i="14" s="1"/>
  <c r="B265" i="14" s="1"/>
  <c r="B266" i="14" s="1"/>
  <c r="B267" i="14" s="1"/>
  <c r="B268" i="14" s="1"/>
  <c r="B269" i="14" s="1"/>
  <c r="B270" i="14" s="1"/>
  <c r="B271" i="14" s="1"/>
  <c r="T132" i="14"/>
  <c r="W130" i="14"/>
  <c r="W129" i="14"/>
  <c r="W128" i="14"/>
  <c r="W127" i="14"/>
  <c r="W126" i="14"/>
  <c r="W125" i="14"/>
  <c r="W124" i="14"/>
  <c r="W123" i="14"/>
  <c r="W122" i="14"/>
  <c r="W121" i="14"/>
  <c r="W120" i="14"/>
  <c r="W119" i="14"/>
  <c r="W118" i="14"/>
  <c r="W117" i="14"/>
  <c r="W116" i="14"/>
  <c r="W115" i="14"/>
  <c r="W114" i="14"/>
  <c r="W113" i="14"/>
  <c r="P99" i="14"/>
  <c r="I179" i="14" s="1"/>
  <c r="N98" i="14"/>
  <c r="D97" i="14"/>
  <c r="P96" i="14"/>
  <c r="I177" i="14" s="1"/>
  <c r="D96" i="14"/>
  <c r="E94" i="14"/>
  <c r="D94" i="14"/>
  <c r="T84" i="14"/>
  <c r="B244" i="13"/>
  <c r="B245" i="13" s="1"/>
  <c r="B246" i="13" s="1"/>
  <c r="B247" i="13" s="1"/>
  <c r="B248" i="13" s="1"/>
  <c r="B249" i="13" s="1"/>
  <c r="B250" i="13" s="1"/>
  <c r="B251" i="13" s="1"/>
  <c r="B252" i="13" s="1"/>
  <c r="B253" i="13" s="1"/>
  <c r="B254" i="13" s="1"/>
  <c r="B255" i="13" s="1"/>
  <c r="B256" i="13" s="1"/>
  <c r="B257" i="13" s="1"/>
  <c r="B258" i="13" s="1"/>
  <c r="B259" i="13" s="1"/>
  <c r="B260" i="13" s="1"/>
  <c r="B261" i="13" s="1"/>
  <c r="B262" i="13" s="1"/>
  <c r="B263" i="13" s="1"/>
  <c r="B264" i="13" s="1"/>
  <c r="B265" i="13" s="1"/>
  <c r="B266" i="13" s="1"/>
  <c r="B267" i="13" s="1"/>
  <c r="B268" i="13" s="1"/>
  <c r="B269" i="13" s="1"/>
  <c r="B270" i="13" s="1"/>
  <c r="B271" i="13" s="1"/>
  <c r="K133" i="13"/>
  <c r="T132" i="13"/>
  <c r="W130" i="13"/>
  <c r="W129" i="13"/>
  <c r="W128" i="13"/>
  <c r="W127" i="13"/>
  <c r="W126" i="13"/>
  <c r="W125" i="13"/>
  <c r="W124" i="13"/>
  <c r="W123" i="13"/>
  <c r="W122" i="13"/>
  <c r="W121" i="13"/>
  <c r="W120" i="13"/>
  <c r="W119" i="13"/>
  <c r="W118" i="13"/>
  <c r="W117" i="13"/>
  <c r="W116" i="13"/>
  <c r="W115" i="13"/>
  <c r="W114" i="13"/>
  <c r="W113" i="13"/>
  <c r="N104" i="13"/>
  <c r="L175" i="13" s="1"/>
  <c r="P99" i="13"/>
  <c r="I179" i="13" s="1"/>
  <c r="D97" i="13"/>
  <c r="P96" i="13"/>
  <c r="I177" i="13" s="1"/>
  <c r="D96" i="13"/>
  <c r="E94" i="13"/>
  <c r="D94" i="13"/>
  <c r="T84" i="13"/>
  <c r="F4" i="13"/>
  <c r="B244" i="12"/>
  <c r="B245" i="12" s="1"/>
  <c r="B246" i="12" s="1"/>
  <c r="B247" i="12" s="1"/>
  <c r="B248" i="12" s="1"/>
  <c r="B249" i="12" s="1"/>
  <c r="B250" i="12" s="1"/>
  <c r="B251" i="12" s="1"/>
  <c r="B252" i="12" s="1"/>
  <c r="B253" i="12" s="1"/>
  <c r="B254" i="12" s="1"/>
  <c r="B255" i="12" s="1"/>
  <c r="B256" i="12" s="1"/>
  <c r="B257" i="12" s="1"/>
  <c r="B258" i="12" s="1"/>
  <c r="B259" i="12" s="1"/>
  <c r="B260" i="12" s="1"/>
  <c r="B261" i="12" s="1"/>
  <c r="B262" i="12" s="1"/>
  <c r="B263" i="12" s="1"/>
  <c r="B264" i="12" s="1"/>
  <c r="B265" i="12" s="1"/>
  <c r="B266" i="12" s="1"/>
  <c r="B267" i="12" s="1"/>
  <c r="B268" i="12" s="1"/>
  <c r="B269" i="12" s="1"/>
  <c r="B270" i="12" s="1"/>
  <c r="B271" i="12" s="1"/>
  <c r="T132" i="12"/>
  <c r="W130" i="12"/>
  <c r="W129" i="12"/>
  <c r="W128" i="12"/>
  <c r="W127" i="12"/>
  <c r="W126" i="12"/>
  <c r="W125" i="12"/>
  <c r="W124" i="12"/>
  <c r="W123" i="12"/>
  <c r="W122" i="12"/>
  <c r="W121" i="12"/>
  <c r="W120" i="12"/>
  <c r="W119" i="12"/>
  <c r="W118" i="12"/>
  <c r="W117" i="12"/>
  <c r="W116" i="12"/>
  <c r="W115" i="12"/>
  <c r="W114" i="12"/>
  <c r="W113" i="12"/>
  <c r="P99" i="12"/>
  <c r="I179" i="12" s="1"/>
  <c r="N98" i="12"/>
  <c r="D97" i="12"/>
  <c r="P96" i="12"/>
  <c r="I177" i="12" s="1"/>
  <c r="D96" i="12"/>
  <c r="E94" i="12"/>
  <c r="D94" i="12"/>
  <c r="T84" i="12"/>
  <c r="B244" i="11"/>
  <c r="B245" i="11" s="1"/>
  <c r="B246" i="11" s="1"/>
  <c r="B247" i="11" s="1"/>
  <c r="B248" i="11" s="1"/>
  <c r="B249" i="11" s="1"/>
  <c r="B250" i="11" s="1"/>
  <c r="B251" i="11" s="1"/>
  <c r="B252" i="11" s="1"/>
  <c r="B253" i="11" s="1"/>
  <c r="B254" i="11" s="1"/>
  <c r="B255" i="11" s="1"/>
  <c r="B256" i="11" s="1"/>
  <c r="B257" i="11" s="1"/>
  <c r="B258" i="11" s="1"/>
  <c r="B259" i="11" s="1"/>
  <c r="B260" i="11" s="1"/>
  <c r="B261" i="11" s="1"/>
  <c r="B262" i="11" s="1"/>
  <c r="B263" i="11" s="1"/>
  <c r="B264" i="11" s="1"/>
  <c r="B265" i="11" s="1"/>
  <c r="B266" i="11" s="1"/>
  <c r="B267" i="11" s="1"/>
  <c r="B268" i="11" s="1"/>
  <c r="B269" i="11" s="1"/>
  <c r="B270" i="11" s="1"/>
  <c r="B271" i="11" s="1"/>
  <c r="T132" i="11"/>
  <c r="W130" i="11"/>
  <c r="W129" i="11"/>
  <c r="W128" i="11"/>
  <c r="W127" i="11"/>
  <c r="W126" i="11"/>
  <c r="W125" i="11"/>
  <c r="W124" i="11"/>
  <c r="W123" i="11"/>
  <c r="W122" i="11"/>
  <c r="W121" i="11"/>
  <c r="W120" i="11"/>
  <c r="W119" i="11"/>
  <c r="W118" i="11"/>
  <c r="W117" i="11"/>
  <c r="W116" i="11"/>
  <c r="W115" i="11"/>
  <c r="W114" i="11"/>
  <c r="W113" i="11"/>
  <c r="P99" i="11"/>
  <c r="I179" i="11" s="1"/>
  <c r="D97" i="11"/>
  <c r="P96" i="11"/>
  <c r="I177" i="11" s="1"/>
  <c r="D96" i="11"/>
  <c r="E94" i="11"/>
  <c r="D94" i="11"/>
  <c r="T84" i="11"/>
  <c r="F4" i="11"/>
  <c r="B244" i="10"/>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N98" i="10"/>
  <c r="T132" i="10"/>
  <c r="W130" i="10"/>
  <c r="W129" i="10"/>
  <c r="W128" i="10"/>
  <c r="W127" i="10"/>
  <c r="W126" i="10"/>
  <c r="W125" i="10"/>
  <c r="W124" i="10"/>
  <c r="W123" i="10"/>
  <c r="W122" i="10"/>
  <c r="W121" i="10"/>
  <c r="W120" i="10"/>
  <c r="W119" i="10"/>
  <c r="W118" i="10"/>
  <c r="W117" i="10"/>
  <c r="W116" i="10"/>
  <c r="W115" i="10"/>
  <c r="W114" i="10"/>
  <c r="W113" i="10"/>
  <c r="P99" i="10"/>
  <c r="I179" i="10" s="1"/>
  <c r="D97" i="10"/>
  <c r="P96" i="10"/>
  <c r="I177" i="10" s="1"/>
  <c r="D96" i="10"/>
  <c r="E94" i="10"/>
  <c r="D94" i="10"/>
  <c r="T84" i="10"/>
  <c r="B244" i="9"/>
  <c r="B245" i="9" s="1"/>
  <c r="B246" i="9" s="1"/>
  <c r="B247" i="9" s="1"/>
  <c r="B248" i="9" s="1"/>
  <c r="B249" i="9" s="1"/>
  <c r="B250" i="9" s="1"/>
  <c r="B251" i="9" s="1"/>
  <c r="B252" i="9" s="1"/>
  <c r="B253" i="9" s="1"/>
  <c r="B254" i="9" s="1"/>
  <c r="B255" i="9" s="1"/>
  <c r="B256" i="9" s="1"/>
  <c r="B257" i="9" s="1"/>
  <c r="B258" i="9" s="1"/>
  <c r="B259" i="9" s="1"/>
  <c r="B260" i="9" s="1"/>
  <c r="B261" i="9" s="1"/>
  <c r="B262" i="9" s="1"/>
  <c r="B263" i="9" s="1"/>
  <c r="B264" i="9" s="1"/>
  <c r="B265" i="9" s="1"/>
  <c r="B266" i="9" s="1"/>
  <c r="B267" i="9" s="1"/>
  <c r="B268" i="9" s="1"/>
  <c r="B269" i="9" s="1"/>
  <c r="B270" i="9" s="1"/>
  <c r="B271" i="9" s="1"/>
  <c r="T132" i="9"/>
  <c r="W130" i="9"/>
  <c r="W129" i="9"/>
  <c r="W128" i="9"/>
  <c r="W127" i="9"/>
  <c r="W126" i="9"/>
  <c r="W125" i="9"/>
  <c r="W124" i="9"/>
  <c r="W123" i="9"/>
  <c r="W122" i="9"/>
  <c r="W121" i="9"/>
  <c r="W120" i="9"/>
  <c r="W119" i="9"/>
  <c r="W118" i="9"/>
  <c r="P118" i="9"/>
  <c r="N183" i="9" s="1"/>
  <c r="W117" i="9"/>
  <c r="W116" i="9"/>
  <c r="W115" i="9"/>
  <c r="W114" i="9"/>
  <c r="W113" i="9"/>
  <c r="N104" i="9"/>
  <c r="L175" i="9" s="1"/>
  <c r="P99" i="9"/>
  <c r="I179" i="9" s="1"/>
  <c r="D97" i="9"/>
  <c r="P96" i="9"/>
  <c r="I177" i="9" s="1"/>
  <c r="D96" i="9"/>
  <c r="E94" i="9"/>
  <c r="D94" i="9"/>
  <c r="T84" i="9"/>
  <c r="F4" i="9"/>
  <c r="B244" i="8"/>
  <c r="B245" i="8" s="1"/>
  <c r="B246" i="8" s="1"/>
  <c r="B247" i="8" s="1"/>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N98" i="8"/>
  <c r="T132" i="8"/>
  <c r="W130" i="8"/>
  <c r="W129" i="8"/>
  <c r="W128" i="8"/>
  <c r="W127" i="8"/>
  <c r="W126" i="8"/>
  <c r="W125" i="8"/>
  <c r="W124" i="8"/>
  <c r="W123" i="8"/>
  <c r="W122" i="8"/>
  <c r="W121" i="8"/>
  <c r="W120" i="8"/>
  <c r="W119" i="8"/>
  <c r="W118" i="8"/>
  <c r="W117" i="8"/>
  <c r="W116" i="8"/>
  <c r="W115" i="8"/>
  <c r="W114" i="8"/>
  <c r="W113" i="8"/>
  <c r="P99" i="8"/>
  <c r="I179" i="8" s="1"/>
  <c r="D97" i="8"/>
  <c r="P96" i="8"/>
  <c r="I177" i="8" s="1"/>
  <c r="D96" i="8"/>
  <c r="E94" i="8"/>
  <c r="D94" i="8"/>
  <c r="T84" i="8"/>
  <c r="B244" i="7"/>
  <c r="B245" i="7" s="1"/>
  <c r="B246" i="7" s="1"/>
  <c r="B247" i="7" s="1"/>
  <c r="B248" i="7" s="1"/>
  <c r="B249" i="7" s="1"/>
  <c r="B250" i="7" s="1"/>
  <c r="B251" i="7" s="1"/>
  <c r="B252" i="7" s="1"/>
  <c r="B253" i="7" s="1"/>
  <c r="B254" i="7" s="1"/>
  <c r="B255" i="7" s="1"/>
  <c r="B256" i="7" s="1"/>
  <c r="B257" i="7" s="1"/>
  <c r="B258" i="7" s="1"/>
  <c r="B259" i="7" s="1"/>
  <c r="B260" i="7" s="1"/>
  <c r="B261" i="7" s="1"/>
  <c r="B262" i="7" s="1"/>
  <c r="B263" i="7" s="1"/>
  <c r="B264" i="7" s="1"/>
  <c r="B265" i="7" s="1"/>
  <c r="B266" i="7" s="1"/>
  <c r="B267" i="7" s="1"/>
  <c r="B268" i="7" s="1"/>
  <c r="B269" i="7" s="1"/>
  <c r="B270" i="7" s="1"/>
  <c r="B271" i="7" s="1"/>
  <c r="T132" i="7"/>
  <c r="W130" i="7"/>
  <c r="W129" i="7"/>
  <c r="W128" i="7"/>
  <c r="W127" i="7"/>
  <c r="W126" i="7"/>
  <c r="W125" i="7"/>
  <c r="W124" i="7"/>
  <c r="W123" i="7"/>
  <c r="W122" i="7"/>
  <c r="W121" i="7"/>
  <c r="W120" i="7"/>
  <c r="W119" i="7"/>
  <c r="W118" i="7"/>
  <c r="P118" i="7"/>
  <c r="N183" i="7" s="1"/>
  <c r="W117" i="7"/>
  <c r="W116" i="7"/>
  <c r="W115" i="7"/>
  <c r="W114" i="7"/>
  <c r="W113" i="7"/>
  <c r="N104" i="7"/>
  <c r="L175" i="7" s="1"/>
  <c r="N103" i="7"/>
  <c r="L174" i="7" s="1"/>
  <c r="P99" i="7"/>
  <c r="I179" i="7" s="1"/>
  <c r="D97" i="7"/>
  <c r="P96" i="7"/>
  <c r="I177" i="7" s="1"/>
  <c r="D96" i="7"/>
  <c r="E94" i="7"/>
  <c r="D94" i="7"/>
  <c r="T84" i="7"/>
  <c r="F4" i="7"/>
  <c r="B244" i="6"/>
  <c r="B245" i="6" s="1"/>
  <c r="B246" i="6" s="1"/>
  <c r="B247" i="6" s="1"/>
  <c r="B248" i="6" s="1"/>
  <c r="B249" i="6" s="1"/>
  <c r="B250" i="6" s="1"/>
  <c r="B251" i="6" s="1"/>
  <c r="B252" i="6" s="1"/>
  <c r="B253" i="6" s="1"/>
  <c r="B254" i="6" s="1"/>
  <c r="B255" i="6" s="1"/>
  <c r="B256" i="6" s="1"/>
  <c r="B257" i="6" s="1"/>
  <c r="B258" i="6" s="1"/>
  <c r="B259" i="6" s="1"/>
  <c r="B260" i="6" s="1"/>
  <c r="B261" i="6" s="1"/>
  <c r="B262" i="6" s="1"/>
  <c r="B263" i="6" s="1"/>
  <c r="B264" i="6" s="1"/>
  <c r="B265" i="6" s="1"/>
  <c r="B266" i="6" s="1"/>
  <c r="B267" i="6" s="1"/>
  <c r="B268" i="6" s="1"/>
  <c r="B269" i="6" s="1"/>
  <c r="B270" i="6" s="1"/>
  <c r="B271" i="6" s="1"/>
  <c r="N98" i="6"/>
  <c r="T132" i="6"/>
  <c r="W130" i="6"/>
  <c r="W129" i="6"/>
  <c r="W128" i="6"/>
  <c r="W127" i="6"/>
  <c r="W126" i="6"/>
  <c r="W125" i="6"/>
  <c r="W124" i="6"/>
  <c r="W123" i="6"/>
  <c r="W122" i="6"/>
  <c r="W121" i="6"/>
  <c r="W120" i="6"/>
  <c r="W119" i="6"/>
  <c r="W118" i="6"/>
  <c r="W117" i="6"/>
  <c r="W116" i="6"/>
  <c r="W115" i="6"/>
  <c r="W114" i="6"/>
  <c r="W113" i="6"/>
  <c r="P99" i="6"/>
  <c r="I179" i="6" s="1"/>
  <c r="D97" i="6"/>
  <c r="P96" i="6"/>
  <c r="I177" i="6" s="1"/>
  <c r="D96" i="6"/>
  <c r="E94" i="6"/>
  <c r="D94" i="6"/>
  <c r="T84" i="6"/>
  <c r="B244" i="5"/>
  <c r="B245" i="5" s="1"/>
  <c r="B246" i="5" s="1"/>
  <c r="B247" i="5" s="1"/>
  <c r="B248" i="5" s="1"/>
  <c r="B249" i="5" s="1"/>
  <c r="B250" i="5" s="1"/>
  <c r="B251" i="5" s="1"/>
  <c r="B252" i="5" s="1"/>
  <c r="B253" i="5" s="1"/>
  <c r="B254" i="5" s="1"/>
  <c r="B255" i="5" s="1"/>
  <c r="B256" i="5" s="1"/>
  <c r="B257" i="5" s="1"/>
  <c r="B258" i="5" s="1"/>
  <c r="B259" i="5" s="1"/>
  <c r="B260" i="5" s="1"/>
  <c r="B261" i="5" s="1"/>
  <c r="B262" i="5" s="1"/>
  <c r="B263" i="5" s="1"/>
  <c r="B264" i="5" s="1"/>
  <c r="B265" i="5" s="1"/>
  <c r="B266" i="5" s="1"/>
  <c r="B267" i="5" s="1"/>
  <c r="B268" i="5" s="1"/>
  <c r="B269" i="5" s="1"/>
  <c r="B270" i="5" s="1"/>
  <c r="B271" i="5" s="1"/>
  <c r="T132" i="5"/>
  <c r="W130" i="5"/>
  <c r="W129" i="5"/>
  <c r="W128" i="5"/>
  <c r="W127" i="5"/>
  <c r="W126" i="5"/>
  <c r="W125" i="5"/>
  <c r="W124" i="5"/>
  <c r="W123" i="5"/>
  <c r="W122" i="5"/>
  <c r="W121" i="5"/>
  <c r="W120" i="5"/>
  <c r="W119" i="5"/>
  <c r="W118" i="5"/>
  <c r="P118" i="5"/>
  <c r="N183" i="5" s="1"/>
  <c r="W117" i="5"/>
  <c r="W116" i="5"/>
  <c r="W115" i="5"/>
  <c r="W114" i="5"/>
  <c r="W113" i="5"/>
  <c r="N104" i="5"/>
  <c r="L175" i="5" s="1"/>
  <c r="P99" i="5"/>
  <c r="I179" i="5" s="1"/>
  <c r="D97" i="5"/>
  <c r="P96" i="5"/>
  <c r="I177" i="5" s="1"/>
  <c r="D96" i="5"/>
  <c r="E94" i="5"/>
  <c r="D94" i="5"/>
  <c r="T84" i="5"/>
  <c r="F4" i="5"/>
  <c r="B244" i="4"/>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T132" i="4"/>
  <c r="W130" i="4"/>
  <c r="W129" i="4"/>
  <c r="W128" i="4"/>
  <c r="W127" i="4"/>
  <c r="W126" i="4"/>
  <c r="W125" i="4"/>
  <c r="W124" i="4"/>
  <c r="W123" i="4"/>
  <c r="W122" i="4"/>
  <c r="W121" i="4"/>
  <c r="W120" i="4"/>
  <c r="W119" i="4"/>
  <c r="W118" i="4"/>
  <c r="W117" i="4"/>
  <c r="W116" i="4"/>
  <c r="W115" i="4"/>
  <c r="W114" i="4"/>
  <c r="W113" i="4"/>
  <c r="P99" i="4"/>
  <c r="I179" i="4" s="1"/>
  <c r="N98" i="4"/>
  <c r="D97" i="4"/>
  <c r="P96" i="4"/>
  <c r="I177" i="4" s="1"/>
  <c r="D96" i="4"/>
  <c r="E94" i="4"/>
  <c r="D94" i="4"/>
  <c r="T84" i="4"/>
  <c r="B244" i="3"/>
  <c r="B245" i="3" s="1"/>
  <c r="B246" i="3" s="1"/>
  <c r="B247" i="3" s="1"/>
  <c r="B248" i="3" s="1"/>
  <c r="B249" i="3" s="1"/>
  <c r="B250" i="3" s="1"/>
  <c r="B251" i="3" s="1"/>
  <c r="B252" i="3" s="1"/>
  <c r="B253" i="3" s="1"/>
  <c r="B254" i="3" s="1"/>
  <c r="B255" i="3" s="1"/>
  <c r="B256" i="3" s="1"/>
  <c r="B257" i="3" s="1"/>
  <c r="B258" i="3" s="1"/>
  <c r="B259" i="3" s="1"/>
  <c r="B260" i="3" s="1"/>
  <c r="B261" i="3" s="1"/>
  <c r="B262" i="3" s="1"/>
  <c r="B263" i="3" s="1"/>
  <c r="B264" i="3" s="1"/>
  <c r="B265" i="3" s="1"/>
  <c r="B266" i="3" s="1"/>
  <c r="B267" i="3" s="1"/>
  <c r="B268" i="3" s="1"/>
  <c r="B269" i="3" s="1"/>
  <c r="B270" i="3" s="1"/>
  <c r="B271" i="3" s="1"/>
  <c r="T132" i="3"/>
  <c r="W130" i="3"/>
  <c r="W129" i="3"/>
  <c r="W128" i="3"/>
  <c r="W127" i="3"/>
  <c r="W126" i="3"/>
  <c r="W125" i="3"/>
  <c r="W124" i="3"/>
  <c r="W123" i="3"/>
  <c r="W122" i="3"/>
  <c r="W121" i="3"/>
  <c r="W120" i="3"/>
  <c r="W119" i="3"/>
  <c r="W118" i="3"/>
  <c r="P118" i="3"/>
  <c r="N183" i="3" s="1"/>
  <c r="W117" i="3"/>
  <c r="W116" i="3"/>
  <c r="W115" i="3"/>
  <c r="W114" i="3"/>
  <c r="W113" i="3"/>
  <c r="N104" i="3"/>
  <c r="L175" i="3" s="1"/>
  <c r="P99" i="3"/>
  <c r="I179" i="3" s="1"/>
  <c r="D97" i="3"/>
  <c r="P96" i="3"/>
  <c r="I177" i="3" s="1"/>
  <c r="D96" i="3"/>
  <c r="E94" i="3"/>
  <c r="D94" i="3"/>
  <c r="T84" i="3"/>
  <c r="F4" i="3"/>
  <c r="Q104" i="28" l="1"/>
  <c r="P94" i="28"/>
  <c r="Q104" i="30"/>
  <c r="P94" i="30"/>
  <c r="Q106" i="27"/>
  <c r="Q104" i="27"/>
  <c r="P94" i="27"/>
  <c r="Q104" i="29"/>
  <c r="P94" i="29"/>
  <c r="Q104" i="31"/>
  <c r="P94" i="31"/>
  <c r="K133" i="11"/>
  <c r="P118" i="11"/>
  <c r="N183" i="11" s="1"/>
  <c r="N103" i="8"/>
  <c r="L174" i="8" s="1"/>
  <c r="F5" i="14"/>
  <c r="M168" i="8"/>
  <c r="L157" i="8"/>
  <c r="L157" i="13"/>
  <c r="M168" i="13"/>
  <c r="L157" i="14"/>
  <c r="M168" i="14"/>
  <c r="M168" i="16"/>
  <c r="L157" i="16"/>
  <c r="L157" i="19"/>
  <c r="M168" i="19"/>
  <c r="M168" i="21"/>
  <c r="L157" i="21"/>
  <c r="L157" i="24"/>
  <c r="M168" i="24"/>
  <c r="L157" i="25"/>
  <c r="M168" i="25"/>
  <c r="L157" i="30"/>
  <c r="M168" i="30"/>
  <c r="M216" i="3"/>
  <c r="G166" i="3"/>
  <c r="M216" i="5"/>
  <c r="G166" i="5"/>
  <c r="M216" i="7"/>
  <c r="G166" i="7"/>
  <c r="M216" i="9"/>
  <c r="G166" i="9"/>
  <c r="M216" i="11"/>
  <c r="G166" i="11"/>
  <c r="M216" i="13"/>
  <c r="G166" i="13"/>
  <c r="M216" i="15"/>
  <c r="G166" i="15"/>
  <c r="M216" i="17"/>
  <c r="G166" i="17"/>
  <c r="G166" i="19"/>
  <c r="M216" i="19"/>
  <c r="M216" i="21"/>
  <c r="G166" i="21"/>
  <c r="M216" i="23"/>
  <c r="G166" i="23"/>
  <c r="M216" i="25"/>
  <c r="G166" i="25"/>
  <c r="M216" i="29"/>
  <c r="G166" i="29"/>
  <c r="G166" i="31"/>
  <c r="M216" i="31"/>
  <c r="L157" i="3"/>
  <c r="M168" i="3"/>
  <c r="M168" i="5"/>
  <c r="L157" i="5"/>
  <c r="L157" i="6"/>
  <c r="M168" i="6"/>
  <c r="M168" i="11"/>
  <c r="L157" i="11"/>
  <c r="M168" i="17"/>
  <c r="L157" i="17"/>
  <c r="L157" i="20"/>
  <c r="M168" i="20"/>
  <c r="M168" i="26"/>
  <c r="L157" i="26"/>
  <c r="M168" i="28"/>
  <c r="L157" i="28"/>
  <c r="M215" i="4"/>
  <c r="G165" i="4"/>
  <c r="D161" i="4"/>
  <c r="Q106" i="4"/>
  <c r="N176" i="4" s="1"/>
  <c r="M215" i="6"/>
  <c r="G165" i="6"/>
  <c r="D161" i="6"/>
  <c r="Q106" i="6"/>
  <c r="N176" i="6" s="1"/>
  <c r="M215" i="8"/>
  <c r="G165" i="8"/>
  <c r="D161" i="8"/>
  <c r="Q106" i="8"/>
  <c r="N176" i="8" s="1"/>
  <c r="M215" i="10"/>
  <c r="G165" i="10"/>
  <c r="D161" i="10"/>
  <c r="Q106" i="10"/>
  <c r="N176" i="10" s="1"/>
  <c r="M215" i="12"/>
  <c r="G165" i="12"/>
  <c r="D161" i="12"/>
  <c r="Q106" i="12"/>
  <c r="N176" i="12" s="1"/>
  <c r="M215" i="14"/>
  <c r="G165" i="14"/>
  <c r="D161" i="14"/>
  <c r="Q106" i="14"/>
  <c r="N176" i="14" s="1"/>
  <c r="G165" i="16"/>
  <c r="M215" i="16"/>
  <c r="D161" i="16"/>
  <c r="Q106" i="16"/>
  <c r="N176" i="16" s="1"/>
  <c r="M215" i="18"/>
  <c r="G165" i="18"/>
  <c r="D161" i="18"/>
  <c r="Q106" i="18"/>
  <c r="N176" i="18" s="1"/>
  <c r="M215" i="20"/>
  <c r="G165" i="20"/>
  <c r="D161" i="20"/>
  <c r="Q106" i="20"/>
  <c r="N176" i="20" s="1"/>
  <c r="G165" i="22"/>
  <c r="M215" i="22"/>
  <c r="D161" i="22"/>
  <c r="Q106" i="22"/>
  <c r="N176" i="22" s="1"/>
  <c r="M215" i="24"/>
  <c r="G165" i="24"/>
  <c r="D161" i="24"/>
  <c r="Q106" i="24"/>
  <c r="N176" i="24" s="1"/>
  <c r="M215" i="26"/>
  <c r="G165" i="26"/>
  <c r="D161" i="26"/>
  <c r="Q106" i="26"/>
  <c r="N176" i="26" s="1"/>
  <c r="G165" i="28"/>
  <c r="M215" i="28"/>
  <c r="D161" i="28"/>
  <c r="Q106" i="28"/>
  <c r="M215" i="30"/>
  <c r="G165" i="30"/>
  <c r="D161" i="30"/>
  <c r="Q106" i="30"/>
  <c r="M168" i="12"/>
  <c r="L157" i="12"/>
  <c r="L157" i="18"/>
  <c r="M168" i="18"/>
  <c r="M168" i="22"/>
  <c r="L157" i="22"/>
  <c r="M168" i="31"/>
  <c r="L157" i="31"/>
  <c r="G166" i="4"/>
  <c r="M216" i="4"/>
  <c r="M216" i="6"/>
  <c r="G166" i="6"/>
  <c r="M216" i="8"/>
  <c r="G166" i="8"/>
  <c r="M216" i="10"/>
  <c r="G166" i="10"/>
  <c r="M216" i="12"/>
  <c r="G166" i="12"/>
  <c r="M216" i="14"/>
  <c r="G166" i="14"/>
  <c r="G166" i="16"/>
  <c r="M216" i="16"/>
  <c r="M216" i="18"/>
  <c r="G166" i="18"/>
  <c r="M216" i="20"/>
  <c r="G166" i="20"/>
  <c r="G166" i="22"/>
  <c r="M216" i="22"/>
  <c r="M216" i="24"/>
  <c r="G166" i="24"/>
  <c r="M216" i="26"/>
  <c r="G166" i="26"/>
  <c r="M216" i="28"/>
  <c r="G166" i="28"/>
  <c r="G166" i="30"/>
  <c r="M216" i="30"/>
  <c r="L157" i="4"/>
  <c r="M168" i="4"/>
  <c r="L157" i="7"/>
  <c r="M168" i="7"/>
  <c r="L157" i="9"/>
  <c r="M168" i="9"/>
  <c r="L157" i="10"/>
  <c r="M168" i="10"/>
  <c r="M168" i="15"/>
  <c r="L157" i="15"/>
  <c r="M168" i="23"/>
  <c r="L157" i="23"/>
  <c r="L157" i="29"/>
  <c r="M168" i="29"/>
  <c r="M215" i="3"/>
  <c r="G165" i="3"/>
  <c r="D161" i="3"/>
  <c r="Q106" i="3"/>
  <c r="N176" i="3" s="1"/>
  <c r="M215" i="5"/>
  <c r="G165" i="5"/>
  <c r="D161" i="5"/>
  <c r="Q106" i="5"/>
  <c r="N176" i="5" s="1"/>
  <c r="M215" i="7"/>
  <c r="G165" i="7"/>
  <c r="D161" i="7"/>
  <c r="Q106" i="7"/>
  <c r="N176" i="7" s="1"/>
  <c r="M215" i="9"/>
  <c r="G165" i="9"/>
  <c r="D161" i="9"/>
  <c r="Q106" i="9"/>
  <c r="N176" i="9" s="1"/>
  <c r="M215" i="11"/>
  <c r="G165" i="11"/>
  <c r="D161" i="11"/>
  <c r="Q106" i="11"/>
  <c r="N176" i="11" s="1"/>
  <c r="M215" i="13"/>
  <c r="G165" i="13"/>
  <c r="D161" i="13"/>
  <c r="Q106" i="13"/>
  <c r="N176" i="13" s="1"/>
  <c r="M215" i="15"/>
  <c r="G165" i="15"/>
  <c r="D161" i="15"/>
  <c r="Q106" i="15"/>
  <c r="N176" i="15" s="1"/>
  <c r="M215" i="17"/>
  <c r="G165" i="17"/>
  <c r="D161" i="17"/>
  <c r="Q106" i="17"/>
  <c r="N176" i="17" s="1"/>
  <c r="G165" i="19"/>
  <c r="M215" i="19"/>
  <c r="D161" i="19"/>
  <c r="Q106" i="19"/>
  <c r="N176" i="19" s="1"/>
  <c r="M215" i="21"/>
  <c r="G165" i="21"/>
  <c r="D161" i="21"/>
  <c r="Q106" i="21"/>
  <c r="N176" i="21" s="1"/>
  <c r="M215" i="23"/>
  <c r="G165" i="23"/>
  <c r="D161" i="23"/>
  <c r="Q106" i="23"/>
  <c r="N176" i="23" s="1"/>
  <c r="M215" i="25"/>
  <c r="G165" i="25"/>
  <c r="D161" i="25"/>
  <c r="Q106" i="25"/>
  <c r="N176" i="25" s="1"/>
  <c r="G165" i="29"/>
  <c r="M215" i="29"/>
  <c r="D161" i="29"/>
  <c r="Q106" i="29"/>
  <c r="M215" i="31"/>
  <c r="G165" i="31"/>
  <c r="D161" i="31"/>
  <c r="Q106" i="31"/>
  <c r="D115" i="31"/>
  <c r="D114" i="31"/>
  <c r="D114" i="30"/>
  <c r="D115" i="30"/>
  <c r="D115" i="29"/>
  <c r="D114" i="29"/>
  <c r="D115" i="28"/>
  <c r="D114" i="28"/>
  <c r="D115" i="27"/>
  <c r="D114" i="27"/>
  <c r="D115" i="26"/>
  <c r="I182" i="26" s="1"/>
  <c r="D114" i="26"/>
  <c r="D114" i="25"/>
  <c r="D115" i="25"/>
  <c r="I182" i="25" s="1"/>
  <c r="D115" i="24"/>
  <c r="I182" i="24" s="1"/>
  <c r="D114" i="24"/>
  <c r="D115" i="23"/>
  <c r="I182" i="23" s="1"/>
  <c r="D114" i="23"/>
  <c r="D115" i="22"/>
  <c r="I182" i="22" s="1"/>
  <c r="D114" i="22"/>
  <c r="D114" i="21"/>
  <c r="D115" i="21"/>
  <c r="I182" i="21" s="1"/>
  <c r="D114" i="20"/>
  <c r="D115" i="20"/>
  <c r="I182" i="20" s="1"/>
  <c r="D115" i="19"/>
  <c r="I182" i="19" s="1"/>
  <c r="D114" i="19"/>
  <c r="D115" i="18"/>
  <c r="I182" i="18" s="1"/>
  <c r="D114" i="18"/>
  <c r="D115" i="17"/>
  <c r="I182" i="17" s="1"/>
  <c r="D114" i="17"/>
  <c r="D115" i="16"/>
  <c r="I182" i="16" s="1"/>
  <c r="D114" i="16"/>
  <c r="D114" i="15"/>
  <c r="D115" i="15"/>
  <c r="I182" i="15" s="1"/>
  <c r="D115" i="14"/>
  <c r="I182" i="14" s="1"/>
  <c r="D114" i="14"/>
  <c r="D115" i="13"/>
  <c r="I182" i="13" s="1"/>
  <c r="D114" i="13"/>
  <c r="D115" i="12"/>
  <c r="I182" i="12" s="1"/>
  <c r="D114" i="12"/>
  <c r="D114" i="11"/>
  <c r="D115" i="11"/>
  <c r="I182" i="11" s="1"/>
  <c r="D115" i="10"/>
  <c r="I182" i="10" s="1"/>
  <c r="D114" i="10"/>
  <c r="D115" i="9"/>
  <c r="I182" i="9" s="1"/>
  <c r="D114" i="9"/>
  <c r="D115" i="8"/>
  <c r="I182" i="8" s="1"/>
  <c r="D114" i="8"/>
  <c r="D114" i="7"/>
  <c r="D115" i="7"/>
  <c r="I182" i="7" s="1"/>
  <c r="D115" i="6"/>
  <c r="I182" i="6" s="1"/>
  <c r="D114" i="6"/>
  <c r="D115" i="5"/>
  <c r="I182" i="5" s="1"/>
  <c r="D114" i="5"/>
  <c r="D115" i="4"/>
  <c r="I182" i="4" s="1"/>
  <c r="D114" i="4"/>
  <c r="D115" i="3"/>
  <c r="I182" i="3" s="1"/>
  <c r="D114" i="3"/>
  <c r="M168" i="27"/>
  <c r="L157" i="27"/>
  <c r="F4" i="28"/>
  <c r="M216" i="27"/>
  <c r="G166" i="27"/>
  <c r="P118" i="12"/>
  <c r="N183" i="12" s="1"/>
  <c r="K133" i="16"/>
  <c r="K133" i="8"/>
  <c r="P118" i="18"/>
  <c r="N183" i="18" s="1"/>
  <c r="M215" i="27"/>
  <c r="G165" i="27"/>
  <c r="D161" i="27"/>
  <c r="D131" i="29"/>
  <c r="D131" i="28"/>
  <c r="N103" i="3"/>
  <c r="L174" i="3" s="1"/>
  <c r="F5" i="5"/>
  <c r="N103" i="5"/>
  <c r="L174" i="5" s="1"/>
  <c r="A4" i="33"/>
  <c r="K4" i="33" s="1"/>
  <c r="A6" i="33"/>
  <c r="K6" i="33" s="1"/>
  <c r="N103" i="6"/>
  <c r="L174" i="6" s="1"/>
  <c r="A8" i="33"/>
  <c r="K8" i="33" s="1"/>
  <c r="A10" i="33"/>
  <c r="K10" i="33" s="1"/>
  <c r="A12" i="33"/>
  <c r="K12" i="33" s="1"/>
  <c r="N103" i="12"/>
  <c r="L174" i="12" s="1"/>
  <c r="A14" i="33"/>
  <c r="K14" i="33" s="1"/>
  <c r="A16" i="33"/>
  <c r="K16" i="33" s="1"/>
  <c r="N103" i="18"/>
  <c r="L174" i="18" s="1"/>
  <c r="A22" i="33"/>
  <c r="K22" i="33" s="1"/>
  <c r="A29" i="33"/>
  <c r="K29" i="33" s="1"/>
  <c r="N103" i="30"/>
  <c r="N103" i="11"/>
  <c r="L174" i="11" s="1"/>
  <c r="N103" i="13"/>
  <c r="L174" i="13" s="1"/>
  <c r="F4" i="4"/>
  <c r="F4" i="6"/>
  <c r="F4" i="8"/>
  <c r="F4" i="10"/>
  <c r="F4" i="12"/>
  <c r="F4" i="14"/>
  <c r="F4" i="16"/>
  <c r="F4" i="18"/>
  <c r="F4" i="20"/>
  <c r="B25" i="33"/>
  <c r="L25" i="33" s="1"/>
  <c r="Q25" i="33" s="1"/>
  <c r="F4" i="26"/>
  <c r="F4" i="30"/>
  <c r="A27" i="33"/>
  <c r="K27" i="33" s="1"/>
  <c r="F5" i="3"/>
  <c r="F5" i="9"/>
  <c r="N103" i="9"/>
  <c r="L174" i="9" s="1"/>
  <c r="N103" i="15"/>
  <c r="L174" i="15" s="1"/>
  <c r="K100" i="3"/>
  <c r="B6" i="33"/>
  <c r="K100" i="5"/>
  <c r="K100" i="7"/>
  <c r="B10" i="33"/>
  <c r="L10" i="33" s="1"/>
  <c r="Q10" i="33" s="1"/>
  <c r="K100" i="9"/>
  <c r="K100" i="11"/>
  <c r="K100" i="13"/>
  <c r="K100" i="15"/>
  <c r="K100" i="17"/>
  <c r="K100" i="19"/>
  <c r="K100" i="21"/>
  <c r="B24" i="33"/>
  <c r="L24" i="33" s="1"/>
  <c r="O24" i="33" s="1"/>
  <c r="K100" i="23"/>
  <c r="K100" i="25"/>
  <c r="K100" i="27"/>
  <c r="B31" i="33"/>
  <c r="L31" i="33" s="1"/>
  <c r="Q31" i="33" s="1"/>
  <c r="K100" i="29"/>
  <c r="K100" i="31"/>
  <c r="P118" i="4"/>
  <c r="N183" i="4" s="1"/>
  <c r="K100" i="4"/>
  <c r="K100" i="6"/>
  <c r="K100" i="8"/>
  <c r="P118" i="10"/>
  <c r="N183" i="10" s="1"/>
  <c r="K100" i="10"/>
  <c r="K133" i="12"/>
  <c r="K100" i="12"/>
  <c r="P118" i="14"/>
  <c r="N183" i="14" s="1"/>
  <c r="K100" i="14"/>
  <c r="K100" i="16"/>
  <c r="K100" i="18"/>
  <c r="P118" i="20"/>
  <c r="N183" i="20" s="1"/>
  <c r="K100" i="20"/>
  <c r="K100" i="22"/>
  <c r="K100" i="24"/>
  <c r="K100" i="26"/>
  <c r="K100" i="28"/>
  <c r="K100" i="30"/>
  <c r="F5" i="20"/>
  <c r="D131" i="22"/>
  <c r="F96" i="21"/>
  <c r="F123" i="21"/>
  <c r="D174" i="21" s="1"/>
  <c r="D131" i="20"/>
  <c r="D131" i="18"/>
  <c r="F5" i="15"/>
  <c r="F5" i="11"/>
  <c r="F5" i="19"/>
  <c r="F5" i="7"/>
  <c r="F5" i="13"/>
  <c r="F5" i="23"/>
  <c r="F4" i="24"/>
  <c r="F5" i="18"/>
  <c r="F5" i="24"/>
  <c r="N103" i="24"/>
  <c r="L174" i="24" s="1"/>
  <c r="F5" i="26"/>
  <c r="F5" i="8"/>
  <c r="N103" i="4"/>
  <c r="L174" i="4" s="1"/>
  <c r="N103" i="10"/>
  <c r="L174" i="10" s="1"/>
  <c r="N103" i="16"/>
  <c r="L174" i="16" s="1"/>
  <c r="N103" i="28"/>
  <c r="F5" i="4"/>
  <c r="F5" i="6"/>
  <c r="F5" i="10"/>
  <c r="F5" i="12"/>
  <c r="N103" i="14"/>
  <c r="L174" i="14" s="1"/>
  <c r="F5" i="16"/>
  <c r="N103" i="26"/>
  <c r="L174" i="26" s="1"/>
  <c r="F5" i="30"/>
  <c r="P118" i="6"/>
  <c r="N183" i="6" s="1"/>
  <c r="P118" i="8"/>
  <c r="N183" i="8" s="1"/>
  <c r="K133" i="20"/>
  <c r="K133" i="22"/>
  <c r="K133" i="14"/>
  <c r="P118" i="16"/>
  <c r="N183" i="16" s="1"/>
  <c r="P118" i="22"/>
  <c r="N183" i="22" s="1"/>
  <c r="P118" i="24"/>
  <c r="N183" i="24" s="1"/>
  <c r="P118" i="26"/>
  <c r="N183" i="26" s="1"/>
  <c r="K133" i="26"/>
  <c r="F5" i="29"/>
  <c r="F5" i="31"/>
  <c r="B4" i="32"/>
  <c r="D4" i="32" s="1"/>
  <c r="B6" i="32"/>
  <c r="D6" i="32" s="1"/>
  <c r="B8" i="32"/>
  <c r="D8" i="32" s="1"/>
  <c r="B10" i="32"/>
  <c r="D10" i="32" s="1"/>
  <c r="B12" i="32"/>
  <c r="D12" i="32" s="1"/>
  <c r="B14" i="32"/>
  <c r="D14" i="32" s="1"/>
  <c r="B16" i="32"/>
  <c r="D16" i="32" s="1"/>
  <c r="B18" i="32"/>
  <c r="B20" i="32"/>
  <c r="D20" i="32" s="1"/>
  <c r="B24" i="32"/>
  <c r="B26" i="32"/>
  <c r="B5" i="33"/>
  <c r="L5" i="33" s="1"/>
  <c r="Q5" i="33" s="1"/>
  <c r="B9" i="33"/>
  <c r="L9" i="33" s="1"/>
  <c r="B13" i="33"/>
  <c r="H13" i="33" s="1"/>
  <c r="B30" i="33"/>
  <c r="H30" i="33" s="1"/>
  <c r="A4" i="32"/>
  <c r="A6" i="32"/>
  <c r="A8" i="32"/>
  <c r="A10" i="32"/>
  <c r="A12" i="32"/>
  <c r="A14" i="32"/>
  <c r="A20" i="32"/>
  <c r="AG20" i="32" s="1"/>
  <c r="A22" i="32"/>
  <c r="A24" i="32"/>
  <c r="A26" i="32"/>
  <c r="A5" i="33"/>
  <c r="K5" i="33" s="1"/>
  <c r="A9" i="33"/>
  <c r="K9" i="33" s="1"/>
  <c r="A13" i="33"/>
  <c r="K13" i="33" s="1"/>
  <c r="B15" i="33"/>
  <c r="L15" i="33" s="1"/>
  <c r="F96" i="12"/>
  <c r="B3" i="32"/>
  <c r="D3" i="32" s="1"/>
  <c r="B5" i="32"/>
  <c r="D5" i="32" s="1"/>
  <c r="B7" i="32"/>
  <c r="D7" i="32" s="1"/>
  <c r="B9" i="32"/>
  <c r="D9" i="32" s="1"/>
  <c r="B11" i="32"/>
  <c r="D11" i="32" s="1"/>
  <c r="B13" i="32"/>
  <c r="B15" i="32"/>
  <c r="D15" i="32" s="1"/>
  <c r="B19" i="32"/>
  <c r="D19" i="32" s="1"/>
  <c r="B21" i="32"/>
  <c r="D21" i="32" s="1"/>
  <c r="B23" i="32"/>
  <c r="B25" i="32"/>
  <c r="A23" i="33"/>
  <c r="K23" i="33" s="1"/>
  <c r="A25" i="33"/>
  <c r="K25" i="33" s="1"/>
  <c r="A32" i="33"/>
  <c r="K32" i="33" s="1"/>
  <c r="B7" i="33"/>
  <c r="L7" i="33" s="1"/>
  <c r="B11" i="33"/>
  <c r="L11" i="33" s="1"/>
  <c r="P11" i="33" s="1"/>
  <c r="B20" i="33"/>
  <c r="L20" i="33" s="1"/>
  <c r="B26" i="33"/>
  <c r="H26" i="33" s="1"/>
  <c r="B32" i="33"/>
  <c r="H32" i="33" s="1"/>
  <c r="A3" i="32"/>
  <c r="A5" i="32"/>
  <c r="A7" i="32"/>
  <c r="A9" i="32"/>
  <c r="A11" i="32"/>
  <c r="A13" i="32"/>
  <c r="A15" i="32"/>
  <c r="A19" i="32"/>
  <c r="AG19" i="32" s="1"/>
  <c r="A21" i="32"/>
  <c r="AG21" i="32" s="1"/>
  <c r="F5" i="22"/>
  <c r="A23" i="32"/>
  <c r="A25" i="32"/>
  <c r="A31" i="33"/>
  <c r="K31" i="33" s="1"/>
  <c r="A24" i="33"/>
  <c r="K24" i="33" s="1"/>
  <c r="A7" i="33"/>
  <c r="K7" i="33" s="1"/>
  <c r="A11" i="33"/>
  <c r="K11" i="33" s="1"/>
  <c r="A15" i="33"/>
  <c r="K15" i="33" s="1"/>
  <c r="A26" i="33"/>
  <c r="K26" i="33" s="1"/>
  <c r="A33" i="33"/>
  <c r="K33" i="33" s="1"/>
  <c r="B8" i="33"/>
  <c r="H8" i="33" s="1"/>
  <c r="B12" i="33"/>
  <c r="H12" i="33" s="1"/>
  <c r="B21" i="33"/>
  <c r="L21" i="33" s="1"/>
  <c r="O21" i="33" s="1"/>
  <c r="B27" i="33"/>
  <c r="L27" i="33" s="1"/>
  <c r="P27" i="33" s="1"/>
  <c r="B33" i="33"/>
  <c r="L33" i="33" s="1"/>
  <c r="O33" i="33" s="1"/>
  <c r="B22" i="32"/>
  <c r="A16" i="32"/>
  <c r="AG16" i="32" s="1"/>
  <c r="A17" i="33"/>
  <c r="K17" i="33" s="1"/>
  <c r="A30" i="33"/>
  <c r="K30" i="33" s="1"/>
  <c r="A18" i="32"/>
  <c r="AG18" i="32" s="1"/>
  <c r="F5" i="17"/>
  <c r="A17" i="32"/>
  <c r="AG17" i="32" s="1"/>
  <c r="B17" i="32"/>
  <c r="D17" i="32" s="1"/>
  <c r="H11" i="33"/>
  <c r="L30" i="33"/>
  <c r="Q30" i="33" s="1"/>
  <c r="L6" i="33"/>
  <c r="Q6" i="33" s="1"/>
  <c r="P97" i="21"/>
  <c r="I178" i="21" s="1"/>
  <c r="F5" i="27"/>
  <c r="B18" i="33"/>
  <c r="F4" i="17"/>
  <c r="F123" i="31"/>
  <c r="D174" i="31" s="1"/>
  <c r="P98" i="27"/>
  <c r="F123" i="26"/>
  <c r="D174" i="26" s="1"/>
  <c r="D131" i="25"/>
  <c r="D131" i="24"/>
  <c r="F123" i="23"/>
  <c r="D174" i="23" s="1"/>
  <c r="P98" i="22"/>
  <c r="I180" i="22" s="1"/>
  <c r="F123" i="20"/>
  <c r="D174" i="20" s="1"/>
  <c r="D131" i="19"/>
  <c r="D131" i="17"/>
  <c r="F123" i="16"/>
  <c r="D174" i="16" s="1"/>
  <c r="D131" i="15"/>
  <c r="F123" i="14"/>
  <c r="D174" i="14" s="1"/>
  <c r="F123" i="13"/>
  <c r="D174" i="13" s="1"/>
  <c r="D131" i="12"/>
  <c r="F123" i="12"/>
  <c r="D174" i="12" s="1"/>
  <c r="F123" i="11"/>
  <c r="D174" i="11" s="1"/>
  <c r="D131" i="10"/>
  <c r="D131" i="9"/>
  <c r="D131" i="8"/>
  <c r="F123" i="8"/>
  <c r="D174" i="8" s="1"/>
  <c r="D131" i="7"/>
  <c r="D131" i="5"/>
  <c r="D131" i="4"/>
  <c r="D131" i="3"/>
  <c r="D131" i="6"/>
  <c r="L18" i="32"/>
  <c r="A19" i="33"/>
  <c r="K19" i="33" s="1"/>
  <c r="A18" i="33"/>
  <c r="K18" i="33" s="1"/>
  <c r="A21" i="33"/>
  <c r="K21" i="33" s="1"/>
  <c r="P118" i="21"/>
  <c r="N183" i="21" s="1"/>
  <c r="K133" i="21"/>
  <c r="A20" i="33"/>
  <c r="K20" i="33" s="1"/>
  <c r="D13" i="32"/>
  <c r="B14" i="33"/>
  <c r="B19" i="33"/>
  <c r="B29" i="33"/>
  <c r="D18" i="32"/>
  <c r="D34" i="32"/>
  <c r="D35" i="32"/>
  <c r="D36" i="32"/>
  <c r="D37" i="32"/>
  <c r="B4" i="33"/>
  <c r="L4" i="33" s="1"/>
  <c r="B16" i="33"/>
  <c r="H16" i="33" s="1"/>
  <c r="D33" i="32"/>
  <c r="B22" i="33"/>
  <c r="F4" i="22"/>
  <c r="B23" i="33"/>
  <c r="B17" i="33"/>
  <c r="H24" i="33"/>
  <c r="O31" i="33"/>
  <c r="H6" i="33"/>
  <c r="F96" i="25"/>
  <c r="F4" i="23"/>
  <c r="N103" i="22"/>
  <c r="L174" i="22" s="1"/>
  <c r="P118" i="13"/>
  <c r="N183" i="13" s="1"/>
  <c r="F97" i="8"/>
  <c r="F97" i="7"/>
  <c r="P98" i="31"/>
  <c r="F123" i="30"/>
  <c r="D174" i="30" s="1"/>
  <c r="K133" i="30"/>
  <c r="P98" i="30"/>
  <c r="F123" i="29"/>
  <c r="D174" i="29" s="1"/>
  <c r="K133" i="29"/>
  <c r="P98" i="29"/>
  <c r="P97" i="28"/>
  <c r="F96" i="28"/>
  <c r="F94" i="28"/>
  <c r="F97" i="28"/>
  <c r="F123" i="28"/>
  <c r="D174" i="28" s="1"/>
  <c r="K133" i="28"/>
  <c r="P98" i="28"/>
  <c r="F94" i="27"/>
  <c r="F123" i="27"/>
  <c r="D174" i="27" s="1"/>
  <c r="D131" i="26"/>
  <c r="P98" i="26"/>
  <c r="I180" i="26" s="1"/>
  <c r="P97" i="25"/>
  <c r="I178" i="25" s="1"/>
  <c r="F94" i="25"/>
  <c r="F97" i="25"/>
  <c r="F123" i="25"/>
  <c r="D174" i="25" s="1"/>
  <c r="K133" i="25"/>
  <c r="P98" i="25"/>
  <c r="I180" i="25" s="1"/>
  <c r="P97" i="24"/>
  <c r="I178" i="24" s="1"/>
  <c r="F123" i="24"/>
  <c r="D174" i="24" s="1"/>
  <c r="K133" i="24"/>
  <c r="P98" i="24"/>
  <c r="I180" i="24" s="1"/>
  <c r="P98" i="23"/>
  <c r="I180" i="23" s="1"/>
  <c r="D131" i="23"/>
  <c r="K133" i="23"/>
  <c r="F96" i="22"/>
  <c r="F123" i="22"/>
  <c r="D174" i="22" s="1"/>
  <c r="F97" i="21"/>
  <c r="F94" i="21"/>
  <c r="D131" i="21"/>
  <c r="P98" i="21"/>
  <c r="I180" i="21" s="1"/>
  <c r="P98" i="20"/>
  <c r="I180" i="20" s="1"/>
  <c r="F96" i="20"/>
  <c r="N103" i="20"/>
  <c r="L174" i="20" s="1"/>
  <c r="F123" i="19"/>
  <c r="D174" i="19" s="1"/>
  <c r="K133" i="19"/>
  <c r="P98" i="19"/>
  <c r="I180" i="19" s="1"/>
  <c r="F94" i="18"/>
  <c r="F123" i="18"/>
  <c r="D174" i="18" s="1"/>
  <c r="K133" i="18"/>
  <c r="P98" i="18"/>
  <c r="I180" i="18" s="1"/>
  <c r="F123" i="17"/>
  <c r="D174" i="17" s="1"/>
  <c r="K133" i="17"/>
  <c r="P98" i="17"/>
  <c r="I180" i="17" s="1"/>
  <c r="D131" i="16"/>
  <c r="P98" i="16"/>
  <c r="I180" i="16" s="1"/>
  <c r="F123" i="15"/>
  <c r="D174" i="15" s="1"/>
  <c r="P98" i="15"/>
  <c r="I180" i="15" s="1"/>
  <c r="P97" i="14"/>
  <c r="I178" i="14" s="1"/>
  <c r="F97" i="14"/>
  <c r="F96" i="14"/>
  <c r="F94" i="14"/>
  <c r="D131" i="14"/>
  <c r="P98" i="14"/>
  <c r="I180" i="14" s="1"/>
  <c r="D131" i="13"/>
  <c r="P98" i="13"/>
  <c r="I180" i="13" s="1"/>
  <c r="P98" i="12"/>
  <c r="I180" i="12" s="1"/>
  <c r="D131" i="11"/>
  <c r="P98" i="11"/>
  <c r="I180" i="11" s="1"/>
  <c r="F123" i="10"/>
  <c r="D174" i="10" s="1"/>
  <c r="K133" i="10"/>
  <c r="P98" i="10"/>
  <c r="I180" i="10" s="1"/>
  <c r="F94" i="9"/>
  <c r="F123" i="9"/>
  <c r="D174" i="9" s="1"/>
  <c r="K133" i="9"/>
  <c r="P98" i="9"/>
  <c r="I180" i="9" s="1"/>
  <c r="P97" i="8"/>
  <c r="I178" i="8" s="1"/>
  <c r="P98" i="8"/>
  <c r="I180" i="8" s="1"/>
  <c r="F123" i="7"/>
  <c r="D174" i="7" s="1"/>
  <c r="K133" i="7"/>
  <c r="P98" i="7"/>
  <c r="I180" i="7" s="1"/>
  <c r="F123" i="6"/>
  <c r="D174" i="6" s="1"/>
  <c r="K133" i="6"/>
  <c r="P98" i="6"/>
  <c r="I180" i="6" s="1"/>
  <c r="F123" i="5"/>
  <c r="D174" i="5" s="1"/>
  <c r="K133" i="5"/>
  <c r="P98" i="5"/>
  <c r="I180" i="5" s="1"/>
  <c r="F123" i="4"/>
  <c r="D174" i="4" s="1"/>
  <c r="K133" i="4"/>
  <c r="P98" i="4"/>
  <c r="I180" i="4" s="1"/>
  <c r="F123" i="3"/>
  <c r="D174" i="3" s="1"/>
  <c r="K133" i="3"/>
  <c r="P98" i="3"/>
  <c r="I180" i="3" s="1"/>
  <c r="Q129" i="2"/>
  <c r="Q128" i="2"/>
  <c r="E138" i="1"/>
  <c r="G168" i="10" s="1"/>
  <c r="F97" i="16" l="1"/>
  <c r="F94" i="6"/>
  <c r="P97" i="23"/>
  <c r="I178" i="23" s="1"/>
  <c r="F94" i="31"/>
  <c r="F97" i="26"/>
  <c r="F97" i="27"/>
  <c r="F97" i="20"/>
  <c r="P97" i="3"/>
  <c r="I178" i="3" s="1"/>
  <c r="F97" i="5"/>
  <c r="P97" i="11"/>
  <c r="I178" i="11" s="1"/>
  <c r="F96" i="27"/>
  <c r="H10" i="33"/>
  <c r="F94" i="16"/>
  <c r="P97" i="27"/>
  <c r="F94" i="5"/>
  <c r="P25" i="33"/>
  <c r="F96" i="3"/>
  <c r="L26" i="33"/>
  <c r="Q26" i="33" s="1"/>
  <c r="O25" i="33"/>
  <c r="L17" i="32"/>
  <c r="F97" i="3"/>
  <c r="F96" i="5"/>
  <c r="P97" i="5"/>
  <c r="I178" i="5" s="1"/>
  <c r="F94" i="3"/>
  <c r="H25" i="33"/>
  <c r="F94" i="11"/>
  <c r="S18" i="32"/>
  <c r="F97" i="11"/>
  <c r="H9" i="33"/>
  <c r="L21" i="32"/>
  <c r="O21" i="32" s="1"/>
  <c r="G168" i="29"/>
  <c r="G168" i="19"/>
  <c r="G168" i="13"/>
  <c r="G168" i="11"/>
  <c r="G168" i="5"/>
  <c r="G168" i="30"/>
  <c r="G168" i="28"/>
  <c r="G168" i="24"/>
  <c r="S20" i="32"/>
  <c r="F96" i="11"/>
  <c r="L12" i="33"/>
  <c r="O12" i="33" s="1"/>
  <c r="G168" i="27"/>
  <c r="G168" i="25"/>
  <c r="G168" i="22"/>
  <c r="G168" i="20"/>
  <c r="G168" i="16"/>
  <c r="G168" i="14"/>
  <c r="G168" i="8"/>
  <c r="G168" i="26"/>
  <c r="G168" i="6"/>
  <c r="G168" i="4"/>
  <c r="G168" i="17"/>
  <c r="G168" i="15"/>
  <c r="G168" i="9"/>
  <c r="G168" i="7"/>
  <c r="D120" i="30"/>
  <c r="D128" i="30" s="1"/>
  <c r="G168" i="31"/>
  <c r="G168" i="23"/>
  <c r="G168" i="18"/>
  <c r="G168" i="12"/>
  <c r="F97" i="24"/>
  <c r="F96" i="15"/>
  <c r="D120" i="31"/>
  <c r="D128" i="31" s="1"/>
  <c r="D120" i="29"/>
  <c r="D128" i="29" s="1"/>
  <c r="D120" i="27"/>
  <c r="D128" i="27" s="1"/>
  <c r="D120" i="28"/>
  <c r="I176" i="28" s="1"/>
  <c r="D120" i="26"/>
  <c r="D128" i="26" s="1"/>
  <c r="I181" i="26"/>
  <c r="D120" i="25"/>
  <c r="D128" i="25" s="1"/>
  <c r="I181" i="25"/>
  <c r="D120" i="24"/>
  <c r="D128" i="24" s="1"/>
  <c r="I181" i="24"/>
  <c r="D120" i="23"/>
  <c r="D128" i="23" s="1"/>
  <c r="I181" i="23"/>
  <c r="D120" i="22"/>
  <c r="D128" i="22" s="1"/>
  <c r="I181" i="22"/>
  <c r="D120" i="21"/>
  <c r="I181" i="21"/>
  <c r="D120" i="20"/>
  <c r="D128" i="20" s="1"/>
  <c r="I181" i="20"/>
  <c r="D120" i="19"/>
  <c r="D128" i="19" s="1"/>
  <c r="I181" i="19"/>
  <c r="D120" i="18"/>
  <c r="D128" i="18" s="1"/>
  <c r="I181" i="18"/>
  <c r="D120" i="17"/>
  <c r="D128" i="17" s="1"/>
  <c r="I181" i="17"/>
  <c r="D120" i="16"/>
  <c r="D128" i="16" s="1"/>
  <c r="I181" i="16"/>
  <c r="D120" i="15"/>
  <c r="D128" i="15" s="1"/>
  <c r="I181" i="15"/>
  <c r="D120" i="14"/>
  <c r="D128" i="14" s="1"/>
  <c r="I181" i="14"/>
  <c r="D120" i="13"/>
  <c r="D128" i="13" s="1"/>
  <c r="I181" i="13"/>
  <c r="D120" i="12"/>
  <c r="D128" i="12" s="1"/>
  <c r="I181" i="12"/>
  <c r="D120" i="11"/>
  <c r="D128" i="11" s="1"/>
  <c r="I181" i="11"/>
  <c r="D120" i="10"/>
  <c r="D128" i="10" s="1"/>
  <c r="I181" i="10"/>
  <c r="D120" i="9"/>
  <c r="D128" i="9" s="1"/>
  <c r="I181" i="9"/>
  <c r="D120" i="8"/>
  <c r="D128" i="8" s="1"/>
  <c r="I181" i="8"/>
  <c r="D120" i="7"/>
  <c r="D128" i="7" s="1"/>
  <c r="I181" i="7"/>
  <c r="D120" i="6"/>
  <c r="D128" i="6" s="1"/>
  <c r="I181" i="6"/>
  <c r="D120" i="5"/>
  <c r="D128" i="5" s="1"/>
  <c r="I181" i="5"/>
  <c r="D120" i="4"/>
  <c r="D128" i="4" s="1"/>
  <c r="I181" i="4"/>
  <c r="D120" i="3"/>
  <c r="D128" i="3" s="1"/>
  <c r="I181" i="3"/>
  <c r="D131" i="27"/>
  <c r="P15" i="33"/>
  <c r="Q15" i="33"/>
  <c r="M15" i="33"/>
  <c r="Q9" i="33"/>
  <c r="O9" i="33"/>
  <c r="P9" i="33"/>
  <c r="P97" i="9"/>
  <c r="I178" i="9" s="1"/>
  <c r="F97" i="9"/>
  <c r="H15" i="33"/>
  <c r="H31" i="33"/>
  <c r="H21" i="33"/>
  <c r="H20" i="33"/>
  <c r="M31" i="33"/>
  <c r="M10" i="33"/>
  <c r="F96" i="9"/>
  <c r="P97" i="15"/>
  <c r="I178" i="15" s="1"/>
  <c r="P31" i="33"/>
  <c r="M27" i="33"/>
  <c r="M21" i="33"/>
  <c r="C21" i="32"/>
  <c r="AD18" i="32"/>
  <c r="F94" i="4"/>
  <c r="F96" i="24"/>
  <c r="M25" i="33"/>
  <c r="F96" i="13"/>
  <c r="F94" i="15"/>
  <c r="D131" i="30"/>
  <c r="F94" i="17"/>
  <c r="F94" i="22"/>
  <c r="F97" i="12"/>
  <c r="F96" i="8"/>
  <c r="M9" i="33"/>
  <c r="D131" i="31"/>
  <c r="AD20" i="32"/>
  <c r="F94" i="10"/>
  <c r="M11" i="33"/>
  <c r="F97" i="19"/>
  <c r="M20" i="33"/>
  <c r="P97" i="16"/>
  <c r="I178" i="16" s="1"/>
  <c r="F96" i="6"/>
  <c r="O20" i="33"/>
  <c r="P20" i="33"/>
  <c r="Q20" i="33"/>
  <c r="P97" i="6"/>
  <c r="I178" i="6" s="1"/>
  <c r="F97" i="15"/>
  <c r="P97" i="22"/>
  <c r="I178" i="22" s="1"/>
  <c r="F94" i="24"/>
  <c r="P97" i="26"/>
  <c r="I178" i="26" s="1"/>
  <c r="F94" i="8"/>
  <c r="F94" i="12"/>
  <c r="Q24" i="33"/>
  <c r="F96" i="26"/>
  <c r="L13" i="33"/>
  <c r="P13" i="33" s="1"/>
  <c r="F97" i="13"/>
  <c r="F96" i="16"/>
  <c r="F94" i="26"/>
  <c r="F96" i="31"/>
  <c r="P97" i="13"/>
  <c r="I178" i="13" s="1"/>
  <c r="H5" i="33"/>
  <c r="F97" i="6"/>
  <c r="F94" i="13"/>
  <c r="F97" i="22"/>
  <c r="F97" i="31"/>
  <c r="L20" i="32"/>
  <c r="X20" i="32" s="1"/>
  <c r="L32" i="33"/>
  <c r="P32" i="33" s="1"/>
  <c r="P97" i="20"/>
  <c r="I178" i="20" s="1"/>
  <c r="F94" i="7"/>
  <c r="F94" i="20"/>
  <c r="P97" i="7"/>
  <c r="I178" i="7" s="1"/>
  <c r="F96" i="7"/>
  <c r="F96" i="4"/>
  <c r="F97" i="4"/>
  <c r="P97" i="4"/>
  <c r="I178" i="4" s="1"/>
  <c r="C37" i="32"/>
  <c r="C36" i="32"/>
  <c r="C20" i="32"/>
  <c r="C14" i="32"/>
  <c r="C11" i="32"/>
  <c r="F97" i="30"/>
  <c r="F94" i="30"/>
  <c r="F96" i="30"/>
  <c r="P97" i="30"/>
  <c r="P97" i="29"/>
  <c r="F96" i="29"/>
  <c r="F94" i="29"/>
  <c r="F97" i="29"/>
  <c r="O30" i="33"/>
  <c r="F94" i="19"/>
  <c r="P97" i="19"/>
  <c r="I178" i="19" s="1"/>
  <c r="F97" i="23"/>
  <c r="F96" i="18"/>
  <c r="F96" i="19"/>
  <c r="X18" i="32"/>
  <c r="F96" i="10"/>
  <c r="P97" i="18"/>
  <c r="I178" i="18" s="1"/>
  <c r="F94" i="23"/>
  <c r="F96" i="23"/>
  <c r="P97" i="10"/>
  <c r="I178" i="10" s="1"/>
  <c r="F97" i="18"/>
  <c r="M24" i="33"/>
  <c r="F97" i="10"/>
  <c r="M6" i="33"/>
  <c r="P6" i="33"/>
  <c r="O6" i="33"/>
  <c r="H7" i="33"/>
  <c r="L8" i="33"/>
  <c r="O8" i="33" s="1"/>
  <c r="P97" i="12"/>
  <c r="I178" i="12" s="1"/>
  <c r="P97" i="31"/>
  <c r="P7" i="33"/>
  <c r="O7" i="33"/>
  <c r="Q7" i="33"/>
  <c r="M7" i="33"/>
  <c r="D22" i="32"/>
  <c r="M22" i="32"/>
  <c r="L16" i="32"/>
  <c r="V16" i="32" s="1"/>
  <c r="S13" i="32"/>
  <c r="L13" i="32"/>
  <c r="X13" i="32" s="1"/>
  <c r="AG13" i="32"/>
  <c r="S5" i="32"/>
  <c r="L5" i="32"/>
  <c r="N5" i="32" s="1"/>
  <c r="AG5" i="32"/>
  <c r="L8" i="32"/>
  <c r="N8" i="32" s="1"/>
  <c r="AG8" i="32"/>
  <c r="S8" i="32"/>
  <c r="L23" i="32"/>
  <c r="AG23" i="32"/>
  <c r="S23" i="32"/>
  <c r="S15" i="32"/>
  <c r="L15" i="32"/>
  <c r="N15" i="32" s="1"/>
  <c r="AG15" i="32"/>
  <c r="S7" i="32"/>
  <c r="L7" i="32"/>
  <c r="N7" i="32" s="1"/>
  <c r="AG7" i="32"/>
  <c r="L22" i="32"/>
  <c r="AG22" i="32"/>
  <c r="S22" i="32"/>
  <c r="S10" i="32"/>
  <c r="AG10" i="32"/>
  <c r="L10" i="32"/>
  <c r="N10" i="32" s="1"/>
  <c r="M26" i="32"/>
  <c r="D26" i="32"/>
  <c r="C26" i="32"/>
  <c r="O15" i="33"/>
  <c r="H33" i="33"/>
  <c r="C22" i="32"/>
  <c r="H22" i="32"/>
  <c r="L19" i="32"/>
  <c r="X19" i="32" s="1"/>
  <c r="S21" i="32"/>
  <c r="AI21" i="32" s="1"/>
  <c r="H27" i="33"/>
  <c r="L25" i="32"/>
  <c r="AG25" i="32"/>
  <c r="S25" i="32"/>
  <c r="L9" i="32"/>
  <c r="AG9" i="32"/>
  <c r="S9" i="32"/>
  <c r="D25" i="32"/>
  <c r="C25" i="32"/>
  <c r="H25" i="32"/>
  <c r="M25" i="32"/>
  <c r="L24" i="32"/>
  <c r="S24" i="32"/>
  <c r="AG24" i="32"/>
  <c r="AG12" i="32"/>
  <c r="S12" i="32"/>
  <c r="L12" i="32"/>
  <c r="N12" i="32" s="1"/>
  <c r="L4" i="32"/>
  <c r="N4" i="32" s="1"/>
  <c r="AG4" i="32"/>
  <c r="S4" i="32"/>
  <c r="H24" i="32"/>
  <c r="D24" i="32"/>
  <c r="C24" i="32"/>
  <c r="M24" i="32"/>
  <c r="S16" i="32"/>
  <c r="AI16" i="32" s="1"/>
  <c r="S19" i="32"/>
  <c r="L11" i="32"/>
  <c r="N11" i="32" s="1"/>
  <c r="AG11" i="32"/>
  <c r="S11" i="32"/>
  <c r="L3" i="32"/>
  <c r="N3" i="32" s="1"/>
  <c r="S3" i="32"/>
  <c r="AG3" i="32"/>
  <c r="M23" i="32"/>
  <c r="H23" i="32"/>
  <c r="D23" i="32"/>
  <c r="C23" i="32"/>
  <c r="AG26" i="32"/>
  <c r="L26" i="32"/>
  <c r="S26" i="32"/>
  <c r="S14" i="32"/>
  <c r="AG14" i="32"/>
  <c r="L14" i="32"/>
  <c r="N14" i="32" s="1"/>
  <c r="L6" i="32"/>
  <c r="AG6" i="32"/>
  <c r="S6" i="32"/>
  <c r="F96" i="17"/>
  <c r="P97" i="17"/>
  <c r="I178" i="17" s="1"/>
  <c r="F97" i="17"/>
  <c r="S17" i="32"/>
  <c r="C35" i="32"/>
  <c r="P30" i="33"/>
  <c r="O10" i="33"/>
  <c r="M5" i="33"/>
  <c r="O11" i="33"/>
  <c r="Q21" i="33"/>
  <c r="O27" i="33"/>
  <c r="H22" i="33"/>
  <c r="Q27" i="33"/>
  <c r="P10" i="33"/>
  <c r="P5" i="33"/>
  <c r="O5" i="33"/>
  <c r="M30" i="33"/>
  <c r="P21" i="33"/>
  <c r="AI18" i="32"/>
  <c r="AI20" i="32"/>
  <c r="O4" i="33"/>
  <c r="P4" i="33"/>
  <c r="M4" i="33"/>
  <c r="H17" i="33"/>
  <c r="L16" i="33"/>
  <c r="H4" i="33"/>
  <c r="H29" i="33"/>
  <c r="L18" i="33"/>
  <c r="P18" i="33" s="1"/>
  <c r="Q33" i="33"/>
  <c r="P33" i="33"/>
  <c r="L29" i="33"/>
  <c r="M33" i="33"/>
  <c r="Q11" i="33"/>
  <c r="P24" i="33"/>
  <c r="Q4" i="33"/>
  <c r="H18" i="33"/>
  <c r="C16" i="32"/>
  <c r="C34" i="32"/>
  <c r="C33" i="32"/>
  <c r="H21" i="32"/>
  <c r="D123" i="21"/>
  <c r="M21" i="32"/>
  <c r="H20" i="32"/>
  <c r="M20" i="32"/>
  <c r="C19" i="32"/>
  <c r="M19" i="32"/>
  <c r="C18" i="32"/>
  <c r="M18" i="32"/>
  <c r="C17" i="32"/>
  <c r="M17" i="32"/>
  <c r="M16" i="32"/>
  <c r="C15" i="32"/>
  <c r="H15" i="32"/>
  <c r="M15" i="32"/>
  <c r="M14" i="32"/>
  <c r="H14" i="32"/>
  <c r="C13" i="32"/>
  <c r="H13" i="32"/>
  <c r="M13" i="32"/>
  <c r="M12" i="32"/>
  <c r="C12" i="32"/>
  <c r="M11" i="32"/>
  <c r="H11" i="32"/>
  <c r="M10" i="32"/>
  <c r="C10" i="32"/>
  <c r="N9" i="32"/>
  <c r="C9" i="32"/>
  <c r="M9" i="32"/>
  <c r="C8" i="32"/>
  <c r="H8" i="32"/>
  <c r="M8" i="32"/>
  <c r="C7" i="32"/>
  <c r="M7" i="32"/>
  <c r="C6" i="32"/>
  <c r="M6" i="32"/>
  <c r="H5" i="32"/>
  <c r="C5" i="32"/>
  <c r="M5" i="32"/>
  <c r="M3" i="32"/>
  <c r="C3" i="32"/>
  <c r="H3" i="32"/>
  <c r="C4" i="32"/>
  <c r="M4" i="32"/>
  <c r="V18" i="32"/>
  <c r="N18" i="32"/>
  <c r="Q18" i="32"/>
  <c r="O18" i="32"/>
  <c r="AB18" i="32"/>
  <c r="AC18" i="32"/>
  <c r="Q17" i="32"/>
  <c r="O17" i="32"/>
  <c r="N17" i="32"/>
  <c r="V17" i="32"/>
  <c r="X17" i="32"/>
  <c r="O20" i="32"/>
  <c r="AB20" i="32"/>
  <c r="AC20" i="32"/>
  <c r="V21" i="32"/>
  <c r="H19" i="33"/>
  <c r="L19" i="33"/>
  <c r="L22" i="33"/>
  <c r="H14" i="33"/>
  <c r="L14" i="33"/>
  <c r="H23" i="33"/>
  <c r="L23" i="33"/>
  <c r="L17" i="33"/>
  <c r="D123" i="28"/>
  <c r="I174" i="28" s="1"/>
  <c r="D123" i="25"/>
  <c r="D123" i="14"/>
  <c r="D128" i="21"/>
  <c r="D123" i="8" l="1"/>
  <c r="I174" i="8" s="1"/>
  <c r="E8" i="32" s="1"/>
  <c r="D123" i="3"/>
  <c r="I174" i="3" s="1"/>
  <c r="I176" i="29"/>
  <c r="D123" i="27"/>
  <c r="I174" i="27" s="1"/>
  <c r="E33" i="32" s="1"/>
  <c r="D123" i="24"/>
  <c r="I174" i="24" s="1"/>
  <c r="E24" i="32" s="1"/>
  <c r="D123" i="20"/>
  <c r="I174" i="20" s="1"/>
  <c r="E20" i="32" s="1"/>
  <c r="P12" i="33"/>
  <c r="Q12" i="33"/>
  <c r="M12" i="33"/>
  <c r="I174" i="25"/>
  <c r="E25" i="32" s="1"/>
  <c r="I174" i="21"/>
  <c r="E21" i="32" s="1"/>
  <c r="D123" i="16"/>
  <c r="I174" i="16" s="1"/>
  <c r="E16" i="32" s="1"/>
  <c r="I174" i="14"/>
  <c r="E14" i="32" s="1"/>
  <c r="D123" i="7"/>
  <c r="D123" i="9"/>
  <c r="D123" i="5"/>
  <c r="M29" i="33"/>
  <c r="I176" i="27"/>
  <c r="AC21" i="32"/>
  <c r="D128" i="28"/>
  <c r="N21" i="32"/>
  <c r="Q21" i="32"/>
  <c r="O26" i="33"/>
  <c r="Q13" i="33"/>
  <c r="N13" i="32"/>
  <c r="H9" i="32"/>
  <c r="Q32" i="33"/>
  <c r="O13" i="33"/>
  <c r="M26" i="33"/>
  <c r="D123" i="15"/>
  <c r="D123" i="11"/>
  <c r="X21" i="32"/>
  <c r="H4" i="32"/>
  <c r="H7" i="32"/>
  <c r="H19" i="32"/>
  <c r="O32" i="33"/>
  <c r="P26" i="33"/>
  <c r="H16" i="32"/>
  <c r="I176" i="30"/>
  <c r="D123" i="12"/>
  <c r="N16" i="32"/>
  <c r="V20" i="32"/>
  <c r="X16" i="32"/>
  <c r="Q20" i="32"/>
  <c r="O16" i="32"/>
  <c r="N20" i="32"/>
  <c r="M13" i="33"/>
  <c r="M32" i="33"/>
  <c r="H6" i="32"/>
  <c r="M16" i="33"/>
  <c r="H26" i="32"/>
  <c r="I176" i="31"/>
  <c r="V19" i="32"/>
  <c r="D123" i="4"/>
  <c r="D123" i="13"/>
  <c r="AC16" i="32"/>
  <c r="O19" i="32"/>
  <c r="D123" i="22"/>
  <c r="N19" i="32"/>
  <c r="D123" i="6"/>
  <c r="D123" i="31"/>
  <c r="I174" i="31" s="1"/>
  <c r="D123" i="26"/>
  <c r="AD19" i="32"/>
  <c r="AD9" i="32"/>
  <c r="AD21" i="32"/>
  <c r="AD10" i="32"/>
  <c r="AC19" i="32"/>
  <c r="AI19" i="32"/>
  <c r="AD6" i="32"/>
  <c r="AD11" i="32"/>
  <c r="AD22" i="32"/>
  <c r="AD15" i="32"/>
  <c r="AB19" i="32"/>
  <c r="AD14" i="32"/>
  <c r="AD24" i="32"/>
  <c r="AD7" i="32"/>
  <c r="AD23" i="32"/>
  <c r="AD8" i="32"/>
  <c r="AD13" i="32"/>
  <c r="N95" i="23"/>
  <c r="D176" i="23" s="1"/>
  <c r="AB21" i="32"/>
  <c r="AD26" i="32"/>
  <c r="AD3" i="32"/>
  <c r="AD4" i="32"/>
  <c r="AD12" i="32"/>
  <c r="AD25" i="32"/>
  <c r="AD5" i="32"/>
  <c r="AC17" i="32"/>
  <c r="AD17" i="32"/>
  <c r="AB16" i="32"/>
  <c r="AD16" i="32"/>
  <c r="Q16" i="32"/>
  <c r="Q19" i="32"/>
  <c r="H17" i="32"/>
  <c r="H18" i="32"/>
  <c r="Q8" i="33"/>
  <c r="H12" i="32"/>
  <c r="D123" i="23"/>
  <c r="H10" i="32"/>
  <c r="D123" i="19"/>
  <c r="D123" i="30"/>
  <c r="I174" i="30" s="1"/>
  <c r="D123" i="18"/>
  <c r="D123" i="29"/>
  <c r="I174" i="29" s="1"/>
  <c r="D123" i="17"/>
  <c r="D123" i="10"/>
  <c r="M8" i="33"/>
  <c r="P8" i="33"/>
  <c r="V14" i="32"/>
  <c r="Q14" i="32"/>
  <c r="O14" i="32"/>
  <c r="X14" i="32"/>
  <c r="V26" i="32"/>
  <c r="Q26" i="32"/>
  <c r="N26" i="32"/>
  <c r="X26" i="32"/>
  <c r="O26" i="32"/>
  <c r="AI3" i="32"/>
  <c r="AB3" i="32"/>
  <c r="AC3" i="32"/>
  <c r="Q11" i="32"/>
  <c r="O11" i="32"/>
  <c r="V11" i="32"/>
  <c r="X11" i="32"/>
  <c r="O4" i="32"/>
  <c r="Q4" i="32"/>
  <c r="V4" i="32"/>
  <c r="X4" i="32"/>
  <c r="AC9" i="32"/>
  <c r="AB9" i="32"/>
  <c r="AI9" i="32"/>
  <c r="AB10" i="32"/>
  <c r="AI10" i="32"/>
  <c r="AC10" i="32"/>
  <c r="V15" i="32"/>
  <c r="Q15" i="32"/>
  <c r="O15" i="32"/>
  <c r="X15" i="32"/>
  <c r="X23" i="32"/>
  <c r="O23" i="32"/>
  <c r="Q23" i="32"/>
  <c r="V23" i="32"/>
  <c r="N23" i="32"/>
  <c r="Q8" i="32"/>
  <c r="O8" i="32"/>
  <c r="V8" i="32"/>
  <c r="X8" i="32"/>
  <c r="Q6" i="32"/>
  <c r="V6" i="32"/>
  <c r="O6" i="32"/>
  <c r="X6" i="32"/>
  <c r="AI25" i="32"/>
  <c r="AC25" i="32"/>
  <c r="AB25" i="32"/>
  <c r="Q22" i="32"/>
  <c r="O22" i="32"/>
  <c r="X22" i="32"/>
  <c r="V22" i="32"/>
  <c r="N22" i="32"/>
  <c r="AB5" i="32"/>
  <c r="AI5" i="32"/>
  <c r="AC5" i="32"/>
  <c r="AB17" i="32"/>
  <c r="N6" i="32"/>
  <c r="AI17" i="32"/>
  <c r="AB6" i="32"/>
  <c r="AI6" i="32"/>
  <c r="AC6" i="32"/>
  <c r="V3" i="32"/>
  <c r="Q3" i="32"/>
  <c r="O3" i="32"/>
  <c r="X3" i="32"/>
  <c r="Q12" i="32"/>
  <c r="O12" i="32"/>
  <c r="V12" i="32"/>
  <c r="X12" i="32"/>
  <c r="AC24" i="32"/>
  <c r="AB24" i="32"/>
  <c r="AI24" i="32"/>
  <c r="V25" i="32"/>
  <c r="O25" i="32"/>
  <c r="N25" i="32"/>
  <c r="Q25" i="32"/>
  <c r="X25" i="32"/>
  <c r="AI22" i="32"/>
  <c r="AC22" i="32"/>
  <c r="AB22" i="32"/>
  <c r="O7" i="32"/>
  <c r="V7" i="32"/>
  <c r="Q7" i="32"/>
  <c r="X7" i="32"/>
  <c r="AC15" i="32"/>
  <c r="AI15" i="32"/>
  <c r="AB15" i="32"/>
  <c r="V13" i="32"/>
  <c r="O13" i="32"/>
  <c r="Q13" i="32"/>
  <c r="AB26" i="32"/>
  <c r="AI26" i="32"/>
  <c r="AC26" i="32"/>
  <c r="AC14" i="32"/>
  <c r="AB14" i="32"/>
  <c r="AI14" i="32"/>
  <c r="AC11" i="32"/>
  <c r="AI11" i="32"/>
  <c r="AB11" i="32"/>
  <c r="AI4" i="32"/>
  <c r="AB4" i="32"/>
  <c r="AC4" i="32"/>
  <c r="AC12" i="32"/>
  <c r="AI12" i="32"/>
  <c r="AB12" i="32"/>
  <c r="X24" i="32"/>
  <c r="N24" i="32"/>
  <c r="V24" i="32"/>
  <c r="O24" i="32"/>
  <c r="Q24" i="32"/>
  <c r="O9" i="32"/>
  <c r="Q9" i="32"/>
  <c r="V9" i="32"/>
  <c r="V10" i="32"/>
  <c r="O10" i="32"/>
  <c r="X10" i="32"/>
  <c r="Q10" i="32"/>
  <c r="AI7" i="32"/>
  <c r="AB7" i="32"/>
  <c r="AC7" i="32"/>
  <c r="AB23" i="32"/>
  <c r="AI23" i="32"/>
  <c r="AC23" i="32"/>
  <c r="AB8" i="32"/>
  <c r="AI8" i="32"/>
  <c r="AC8" i="32"/>
  <c r="Q5" i="32"/>
  <c r="O5" i="32"/>
  <c r="V5" i="32"/>
  <c r="X5" i="32"/>
  <c r="AC13" i="32"/>
  <c r="AB13" i="32"/>
  <c r="AI13" i="32"/>
  <c r="P16" i="33"/>
  <c r="O18" i="33"/>
  <c r="O16" i="33"/>
  <c r="Q16" i="33"/>
  <c r="Q18" i="33"/>
  <c r="M18" i="33"/>
  <c r="O29" i="33"/>
  <c r="P29" i="33"/>
  <c r="Q29" i="33"/>
  <c r="D95" i="18"/>
  <c r="K178" i="18" s="1"/>
  <c r="D95" i="31"/>
  <c r="D95" i="28"/>
  <c r="E34" i="32"/>
  <c r="N95" i="26"/>
  <c r="D176" i="26" s="1"/>
  <c r="Q14" i="33"/>
  <c r="O14" i="33"/>
  <c r="P14" i="33"/>
  <c r="M14" i="33"/>
  <c r="Q22" i="33"/>
  <c r="P22" i="33"/>
  <c r="M22" i="33"/>
  <c r="O22" i="33"/>
  <c r="P19" i="33"/>
  <c r="M19" i="33"/>
  <c r="O19" i="33"/>
  <c r="Q19" i="33"/>
  <c r="P23" i="33"/>
  <c r="M23" i="33"/>
  <c r="Q23" i="33"/>
  <c r="O23" i="33"/>
  <c r="O17" i="33"/>
  <c r="P17" i="33"/>
  <c r="M17" i="33"/>
  <c r="Q17" i="33"/>
  <c r="N95" i="31"/>
  <c r="D175" i="31" s="1"/>
  <c r="N95" i="28"/>
  <c r="D175" i="28" s="1"/>
  <c r="N95" i="27"/>
  <c r="D175" i="27" s="1"/>
  <c r="D95" i="26"/>
  <c r="K178" i="26" s="1"/>
  <c r="D95" i="25"/>
  <c r="K178" i="25" s="1"/>
  <c r="N95" i="24"/>
  <c r="D176" i="24" s="1"/>
  <c r="D95" i="23"/>
  <c r="K178" i="23" s="1"/>
  <c r="N95" i="21"/>
  <c r="D176" i="21" s="1"/>
  <c r="D95" i="17"/>
  <c r="K178" i="17" s="1"/>
  <c r="N95" i="16"/>
  <c r="D176" i="16" s="1"/>
  <c r="N95" i="14"/>
  <c r="D176" i="14" s="1"/>
  <c r="N95" i="11"/>
  <c r="D176" i="11" s="1"/>
  <c r="N95" i="10"/>
  <c r="D176" i="10" s="1"/>
  <c r="N95" i="9"/>
  <c r="D176" i="9" s="1"/>
  <c r="N95" i="5"/>
  <c r="D176" i="5" s="1"/>
  <c r="I174" i="26" l="1"/>
  <c r="E26" i="32" s="1"/>
  <c r="I174" i="23"/>
  <c r="I174" i="22"/>
  <c r="E22" i="32" s="1"/>
  <c r="I174" i="19"/>
  <c r="E19" i="32" s="1"/>
  <c r="I174" i="17"/>
  <c r="E17" i="32" s="1"/>
  <c r="I174" i="15"/>
  <c r="E15" i="32" s="1"/>
  <c r="I174" i="13"/>
  <c r="E13" i="32" s="1"/>
  <c r="I174" i="12"/>
  <c r="E12" i="32" s="1"/>
  <c r="I174" i="11"/>
  <c r="E11" i="32" s="1"/>
  <c r="I174" i="10"/>
  <c r="I174" i="9"/>
  <c r="E9" i="32" s="1"/>
  <c r="I174" i="7"/>
  <c r="E7" i="32" s="1"/>
  <c r="I174" i="6"/>
  <c r="E6" i="32" s="1"/>
  <c r="I174" i="5"/>
  <c r="E5" i="32" s="1"/>
  <c r="I174" i="4"/>
  <c r="E4" i="32" s="1"/>
  <c r="I174" i="18"/>
  <c r="E18" i="32" s="1"/>
  <c r="D95" i="4"/>
  <c r="K178" i="4" s="1"/>
  <c r="P95" i="23"/>
  <c r="I176" i="23" s="1"/>
  <c r="E36" i="32"/>
  <c r="E37" i="32"/>
  <c r="E35" i="32"/>
  <c r="D95" i="13"/>
  <c r="K178" i="13" s="1"/>
  <c r="E3" i="32"/>
  <c r="N95" i="20"/>
  <c r="D176" i="20" s="1"/>
  <c r="N95" i="19"/>
  <c r="D176" i="19" s="1"/>
  <c r="N95" i="18"/>
  <c r="D176" i="18" s="1"/>
  <c r="F95" i="18"/>
  <c r="N178" i="18" s="1"/>
  <c r="N95" i="15"/>
  <c r="D176" i="15" s="1"/>
  <c r="N95" i="13"/>
  <c r="D176" i="13" s="1"/>
  <c r="N95" i="12"/>
  <c r="D176" i="12" s="1"/>
  <c r="N95" i="8"/>
  <c r="D176" i="8" s="1"/>
  <c r="N95" i="7"/>
  <c r="D176" i="7" s="1"/>
  <c r="F95" i="31"/>
  <c r="N95" i="30"/>
  <c r="D175" i="30" s="1"/>
  <c r="D95" i="29"/>
  <c r="F95" i="28"/>
  <c r="P95" i="26"/>
  <c r="I176" i="26" s="1"/>
  <c r="N95" i="22"/>
  <c r="D176" i="22" s="1"/>
  <c r="D95" i="16"/>
  <c r="K178" i="16" s="1"/>
  <c r="D95" i="15"/>
  <c r="K178" i="15" s="1"/>
  <c r="D95" i="14"/>
  <c r="K178" i="14" s="1"/>
  <c r="D95" i="11"/>
  <c r="K178" i="11" s="1"/>
  <c r="D95" i="10"/>
  <c r="K178" i="10" s="1"/>
  <c r="N95" i="3"/>
  <c r="D176" i="3" s="1"/>
  <c r="N95" i="6"/>
  <c r="D176" i="6" s="1"/>
  <c r="D95" i="6"/>
  <c r="K178" i="6" s="1"/>
  <c r="P95" i="31"/>
  <c r="I175" i="31" s="1"/>
  <c r="F37" i="32" s="1"/>
  <c r="D95" i="30"/>
  <c r="N95" i="29"/>
  <c r="D175" i="29" s="1"/>
  <c r="P95" i="28"/>
  <c r="I175" i="28" s="1"/>
  <c r="P95" i="27"/>
  <c r="I175" i="27" s="1"/>
  <c r="D95" i="27"/>
  <c r="F95" i="26"/>
  <c r="N178" i="26" s="1"/>
  <c r="N95" i="25"/>
  <c r="D176" i="25" s="1"/>
  <c r="F95" i="25"/>
  <c r="N178" i="25" s="1"/>
  <c r="D95" i="24"/>
  <c r="K178" i="24" s="1"/>
  <c r="P95" i="24"/>
  <c r="F95" i="23"/>
  <c r="N178" i="23" s="1"/>
  <c r="D95" i="22"/>
  <c r="K178" i="22" s="1"/>
  <c r="P95" i="21"/>
  <c r="D95" i="21"/>
  <c r="K178" i="21" s="1"/>
  <c r="D95" i="20"/>
  <c r="K178" i="20" s="1"/>
  <c r="D95" i="19"/>
  <c r="K178" i="19" s="1"/>
  <c r="F95" i="17"/>
  <c r="N178" i="17" s="1"/>
  <c r="N95" i="17"/>
  <c r="D176" i="17" s="1"/>
  <c r="P95" i="16"/>
  <c r="P95" i="14"/>
  <c r="D95" i="12"/>
  <c r="K178" i="12" s="1"/>
  <c r="P95" i="11"/>
  <c r="I176" i="11" s="1"/>
  <c r="P95" i="10"/>
  <c r="I176" i="10" s="1"/>
  <c r="P95" i="9"/>
  <c r="I176" i="9" s="1"/>
  <c r="D95" i="9"/>
  <c r="K178" i="9" s="1"/>
  <c r="D95" i="8"/>
  <c r="K178" i="8" s="1"/>
  <c r="D95" i="7"/>
  <c r="K178" i="7" s="1"/>
  <c r="D95" i="5"/>
  <c r="K178" i="5" s="1"/>
  <c r="P95" i="5"/>
  <c r="I176" i="5" s="1"/>
  <c r="N95" i="4"/>
  <c r="D176" i="4" s="1"/>
  <c r="D95" i="3"/>
  <c r="K178" i="3" s="1"/>
  <c r="D110" i="2"/>
  <c r="N187" i="2" s="1"/>
  <c r="P94" i="26" l="1"/>
  <c r="I175" i="26" s="1"/>
  <c r="I194" i="26" s="1"/>
  <c r="I176" i="24"/>
  <c r="G24" i="32" s="1"/>
  <c r="P94" i="23"/>
  <c r="I175" i="23" s="1"/>
  <c r="I176" i="21"/>
  <c r="G21" i="32" s="1"/>
  <c r="I176" i="16"/>
  <c r="G16" i="32" s="1"/>
  <c r="I176" i="14"/>
  <c r="G14" i="32" s="1"/>
  <c r="I192" i="31"/>
  <c r="I194" i="31"/>
  <c r="F34" i="32"/>
  <c r="I194" i="28"/>
  <c r="I192" i="28"/>
  <c r="F33" i="32"/>
  <c r="I192" i="27"/>
  <c r="F95" i="4"/>
  <c r="N178" i="4" s="1"/>
  <c r="G23" i="32"/>
  <c r="D124" i="23"/>
  <c r="G26" i="32"/>
  <c r="E10" i="32"/>
  <c r="E23" i="32"/>
  <c r="D124" i="26"/>
  <c r="I26" i="32"/>
  <c r="I23" i="32"/>
  <c r="I25" i="32"/>
  <c r="G9" i="32"/>
  <c r="G10" i="32"/>
  <c r="G5" i="32"/>
  <c r="F95" i="13"/>
  <c r="N178" i="13" s="1"/>
  <c r="G11" i="32"/>
  <c r="P95" i="20"/>
  <c r="P95" i="19"/>
  <c r="P95" i="18"/>
  <c r="I18" i="32"/>
  <c r="D125" i="18"/>
  <c r="P95" i="15"/>
  <c r="P95" i="13"/>
  <c r="P95" i="12"/>
  <c r="P95" i="8"/>
  <c r="P95" i="7"/>
  <c r="D125" i="31"/>
  <c r="P95" i="30"/>
  <c r="I175" i="30" s="1"/>
  <c r="F95" i="29"/>
  <c r="D125" i="28"/>
  <c r="P95" i="22"/>
  <c r="I17" i="32"/>
  <c r="F95" i="16"/>
  <c r="N178" i="16" s="1"/>
  <c r="F95" i="15"/>
  <c r="N178" i="15" s="1"/>
  <c r="F95" i="14"/>
  <c r="N178" i="14" s="1"/>
  <c r="F95" i="11"/>
  <c r="N178" i="11" s="1"/>
  <c r="F95" i="10"/>
  <c r="P95" i="3"/>
  <c r="P95" i="6"/>
  <c r="F95" i="6"/>
  <c r="N178" i="6" s="1"/>
  <c r="D111" i="2"/>
  <c r="D131" i="2" s="1"/>
  <c r="D124" i="31"/>
  <c r="F95" i="30"/>
  <c r="P95" i="29"/>
  <c r="I175" i="29" s="1"/>
  <c r="D124" i="28"/>
  <c r="F95" i="27"/>
  <c r="D124" i="27"/>
  <c r="D125" i="26"/>
  <c r="D125" i="25"/>
  <c r="P95" i="25"/>
  <c r="D124" i="24"/>
  <c r="F95" i="24"/>
  <c r="N178" i="24" s="1"/>
  <c r="D125" i="23"/>
  <c r="F95" i="22"/>
  <c r="N178" i="22" s="1"/>
  <c r="F95" i="21"/>
  <c r="N178" i="21" s="1"/>
  <c r="D124" i="21"/>
  <c r="F95" i="20"/>
  <c r="N178" i="20" s="1"/>
  <c r="F95" i="19"/>
  <c r="N178" i="19" s="1"/>
  <c r="P95" i="17"/>
  <c r="D125" i="17"/>
  <c r="D124" i="16"/>
  <c r="D124" i="14"/>
  <c r="F95" i="12"/>
  <c r="N178" i="12" s="1"/>
  <c r="D124" i="11"/>
  <c r="D124" i="10"/>
  <c r="F95" i="9"/>
  <c r="D124" i="9"/>
  <c r="F95" i="8"/>
  <c r="N178" i="8" s="1"/>
  <c r="F95" i="7"/>
  <c r="N178" i="7" s="1"/>
  <c r="D124" i="5"/>
  <c r="F95" i="5"/>
  <c r="N178" i="5" s="1"/>
  <c r="P95" i="4"/>
  <c r="F95" i="3"/>
  <c r="N178" i="3" s="1"/>
  <c r="W119" i="2"/>
  <c r="I176" i="25" l="1"/>
  <c r="G25" i="32" s="1"/>
  <c r="P94" i="25"/>
  <c r="I175" i="25" s="1"/>
  <c r="P94" i="24"/>
  <c r="I175" i="24" s="1"/>
  <c r="I176" i="22"/>
  <c r="G22" i="32" s="1"/>
  <c r="P94" i="22"/>
  <c r="I175" i="22" s="1"/>
  <c r="P94" i="21"/>
  <c r="I175" i="21" s="1"/>
  <c r="I176" i="20"/>
  <c r="P94" i="20"/>
  <c r="I175" i="20" s="1"/>
  <c r="I176" i="19"/>
  <c r="G19" i="32" s="1"/>
  <c r="P94" i="19"/>
  <c r="I175" i="19" s="1"/>
  <c r="I176" i="18"/>
  <c r="G18" i="32" s="1"/>
  <c r="P94" i="18"/>
  <c r="I175" i="18" s="1"/>
  <c r="I176" i="17"/>
  <c r="P94" i="17"/>
  <c r="I175" i="17" s="1"/>
  <c r="I194" i="17" s="1"/>
  <c r="P94" i="16"/>
  <c r="I175" i="16" s="1"/>
  <c r="I176" i="15"/>
  <c r="G15" i="32" s="1"/>
  <c r="P94" i="15"/>
  <c r="I175" i="15" s="1"/>
  <c r="P94" i="14"/>
  <c r="I175" i="14" s="1"/>
  <c r="I176" i="13"/>
  <c r="P94" i="13"/>
  <c r="I175" i="13" s="1"/>
  <c r="I176" i="12"/>
  <c r="P94" i="12"/>
  <c r="I175" i="12" s="1"/>
  <c r="I194" i="12" s="1"/>
  <c r="P94" i="11"/>
  <c r="I175" i="11" s="1"/>
  <c r="N178" i="10"/>
  <c r="P94" i="10"/>
  <c r="I175" i="10" s="1"/>
  <c r="N178" i="9"/>
  <c r="P94" i="9"/>
  <c r="I175" i="9" s="1"/>
  <c r="I176" i="8"/>
  <c r="G8" i="32" s="1"/>
  <c r="P94" i="8"/>
  <c r="I175" i="8" s="1"/>
  <c r="I176" i="7"/>
  <c r="G7" i="32" s="1"/>
  <c r="P94" i="7"/>
  <c r="I175" i="7" s="1"/>
  <c r="I176" i="6"/>
  <c r="G6" i="32" s="1"/>
  <c r="P94" i="6"/>
  <c r="I175" i="6" s="1"/>
  <c r="P94" i="5"/>
  <c r="I175" i="5" s="1"/>
  <c r="I176" i="4"/>
  <c r="G4" i="32" s="1"/>
  <c r="P94" i="4"/>
  <c r="I175" i="4" s="1"/>
  <c r="I194" i="4" s="1"/>
  <c r="I176" i="3"/>
  <c r="P94" i="3"/>
  <c r="I175" i="3" s="1"/>
  <c r="N194" i="31"/>
  <c r="G37" i="32"/>
  <c r="F36" i="32"/>
  <c r="I194" i="30"/>
  <c r="I192" i="30"/>
  <c r="F35" i="32"/>
  <c r="I194" i="29"/>
  <c r="I192" i="29"/>
  <c r="N194" i="28"/>
  <c r="G34" i="32"/>
  <c r="I192" i="26"/>
  <c r="N194" i="26" s="1"/>
  <c r="I192" i="23"/>
  <c r="N194" i="23" s="1"/>
  <c r="I194" i="23"/>
  <c r="G33" i="32"/>
  <c r="N194" i="27"/>
  <c r="D125" i="4"/>
  <c r="I4" i="32"/>
  <c r="N100" i="31"/>
  <c r="N100" i="30"/>
  <c r="N100" i="28"/>
  <c r="N100" i="26"/>
  <c r="F26" i="32"/>
  <c r="J26" i="32" s="1"/>
  <c r="P26" i="32" s="1"/>
  <c r="N100" i="23"/>
  <c r="D124" i="18"/>
  <c r="I24" i="32"/>
  <c r="I22" i="32"/>
  <c r="G12" i="32"/>
  <c r="D125" i="15"/>
  <c r="G20" i="32"/>
  <c r="G17" i="32"/>
  <c r="I13" i="32"/>
  <c r="D124" i="13"/>
  <c r="D125" i="13"/>
  <c r="I11" i="32"/>
  <c r="G3" i="32"/>
  <c r="D124" i="20"/>
  <c r="D124" i="19"/>
  <c r="D124" i="15"/>
  <c r="D124" i="12"/>
  <c r="D124" i="8"/>
  <c r="D124" i="7"/>
  <c r="D124" i="30"/>
  <c r="D125" i="29"/>
  <c r="D126" i="26"/>
  <c r="D127" i="26" s="1"/>
  <c r="D126" i="23"/>
  <c r="D127" i="23" s="1"/>
  <c r="D124" i="22"/>
  <c r="I21" i="32"/>
  <c r="I20" i="32"/>
  <c r="I19" i="32"/>
  <c r="I16" i="32"/>
  <c r="D125" i="16"/>
  <c r="I15" i="32"/>
  <c r="I14" i="32"/>
  <c r="D125" i="14"/>
  <c r="I12" i="32"/>
  <c r="D125" i="11"/>
  <c r="I10" i="32"/>
  <c r="D125" i="10"/>
  <c r="I9" i="32"/>
  <c r="I8" i="32"/>
  <c r="I7" i="32"/>
  <c r="D124" i="3"/>
  <c r="D124" i="6"/>
  <c r="D125" i="6"/>
  <c r="I6" i="32"/>
  <c r="I5" i="32"/>
  <c r="I3" i="32"/>
  <c r="D126" i="31"/>
  <c r="D127" i="31" s="1"/>
  <c r="D126" i="30"/>
  <c r="D125" i="30"/>
  <c r="D124" i="29"/>
  <c r="D126" i="28"/>
  <c r="D127" i="28" s="1"/>
  <c r="D125" i="27"/>
  <c r="D124" i="25"/>
  <c r="D125" i="24"/>
  <c r="D125" i="22"/>
  <c r="D125" i="21"/>
  <c r="D125" i="20"/>
  <c r="D125" i="19"/>
  <c r="D124" i="17"/>
  <c r="D125" i="12"/>
  <c r="D125" i="9"/>
  <c r="D125" i="8"/>
  <c r="D125" i="7"/>
  <c r="D125" i="5"/>
  <c r="D124" i="4"/>
  <c r="D125" i="3"/>
  <c r="E63" i="1"/>
  <c r="E62" i="1"/>
  <c r="E61" i="1"/>
  <c r="N186" i="2"/>
  <c r="N185" i="2"/>
  <c r="L186" i="2"/>
  <c r="L185" i="2"/>
  <c r="N184" i="2"/>
  <c r="L184" i="2"/>
  <c r="I194" i="19" l="1"/>
  <c r="Q123" i="31"/>
  <c r="Q126" i="31"/>
  <c r="Q126" i="28"/>
  <c r="Q123" i="28"/>
  <c r="I197" i="28" s="1"/>
  <c r="Q127" i="26"/>
  <c r="Q126" i="26"/>
  <c r="Q123" i="26"/>
  <c r="I197" i="26" s="1"/>
  <c r="Q127" i="23"/>
  <c r="Q123" i="23"/>
  <c r="I197" i="23" s="1"/>
  <c r="G24" i="33" s="1"/>
  <c r="Q126" i="23"/>
  <c r="Q105" i="26"/>
  <c r="Q105" i="23"/>
  <c r="I194" i="13"/>
  <c r="I194" i="25"/>
  <c r="I194" i="8"/>
  <c r="I194" i="15"/>
  <c r="I194" i="22"/>
  <c r="N194" i="30"/>
  <c r="G36" i="32"/>
  <c r="G35" i="32"/>
  <c r="N194" i="29"/>
  <c r="I192" i="25"/>
  <c r="N194" i="25" s="1"/>
  <c r="I194" i="24"/>
  <c r="I192" i="24"/>
  <c r="N194" i="24" s="1"/>
  <c r="I192" i="22"/>
  <c r="N194" i="22" s="1"/>
  <c r="I194" i="21"/>
  <c r="I192" i="21"/>
  <c r="N194" i="21" s="1"/>
  <c r="I194" i="20"/>
  <c r="I192" i="20"/>
  <c r="N194" i="20" s="1"/>
  <c r="I192" i="19"/>
  <c r="N194" i="19" s="1"/>
  <c r="I194" i="18"/>
  <c r="I192" i="18"/>
  <c r="N194" i="18" s="1"/>
  <c r="I192" i="17"/>
  <c r="N194" i="17" s="1"/>
  <c r="I194" i="16"/>
  <c r="I192" i="16"/>
  <c r="N194" i="16" s="1"/>
  <c r="I192" i="15"/>
  <c r="N194" i="15" s="1"/>
  <c r="I192" i="14"/>
  <c r="N194" i="14" s="1"/>
  <c r="I194" i="14"/>
  <c r="I192" i="13"/>
  <c r="N194" i="13" s="1"/>
  <c r="I192" i="12"/>
  <c r="N194" i="12" s="1"/>
  <c r="I194" i="11"/>
  <c r="I192" i="11"/>
  <c r="N194" i="11" s="1"/>
  <c r="I194" i="10"/>
  <c r="I192" i="10"/>
  <c r="N194" i="10" s="1"/>
  <c r="I194" i="9"/>
  <c r="I192" i="9"/>
  <c r="N194" i="9" s="1"/>
  <c r="I192" i="8"/>
  <c r="N194" i="8" s="1"/>
  <c r="I194" i="7"/>
  <c r="I192" i="7"/>
  <c r="N194" i="7" s="1"/>
  <c r="I194" i="6"/>
  <c r="I192" i="6"/>
  <c r="N194" i="6" s="1"/>
  <c r="I194" i="5"/>
  <c r="I192" i="5"/>
  <c r="N194" i="5" s="1"/>
  <c r="I192" i="4"/>
  <c r="N194" i="4" s="1"/>
  <c r="I194" i="3"/>
  <c r="I192" i="3"/>
  <c r="N194" i="3" s="1"/>
  <c r="N100" i="29"/>
  <c r="N100" i="27"/>
  <c r="N100" i="25"/>
  <c r="N100" i="24"/>
  <c r="N100" i="22"/>
  <c r="F22" i="32"/>
  <c r="J22" i="32" s="1"/>
  <c r="P22" i="32" s="1"/>
  <c r="N100" i="21"/>
  <c r="N100" i="20"/>
  <c r="N100" i="19"/>
  <c r="F18" i="32"/>
  <c r="J18" i="32" s="1"/>
  <c r="P18" i="32" s="1"/>
  <c r="N100" i="18"/>
  <c r="N100" i="17"/>
  <c r="N100" i="16"/>
  <c r="N100" i="15"/>
  <c r="N100" i="14"/>
  <c r="F13" i="32"/>
  <c r="N100" i="13"/>
  <c r="N100" i="12"/>
  <c r="F11" i="32"/>
  <c r="J11" i="32" s="1"/>
  <c r="P11" i="32" s="1"/>
  <c r="N100" i="11"/>
  <c r="N100" i="10"/>
  <c r="N100" i="9"/>
  <c r="N100" i="8"/>
  <c r="N100" i="7"/>
  <c r="N100" i="6"/>
  <c r="N100" i="5"/>
  <c r="N100" i="4"/>
  <c r="N100" i="3"/>
  <c r="D126" i="18"/>
  <c r="D127" i="18" s="1"/>
  <c r="D126" i="16"/>
  <c r="D127" i="16" s="1"/>
  <c r="D126" i="13"/>
  <c r="D127" i="13" s="1"/>
  <c r="D126" i="11"/>
  <c r="D127" i="11" s="1"/>
  <c r="F25" i="32"/>
  <c r="J25" i="32" s="1"/>
  <c r="P25" i="32" s="1"/>
  <c r="F24" i="32"/>
  <c r="J24" i="32" s="1"/>
  <c r="P24" i="32" s="1"/>
  <c r="D197" i="28"/>
  <c r="F23" i="32"/>
  <c r="J23" i="32" s="1"/>
  <c r="P23" i="32" s="1"/>
  <c r="F16" i="32"/>
  <c r="J16" i="32" s="1"/>
  <c r="P16" i="32" s="1"/>
  <c r="D24" i="33"/>
  <c r="D126" i="14"/>
  <c r="D127" i="14" s="1"/>
  <c r="F14" i="32"/>
  <c r="J14" i="32" s="1"/>
  <c r="P14" i="32" s="1"/>
  <c r="G13" i="32"/>
  <c r="D126" i="27"/>
  <c r="D127" i="27" s="1"/>
  <c r="D126" i="24"/>
  <c r="D127" i="24" s="1"/>
  <c r="D126" i="22"/>
  <c r="D127" i="22" s="1"/>
  <c r="D126" i="20"/>
  <c r="D127" i="20" s="1"/>
  <c r="F20" i="32"/>
  <c r="J20" i="32" s="1"/>
  <c r="P20" i="32" s="1"/>
  <c r="D126" i="19"/>
  <c r="D127" i="19" s="1"/>
  <c r="F19" i="32"/>
  <c r="J19" i="32" s="1"/>
  <c r="P19" i="32" s="1"/>
  <c r="F17" i="32"/>
  <c r="J17" i="32" s="1"/>
  <c r="P17" i="32" s="1"/>
  <c r="D126" i="15"/>
  <c r="D127" i="15" s="1"/>
  <c r="D126" i="12"/>
  <c r="D127" i="12" s="1"/>
  <c r="F12" i="32"/>
  <c r="J12" i="32" s="1"/>
  <c r="P12" i="32" s="1"/>
  <c r="F10" i="32"/>
  <c r="J10" i="32" s="1"/>
  <c r="P10" i="32" s="1"/>
  <c r="D126" i="10"/>
  <c r="D127" i="10" s="1"/>
  <c r="D126" i="9"/>
  <c r="D127" i="9" s="1"/>
  <c r="F9" i="32"/>
  <c r="J9" i="32" s="1"/>
  <c r="P9" i="32" s="1"/>
  <c r="D126" i="8"/>
  <c r="D127" i="8" s="1"/>
  <c r="D126" i="7"/>
  <c r="D127" i="7" s="1"/>
  <c r="F7" i="32"/>
  <c r="J7" i="32" s="1"/>
  <c r="P7" i="32" s="1"/>
  <c r="F6" i="32"/>
  <c r="J6" i="32" s="1"/>
  <c r="P6" i="32" s="1"/>
  <c r="D126" i="6"/>
  <c r="D127" i="6" s="1"/>
  <c r="D126" i="5"/>
  <c r="D127" i="5" s="1"/>
  <c r="F5" i="32"/>
  <c r="J5" i="32" s="1"/>
  <c r="P5" i="32" s="1"/>
  <c r="D126" i="3"/>
  <c r="D127" i="3" s="1"/>
  <c r="F4" i="32"/>
  <c r="J4" i="32" s="1"/>
  <c r="P4" i="32" s="1"/>
  <c r="F21" i="32"/>
  <c r="J21" i="32" s="1"/>
  <c r="P21" i="32" s="1"/>
  <c r="D129" i="23"/>
  <c r="D129" i="31"/>
  <c r="Q103" i="31"/>
  <c r="D127" i="30"/>
  <c r="Q103" i="30"/>
  <c r="D126" i="29"/>
  <c r="D127" i="29" s="1"/>
  <c r="D129" i="28"/>
  <c r="Q103" i="28"/>
  <c r="D129" i="26"/>
  <c r="Q103" i="27"/>
  <c r="D126" i="25"/>
  <c r="D127" i="25" s="1"/>
  <c r="D126" i="21"/>
  <c r="D127" i="21" s="1"/>
  <c r="D126" i="17"/>
  <c r="D127" i="17" s="1"/>
  <c r="D126" i="4"/>
  <c r="D127" i="4" s="1"/>
  <c r="Q126" i="30" l="1"/>
  <c r="Q123" i="30"/>
  <c r="Q126" i="29"/>
  <c r="Q123" i="29"/>
  <c r="I197" i="29" s="1"/>
  <c r="Q123" i="27"/>
  <c r="Q126" i="27"/>
  <c r="Q127" i="25"/>
  <c r="Q126" i="25"/>
  <c r="Q123" i="25"/>
  <c r="I197" i="25" s="1"/>
  <c r="G26" i="33" s="1"/>
  <c r="Q127" i="24"/>
  <c r="Q123" i="24"/>
  <c r="I197" i="24" s="1"/>
  <c r="Q126" i="24"/>
  <c r="Q127" i="22"/>
  <c r="Q123" i="22"/>
  <c r="Q126" i="22"/>
  <c r="Q127" i="21"/>
  <c r="Q126" i="21"/>
  <c r="Q123" i="21"/>
  <c r="I197" i="21" s="1"/>
  <c r="Q127" i="20"/>
  <c r="Q123" i="20"/>
  <c r="I197" i="20" s="1"/>
  <c r="G21" i="33" s="1"/>
  <c r="Q126" i="20"/>
  <c r="Q127" i="19"/>
  <c r="Q126" i="19"/>
  <c r="Q123" i="19"/>
  <c r="I197" i="19" s="1"/>
  <c r="G20" i="33" s="1"/>
  <c r="Q127" i="18"/>
  <c r="Q123" i="18"/>
  <c r="Q126" i="18"/>
  <c r="Q127" i="17"/>
  <c r="Q123" i="17"/>
  <c r="I197" i="17" s="1"/>
  <c r="Q126" i="17"/>
  <c r="Q127" i="16"/>
  <c r="Q126" i="16"/>
  <c r="Q123" i="16"/>
  <c r="I197" i="16" s="1"/>
  <c r="Q127" i="15"/>
  <c r="Q123" i="15"/>
  <c r="Q126" i="15"/>
  <c r="Q127" i="14"/>
  <c r="Q123" i="14"/>
  <c r="I197" i="14" s="1"/>
  <c r="Q126" i="14"/>
  <c r="Q127" i="13"/>
  <c r="Q126" i="13"/>
  <c r="Q123" i="13"/>
  <c r="I197" i="13" s="1"/>
  <c r="G14" i="33" s="1"/>
  <c r="Q127" i="12"/>
  <c r="Q126" i="12"/>
  <c r="Q123" i="12"/>
  <c r="I197" i="12" s="1"/>
  <c r="Q127" i="11"/>
  <c r="Q126" i="11"/>
  <c r="Q123" i="11"/>
  <c r="I197" i="11" s="1"/>
  <c r="Q127" i="10"/>
  <c r="Q126" i="10"/>
  <c r="Q123" i="10"/>
  <c r="I197" i="10" s="1"/>
  <c r="Q127" i="9"/>
  <c r="Q126" i="9"/>
  <c r="Q123" i="9"/>
  <c r="I197" i="9" s="1"/>
  <c r="Q127" i="8"/>
  <c r="Q123" i="8"/>
  <c r="Q126" i="8"/>
  <c r="Q127" i="7"/>
  <c r="Q126" i="7"/>
  <c r="Q123" i="7"/>
  <c r="I197" i="7" s="1"/>
  <c r="G8" i="33" s="1"/>
  <c r="Q127" i="6"/>
  <c r="Q126" i="6"/>
  <c r="Q123" i="6"/>
  <c r="I197" i="6" s="1"/>
  <c r="Q127" i="5"/>
  <c r="Q126" i="5"/>
  <c r="Q123" i="5"/>
  <c r="I197" i="5" s="1"/>
  <c r="G6" i="33" s="1"/>
  <c r="Q127" i="4"/>
  <c r="Q123" i="4"/>
  <c r="I197" i="4" s="1"/>
  <c r="Q126" i="4"/>
  <c r="Q127" i="3"/>
  <c r="Q123" i="3"/>
  <c r="I197" i="3" s="1"/>
  <c r="Q126" i="3"/>
  <c r="Q105" i="25"/>
  <c r="Q105" i="24"/>
  <c r="Q105" i="22"/>
  <c r="Q105" i="21"/>
  <c r="Q105" i="20"/>
  <c r="Q105" i="19"/>
  <c r="Q105" i="18"/>
  <c r="Q105" i="17"/>
  <c r="Q105" i="16"/>
  <c r="Q105" i="15"/>
  <c r="Q105" i="14"/>
  <c r="Q105" i="13"/>
  <c r="Q105" i="12"/>
  <c r="Q105" i="11"/>
  <c r="Q105" i="10"/>
  <c r="Q105" i="9"/>
  <c r="Q105" i="8"/>
  <c r="Q105" i="7"/>
  <c r="Q105" i="6"/>
  <c r="Q105" i="5"/>
  <c r="Q105" i="4"/>
  <c r="Q105" i="3"/>
  <c r="I195" i="28"/>
  <c r="I195" i="31"/>
  <c r="I195" i="30"/>
  <c r="I197" i="31"/>
  <c r="G33" i="33" s="1"/>
  <c r="D197" i="31"/>
  <c r="E33" i="33" s="1"/>
  <c r="J13" i="32"/>
  <c r="P13" i="32" s="1"/>
  <c r="D30" i="33"/>
  <c r="D32" i="33"/>
  <c r="D33" i="33"/>
  <c r="I195" i="27"/>
  <c r="I194" i="27"/>
  <c r="G27" i="33"/>
  <c r="D27" i="33"/>
  <c r="D129" i="18"/>
  <c r="P5" i="18" s="1"/>
  <c r="F8" i="32"/>
  <c r="J8" i="32" s="1"/>
  <c r="P8" i="32" s="1"/>
  <c r="D19" i="33"/>
  <c r="D129" i="9"/>
  <c r="P5" i="9" s="1"/>
  <c r="I197" i="22"/>
  <c r="D197" i="29"/>
  <c r="D197" i="30"/>
  <c r="D197" i="27"/>
  <c r="I197" i="27"/>
  <c r="D129" i="11"/>
  <c r="P5" i="11" s="1"/>
  <c r="D129" i="10"/>
  <c r="P5" i="10" s="1"/>
  <c r="D17" i="33"/>
  <c r="D129" i="13"/>
  <c r="P5" i="13" s="1"/>
  <c r="D11" i="33"/>
  <c r="D7" i="33"/>
  <c r="D26" i="33"/>
  <c r="D25" i="33"/>
  <c r="D15" i="33"/>
  <c r="Q110" i="23"/>
  <c r="N181" i="23" s="1"/>
  <c r="P5" i="23"/>
  <c r="E30" i="33"/>
  <c r="P118" i="31"/>
  <c r="N174" i="31" s="1"/>
  <c r="P5" i="31"/>
  <c r="P118" i="28"/>
  <c r="N174" i="28" s="1"/>
  <c r="P5" i="28"/>
  <c r="Q110" i="26"/>
  <c r="N181" i="26" s="1"/>
  <c r="P5" i="26"/>
  <c r="G30" i="33"/>
  <c r="D14" i="33"/>
  <c r="F3" i="32"/>
  <c r="J3" i="32" s="1"/>
  <c r="P3" i="32" s="1"/>
  <c r="D129" i="16"/>
  <c r="P5" i="16" s="1"/>
  <c r="D129" i="14"/>
  <c r="D129" i="30"/>
  <c r="D129" i="27"/>
  <c r="D129" i="24"/>
  <c r="P5" i="24" s="1"/>
  <c r="D21" i="33"/>
  <c r="D20" i="33"/>
  <c r="D18" i="33"/>
  <c r="D129" i="15"/>
  <c r="F15" i="32"/>
  <c r="J15" i="32" s="1"/>
  <c r="P15" i="32" s="1"/>
  <c r="D13" i="33"/>
  <c r="D10" i="33"/>
  <c r="D9" i="33"/>
  <c r="D8" i="33"/>
  <c r="D129" i="6"/>
  <c r="D6" i="33"/>
  <c r="D5" i="33"/>
  <c r="D22" i="33"/>
  <c r="Q110" i="31"/>
  <c r="Q110" i="30"/>
  <c r="D129" i="22"/>
  <c r="D129" i="29"/>
  <c r="Q103" i="29"/>
  <c r="D129" i="19"/>
  <c r="Q110" i="28"/>
  <c r="Q110" i="27"/>
  <c r="N196" i="27" s="1"/>
  <c r="D129" i="25"/>
  <c r="P5" i="25" s="1"/>
  <c r="D129" i="5"/>
  <c r="D129" i="20"/>
  <c r="D129" i="21"/>
  <c r="P5" i="21" s="1"/>
  <c r="D129" i="17"/>
  <c r="P5" i="17" s="1"/>
  <c r="D129" i="12"/>
  <c r="D129" i="7"/>
  <c r="D129" i="8"/>
  <c r="D129" i="3"/>
  <c r="D129" i="4"/>
  <c r="P5" i="4" s="1"/>
  <c r="Q110" i="11" l="1"/>
  <c r="N181" i="11" s="1"/>
  <c r="N196" i="11" s="1"/>
  <c r="Q110" i="18"/>
  <c r="N181" i="18" s="1"/>
  <c r="N196" i="18" s="1"/>
  <c r="I197" i="30"/>
  <c r="G32" i="33" s="1"/>
  <c r="I195" i="29"/>
  <c r="I197" i="18"/>
  <c r="G19" i="33" s="1"/>
  <c r="I197" i="15"/>
  <c r="G16" i="33" s="1"/>
  <c r="I197" i="8"/>
  <c r="G9" i="33" s="1"/>
  <c r="N196" i="26"/>
  <c r="N196" i="23"/>
  <c r="Q110" i="13"/>
  <c r="N181" i="13" s="1"/>
  <c r="Q110" i="9"/>
  <c r="N181" i="9" s="1"/>
  <c r="D29" i="33"/>
  <c r="E32" i="33"/>
  <c r="D31" i="33"/>
  <c r="G25" i="33"/>
  <c r="G23" i="33"/>
  <c r="D12" i="33"/>
  <c r="Q110" i="10"/>
  <c r="N181" i="10" s="1"/>
  <c r="D23" i="33"/>
  <c r="Y26" i="32"/>
  <c r="Y23" i="32"/>
  <c r="I34" i="32"/>
  <c r="Q110" i="24"/>
  <c r="N181" i="24" s="1"/>
  <c r="D4" i="33"/>
  <c r="I37" i="32"/>
  <c r="Q110" i="8"/>
  <c r="N181" i="8" s="1"/>
  <c r="P5" i="8"/>
  <c r="Q110" i="22"/>
  <c r="N181" i="22" s="1"/>
  <c r="P5" i="22"/>
  <c r="P118" i="30"/>
  <c r="N174" i="30" s="1"/>
  <c r="P5" i="30"/>
  <c r="Q110" i="14"/>
  <c r="N181" i="14" s="1"/>
  <c r="P5" i="14"/>
  <c r="Q110" i="19"/>
  <c r="N181" i="19" s="1"/>
  <c r="P5" i="19"/>
  <c r="Q110" i="16"/>
  <c r="N181" i="16" s="1"/>
  <c r="Q110" i="12"/>
  <c r="N181" i="12" s="1"/>
  <c r="P5" i="12"/>
  <c r="Q110" i="20"/>
  <c r="N181" i="20" s="1"/>
  <c r="P5" i="20"/>
  <c r="E31" i="33"/>
  <c r="Q110" i="15"/>
  <c r="N181" i="15" s="1"/>
  <c r="P5" i="15"/>
  <c r="Q110" i="7"/>
  <c r="N181" i="7" s="1"/>
  <c r="P5" i="7"/>
  <c r="G10" i="33"/>
  <c r="G31" i="33"/>
  <c r="G11" i="33"/>
  <c r="G5" i="33"/>
  <c r="G13" i="33"/>
  <c r="G22" i="33"/>
  <c r="G15" i="33"/>
  <c r="G17" i="33"/>
  <c r="Q110" i="5"/>
  <c r="N181" i="5" s="1"/>
  <c r="P5" i="5"/>
  <c r="P118" i="29"/>
  <c r="N174" i="29" s="1"/>
  <c r="P5" i="29"/>
  <c r="G18" i="33"/>
  <c r="G29" i="33"/>
  <c r="E29" i="33"/>
  <c r="P118" i="27"/>
  <c r="N174" i="27" s="1"/>
  <c r="P5" i="27"/>
  <c r="G7" i="33"/>
  <c r="Q110" i="6"/>
  <c r="N181" i="6" s="1"/>
  <c r="P5" i="6"/>
  <c r="G12" i="33"/>
  <c r="G4" i="33"/>
  <c r="Q110" i="3"/>
  <c r="N181" i="3" s="1"/>
  <c r="P5" i="3"/>
  <c r="D16" i="33"/>
  <c r="D132" i="31"/>
  <c r="D132" i="30"/>
  <c r="Q110" i="29"/>
  <c r="D132" i="28"/>
  <c r="D132" i="27"/>
  <c r="Q110" i="25"/>
  <c r="N181" i="25" s="1"/>
  <c r="Q110" i="21"/>
  <c r="N181" i="21" s="1"/>
  <c r="Q110" i="17"/>
  <c r="N181" i="17" s="1"/>
  <c r="Q110" i="4"/>
  <c r="N181" i="4" s="1"/>
  <c r="Y11" i="32" l="1"/>
  <c r="Y18" i="32"/>
  <c r="N196" i="25"/>
  <c r="N196" i="24"/>
  <c r="N196" i="22"/>
  <c r="N196" i="21"/>
  <c r="N196" i="20"/>
  <c r="N196" i="19"/>
  <c r="N196" i="17"/>
  <c r="N196" i="16"/>
  <c r="N196" i="15"/>
  <c r="N196" i="14"/>
  <c r="Y13" i="32"/>
  <c r="N196" i="13"/>
  <c r="N196" i="12"/>
  <c r="N196" i="10"/>
  <c r="Y9" i="32"/>
  <c r="N196" i="9"/>
  <c r="N196" i="8"/>
  <c r="N196" i="7"/>
  <c r="N196" i="6"/>
  <c r="N196" i="5"/>
  <c r="N196" i="4"/>
  <c r="N196" i="3"/>
  <c r="Y10" i="32"/>
  <c r="Y17" i="32"/>
  <c r="Y3" i="32"/>
  <c r="Y6" i="32"/>
  <c r="Y7" i="32"/>
  <c r="Y22" i="32"/>
  <c r="Y8" i="32"/>
  <c r="Y24" i="32"/>
  <c r="Y5" i="32"/>
  <c r="Y15" i="32"/>
  <c r="Y20" i="32"/>
  <c r="Y19" i="32"/>
  <c r="Y21" i="32"/>
  <c r="Y25" i="32"/>
  <c r="Y4" i="32"/>
  <c r="Y12" i="32"/>
  <c r="Y16" i="32"/>
  <c r="Y14" i="32"/>
  <c r="I36" i="32"/>
  <c r="I35" i="32"/>
  <c r="I33" i="32"/>
  <c r="D132" i="29"/>
  <c r="B244" i="2" l="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T153" i="2"/>
  <c r="N104" i="2" s="1"/>
  <c r="T152" i="2"/>
  <c r="N123" i="2" s="1"/>
  <c r="T145" i="2"/>
  <c r="T141" i="2"/>
  <c r="T154" i="2"/>
  <c r="G167" i="2" s="1"/>
  <c r="T151" i="2"/>
  <c r="N98" i="2" s="1"/>
  <c r="T150" i="2"/>
  <c r="T149" i="2"/>
  <c r="T148" i="2"/>
  <c r="F5" i="2" s="1"/>
  <c r="Q125" i="2" s="1"/>
  <c r="T147" i="2"/>
  <c r="G170" i="2" s="1"/>
  <c r="T146" i="2"/>
  <c r="G169" i="2" s="1"/>
  <c r="T144" i="2"/>
  <c r="T143" i="2"/>
  <c r="T142" i="2"/>
  <c r="A2" i="32" s="1"/>
  <c r="AG2" i="32" s="1"/>
  <c r="E137" i="1"/>
  <c r="E136" i="1"/>
  <c r="E135" i="1"/>
  <c r="G168" i="3" l="1"/>
  <c r="G168" i="21"/>
  <c r="P123" i="2"/>
  <c r="N126" i="2"/>
  <c r="P126" i="2" s="1"/>
  <c r="K100" i="2"/>
  <c r="K177" i="3"/>
  <c r="K177" i="21"/>
  <c r="B3" i="33"/>
  <c r="L3" i="33" s="1"/>
  <c r="M3" i="33" s="1"/>
  <c r="M34" i="33" s="1"/>
  <c r="B2" i="32"/>
  <c r="A3" i="33"/>
  <c r="K3" i="33" s="1"/>
  <c r="G168" i="2"/>
  <c r="N103" i="2"/>
  <c r="G166" i="2"/>
  <c r="M216" i="2"/>
  <c r="K133" i="2"/>
  <c r="D161" i="2"/>
  <c r="P97" i="2"/>
  <c r="G165" i="2"/>
  <c r="M215" i="2"/>
  <c r="N105" i="2"/>
  <c r="P105" i="2" s="1"/>
  <c r="G171" i="2"/>
  <c r="F4" i="2"/>
  <c r="D216" i="2"/>
  <c r="D215" i="2"/>
  <c r="I185" i="2"/>
  <c r="I184" i="2"/>
  <c r="E184" i="2"/>
  <c r="I183" i="2"/>
  <c r="E183" i="2"/>
  <c r="N182" i="2"/>
  <c r="L182" i="2"/>
  <c r="L181" i="2"/>
  <c r="E179" i="2"/>
  <c r="K176" i="2"/>
  <c r="O166" i="2"/>
  <c r="O165" i="2"/>
  <c r="D159" i="2"/>
  <c r="D158" i="2"/>
  <c r="D157" i="2"/>
  <c r="D156" i="2"/>
  <c r="O149" i="2"/>
  <c r="J149" i="2"/>
  <c r="H149" i="2"/>
  <c r="O148" i="2"/>
  <c r="J148" i="2"/>
  <c r="H148" i="2"/>
  <c r="O147" i="2"/>
  <c r="J147" i="2"/>
  <c r="H147" i="2"/>
  <c r="O146" i="2"/>
  <c r="J146" i="2"/>
  <c r="O145" i="2"/>
  <c r="J145" i="2"/>
  <c r="H145" i="2"/>
  <c r="O144" i="2"/>
  <c r="J144" i="2"/>
  <c r="H144" i="2"/>
  <c r="O143" i="2"/>
  <c r="J143" i="2"/>
  <c r="H143" i="2"/>
  <c r="N142" i="2"/>
  <c r="J142" i="2"/>
  <c r="H142" i="2"/>
  <c r="T132" i="2"/>
  <c r="W130" i="2"/>
  <c r="W129" i="2"/>
  <c r="W128" i="2"/>
  <c r="W127" i="2"/>
  <c r="W126" i="2"/>
  <c r="W125" i="2"/>
  <c r="W124" i="2"/>
  <c r="W123" i="2"/>
  <c r="W122" i="2"/>
  <c r="W121" i="2"/>
  <c r="W120" i="2"/>
  <c r="W118" i="2"/>
  <c r="W117" i="2"/>
  <c r="W116" i="2"/>
  <c r="W115" i="2"/>
  <c r="W114" i="2"/>
  <c r="W113" i="2"/>
  <c r="P99" i="2"/>
  <c r="I179" i="2" s="1"/>
  <c r="D97" i="2"/>
  <c r="F97" i="2" s="1"/>
  <c r="P96" i="2"/>
  <c r="I177" i="2" s="1"/>
  <c r="D96" i="2"/>
  <c r="F96" i="2" s="1"/>
  <c r="E94" i="2"/>
  <c r="D94" i="2"/>
  <c r="T84" i="2"/>
  <c r="M168" i="2" s="1"/>
  <c r="L70" i="2"/>
  <c r="K70" i="2"/>
  <c r="J70" i="2"/>
  <c r="L69" i="2"/>
  <c r="K69" i="2"/>
  <c r="J69" i="2"/>
  <c r="L68" i="2"/>
  <c r="L67" i="2"/>
  <c r="J67" i="2"/>
  <c r="L66" i="2"/>
  <c r="J66" i="2"/>
  <c r="K66" i="2"/>
  <c r="L65" i="2"/>
  <c r="K65" i="2"/>
  <c r="L64" i="2"/>
  <c r="K64" i="2"/>
  <c r="L60" i="2"/>
  <c r="K60" i="2"/>
  <c r="J60" i="2"/>
  <c r="L59" i="2"/>
  <c r="J59" i="2"/>
  <c r="L58" i="2"/>
  <c r="J58" i="2"/>
  <c r="L57" i="2"/>
  <c r="K57" i="2"/>
  <c r="L56" i="2"/>
  <c r="J56" i="2"/>
  <c r="L55" i="2"/>
  <c r="J55" i="2"/>
  <c r="L54" i="2"/>
  <c r="L50" i="2"/>
  <c r="K50" i="2"/>
  <c r="J50" i="2"/>
  <c r="L49" i="2"/>
  <c r="K49" i="2"/>
  <c r="L48" i="2"/>
  <c r="K48" i="2"/>
  <c r="L47" i="2"/>
  <c r="J47" i="2"/>
  <c r="L46" i="2"/>
  <c r="J46" i="2"/>
  <c r="L45" i="2"/>
  <c r="K45" i="2"/>
  <c r="L44" i="2"/>
  <c r="K44" i="2"/>
  <c r="L40" i="2"/>
  <c r="K40" i="2"/>
  <c r="J40" i="2"/>
  <c r="L39" i="2"/>
  <c r="K39" i="2"/>
  <c r="L38" i="2"/>
  <c r="K38" i="2"/>
  <c r="L37" i="2"/>
  <c r="J37" i="2"/>
  <c r="L36" i="2"/>
  <c r="K36" i="2"/>
  <c r="L35" i="2"/>
  <c r="K35" i="2"/>
  <c r="L34" i="2"/>
  <c r="K34" i="2"/>
  <c r="L30" i="2"/>
  <c r="K30" i="2"/>
  <c r="J30" i="2"/>
  <c r="L29" i="2"/>
  <c r="K29" i="2"/>
  <c r="L28" i="2"/>
  <c r="K28" i="2"/>
  <c r="L27" i="2"/>
  <c r="J27" i="2"/>
  <c r="L26" i="2"/>
  <c r="K26" i="2"/>
  <c r="L25" i="2"/>
  <c r="K25" i="2"/>
  <c r="L24" i="2"/>
  <c r="L20" i="2"/>
  <c r="K20" i="2"/>
  <c r="J20" i="2"/>
  <c r="L19" i="2"/>
  <c r="J19" i="2"/>
  <c r="L18" i="2"/>
  <c r="J18" i="2"/>
  <c r="L17" i="2"/>
  <c r="J17" i="2"/>
  <c r="L16" i="2"/>
  <c r="I16" i="2"/>
  <c r="K16" i="2"/>
  <c r="L15" i="2"/>
  <c r="J15" i="2"/>
  <c r="L14" i="2"/>
  <c r="I14" i="2"/>
  <c r="K14" i="2"/>
  <c r="D154" i="1"/>
  <c r="C154" i="1"/>
  <c r="D153" i="1"/>
  <c r="C153" i="1"/>
  <c r="D152" i="1"/>
  <c r="C152" i="1"/>
  <c r="D151" i="1"/>
  <c r="C151" i="1"/>
  <c r="D150" i="1"/>
  <c r="C150" i="1"/>
  <c r="D149" i="1"/>
  <c r="C149" i="1"/>
  <c r="D148" i="1"/>
  <c r="C148" i="1"/>
  <c r="D147" i="1"/>
  <c r="C147" i="1"/>
  <c r="D146" i="1"/>
  <c r="C146" i="1"/>
  <c r="D145" i="1"/>
  <c r="C145" i="1"/>
  <c r="D144" i="1"/>
  <c r="C144" i="1"/>
  <c r="B144" i="1"/>
  <c r="A144" i="1"/>
  <c r="D143" i="1"/>
  <c r="C143" i="1"/>
  <c r="B143" i="1"/>
  <c r="A143" i="1"/>
  <c r="D142" i="1"/>
  <c r="C142" i="1"/>
  <c r="B142" i="1"/>
  <c r="A142" i="1"/>
  <c r="D141" i="1"/>
  <c r="C141" i="1"/>
  <c r="B141" i="1"/>
  <c r="A141" i="1"/>
  <c r="D140" i="1"/>
  <c r="C140" i="1"/>
  <c r="B140" i="1"/>
  <c r="A140" i="1"/>
  <c r="D139" i="1"/>
  <c r="C139" i="1"/>
  <c r="B139" i="1"/>
  <c r="A139" i="1"/>
  <c r="D138" i="1"/>
  <c r="C138" i="1"/>
  <c r="B138" i="1"/>
  <c r="A138" i="1"/>
  <c r="D137" i="1"/>
  <c r="C137" i="1"/>
  <c r="B137" i="1"/>
  <c r="A137" i="1"/>
  <c r="G136" i="1"/>
  <c r="F136" i="1"/>
  <c r="K177" i="20" s="1"/>
  <c r="D136" i="1"/>
  <c r="C136" i="1"/>
  <c r="B136" i="1"/>
  <c r="A136" i="1"/>
  <c r="G135" i="1"/>
  <c r="F135" i="1"/>
  <c r="K177" i="10" s="1"/>
  <c r="D135" i="1"/>
  <c r="C135" i="1"/>
  <c r="B135" i="1"/>
  <c r="A135" i="1"/>
  <c r="O71" i="1"/>
  <c r="O70" i="1"/>
  <c r="O69" i="1"/>
  <c r="E68" i="1"/>
  <c r="E66" i="1"/>
  <c r="E65" i="1"/>
  <c r="D197" i="23" l="1"/>
  <c r="E24" i="33" s="1"/>
  <c r="D197" i="19"/>
  <c r="E20" i="33" s="1"/>
  <c r="D197" i="15"/>
  <c r="E16" i="33" s="1"/>
  <c r="D197" i="11"/>
  <c r="E12" i="33" s="1"/>
  <c r="D197" i="7"/>
  <c r="E8" i="33" s="1"/>
  <c r="D197" i="3"/>
  <c r="E4" i="33" s="1"/>
  <c r="D197" i="26"/>
  <c r="E27" i="33" s="1"/>
  <c r="D197" i="22"/>
  <c r="E23" i="33" s="1"/>
  <c r="D197" i="18"/>
  <c r="E19" i="33" s="1"/>
  <c r="D197" i="14"/>
  <c r="E15" i="33" s="1"/>
  <c r="D197" i="10"/>
  <c r="E11" i="33" s="1"/>
  <c r="D197" i="6"/>
  <c r="E7" i="33" s="1"/>
  <c r="D197" i="25"/>
  <c r="E26" i="33" s="1"/>
  <c r="D197" i="21"/>
  <c r="E22" i="33" s="1"/>
  <c r="D197" i="17"/>
  <c r="E18" i="33" s="1"/>
  <c r="D197" i="13"/>
  <c r="E14" i="33" s="1"/>
  <c r="D197" i="9"/>
  <c r="E10" i="33" s="1"/>
  <c r="D197" i="5"/>
  <c r="E6" i="33" s="1"/>
  <c r="D197" i="24"/>
  <c r="E25" i="33" s="1"/>
  <c r="D197" i="20"/>
  <c r="E21" i="33" s="1"/>
  <c r="D197" i="16"/>
  <c r="E17" i="33" s="1"/>
  <c r="D197" i="12"/>
  <c r="E13" i="33" s="1"/>
  <c r="D197" i="8"/>
  <c r="E9" i="33" s="1"/>
  <c r="D197" i="4"/>
  <c r="E5" i="33" s="1"/>
  <c r="F197" i="20"/>
  <c r="F21" i="33" s="1"/>
  <c r="F197" i="13"/>
  <c r="F14" i="33" s="1"/>
  <c r="F197" i="26"/>
  <c r="F27" i="33" s="1"/>
  <c r="F197" i="30"/>
  <c r="F32" i="33" s="1"/>
  <c r="I32" i="33" s="1"/>
  <c r="F197" i="24"/>
  <c r="F197" i="17"/>
  <c r="F18" i="33" s="1"/>
  <c r="F197" i="15"/>
  <c r="F197" i="27"/>
  <c r="F29" i="33" s="1"/>
  <c r="I29" i="33" s="1"/>
  <c r="F197" i="31"/>
  <c r="F197" i="21"/>
  <c r="F22" i="33" s="1"/>
  <c r="F197" i="18"/>
  <c r="F197" i="19"/>
  <c r="F20" i="33" s="1"/>
  <c r="F197" i="28"/>
  <c r="F197" i="16"/>
  <c r="F197" i="6"/>
  <c r="F7" i="33" s="1"/>
  <c r="F197" i="22"/>
  <c r="F23" i="33" s="1"/>
  <c r="F197" i="7"/>
  <c r="K177" i="16"/>
  <c r="K177" i="6"/>
  <c r="K177" i="9"/>
  <c r="K177" i="5"/>
  <c r="K177" i="13"/>
  <c r="K177" i="19"/>
  <c r="Q109" i="2"/>
  <c r="Q109" i="31"/>
  <c r="Q107" i="30"/>
  <c r="Q107" i="25"/>
  <c r="Q109" i="24"/>
  <c r="Q107" i="23"/>
  <c r="Q109" i="22"/>
  <c r="Q109" i="12"/>
  <c r="Q107" i="31"/>
  <c r="Q109" i="29"/>
  <c r="Q109" i="28"/>
  <c r="Q109" i="27"/>
  <c r="Q109" i="26"/>
  <c r="Q107" i="24"/>
  <c r="Q107" i="22"/>
  <c r="Q109" i="21"/>
  <c r="Q109" i="20"/>
  <c r="Q107" i="19"/>
  <c r="Q109" i="18"/>
  <c r="Q107" i="17"/>
  <c r="Q109" i="16"/>
  <c r="Q109" i="15"/>
  <c r="Q107" i="14"/>
  <c r="Q109" i="13"/>
  <c r="Q107" i="12"/>
  <c r="Q107" i="11"/>
  <c r="Q107" i="10"/>
  <c r="Q107" i="8"/>
  <c r="Q107" i="7"/>
  <c r="Q107" i="29"/>
  <c r="Q107" i="28"/>
  <c r="Q107" i="27"/>
  <c r="Q107" i="26"/>
  <c r="Q107" i="21"/>
  <c r="Q107" i="20"/>
  <c r="Q107" i="18"/>
  <c r="Q107" i="16"/>
  <c r="Q107" i="15"/>
  <c r="Q107" i="13"/>
  <c r="Q109" i="6"/>
  <c r="Q107" i="6"/>
  <c r="Q109" i="5"/>
  <c r="Q109" i="4"/>
  <c r="Q109" i="14"/>
  <c r="Q107" i="9"/>
  <c r="Q109" i="7"/>
  <c r="Q107" i="5"/>
  <c r="Q107" i="4"/>
  <c r="Q107" i="3"/>
  <c r="Q109" i="30"/>
  <c r="Q109" i="25"/>
  <c r="Q109" i="23"/>
  <c r="Q109" i="9"/>
  <c r="Q109" i="3"/>
  <c r="Q109" i="19"/>
  <c r="Q109" i="17"/>
  <c r="Q109" i="11"/>
  <c r="Q109" i="10"/>
  <c r="Q109" i="8"/>
  <c r="Q108" i="26"/>
  <c r="Q108" i="13"/>
  <c r="Q108" i="28"/>
  <c r="Q108" i="23"/>
  <c r="Q108" i="31"/>
  <c r="Q108" i="18"/>
  <c r="Q108" i="14"/>
  <c r="Q108" i="30"/>
  <c r="Q108" i="29"/>
  <c r="Q108" i="19"/>
  <c r="Q108" i="17"/>
  <c r="Q108" i="12"/>
  <c r="Q108" i="4"/>
  <c r="Q108" i="21"/>
  <c r="Q108" i="10"/>
  <c r="Q108" i="5"/>
  <c r="Q108" i="22"/>
  <c r="Q108" i="20"/>
  <c r="Q108" i="9"/>
  <c r="Q108" i="16"/>
  <c r="Q108" i="27"/>
  <c r="Q108" i="11"/>
  <c r="Q108" i="15"/>
  <c r="N180" i="15" s="1"/>
  <c r="Q108" i="6"/>
  <c r="Q108" i="25"/>
  <c r="Q108" i="8"/>
  <c r="Q108" i="7"/>
  <c r="Q108" i="3"/>
  <c r="Q108" i="24"/>
  <c r="P104" i="20"/>
  <c r="K175" i="20" s="1"/>
  <c r="P104" i="13"/>
  <c r="K175" i="13" s="1"/>
  <c r="P104" i="23"/>
  <c r="K175" i="23" s="1"/>
  <c r="P104" i="21"/>
  <c r="K175" i="21" s="1"/>
  <c r="P104" i="26"/>
  <c r="K175" i="26" s="1"/>
  <c r="P104" i="28"/>
  <c r="P104" i="18"/>
  <c r="K175" i="18" s="1"/>
  <c r="P104" i="15"/>
  <c r="K175" i="15" s="1"/>
  <c r="P104" i="8"/>
  <c r="K175" i="8" s="1"/>
  <c r="P104" i="5"/>
  <c r="K175" i="5" s="1"/>
  <c r="P104" i="3"/>
  <c r="K175" i="3" s="1"/>
  <c r="P104" i="25"/>
  <c r="K175" i="25" s="1"/>
  <c r="P104" i="24"/>
  <c r="K175" i="24" s="1"/>
  <c r="P104" i="22"/>
  <c r="K175" i="22" s="1"/>
  <c r="P104" i="19"/>
  <c r="K175" i="19" s="1"/>
  <c r="P104" i="7"/>
  <c r="K175" i="7" s="1"/>
  <c r="P104" i="6"/>
  <c r="K175" i="6" s="1"/>
  <c r="P104" i="4"/>
  <c r="K175" i="4" s="1"/>
  <c r="P104" i="16"/>
  <c r="K175" i="16" s="1"/>
  <c r="P104" i="17"/>
  <c r="K175" i="17" s="1"/>
  <c r="P104" i="27"/>
  <c r="P104" i="12"/>
  <c r="K175" i="12" s="1"/>
  <c r="P104" i="31"/>
  <c r="P104" i="29"/>
  <c r="P104" i="14"/>
  <c r="K175" i="14" s="1"/>
  <c r="P104" i="11"/>
  <c r="K175" i="11" s="1"/>
  <c r="P104" i="30"/>
  <c r="P104" i="10"/>
  <c r="K175" i="10" s="1"/>
  <c r="P104" i="9"/>
  <c r="K175" i="9" s="1"/>
  <c r="K177" i="12"/>
  <c r="K177" i="18"/>
  <c r="K177" i="4"/>
  <c r="K177" i="11"/>
  <c r="K177" i="15"/>
  <c r="N177" i="3"/>
  <c r="K177" i="8"/>
  <c r="K177" i="26"/>
  <c r="K177" i="7"/>
  <c r="P103" i="31"/>
  <c r="P103" i="14"/>
  <c r="K174" i="14" s="1"/>
  <c r="P103" i="11"/>
  <c r="K174" i="11" s="1"/>
  <c r="P103" i="19"/>
  <c r="K174" i="19" s="1"/>
  <c r="P103" i="17"/>
  <c r="K174" i="17" s="1"/>
  <c r="P103" i="23"/>
  <c r="K174" i="23" s="1"/>
  <c r="P103" i="7"/>
  <c r="K174" i="7" s="1"/>
  <c r="P103" i="27"/>
  <c r="P103" i="24"/>
  <c r="K174" i="24" s="1"/>
  <c r="P103" i="13"/>
  <c r="K174" i="13" s="1"/>
  <c r="P103" i="8"/>
  <c r="K174" i="8" s="1"/>
  <c r="P103" i="25"/>
  <c r="K174" i="25" s="1"/>
  <c r="P103" i="29"/>
  <c r="P103" i="4"/>
  <c r="K174" i="4" s="1"/>
  <c r="P103" i="12"/>
  <c r="K174" i="12" s="1"/>
  <c r="P103" i="15"/>
  <c r="K174" i="15" s="1"/>
  <c r="P103" i="6"/>
  <c r="K174" i="6" s="1"/>
  <c r="P103" i="9"/>
  <c r="K174" i="9" s="1"/>
  <c r="P103" i="21"/>
  <c r="K174" i="21" s="1"/>
  <c r="P103" i="26"/>
  <c r="K174" i="26" s="1"/>
  <c r="P103" i="18"/>
  <c r="K174" i="18" s="1"/>
  <c r="P103" i="5"/>
  <c r="K174" i="5" s="1"/>
  <c r="P103" i="30"/>
  <c r="P103" i="3"/>
  <c r="K174" i="3" s="1"/>
  <c r="P103" i="16"/>
  <c r="K174" i="16" s="1"/>
  <c r="P103" i="10"/>
  <c r="K174" i="10" s="1"/>
  <c r="P103" i="22"/>
  <c r="K174" i="22" s="1"/>
  <c r="P103" i="20"/>
  <c r="K174" i="20" s="1"/>
  <c r="P103" i="28"/>
  <c r="J45" i="2"/>
  <c r="K177" i="22"/>
  <c r="K177" i="24"/>
  <c r="K177" i="23"/>
  <c r="K177" i="14"/>
  <c r="K177" i="17"/>
  <c r="K177" i="25"/>
  <c r="H3" i="33"/>
  <c r="H34" i="33" s="1"/>
  <c r="C62" i="33" s="1"/>
  <c r="D115" i="2"/>
  <c r="I182" i="2" s="1"/>
  <c r="D2" i="32"/>
  <c r="L2" i="32"/>
  <c r="S2" i="32"/>
  <c r="K37" i="2"/>
  <c r="K41" i="2" s="1"/>
  <c r="J38" i="2"/>
  <c r="K18" i="2"/>
  <c r="K19" i="2"/>
  <c r="J35" i="2"/>
  <c r="K47" i="2"/>
  <c r="J48" i="2"/>
  <c r="Q3" i="33"/>
  <c r="Q34" i="33" s="1"/>
  <c r="O3" i="33"/>
  <c r="O34" i="33" s="1"/>
  <c r="P3" i="33"/>
  <c r="P34" i="33" s="1"/>
  <c r="P103" i="2"/>
  <c r="Q107" i="2"/>
  <c r="F94" i="2"/>
  <c r="D123" i="2" s="1"/>
  <c r="K56" i="2"/>
  <c r="K59" i="2"/>
  <c r="K55" i="2"/>
  <c r="K58" i="2"/>
  <c r="J14" i="2"/>
  <c r="J64" i="2"/>
  <c r="K15" i="2"/>
  <c r="K24" i="2"/>
  <c r="J25" i="2"/>
  <c r="K27" i="2"/>
  <c r="J28" i="2"/>
  <c r="J16" i="2"/>
  <c r="K17" i="2"/>
  <c r="D114" i="2"/>
  <c r="M2" i="32" s="1"/>
  <c r="I15" i="2"/>
  <c r="I17" i="2"/>
  <c r="I19" i="2"/>
  <c r="I24" i="2"/>
  <c r="J26" i="2"/>
  <c r="J29" i="2"/>
  <c r="I34" i="2"/>
  <c r="J36" i="2"/>
  <c r="J39" i="2"/>
  <c r="J44" i="2"/>
  <c r="K46" i="2"/>
  <c r="K51" i="2" s="1"/>
  <c r="I47" i="2"/>
  <c r="J49" i="2"/>
  <c r="K54" i="2"/>
  <c r="I55" i="2"/>
  <c r="J57" i="2"/>
  <c r="J65" i="2"/>
  <c r="K67" i="2"/>
  <c r="I68" i="2"/>
  <c r="I69" i="2"/>
  <c r="L157" i="2"/>
  <c r="J24" i="2"/>
  <c r="I30" i="2"/>
  <c r="J34" i="2"/>
  <c r="I40" i="2"/>
  <c r="I45" i="2"/>
  <c r="I66" i="2"/>
  <c r="I18" i="2"/>
  <c r="I28" i="2"/>
  <c r="I38" i="2"/>
  <c r="I59" i="2"/>
  <c r="I64" i="2"/>
  <c r="I26" i="2"/>
  <c r="I36" i="2"/>
  <c r="I49" i="2"/>
  <c r="J54" i="2"/>
  <c r="I57" i="2"/>
  <c r="I20" i="2"/>
  <c r="I35" i="2"/>
  <c r="I37" i="2"/>
  <c r="I39" i="2"/>
  <c r="I54" i="2"/>
  <c r="I56" i="2"/>
  <c r="I58" i="2"/>
  <c r="I60" i="2"/>
  <c r="I25" i="2"/>
  <c r="I27" i="2"/>
  <c r="I29" i="2"/>
  <c r="I44" i="2"/>
  <c r="I46" i="2"/>
  <c r="I48" i="2"/>
  <c r="I50" i="2"/>
  <c r="I65" i="2"/>
  <c r="I67" i="2"/>
  <c r="I70" i="2"/>
  <c r="I178" i="2"/>
  <c r="J68" i="2"/>
  <c r="K68" i="2"/>
  <c r="F123" i="2"/>
  <c r="C2" i="32" s="1"/>
  <c r="L175" i="2"/>
  <c r="P104" i="2"/>
  <c r="P98" i="2"/>
  <c r="I180" i="2" s="1"/>
  <c r="K177" i="2"/>
  <c r="L174" i="2"/>
  <c r="I22" i="33" l="1"/>
  <c r="N177" i="21"/>
  <c r="N177" i="20"/>
  <c r="N177" i="10"/>
  <c r="Z18" i="32"/>
  <c r="Z16" i="32"/>
  <c r="Q104" i="6"/>
  <c r="Q104" i="15"/>
  <c r="Q104" i="20"/>
  <c r="I21" i="33"/>
  <c r="I23" i="33"/>
  <c r="I20" i="33"/>
  <c r="I7" i="33"/>
  <c r="Q104" i="13"/>
  <c r="Q104" i="22"/>
  <c r="Q104" i="12"/>
  <c r="N180" i="11"/>
  <c r="Q104" i="4"/>
  <c r="Q104" i="17"/>
  <c r="Q104" i="10"/>
  <c r="Q104" i="26"/>
  <c r="Q104" i="19"/>
  <c r="Q104" i="16"/>
  <c r="Q104" i="5"/>
  <c r="Q104" i="21"/>
  <c r="Q104" i="14"/>
  <c r="Q104" i="3"/>
  <c r="Q104" i="23"/>
  <c r="N180" i="5"/>
  <c r="Q104" i="9"/>
  <c r="Q104" i="25"/>
  <c r="Q104" i="18"/>
  <c r="Q104" i="7"/>
  <c r="Q104" i="8"/>
  <c r="Q104" i="24"/>
  <c r="Q104" i="11"/>
  <c r="I27" i="33"/>
  <c r="I18" i="33"/>
  <c r="I14" i="33"/>
  <c r="N180" i="24"/>
  <c r="N180" i="26"/>
  <c r="N180" i="3"/>
  <c r="N180" i="16"/>
  <c r="N180" i="7"/>
  <c r="N180" i="9"/>
  <c r="N180" i="20"/>
  <c r="N180" i="25"/>
  <c r="N180" i="22"/>
  <c r="N180" i="4"/>
  <c r="N180" i="10"/>
  <c r="N180" i="8"/>
  <c r="N180" i="21"/>
  <c r="N180" i="19"/>
  <c r="N180" i="18"/>
  <c r="N180" i="13"/>
  <c r="N180" i="6"/>
  <c r="N180" i="12"/>
  <c r="N180" i="23"/>
  <c r="N180" i="17"/>
  <c r="N180" i="14"/>
  <c r="F197" i="29"/>
  <c r="F31" i="33" s="1"/>
  <c r="I31" i="33" s="1"/>
  <c r="F197" i="25"/>
  <c r="F26" i="33" s="1"/>
  <c r="I26" i="33" s="1"/>
  <c r="F197" i="23"/>
  <c r="F24" i="33" s="1"/>
  <c r="I24" i="33" s="1"/>
  <c r="F197" i="14"/>
  <c r="F15" i="33" s="1"/>
  <c r="I15" i="33" s="1"/>
  <c r="F197" i="12"/>
  <c r="F13" i="33" s="1"/>
  <c r="I13" i="33" s="1"/>
  <c r="F197" i="11"/>
  <c r="F12" i="33" s="1"/>
  <c r="I12" i="33" s="1"/>
  <c r="F197" i="10"/>
  <c r="F11" i="33" s="1"/>
  <c r="I11" i="33" s="1"/>
  <c r="F197" i="9"/>
  <c r="F10" i="33" s="1"/>
  <c r="I10" i="33" s="1"/>
  <c r="F197" i="8"/>
  <c r="F9" i="33" s="1"/>
  <c r="I9" i="33" s="1"/>
  <c r="F197" i="5"/>
  <c r="F6" i="33" s="1"/>
  <c r="I6" i="33" s="1"/>
  <c r="F197" i="4"/>
  <c r="F5" i="33" s="1"/>
  <c r="I5" i="33" s="1"/>
  <c r="F197" i="3"/>
  <c r="F4" i="33" s="1"/>
  <c r="I4" i="33" s="1"/>
  <c r="F33" i="33"/>
  <c r="I33" i="33" s="1"/>
  <c r="F30" i="33"/>
  <c r="I30" i="33" s="1"/>
  <c r="F25" i="33"/>
  <c r="I25" i="33" s="1"/>
  <c r="F17" i="33"/>
  <c r="I17" i="33" s="1"/>
  <c r="F16" i="33"/>
  <c r="I16" i="33" s="1"/>
  <c r="F8" i="33"/>
  <c r="I8" i="33" s="1"/>
  <c r="Q103" i="10"/>
  <c r="N174" i="10" s="1"/>
  <c r="Q103" i="3"/>
  <c r="N174" i="3" s="1"/>
  <c r="Q103" i="18"/>
  <c r="N174" i="18" s="1"/>
  <c r="Q103" i="20"/>
  <c r="N174" i="20" s="1"/>
  <c r="AD2" i="32"/>
  <c r="Q103" i="25"/>
  <c r="N174" i="25" s="1"/>
  <c r="U3" i="32"/>
  <c r="U7" i="32"/>
  <c r="U12" i="32"/>
  <c r="P111" i="31"/>
  <c r="N175" i="31" s="1"/>
  <c r="Q103" i="4"/>
  <c r="N174" i="4" s="1"/>
  <c r="Q103" i="21"/>
  <c r="N174" i="21" s="1"/>
  <c r="Q103" i="14"/>
  <c r="N174" i="14" s="1"/>
  <c r="Q103" i="15"/>
  <c r="N174" i="15" s="1"/>
  <c r="Q103" i="8"/>
  <c r="N174" i="8" s="1"/>
  <c r="Q103" i="13"/>
  <c r="N174" i="13" s="1"/>
  <c r="U15" i="32"/>
  <c r="U21" i="32"/>
  <c r="P111" i="29"/>
  <c r="N175" i="29" s="1"/>
  <c r="U11" i="32"/>
  <c r="U19" i="32"/>
  <c r="U24" i="32"/>
  <c r="U23" i="32"/>
  <c r="Q103" i="12"/>
  <c r="N174" i="12" s="1"/>
  <c r="U9" i="32"/>
  <c r="U6" i="32"/>
  <c r="U16" i="32"/>
  <c r="U26" i="32"/>
  <c r="Z10" i="32"/>
  <c r="F19" i="33"/>
  <c r="I19" i="33" s="1"/>
  <c r="Z3" i="32"/>
  <c r="Q103" i="9"/>
  <c r="N174" i="9" s="1"/>
  <c r="Q103" i="22"/>
  <c r="N174" i="22" s="1"/>
  <c r="Q103" i="24"/>
  <c r="N174" i="24" s="1"/>
  <c r="Q103" i="7"/>
  <c r="N174" i="7" s="1"/>
  <c r="Q103" i="19"/>
  <c r="N174" i="19" s="1"/>
  <c r="Q103" i="23"/>
  <c r="N174" i="23" s="1"/>
  <c r="U4" i="32"/>
  <c r="U18" i="32"/>
  <c r="P111" i="27"/>
  <c r="N175" i="27" s="1"/>
  <c r="N192" i="27" s="1"/>
  <c r="H33" i="32" s="1"/>
  <c r="U8" i="32"/>
  <c r="U17" i="32"/>
  <c r="U25" i="32"/>
  <c r="Z20" i="32"/>
  <c r="Z21" i="32"/>
  <c r="Q103" i="5"/>
  <c r="N174" i="5" s="1"/>
  <c r="Q103" i="11"/>
  <c r="N174" i="11" s="1"/>
  <c r="Q103" i="6"/>
  <c r="N174" i="6" s="1"/>
  <c r="Q103" i="17"/>
  <c r="N174" i="17" s="1"/>
  <c r="Q103" i="16"/>
  <c r="N174" i="16" s="1"/>
  <c r="Q103" i="26"/>
  <c r="N174" i="26" s="1"/>
  <c r="U5" i="32"/>
  <c r="U13" i="32"/>
  <c r="U20" i="32"/>
  <c r="P111" i="28"/>
  <c r="N175" i="28" s="1"/>
  <c r="U10" i="32"/>
  <c r="U14" i="32"/>
  <c r="U22" i="32"/>
  <c r="P111" i="30"/>
  <c r="N175" i="30" s="1"/>
  <c r="M27" i="32"/>
  <c r="N2" i="32"/>
  <c r="N27" i="32" s="1"/>
  <c r="AI2" i="32"/>
  <c r="AI27" i="32" s="1"/>
  <c r="AC2" i="32"/>
  <c r="AC27" i="32" s="1"/>
  <c r="AB2" i="32"/>
  <c r="AB27" i="32" s="1"/>
  <c r="V2" i="32"/>
  <c r="O2" i="32"/>
  <c r="O27" i="32" s="1"/>
  <c r="Q2" i="32"/>
  <c r="J21" i="2"/>
  <c r="H2" i="32"/>
  <c r="H27" i="32" s="1"/>
  <c r="I38" i="32"/>
  <c r="C47" i="33" s="1"/>
  <c r="D120" i="2"/>
  <c r="D128" i="2" s="1"/>
  <c r="J71" i="2"/>
  <c r="D174" i="2"/>
  <c r="K71" i="2"/>
  <c r="K31" i="2"/>
  <c r="K21" i="2"/>
  <c r="K61" i="2"/>
  <c r="J61" i="2"/>
  <c r="J41" i="2"/>
  <c r="J42" i="2" s="1"/>
  <c r="J51" i="2"/>
  <c r="J52" i="2" s="1"/>
  <c r="I174" i="2"/>
  <c r="E2" i="32" s="1"/>
  <c r="E27" i="32" s="1"/>
  <c r="J31" i="2"/>
  <c r="I181" i="2"/>
  <c r="K175" i="2"/>
  <c r="K174" i="2"/>
  <c r="N113" i="18" l="1"/>
  <c r="D132" i="18" s="1"/>
  <c r="N113" i="11"/>
  <c r="M114" i="11" s="1"/>
  <c r="N113" i="26"/>
  <c r="N113" i="25"/>
  <c r="N113" i="24"/>
  <c r="N113" i="23"/>
  <c r="D132" i="23" s="1"/>
  <c r="N113" i="22"/>
  <c r="N113" i="21"/>
  <c r="N113" i="20"/>
  <c r="N113" i="19"/>
  <c r="N113" i="17"/>
  <c r="W16" i="32"/>
  <c r="N113" i="16"/>
  <c r="N175" i="15"/>
  <c r="N113" i="15"/>
  <c r="N113" i="14"/>
  <c r="N113" i="13"/>
  <c r="N113" i="12"/>
  <c r="N113" i="10"/>
  <c r="N113" i="9"/>
  <c r="N113" i="8"/>
  <c r="N113" i="7"/>
  <c r="N113" i="6"/>
  <c r="N113" i="5"/>
  <c r="D132" i="5" s="1"/>
  <c r="N113" i="4"/>
  <c r="N113" i="3"/>
  <c r="D132" i="3" s="1"/>
  <c r="N177" i="26"/>
  <c r="N177" i="25"/>
  <c r="N177" i="24"/>
  <c r="N177" i="23"/>
  <c r="N177" i="22"/>
  <c r="N177" i="19"/>
  <c r="N177" i="18"/>
  <c r="N177" i="17"/>
  <c r="N177" i="16"/>
  <c r="N177" i="15"/>
  <c r="N177" i="14"/>
  <c r="N177" i="13"/>
  <c r="N177" i="12"/>
  <c r="N177" i="11"/>
  <c r="N177" i="9"/>
  <c r="N177" i="8"/>
  <c r="Z13" i="32"/>
  <c r="N177" i="7"/>
  <c r="N177" i="6"/>
  <c r="N177" i="5"/>
  <c r="N177" i="4"/>
  <c r="N175" i="25"/>
  <c r="N175" i="3"/>
  <c r="N175" i="10"/>
  <c r="N175" i="13"/>
  <c r="W9" i="32"/>
  <c r="N175" i="17"/>
  <c r="N175" i="7"/>
  <c r="N175" i="21"/>
  <c r="N175" i="19"/>
  <c r="N175" i="4"/>
  <c r="N175" i="12"/>
  <c r="N175" i="11"/>
  <c r="N175" i="18"/>
  <c r="N175" i="23"/>
  <c r="W5" i="32"/>
  <c r="N175" i="26"/>
  <c r="N175" i="22"/>
  <c r="W22" i="32"/>
  <c r="W3" i="32"/>
  <c r="W23" i="32"/>
  <c r="W13" i="32"/>
  <c r="W26" i="32"/>
  <c r="Z15" i="32"/>
  <c r="Z12" i="32"/>
  <c r="W10" i="32"/>
  <c r="N175" i="5"/>
  <c r="Z5" i="32"/>
  <c r="W4" i="32"/>
  <c r="W19" i="32"/>
  <c r="W12" i="32"/>
  <c r="Z19" i="32"/>
  <c r="W21" i="32"/>
  <c r="W18" i="32"/>
  <c r="W11" i="32"/>
  <c r="N175" i="16"/>
  <c r="W7" i="32"/>
  <c r="Z6" i="32"/>
  <c r="W17" i="32"/>
  <c r="Z4" i="32"/>
  <c r="W15" i="32"/>
  <c r="W25" i="32"/>
  <c r="T25" i="32"/>
  <c r="Z9" i="32"/>
  <c r="I195" i="21"/>
  <c r="I195" i="26"/>
  <c r="I195" i="25"/>
  <c r="I195" i="24"/>
  <c r="N175" i="24"/>
  <c r="I195" i="23"/>
  <c r="I195" i="22"/>
  <c r="I195" i="20"/>
  <c r="N175" i="20"/>
  <c r="I195" i="19"/>
  <c r="I195" i="18"/>
  <c r="I195" i="17"/>
  <c r="I195" i="16"/>
  <c r="I195" i="15"/>
  <c r="I195" i="14"/>
  <c r="N175" i="14"/>
  <c r="I195" i="13"/>
  <c r="I195" i="12"/>
  <c r="I195" i="11"/>
  <c r="I195" i="10"/>
  <c r="I195" i="9"/>
  <c r="N175" i="9"/>
  <c r="I195" i="8"/>
  <c r="N175" i="8"/>
  <c r="I195" i="7"/>
  <c r="N175" i="6"/>
  <c r="I195" i="6"/>
  <c r="I195" i="5"/>
  <c r="I195" i="4"/>
  <c r="I195" i="3"/>
  <c r="N195" i="31"/>
  <c r="N192" i="31"/>
  <c r="H37" i="32" s="1"/>
  <c r="J37" i="32" s="1"/>
  <c r="K37" i="32" s="1"/>
  <c r="N195" i="30"/>
  <c r="N192" i="30"/>
  <c r="H36" i="32" s="1"/>
  <c r="J36" i="32" s="1"/>
  <c r="N195" i="29"/>
  <c r="N192" i="29"/>
  <c r="H35" i="32" s="1"/>
  <c r="J35" i="32" s="1"/>
  <c r="N195" i="28"/>
  <c r="N192" i="28"/>
  <c r="H34" i="32" s="1"/>
  <c r="J34" i="32" s="1"/>
  <c r="N195" i="27"/>
  <c r="N200" i="27" s="1"/>
  <c r="P111" i="18"/>
  <c r="P111" i="3"/>
  <c r="T20" i="32"/>
  <c r="T18" i="32"/>
  <c r="P111" i="10"/>
  <c r="T10" i="32"/>
  <c r="P111" i="25"/>
  <c r="P111" i="20"/>
  <c r="T3" i="32"/>
  <c r="D130" i="31"/>
  <c r="D133" i="31" s="1"/>
  <c r="P133" i="31" s="1"/>
  <c r="Z14" i="32"/>
  <c r="Z11" i="32"/>
  <c r="T8" i="32"/>
  <c r="P111" i="8"/>
  <c r="K22" i="2"/>
  <c r="D130" i="30"/>
  <c r="D133" i="30" s="1"/>
  <c r="P133" i="30" s="1"/>
  <c r="T26" i="32"/>
  <c r="P111" i="26"/>
  <c r="P111" i="11"/>
  <c r="T11" i="32"/>
  <c r="Z7" i="32"/>
  <c r="Z8" i="32"/>
  <c r="J33" i="32"/>
  <c r="D130" i="27"/>
  <c r="D133" i="27" s="1"/>
  <c r="P133" i="27" s="1"/>
  <c r="T19" i="32"/>
  <c r="P111" i="19"/>
  <c r="T9" i="32"/>
  <c r="P111" i="9"/>
  <c r="T15" i="32"/>
  <c r="P111" i="15"/>
  <c r="W20" i="32"/>
  <c r="T6" i="32"/>
  <c r="P111" i="6"/>
  <c r="P111" i="23"/>
  <c r="T23" i="32"/>
  <c r="T12" i="32"/>
  <c r="P111" i="12"/>
  <c r="T16" i="32"/>
  <c r="P111" i="16"/>
  <c r="T5" i="32"/>
  <c r="P111" i="5"/>
  <c r="Z17" i="32"/>
  <c r="T7" i="32"/>
  <c r="P111" i="7"/>
  <c r="W6" i="32"/>
  <c r="Z25" i="32"/>
  <c r="D130" i="29"/>
  <c r="D133" i="29" s="1"/>
  <c r="P133" i="29" s="1"/>
  <c r="T14" i="32"/>
  <c r="P111" i="14"/>
  <c r="W14" i="32"/>
  <c r="Z26" i="32"/>
  <c r="X9" i="32"/>
  <c r="T22" i="32"/>
  <c r="P111" i="22"/>
  <c r="T4" i="32"/>
  <c r="P111" i="4"/>
  <c r="D130" i="28"/>
  <c r="D133" i="28" s="1"/>
  <c r="P133" i="28" s="1"/>
  <c r="T17" i="32"/>
  <c r="P111" i="17"/>
  <c r="W8" i="32"/>
  <c r="T24" i="32"/>
  <c r="P111" i="24"/>
  <c r="Z23" i="32"/>
  <c r="Z24" i="32"/>
  <c r="T13" i="32"/>
  <c r="P111" i="13"/>
  <c r="T21" i="32"/>
  <c r="P111" i="21"/>
  <c r="W24" i="32"/>
  <c r="Z22" i="32"/>
  <c r="J32" i="2"/>
  <c r="J22" i="2"/>
  <c r="K72" i="2"/>
  <c r="G38" i="32"/>
  <c r="K74" i="2"/>
  <c r="J72" i="2"/>
  <c r="K42" i="2"/>
  <c r="J62" i="2"/>
  <c r="K32" i="2"/>
  <c r="K62" i="2"/>
  <c r="J74" i="2"/>
  <c r="K52" i="2"/>
  <c r="P114" i="11" l="1"/>
  <c r="Q115" i="11" s="1"/>
  <c r="P114" i="18"/>
  <c r="M114" i="18"/>
  <c r="M114" i="26"/>
  <c r="P114" i="26"/>
  <c r="P114" i="25"/>
  <c r="M114" i="25"/>
  <c r="M114" i="24"/>
  <c r="P114" i="24"/>
  <c r="P114" i="23"/>
  <c r="M114" i="23"/>
  <c r="M114" i="22"/>
  <c r="P114" i="22"/>
  <c r="P114" i="21"/>
  <c r="M114" i="21"/>
  <c r="M114" i="20"/>
  <c r="P114" i="20"/>
  <c r="P114" i="19"/>
  <c r="M114" i="19"/>
  <c r="M114" i="17"/>
  <c r="P114" i="17"/>
  <c r="M114" i="16"/>
  <c r="P114" i="16"/>
  <c r="D132" i="16"/>
  <c r="M114" i="15"/>
  <c r="P114" i="15"/>
  <c r="D132" i="15"/>
  <c r="M114" i="14"/>
  <c r="P114" i="14"/>
  <c r="M114" i="13"/>
  <c r="P114" i="13"/>
  <c r="M114" i="12"/>
  <c r="P114" i="12"/>
  <c r="M114" i="10"/>
  <c r="P114" i="10"/>
  <c r="P114" i="9"/>
  <c r="M114" i="9"/>
  <c r="P114" i="8"/>
  <c r="M114" i="8"/>
  <c r="M114" i="7"/>
  <c r="P114" i="7"/>
  <c r="P114" i="6"/>
  <c r="M114" i="6"/>
  <c r="P114" i="5"/>
  <c r="M114" i="5"/>
  <c r="M114" i="4"/>
  <c r="P114" i="4"/>
  <c r="P114" i="3"/>
  <c r="M114" i="3"/>
  <c r="N197" i="27"/>
  <c r="N199" i="27"/>
  <c r="I198" i="27" s="1"/>
  <c r="C29" i="33" s="1"/>
  <c r="D132" i="10"/>
  <c r="N199" i="31"/>
  <c r="I198" i="31" s="1"/>
  <c r="N197" i="31"/>
  <c r="N200" i="31"/>
  <c r="N200" i="30"/>
  <c r="N197" i="30"/>
  <c r="N199" i="30"/>
  <c r="I198" i="30" s="1"/>
  <c r="N200" i="29"/>
  <c r="N197" i="29"/>
  <c r="N199" i="29"/>
  <c r="I198" i="29" s="1"/>
  <c r="N197" i="28"/>
  <c r="N200" i="28"/>
  <c r="N199" i="28"/>
  <c r="I198" i="28" s="1"/>
  <c r="D132" i="13"/>
  <c r="D132" i="19"/>
  <c r="L37" i="32"/>
  <c r="D132" i="21"/>
  <c r="D132" i="4"/>
  <c r="L35" i="32"/>
  <c r="K35" i="32"/>
  <c r="K34" i="32"/>
  <c r="L34" i="32"/>
  <c r="L33" i="32"/>
  <c r="K33" i="32"/>
  <c r="J38" i="32"/>
  <c r="C50" i="33" s="1"/>
  <c r="K36" i="32"/>
  <c r="L36" i="32"/>
  <c r="D132" i="6"/>
  <c r="D132" i="20"/>
  <c r="D132" i="22"/>
  <c r="D132" i="9"/>
  <c r="D132" i="12"/>
  <c r="D132" i="17"/>
  <c r="D132" i="14"/>
  <c r="D132" i="7"/>
  <c r="D132" i="26"/>
  <c r="D132" i="24"/>
  <c r="D132" i="25"/>
  <c r="D132" i="8"/>
  <c r="D132" i="11"/>
  <c r="J75" i="2"/>
  <c r="D95" i="2" s="1"/>
  <c r="F95" i="2" s="1"/>
  <c r="E38" i="32"/>
  <c r="K75" i="2"/>
  <c r="N95" i="2" s="1"/>
  <c r="D176" i="2" s="1"/>
  <c r="Q115" i="3" l="1"/>
  <c r="N179" i="3" s="1"/>
  <c r="N195" i="3" s="1"/>
  <c r="Q115" i="21"/>
  <c r="N179" i="21" s="1"/>
  <c r="N195" i="21" s="1"/>
  <c r="Q115" i="25"/>
  <c r="N179" i="25" s="1"/>
  <c r="Q115" i="19"/>
  <c r="AA19" i="32" s="1"/>
  <c r="AE19" i="32" s="1"/>
  <c r="AH19" i="32" s="1"/>
  <c r="Q115" i="18"/>
  <c r="N179" i="18" s="1"/>
  <c r="N195" i="18" s="1"/>
  <c r="Q115" i="16"/>
  <c r="N179" i="16" s="1"/>
  <c r="N195" i="16" s="1"/>
  <c r="Q115" i="15"/>
  <c r="N179" i="15" s="1"/>
  <c r="Q115" i="14"/>
  <c r="N179" i="14" s="1"/>
  <c r="Q115" i="13"/>
  <c r="N179" i="13" s="1"/>
  <c r="N195" i="13" s="1"/>
  <c r="Q115" i="8"/>
  <c r="N179" i="8" s="1"/>
  <c r="Q115" i="6"/>
  <c r="N179" i="6" s="1"/>
  <c r="Q115" i="5"/>
  <c r="N179" i="5" s="1"/>
  <c r="Q115" i="26"/>
  <c r="N179" i="26" s="1"/>
  <c r="Q115" i="24"/>
  <c r="N179" i="24" s="1"/>
  <c r="Q115" i="23"/>
  <c r="N179" i="23" s="1"/>
  <c r="Q115" i="22"/>
  <c r="N179" i="22" s="1"/>
  <c r="Q115" i="20"/>
  <c r="N179" i="20" s="1"/>
  <c r="Q115" i="17"/>
  <c r="N179" i="17" s="1"/>
  <c r="Q115" i="12"/>
  <c r="N179" i="12" s="1"/>
  <c r="Q115" i="10"/>
  <c r="N179" i="10" s="1"/>
  <c r="N192" i="10" s="1"/>
  <c r="Q115" i="9"/>
  <c r="N179" i="9" s="1"/>
  <c r="Q115" i="7"/>
  <c r="N179" i="7" s="1"/>
  <c r="Q115" i="4"/>
  <c r="N179" i="4" s="1"/>
  <c r="N195" i="4" s="1"/>
  <c r="N179" i="11"/>
  <c r="K38" i="32"/>
  <c r="L38" i="32"/>
  <c r="C228" i="31"/>
  <c r="K178" i="2"/>
  <c r="D125" i="2"/>
  <c r="I2" i="32"/>
  <c r="I27" i="32" s="1"/>
  <c r="P95" i="2"/>
  <c r="P94" i="2" s="1"/>
  <c r="N178" i="2"/>
  <c r="N179" i="19" l="1"/>
  <c r="N192" i="19" s="1"/>
  <c r="D130" i="19"/>
  <c r="D133" i="19" s="1"/>
  <c r="P133" i="19" s="1"/>
  <c r="N195" i="10"/>
  <c r="N197" i="10" s="1"/>
  <c r="N192" i="4"/>
  <c r="AA4" i="32"/>
  <c r="AE4" i="32" s="1"/>
  <c r="AH4" i="32" s="1"/>
  <c r="AK4" i="32" s="1"/>
  <c r="D130" i="4"/>
  <c r="D133" i="4" s="1"/>
  <c r="P133" i="4" s="1"/>
  <c r="AA10" i="32"/>
  <c r="AE10" i="32" s="1"/>
  <c r="AH10" i="32" s="1"/>
  <c r="D130" i="10"/>
  <c r="D133" i="10" s="1"/>
  <c r="P133" i="10" s="1"/>
  <c r="D130" i="21"/>
  <c r="D133" i="21" s="1"/>
  <c r="P133" i="21" s="1"/>
  <c r="AA13" i="32"/>
  <c r="AE13" i="32" s="1"/>
  <c r="AH13" i="32" s="1"/>
  <c r="AJ13" i="32" s="1"/>
  <c r="N192" i="13"/>
  <c r="N192" i="21"/>
  <c r="AA21" i="32"/>
  <c r="AE21" i="32" s="1"/>
  <c r="AH21" i="32" s="1"/>
  <c r="AJ21" i="32" s="1"/>
  <c r="D130" i="13"/>
  <c r="D133" i="13" s="1"/>
  <c r="P133" i="13" s="1"/>
  <c r="N192" i="16"/>
  <c r="AA16" i="32"/>
  <c r="AE16" i="32" s="1"/>
  <c r="D130" i="16"/>
  <c r="D133" i="16" s="1"/>
  <c r="P133" i="16" s="1"/>
  <c r="D130" i="3"/>
  <c r="D133" i="3" s="1"/>
  <c r="P133" i="3" s="1"/>
  <c r="AA3" i="32"/>
  <c r="AE3" i="32" s="1"/>
  <c r="AH3" i="32" s="1"/>
  <c r="AK3" i="32" s="1"/>
  <c r="N192" i="3"/>
  <c r="AA18" i="32"/>
  <c r="AE18" i="32" s="1"/>
  <c r="AH18" i="32" s="1"/>
  <c r="AJ18" i="32" s="1"/>
  <c r="N192" i="18"/>
  <c r="D130" i="18"/>
  <c r="D133" i="18" s="1"/>
  <c r="P133" i="18" s="1"/>
  <c r="N195" i="26"/>
  <c r="N192" i="26"/>
  <c r="N195" i="25"/>
  <c r="N192" i="25"/>
  <c r="N195" i="24"/>
  <c r="N192" i="24"/>
  <c r="N195" i="23"/>
  <c r="N192" i="23"/>
  <c r="N195" i="22"/>
  <c r="N192" i="22"/>
  <c r="N200" i="21"/>
  <c r="N197" i="21"/>
  <c r="N199" i="21"/>
  <c r="I198" i="21" s="1"/>
  <c r="N195" i="20"/>
  <c r="N192" i="20"/>
  <c r="N199" i="18"/>
  <c r="I198" i="18" s="1"/>
  <c r="N200" i="18"/>
  <c r="N197" i="18"/>
  <c r="D130" i="17"/>
  <c r="D133" i="17" s="1"/>
  <c r="P133" i="17" s="1"/>
  <c r="N195" i="17"/>
  <c r="N192" i="17"/>
  <c r="AA17" i="32"/>
  <c r="AE17" i="32" s="1"/>
  <c r="AH17" i="32" s="1"/>
  <c r="N200" i="16"/>
  <c r="N199" i="16"/>
  <c r="I198" i="16" s="1"/>
  <c r="N197" i="16"/>
  <c r="N195" i="15"/>
  <c r="N192" i="15"/>
  <c r="N195" i="14"/>
  <c r="N192" i="14"/>
  <c r="N199" i="13"/>
  <c r="I198" i="13" s="1"/>
  <c r="N197" i="13"/>
  <c r="N200" i="13"/>
  <c r="N195" i="12"/>
  <c r="N192" i="12"/>
  <c r="N195" i="11"/>
  <c r="N192" i="11"/>
  <c r="N195" i="9"/>
  <c r="N192" i="9"/>
  <c r="N192" i="8"/>
  <c r="N195" i="8"/>
  <c r="N195" i="7"/>
  <c r="N192" i="7"/>
  <c r="N195" i="6"/>
  <c r="N192" i="6"/>
  <c r="N195" i="5"/>
  <c r="N192" i="5"/>
  <c r="AA5" i="32"/>
  <c r="AE5" i="32" s="1"/>
  <c r="AH5" i="32" s="1"/>
  <c r="AK5" i="32" s="1"/>
  <c r="N200" i="4"/>
  <c r="N197" i="4"/>
  <c r="N199" i="4"/>
  <c r="I198" i="4" s="1"/>
  <c r="N197" i="3"/>
  <c r="N199" i="3"/>
  <c r="I198" i="3" s="1"/>
  <c r="N200" i="3"/>
  <c r="D130" i="23"/>
  <c r="D133" i="23" s="1"/>
  <c r="P133" i="23" s="1"/>
  <c r="AA23" i="32"/>
  <c r="AE23" i="32" s="1"/>
  <c r="D130" i="5"/>
  <c r="D133" i="5" s="1"/>
  <c r="P133" i="5" s="1"/>
  <c r="D130" i="6"/>
  <c r="D133" i="6" s="1"/>
  <c r="P133" i="6" s="1"/>
  <c r="AA6" i="32"/>
  <c r="AE6" i="32" s="1"/>
  <c r="AH6" i="32" s="1"/>
  <c r="D130" i="25"/>
  <c r="D133" i="25" s="1"/>
  <c r="P133" i="25" s="1"/>
  <c r="AA14" i="32"/>
  <c r="AE14" i="32" s="1"/>
  <c r="AH14" i="32" s="1"/>
  <c r="D130" i="14"/>
  <c r="D133" i="14" s="1"/>
  <c r="P133" i="14" s="1"/>
  <c r="AA12" i="32"/>
  <c r="AE12" i="32" s="1"/>
  <c r="AH12" i="32" s="1"/>
  <c r="AK12" i="32" s="1"/>
  <c r="D130" i="12"/>
  <c r="D133" i="12" s="1"/>
  <c r="P133" i="12" s="1"/>
  <c r="D130" i="26"/>
  <c r="D133" i="26" s="1"/>
  <c r="P133" i="26" s="1"/>
  <c r="AA25" i="32"/>
  <c r="AE25" i="32" s="1"/>
  <c r="AH25" i="32" s="1"/>
  <c r="AK25" i="32" s="1"/>
  <c r="D130" i="7"/>
  <c r="D133" i="7" s="1"/>
  <c r="P133" i="7" s="1"/>
  <c r="AA7" i="32"/>
  <c r="AE7" i="32" s="1"/>
  <c r="AH7" i="32" s="1"/>
  <c r="AA26" i="32"/>
  <c r="AE26" i="32" s="1"/>
  <c r="AH26" i="32" s="1"/>
  <c r="AA24" i="32"/>
  <c r="AE24" i="32" s="1"/>
  <c r="AH24" i="32" s="1"/>
  <c r="D130" i="24"/>
  <c r="D133" i="24" s="1"/>
  <c r="P133" i="24" s="1"/>
  <c r="AA22" i="32"/>
  <c r="AE22" i="32" s="1"/>
  <c r="AH22" i="32" s="1"/>
  <c r="D130" i="20"/>
  <c r="D133" i="20" s="1"/>
  <c r="P133" i="20" s="1"/>
  <c r="AA20" i="32"/>
  <c r="AE20" i="32" s="1"/>
  <c r="AH20" i="32" s="1"/>
  <c r="D130" i="15"/>
  <c r="D133" i="15" s="1"/>
  <c r="P133" i="15" s="1"/>
  <c r="AA15" i="32"/>
  <c r="AE15" i="32" s="1"/>
  <c r="AH15" i="32" s="1"/>
  <c r="D130" i="11"/>
  <c r="D133" i="11" s="1"/>
  <c r="P133" i="11" s="1"/>
  <c r="AA11" i="32"/>
  <c r="AE11" i="32" s="1"/>
  <c r="AH11" i="32" s="1"/>
  <c r="D130" i="9"/>
  <c r="D133" i="9" s="1"/>
  <c r="P133" i="9" s="1"/>
  <c r="AA9" i="32"/>
  <c r="AE9" i="32" s="1"/>
  <c r="AH9" i="32" s="1"/>
  <c r="AK19" i="32"/>
  <c r="AJ19" i="32"/>
  <c r="D130" i="22"/>
  <c r="D133" i="22" s="1"/>
  <c r="P133" i="22" s="1"/>
  <c r="D130" i="8"/>
  <c r="D133" i="8" s="1"/>
  <c r="P133" i="8" s="1"/>
  <c r="AA8" i="32"/>
  <c r="C228" i="28"/>
  <c r="K234" i="31"/>
  <c r="S238" i="31"/>
  <c r="G232" i="31"/>
  <c r="M235" i="31"/>
  <c r="O236" i="31"/>
  <c r="C229" i="31"/>
  <c r="C230" i="31" s="1"/>
  <c r="C231" i="31" s="1"/>
  <c r="U239" i="31"/>
  <c r="I233" i="31"/>
  <c r="Q237" i="31"/>
  <c r="E231" i="31"/>
  <c r="C228" i="29"/>
  <c r="C228" i="27"/>
  <c r="C33" i="33"/>
  <c r="P4" i="31"/>
  <c r="Q124" i="31" s="1"/>
  <c r="C228" i="30"/>
  <c r="D124" i="2"/>
  <c r="I176" i="2"/>
  <c r="G2" i="32" s="1"/>
  <c r="G27" i="32" s="1"/>
  <c r="Q131" i="31" l="1"/>
  <c r="N200" i="10"/>
  <c r="N195" i="19"/>
  <c r="N199" i="10"/>
  <c r="I198" i="10" s="1"/>
  <c r="AJ4" i="32"/>
  <c r="AK13" i="32"/>
  <c r="AK21" i="32"/>
  <c r="AJ3" i="32"/>
  <c r="AK18" i="32"/>
  <c r="AJ5" i="32"/>
  <c r="N199" i="26"/>
  <c r="I198" i="26" s="1"/>
  <c r="N200" i="26"/>
  <c r="N197" i="26"/>
  <c r="N199" i="25"/>
  <c r="I198" i="25" s="1"/>
  <c r="N197" i="25"/>
  <c r="N200" i="25"/>
  <c r="N197" i="24"/>
  <c r="N200" i="24"/>
  <c r="N199" i="24"/>
  <c r="I198" i="24" s="1"/>
  <c r="N197" i="23"/>
  <c r="N199" i="23"/>
  <c r="I198" i="23" s="1"/>
  <c r="P4" i="23" s="1"/>
  <c r="Q124" i="23" s="1"/>
  <c r="N200" i="23"/>
  <c r="N199" i="22"/>
  <c r="I198" i="22" s="1"/>
  <c r="N200" i="22"/>
  <c r="N197" i="22"/>
  <c r="N199" i="20"/>
  <c r="I198" i="20" s="1"/>
  <c r="N200" i="20"/>
  <c r="N197" i="20"/>
  <c r="N197" i="17"/>
  <c r="N199" i="17"/>
  <c r="I198" i="17" s="1"/>
  <c r="N200" i="17"/>
  <c r="N200" i="15"/>
  <c r="N197" i="15"/>
  <c r="N199" i="15"/>
  <c r="I198" i="15" s="1"/>
  <c r="C16" i="33" s="1"/>
  <c r="N197" i="14"/>
  <c r="N199" i="14"/>
  <c r="I198" i="14" s="1"/>
  <c r="N200" i="14"/>
  <c r="N200" i="12"/>
  <c r="N197" i="12"/>
  <c r="N199" i="12"/>
  <c r="I198" i="12" s="1"/>
  <c r="N199" i="11"/>
  <c r="I198" i="11" s="1"/>
  <c r="N200" i="11"/>
  <c r="N197" i="11"/>
  <c r="N197" i="9"/>
  <c r="N199" i="9"/>
  <c r="I198" i="9" s="1"/>
  <c r="N200" i="9"/>
  <c r="N199" i="8"/>
  <c r="I198" i="8" s="1"/>
  <c r="N200" i="8"/>
  <c r="N197" i="8"/>
  <c r="N200" i="7"/>
  <c r="N199" i="7"/>
  <c r="I198" i="7" s="1"/>
  <c r="N197" i="7"/>
  <c r="N200" i="6"/>
  <c r="N197" i="6"/>
  <c r="N199" i="6"/>
  <c r="I198" i="6" s="1"/>
  <c r="N199" i="5"/>
  <c r="I198" i="5" s="1"/>
  <c r="P4" i="5" s="1"/>
  <c r="Q124" i="5" s="1"/>
  <c r="N200" i="5"/>
  <c r="N197" i="5"/>
  <c r="C228" i="4"/>
  <c r="O236" i="4" s="1"/>
  <c r="I175" i="2"/>
  <c r="I192" i="2" s="1"/>
  <c r="N194" i="2" s="1"/>
  <c r="N100" i="2"/>
  <c r="AJ26" i="32"/>
  <c r="AK26" i="32"/>
  <c r="AJ25" i="32"/>
  <c r="AJ24" i="32"/>
  <c r="AK24" i="32"/>
  <c r="AK22" i="32"/>
  <c r="AJ22" i="32"/>
  <c r="C228" i="21"/>
  <c r="K234" i="21" s="1"/>
  <c r="AK20" i="32"/>
  <c r="AJ20" i="32"/>
  <c r="AJ17" i="32"/>
  <c r="AK17" i="32"/>
  <c r="C228" i="16"/>
  <c r="E231" i="16" s="1"/>
  <c r="AK15" i="32"/>
  <c r="AJ15" i="32"/>
  <c r="AK14" i="32"/>
  <c r="AJ14" i="32"/>
  <c r="AJ12" i="32"/>
  <c r="AJ11" i="32"/>
  <c r="AK11" i="32"/>
  <c r="AJ10" i="32"/>
  <c r="AK10" i="32"/>
  <c r="AJ9" i="32"/>
  <c r="AK9" i="32"/>
  <c r="AJ7" i="32"/>
  <c r="AK7" i="32"/>
  <c r="AJ6" i="32"/>
  <c r="AK6" i="32"/>
  <c r="AE8" i="32"/>
  <c r="AH8" i="32" s="1"/>
  <c r="E237" i="31"/>
  <c r="F237" i="31" s="1"/>
  <c r="E233" i="31"/>
  <c r="F233" i="31" s="1"/>
  <c r="E238" i="31"/>
  <c r="F238" i="31" s="1"/>
  <c r="E232" i="31"/>
  <c r="F232" i="31" s="1"/>
  <c r="E236" i="31"/>
  <c r="E235" i="31"/>
  <c r="F235" i="31" s="1"/>
  <c r="F231" i="31"/>
  <c r="V231" i="31" s="1"/>
  <c r="E239" i="31"/>
  <c r="F239" i="31" s="1"/>
  <c r="E234" i="31"/>
  <c r="F234" i="31" s="1"/>
  <c r="Q237" i="30"/>
  <c r="E231" i="30"/>
  <c r="U239" i="30"/>
  <c r="M235" i="30"/>
  <c r="O236" i="30"/>
  <c r="G232" i="30"/>
  <c r="I233" i="30"/>
  <c r="K234" i="30"/>
  <c r="S238" i="30"/>
  <c r="C229" i="30"/>
  <c r="C230" i="30" s="1"/>
  <c r="C231" i="30" s="1"/>
  <c r="C228" i="18"/>
  <c r="C31" i="33"/>
  <c r="P4" i="29"/>
  <c r="Q124" i="29" s="1"/>
  <c r="Q239" i="31"/>
  <c r="R239" i="31" s="1"/>
  <c r="Q238" i="31"/>
  <c r="R238" i="31" s="1"/>
  <c r="R237" i="31"/>
  <c r="O237" i="31"/>
  <c r="P237" i="31" s="1"/>
  <c r="P236" i="31"/>
  <c r="O238" i="31"/>
  <c r="P238" i="31" s="1"/>
  <c r="O239" i="31"/>
  <c r="P239" i="31" s="1"/>
  <c r="L234" i="31"/>
  <c r="K235" i="31"/>
  <c r="L235" i="31" s="1"/>
  <c r="C228" i="3"/>
  <c r="K234" i="28"/>
  <c r="G232" i="28"/>
  <c r="E231" i="28"/>
  <c r="M235" i="28"/>
  <c r="I233" i="28"/>
  <c r="U239" i="28"/>
  <c r="C229" i="28"/>
  <c r="C230" i="28" s="1"/>
  <c r="C231" i="28" s="1"/>
  <c r="Q237" i="28"/>
  <c r="S238" i="28"/>
  <c r="O236" i="28"/>
  <c r="P4" i="21"/>
  <c r="Q124" i="21" s="1"/>
  <c r="C22" i="33"/>
  <c r="P4" i="30"/>
  <c r="Q124" i="30" s="1"/>
  <c r="C32" i="33"/>
  <c r="I235" i="31"/>
  <c r="J235" i="31" s="1"/>
  <c r="I234" i="31"/>
  <c r="J234" i="31" s="1"/>
  <c r="I239" i="31"/>
  <c r="J239" i="31" s="1"/>
  <c r="I236" i="31"/>
  <c r="J236" i="31" s="1"/>
  <c r="I237" i="31"/>
  <c r="J237" i="31" s="1"/>
  <c r="I238" i="31"/>
  <c r="J238" i="31" s="1"/>
  <c r="J233" i="31"/>
  <c r="N235" i="31"/>
  <c r="M238" i="31"/>
  <c r="N238" i="31" s="1"/>
  <c r="M236" i="31"/>
  <c r="N236" i="31" s="1"/>
  <c r="M239" i="31"/>
  <c r="N239" i="31" s="1"/>
  <c r="M237" i="31"/>
  <c r="N237" i="31" s="1"/>
  <c r="P4" i="4"/>
  <c r="Q124" i="4" s="1"/>
  <c r="C5" i="33"/>
  <c r="P4" i="28"/>
  <c r="Q124" i="28" s="1"/>
  <c r="C30" i="33"/>
  <c r="P4" i="27"/>
  <c r="Q124" i="27" s="1"/>
  <c r="Q237" i="29"/>
  <c r="S238" i="29"/>
  <c r="M235" i="29"/>
  <c r="O236" i="29"/>
  <c r="I233" i="29"/>
  <c r="K234" i="29"/>
  <c r="G232" i="29"/>
  <c r="E231" i="29"/>
  <c r="U239" i="29"/>
  <c r="C229" i="29"/>
  <c r="C230" i="29" s="1"/>
  <c r="C231" i="29" s="1"/>
  <c r="C228" i="13"/>
  <c r="N33" i="33"/>
  <c r="R33" i="33" s="1"/>
  <c r="Q237" i="27"/>
  <c r="S238" i="27"/>
  <c r="M235" i="27"/>
  <c r="O236" i="27"/>
  <c r="I233" i="27"/>
  <c r="C229" i="27"/>
  <c r="C230" i="27" s="1"/>
  <c r="C231" i="27" s="1"/>
  <c r="K234" i="27"/>
  <c r="G232" i="27"/>
  <c r="E231" i="27"/>
  <c r="U239" i="27"/>
  <c r="P4" i="16"/>
  <c r="Q124" i="16" s="1"/>
  <c r="C17" i="33"/>
  <c r="G233" i="31"/>
  <c r="H233" i="31" s="1"/>
  <c r="H232" i="31"/>
  <c r="G236" i="31"/>
  <c r="H236" i="31" s="1"/>
  <c r="G237" i="31"/>
  <c r="H237" i="31" s="1"/>
  <c r="G238" i="31"/>
  <c r="H238" i="31" s="1"/>
  <c r="G239" i="31"/>
  <c r="H239" i="31" s="1"/>
  <c r="G234" i="31"/>
  <c r="H234" i="31" s="1"/>
  <c r="G235" i="31"/>
  <c r="H235" i="31" s="1"/>
  <c r="T238" i="31"/>
  <c r="S239" i="31"/>
  <c r="T239" i="31" s="1"/>
  <c r="D126" i="2"/>
  <c r="D127" i="2" s="1"/>
  <c r="Q127" i="2" l="1"/>
  <c r="D197" i="2" s="1"/>
  <c r="E3" i="33" s="1"/>
  <c r="E34" i="33" s="1"/>
  <c r="C46" i="33" s="1"/>
  <c r="Q123" i="2"/>
  <c r="M235" i="4"/>
  <c r="M238" i="4" s="1"/>
  <c r="N238" i="4" s="1"/>
  <c r="Q131" i="30"/>
  <c r="Q131" i="29"/>
  <c r="Q131" i="28"/>
  <c r="Q131" i="27"/>
  <c r="Q131" i="4"/>
  <c r="Q131" i="23"/>
  <c r="N200" i="19"/>
  <c r="N197" i="19"/>
  <c r="N199" i="19"/>
  <c r="Q131" i="21"/>
  <c r="Q131" i="16"/>
  <c r="Q131" i="5"/>
  <c r="K234" i="16"/>
  <c r="L234" i="16" s="1"/>
  <c r="M235" i="16"/>
  <c r="M239" i="16" s="1"/>
  <c r="N239" i="16" s="1"/>
  <c r="C6" i="33"/>
  <c r="Q104" i="2"/>
  <c r="Q126" i="2"/>
  <c r="F197" i="2" s="1"/>
  <c r="F3" i="33" s="1"/>
  <c r="F34" i="33" s="1"/>
  <c r="E231" i="21"/>
  <c r="E236" i="21" s="1"/>
  <c r="U239" i="21"/>
  <c r="G232" i="21"/>
  <c r="G238" i="21" s="1"/>
  <c r="H238" i="21" s="1"/>
  <c r="M235" i="21"/>
  <c r="M238" i="21" s="1"/>
  <c r="N238" i="21" s="1"/>
  <c r="C229" i="21"/>
  <c r="C230" i="21" s="1"/>
  <c r="C231" i="21" s="1"/>
  <c r="Q237" i="21"/>
  <c r="Q239" i="21" s="1"/>
  <c r="R239" i="21" s="1"/>
  <c r="S238" i="21"/>
  <c r="S239" i="21" s="1"/>
  <c r="T239" i="21" s="1"/>
  <c r="O236" i="21"/>
  <c r="O239" i="21" s="1"/>
  <c r="P239" i="21" s="1"/>
  <c r="I233" i="21"/>
  <c r="I236" i="21" s="1"/>
  <c r="J236" i="21" s="1"/>
  <c r="G232" i="4"/>
  <c r="G234" i="4" s="1"/>
  <c r="H234" i="4" s="1"/>
  <c r="C24" i="33"/>
  <c r="C228" i="23"/>
  <c r="U239" i="23" s="1"/>
  <c r="P4" i="15"/>
  <c r="Q124" i="15" s="1"/>
  <c r="C228" i="15"/>
  <c r="M235" i="15" s="1"/>
  <c r="C229" i="4"/>
  <c r="C230" i="4" s="1"/>
  <c r="C231" i="4" s="1"/>
  <c r="G232" i="16"/>
  <c r="G238" i="16" s="1"/>
  <c r="H238" i="16" s="1"/>
  <c r="C229" i="16"/>
  <c r="C230" i="16" s="1"/>
  <c r="C231" i="16" s="1"/>
  <c r="Q237" i="16"/>
  <c r="Q239" i="16" s="1"/>
  <c r="R239" i="16" s="1"/>
  <c r="I233" i="4"/>
  <c r="I237" i="4" s="1"/>
  <c r="J237" i="4" s="1"/>
  <c r="S238" i="16"/>
  <c r="T238" i="16" s="1"/>
  <c r="O236" i="16"/>
  <c r="O237" i="16" s="1"/>
  <c r="P237" i="16" s="1"/>
  <c r="S238" i="4"/>
  <c r="T238" i="4" s="1"/>
  <c r="I233" i="16"/>
  <c r="I235" i="16" s="1"/>
  <c r="J235" i="16" s="1"/>
  <c r="U239" i="16"/>
  <c r="K234" i="4"/>
  <c r="L234" i="4" s="1"/>
  <c r="U239" i="4"/>
  <c r="E231" i="4"/>
  <c r="E232" i="4" s="1"/>
  <c r="F232" i="4" s="1"/>
  <c r="Q237" i="4"/>
  <c r="Q238" i="4" s="1"/>
  <c r="R238" i="4" s="1"/>
  <c r="C228" i="5"/>
  <c r="F2" i="32"/>
  <c r="F27" i="32" s="1"/>
  <c r="I194" i="2"/>
  <c r="AK8" i="32"/>
  <c r="AJ8" i="32"/>
  <c r="N6" i="33"/>
  <c r="R6" i="33" s="1"/>
  <c r="M237" i="4"/>
  <c r="N237" i="4" s="1"/>
  <c r="S239" i="27"/>
  <c r="T239" i="27" s="1"/>
  <c r="T238" i="27"/>
  <c r="C14" i="33"/>
  <c r="P4" i="13"/>
  <c r="Q124" i="13" s="1"/>
  <c r="C228" i="25"/>
  <c r="E235" i="29"/>
  <c r="F235" i="29" s="1"/>
  <c r="F231" i="29"/>
  <c r="V231" i="29" s="1"/>
  <c r="E238" i="29"/>
  <c r="F238" i="29" s="1"/>
  <c r="E232" i="29"/>
  <c r="F232" i="29" s="1"/>
  <c r="E239" i="29"/>
  <c r="F239" i="29" s="1"/>
  <c r="E236" i="29"/>
  <c r="E237" i="29"/>
  <c r="F237" i="29" s="1"/>
  <c r="E234" i="29"/>
  <c r="F234" i="29" s="1"/>
  <c r="E233" i="29"/>
  <c r="F233" i="29" s="1"/>
  <c r="O237" i="29"/>
  <c r="P237" i="29" s="1"/>
  <c r="P236" i="29"/>
  <c r="O238" i="29"/>
  <c r="P238" i="29" s="1"/>
  <c r="O239" i="29"/>
  <c r="P239" i="29" s="1"/>
  <c r="N29" i="33"/>
  <c r="R29" i="33" s="1"/>
  <c r="C228" i="14"/>
  <c r="N32" i="33"/>
  <c r="R32" i="33" s="1"/>
  <c r="O239" i="28"/>
  <c r="P239" i="28" s="1"/>
  <c r="O237" i="28"/>
  <c r="P237" i="28" s="1"/>
  <c r="O238" i="28"/>
  <c r="P238" i="28" s="1"/>
  <c r="P236" i="28"/>
  <c r="G234" i="28"/>
  <c r="H234" i="28" s="1"/>
  <c r="G237" i="28"/>
  <c r="H237" i="28" s="1"/>
  <c r="G233" i="28"/>
  <c r="H233" i="28" s="1"/>
  <c r="H232" i="28"/>
  <c r="G236" i="28"/>
  <c r="H236" i="28" s="1"/>
  <c r="G238" i="28"/>
  <c r="H238" i="28" s="1"/>
  <c r="G239" i="28"/>
  <c r="H239" i="28" s="1"/>
  <c r="G235" i="28"/>
  <c r="H235" i="28" s="1"/>
  <c r="C228" i="7"/>
  <c r="K234" i="18"/>
  <c r="G232" i="18"/>
  <c r="E231" i="18"/>
  <c r="O236" i="18"/>
  <c r="U239" i="18"/>
  <c r="C229" i="18"/>
  <c r="C230" i="18" s="1"/>
  <c r="C231" i="18" s="1"/>
  <c r="M235" i="18"/>
  <c r="Q237" i="18"/>
  <c r="S238" i="18"/>
  <c r="I233" i="18"/>
  <c r="L234" i="30"/>
  <c r="K235" i="30"/>
  <c r="L235" i="30" s="1"/>
  <c r="M238" i="30"/>
  <c r="N238" i="30" s="1"/>
  <c r="N235" i="30"/>
  <c r="M239" i="30"/>
  <c r="N239" i="30" s="1"/>
  <c r="M237" i="30"/>
  <c r="N237" i="30" s="1"/>
  <c r="M236" i="30"/>
  <c r="N236" i="30" s="1"/>
  <c r="C228" i="6"/>
  <c r="C228" i="26"/>
  <c r="AH16" i="32"/>
  <c r="C228" i="24"/>
  <c r="E238" i="27"/>
  <c r="F238" i="27" s="1"/>
  <c r="E232" i="27"/>
  <c r="F232" i="27" s="1"/>
  <c r="E233" i="27"/>
  <c r="F233" i="27" s="1"/>
  <c r="E235" i="27"/>
  <c r="F235" i="27" s="1"/>
  <c r="F231" i="27"/>
  <c r="V231" i="27" s="1"/>
  <c r="E239" i="27"/>
  <c r="F239" i="27" s="1"/>
  <c r="E236" i="27"/>
  <c r="E237" i="27"/>
  <c r="F237" i="27" s="1"/>
  <c r="E234" i="27"/>
  <c r="F234" i="27" s="1"/>
  <c r="I238" i="27"/>
  <c r="J238" i="27" s="1"/>
  <c r="J233" i="27"/>
  <c r="I235" i="27"/>
  <c r="J235" i="27" s="1"/>
  <c r="I236" i="27"/>
  <c r="J236" i="27" s="1"/>
  <c r="I239" i="27"/>
  <c r="J239" i="27" s="1"/>
  <c r="I234" i="27"/>
  <c r="J234" i="27" s="1"/>
  <c r="I237" i="27"/>
  <c r="J237" i="27" s="1"/>
  <c r="Q238" i="27"/>
  <c r="R238" i="27" s="1"/>
  <c r="R237" i="27"/>
  <c r="Q239" i="27"/>
  <c r="R239" i="27" s="1"/>
  <c r="Q237" i="13"/>
  <c r="E231" i="13"/>
  <c r="I233" i="13"/>
  <c r="M235" i="13"/>
  <c r="O236" i="13"/>
  <c r="C229" i="13"/>
  <c r="C230" i="13" s="1"/>
  <c r="C231" i="13" s="1"/>
  <c r="K234" i="13"/>
  <c r="S238" i="13"/>
  <c r="G232" i="13"/>
  <c r="U239" i="13"/>
  <c r="C228" i="22"/>
  <c r="L234" i="21"/>
  <c r="K235" i="21"/>
  <c r="L235" i="21" s="1"/>
  <c r="G234" i="29"/>
  <c r="H234" i="29" s="1"/>
  <c r="G237" i="29"/>
  <c r="H237" i="29" s="1"/>
  <c r="G239" i="29"/>
  <c r="H239" i="29" s="1"/>
  <c r="G233" i="29"/>
  <c r="H233" i="29" s="1"/>
  <c r="H232" i="29"/>
  <c r="G235" i="29"/>
  <c r="H235" i="29" s="1"/>
  <c r="G236" i="29"/>
  <c r="H236" i="29" s="1"/>
  <c r="G238" i="29"/>
  <c r="H238" i="29" s="1"/>
  <c r="M238" i="29"/>
  <c r="N238" i="29" s="1"/>
  <c r="N235" i="29"/>
  <c r="M239" i="29"/>
  <c r="N239" i="29" s="1"/>
  <c r="M236" i="29"/>
  <c r="N236" i="29" s="1"/>
  <c r="M237" i="29"/>
  <c r="N237" i="29" s="1"/>
  <c r="N5" i="33"/>
  <c r="R5" i="33" s="1"/>
  <c r="C228" i="17"/>
  <c r="S239" i="28"/>
  <c r="T239" i="28" s="1"/>
  <c r="T238" i="28"/>
  <c r="I238" i="28"/>
  <c r="J238" i="28" s="1"/>
  <c r="J233" i="28"/>
  <c r="I235" i="28"/>
  <c r="J235" i="28" s="1"/>
  <c r="I236" i="28"/>
  <c r="J236" i="28" s="1"/>
  <c r="I239" i="28"/>
  <c r="J239" i="28" s="1"/>
  <c r="I234" i="28"/>
  <c r="J234" i="28" s="1"/>
  <c r="I237" i="28"/>
  <c r="J237" i="28" s="1"/>
  <c r="L234" i="28"/>
  <c r="K235" i="28"/>
  <c r="L235" i="28" s="1"/>
  <c r="K236" i="31"/>
  <c r="C19" i="33"/>
  <c r="P4" i="18"/>
  <c r="Q124" i="18" s="1"/>
  <c r="I239" i="30"/>
  <c r="J239" i="30" s="1"/>
  <c r="I236" i="30"/>
  <c r="J236" i="30" s="1"/>
  <c r="I237" i="30"/>
  <c r="J237" i="30" s="1"/>
  <c r="I238" i="30"/>
  <c r="J238" i="30" s="1"/>
  <c r="J233" i="30"/>
  <c r="I235" i="30"/>
  <c r="J235" i="30" s="1"/>
  <c r="I234" i="30"/>
  <c r="J234" i="30" s="1"/>
  <c r="V235" i="31"/>
  <c r="V233" i="31"/>
  <c r="W233" i="31" s="1"/>
  <c r="G234" i="30"/>
  <c r="H234" i="30" s="1"/>
  <c r="G235" i="30"/>
  <c r="H235" i="30" s="1"/>
  <c r="G233" i="30"/>
  <c r="H233" i="30" s="1"/>
  <c r="H232" i="30"/>
  <c r="G236" i="30"/>
  <c r="H236" i="30" s="1"/>
  <c r="G239" i="30"/>
  <c r="H239" i="30" s="1"/>
  <c r="G238" i="30"/>
  <c r="H238" i="30" s="1"/>
  <c r="G237" i="30"/>
  <c r="H237" i="30" s="1"/>
  <c r="E237" i="30"/>
  <c r="E233" i="30"/>
  <c r="F233" i="30" s="1"/>
  <c r="E238" i="30"/>
  <c r="E232" i="30"/>
  <c r="F232" i="30" s="1"/>
  <c r="E236" i="30"/>
  <c r="F236" i="30" s="1"/>
  <c r="E235" i="30"/>
  <c r="F235" i="30" s="1"/>
  <c r="F231" i="30"/>
  <c r="V231" i="30" s="1"/>
  <c r="E239" i="30"/>
  <c r="E234" i="30"/>
  <c r="F234" i="30" s="1"/>
  <c r="V234" i="31"/>
  <c r="F236" i="31"/>
  <c r="C228" i="10"/>
  <c r="G239" i="27"/>
  <c r="H239" i="27" s="1"/>
  <c r="G235" i="27"/>
  <c r="H235" i="27" s="1"/>
  <c r="G234" i="27"/>
  <c r="H234" i="27" s="1"/>
  <c r="G237" i="27"/>
  <c r="H237" i="27" s="1"/>
  <c r="G233" i="27"/>
  <c r="H233" i="27" s="1"/>
  <c r="H232" i="27"/>
  <c r="G236" i="27"/>
  <c r="H236" i="27" s="1"/>
  <c r="G238" i="27"/>
  <c r="H238" i="27" s="1"/>
  <c r="O239" i="27"/>
  <c r="P239" i="27" s="1"/>
  <c r="O237" i="27"/>
  <c r="P237" i="27" s="1"/>
  <c r="O238" i="27"/>
  <c r="P238" i="27" s="1"/>
  <c r="P236" i="27"/>
  <c r="L234" i="29"/>
  <c r="K235" i="29"/>
  <c r="L235" i="29" s="1"/>
  <c r="T238" i="29"/>
  <c r="S239" i="29"/>
  <c r="T239" i="29" s="1"/>
  <c r="E235" i="16"/>
  <c r="F235" i="16" s="1"/>
  <c r="F231" i="16"/>
  <c r="V231" i="16" s="1"/>
  <c r="E239" i="16"/>
  <c r="F239" i="16" s="1"/>
  <c r="E234" i="16"/>
  <c r="F234" i="16" s="1"/>
  <c r="E237" i="16"/>
  <c r="F237" i="16" s="1"/>
  <c r="E233" i="16"/>
  <c r="F233" i="16" s="1"/>
  <c r="E238" i="16"/>
  <c r="F238" i="16" s="1"/>
  <c r="E232" i="16"/>
  <c r="F232" i="16" s="1"/>
  <c r="E236" i="16"/>
  <c r="C228" i="8"/>
  <c r="Q238" i="28"/>
  <c r="R238" i="28" s="1"/>
  <c r="R237" i="28"/>
  <c r="Q239" i="28"/>
  <c r="R239" i="28" s="1"/>
  <c r="M239" i="28"/>
  <c r="N239" i="28" s="1"/>
  <c r="M237" i="28"/>
  <c r="N237" i="28" s="1"/>
  <c r="M236" i="28"/>
  <c r="N236" i="28" s="1"/>
  <c r="M238" i="28"/>
  <c r="N238" i="28" s="1"/>
  <c r="N235" i="28"/>
  <c r="C4" i="33"/>
  <c r="P4" i="3"/>
  <c r="Q124" i="3" s="1"/>
  <c r="O237" i="4"/>
  <c r="P237" i="4" s="1"/>
  <c r="O238" i="4"/>
  <c r="P238" i="4" s="1"/>
  <c r="P236" i="4"/>
  <c r="O239" i="4"/>
  <c r="P239" i="4" s="1"/>
  <c r="C228" i="12"/>
  <c r="L234" i="27"/>
  <c r="K235" i="27"/>
  <c r="L235" i="27" s="1"/>
  <c r="M239" i="27"/>
  <c r="N239" i="27" s="1"/>
  <c r="M237" i="27"/>
  <c r="N237" i="27" s="1"/>
  <c r="M236" i="27"/>
  <c r="N236" i="27" s="1"/>
  <c r="M238" i="27"/>
  <c r="N238" i="27" s="1"/>
  <c r="N235" i="27"/>
  <c r="AH23" i="32"/>
  <c r="I235" i="29"/>
  <c r="J235" i="29" s="1"/>
  <c r="I236" i="29"/>
  <c r="J236" i="29" s="1"/>
  <c r="J233" i="29"/>
  <c r="I239" i="29"/>
  <c r="J239" i="29" s="1"/>
  <c r="I234" i="29"/>
  <c r="J234" i="29" s="1"/>
  <c r="I237" i="29"/>
  <c r="J237" i="29" s="1"/>
  <c r="I238" i="29"/>
  <c r="J238" i="29" s="1"/>
  <c r="Q238" i="29"/>
  <c r="R238" i="29" s="1"/>
  <c r="R237" i="29"/>
  <c r="Q239" i="29"/>
  <c r="R239" i="29" s="1"/>
  <c r="C228" i="9"/>
  <c r="E235" i="28"/>
  <c r="F235" i="28" s="1"/>
  <c r="F231" i="28"/>
  <c r="V231" i="28" s="1"/>
  <c r="E239" i="28"/>
  <c r="F239" i="28" s="1"/>
  <c r="E236" i="28"/>
  <c r="F236" i="28" s="1"/>
  <c r="E237" i="28"/>
  <c r="F237" i="28" s="1"/>
  <c r="E234" i="28"/>
  <c r="F234" i="28" s="1"/>
  <c r="E238" i="28"/>
  <c r="F238" i="28" s="1"/>
  <c r="E232" i="28"/>
  <c r="F232" i="28" s="1"/>
  <c r="E233" i="28"/>
  <c r="F233" i="28" s="1"/>
  <c r="M235" i="3"/>
  <c r="O236" i="3"/>
  <c r="I233" i="3"/>
  <c r="K234" i="3"/>
  <c r="G232" i="3"/>
  <c r="E231" i="3"/>
  <c r="S238" i="3"/>
  <c r="U239" i="3"/>
  <c r="C229" i="3"/>
  <c r="C230" i="3" s="1"/>
  <c r="C231" i="3" s="1"/>
  <c r="Q237" i="3"/>
  <c r="T238" i="30"/>
  <c r="S239" i="30"/>
  <c r="T239" i="30" s="1"/>
  <c r="P236" i="30"/>
  <c r="O237" i="30"/>
  <c r="P237" i="30" s="1"/>
  <c r="O238" i="30"/>
  <c r="P238" i="30" s="1"/>
  <c r="O239" i="30"/>
  <c r="P239" i="30" s="1"/>
  <c r="Q238" i="30"/>
  <c r="R238" i="30" s="1"/>
  <c r="R237" i="30"/>
  <c r="Q239" i="30"/>
  <c r="R239" i="30" s="1"/>
  <c r="V232" i="31"/>
  <c r="C228" i="11"/>
  <c r="W231" i="31"/>
  <c r="X231" i="31" s="1"/>
  <c r="V230" i="31"/>
  <c r="C228" i="20"/>
  <c r="D3" i="33"/>
  <c r="D34" i="33" s="1"/>
  <c r="D129" i="2"/>
  <c r="P118" i="2" s="1"/>
  <c r="N183" i="2" s="1"/>
  <c r="Q105" i="2"/>
  <c r="Q103" i="2"/>
  <c r="T2" i="32" s="1"/>
  <c r="Q108" i="2"/>
  <c r="M239" i="4" l="1"/>
  <c r="N239" i="4" s="1"/>
  <c r="M236" i="4"/>
  <c r="N236" i="4" s="1"/>
  <c r="N235" i="4"/>
  <c r="K235" i="16"/>
  <c r="L235" i="16" s="1"/>
  <c r="W2" i="32"/>
  <c r="W27" i="32" s="1"/>
  <c r="C42" i="33" s="1"/>
  <c r="N24" i="33"/>
  <c r="R24" i="33" s="1"/>
  <c r="N30" i="33"/>
  <c r="R30" i="33" s="1"/>
  <c r="N22" i="33"/>
  <c r="R22" i="33" s="1"/>
  <c r="N31" i="33"/>
  <c r="R31" i="33" s="1"/>
  <c r="E232" i="21"/>
  <c r="F232" i="21" s="1"/>
  <c r="F231" i="21"/>
  <c r="V231" i="21" s="1"/>
  <c r="W231" i="21" s="1"/>
  <c r="X231" i="21" s="1"/>
  <c r="N17" i="33"/>
  <c r="R17" i="33" s="1"/>
  <c r="Q131" i="3"/>
  <c r="I198" i="19"/>
  <c r="C228" i="19"/>
  <c r="Q131" i="18"/>
  <c r="E237" i="21"/>
  <c r="F237" i="21" s="1"/>
  <c r="E235" i="21"/>
  <c r="F235" i="21" s="1"/>
  <c r="E238" i="21"/>
  <c r="F238" i="21" s="1"/>
  <c r="J233" i="16"/>
  <c r="I238" i="21"/>
  <c r="J238" i="21" s="1"/>
  <c r="E233" i="21"/>
  <c r="F233" i="21" s="1"/>
  <c r="I239" i="21"/>
  <c r="J239" i="21" s="1"/>
  <c r="E234" i="21"/>
  <c r="F234" i="21" s="1"/>
  <c r="E239" i="21"/>
  <c r="F239" i="21" s="1"/>
  <c r="Q131" i="15"/>
  <c r="Q131" i="13"/>
  <c r="M236" i="16"/>
  <c r="N236" i="16" s="1"/>
  <c r="M237" i="16"/>
  <c r="N237" i="16" s="1"/>
  <c r="S239" i="16"/>
  <c r="T239" i="16" s="1"/>
  <c r="R237" i="21"/>
  <c r="H232" i="4"/>
  <c r="V232" i="4" s="1"/>
  <c r="W232" i="4" s="1"/>
  <c r="G236" i="21"/>
  <c r="H236" i="21" s="1"/>
  <c r="G235" i="4"/>
  <c r="H235" i="4" s="1"/>
  <c r="Q106" i="2"/>
  <c r="N113" i="2" s="1"/>
  <c r="Q238" i="21"/>
  <c r="R238" i="21" s="1"/>
  <c r="G233" i="21"/>
  <c r="H233" i="21" s="1"/>
  <c r="N235" i="16"/>
  <c r="M238" i="16"/>
  <c r="N238" i="16" s="1"/>
  <c r="G235" i="16"/>
  <c r="H235" i="16" s="1"/>
  <c r="I236" i="16"/>
  <c r="J236" i="16" s="1"/>
  <c r="G233" i="4"/>
  <c r="H233" i="4" s="1"/>
  <c r="G239" i="4"/>
  <c r="H239" i="4" s="1"/>
  <c r="G238" i="4"/>
  <c r="H238" i="4" s="1"/>
  <c r="G237" i="4"/>
  <c r="H237" i="4" s="1"/>
  <c r="G236" i="4"/>
  <c r="H236" i="4" s="1"/>
  <c r="I239" i="16"/>
  <c r="J239" i="16" s="1"/>
  <c r="I238" i="16"/>
  <c r="J238" i="16" s="1"/>
  <c r="I234" i="16"/>
  <c r="J234" i="16" s="1"/>
  <c r="I237" i="16"/>
  <c r="J237" i="16" s="1"/>
  <c r="G234" i="21"/>
  <c r="H234" i="21" s="1"/>
  <c r="G237" i="21"/>
  <c r="H237" i="21" s="1"/>
  <c r="O238" i="16"/>
  <c r="P238" i="16" s="1"/>
  <c r="T238" i="21"/>
  <c r="H232" i="21"/>
  <c r="G239" i="21"/>
  <c r="H239" i="21" s="1"/>
  <c r="G235" i="21"/>
  <c r="H235" i="21" s="1"/>
  <c r="M239" i="21"/>
  <c r="N239" i="21" s="1"/>
  <c r="O238" i="21"/>
  <c r="P238" i="21" s="1"/>
  <c r="N235" i="21"/>
  <c r="M237" i="21"/>
  <c r="N237" i="21" s="1"/>
  <c r="P236" i="21"/>
  <c r="M236" i="21"/>
  <c r="N236" i="21" s="1"/>
  <c r="O237" i="21"/>
  <c r="P237" i="21" s="1"/>
  <c r="O239" i="16"/>
  <c r="P239" i="16" s="1"/>
  <c r="M235" i="23"/>
  <c r="M237" i="23" s="1"/>
  <c r="N237" i="23" s="1"/>
  <c r="J2" i="32"/>
  <c r="P2" i="32" s="1"/>
  <c r="P27" i="32" s="1"/>
  <c r="I237" i="21"/>
  <c r="J237" i="21" s="1"/>
  <c r="R237" i="16"/>
  <c r="I234" i="21"/>
  <c r="J234" i="21" s="1"/>
  <c r="I235" i="21"/>
  <c r="J235" i="21" s="1"/>
  <c r="J233" i="21"/>
  <c r="G237" i="16"/>
  <c r="H237" i="16" s="1"/>
  <c r="E237" i="4"/>
  <c r="F237" i="4" s="1"/>
  <c r="J233" i="4"/>
  <c r="V234" i="28"/>
  <c r="C229" i="23"/>
  <c r="C230" i="23" s="1"/>
  <c r="C231" i="23" s="1"/>
  <c r="O236" i="23"/>
  <c r="G232" i="23"/>
  <c r="S238" i="23"/>
  <c r="M239" i="15"/>
  <c r="N239" i="15" s="1"/>
  <c r="M236" i="15"/>
  <c r="N236" i="15" s="1"/>
  <c r="M238" i="15"/>
  <c r="N238" i="15" s="1"/>
  <c r="M237" i="15"/>
  <c r="N237" i="15" s="1"/>
  <c r="N235" i="15"/>
  <c r="E236" i="4"/>
  <c r="F236" i="4" s="1"/>
  <c r="I236" i="4"/>
  <c r="J236" i="4" s="1"/>
  <c r="I238" i="4"/>
  <c r="J238" i="4" s="1"/>
  <c r="E235" i="4"/>
  <c r="F235" i="4" s="1"/>
  <c r="I235" i="4"/>
  <c r="J235" i="4" s="1"/>
  <c r="E238" i="4"/>
  <c r="F238" i="4" s="1"/>
  <c r="I234" i="4"/>
  <c r="J234" i="4" s="1"/>
  <c r="E231" i="23"/>
  <c r="Q237" i="23"/>
  <c r="K234" i="23"/>
  <c r="I233" i="23"/>
  <c r="Q237" i="15"/>
  <c r="S238" i="15"/>
  <c r="K234" i="15"/>
  <c r="O236" i="15"/>
  <c r="G232" i="15"/>
  <c r="I233" i="15"/>
  <c r="U239" i="15"/>
  <c r="E231" i="15"/>
  <c r="C229" i="15"/>
  <c r="C230" i="15" s="1"/>
  <c r="C231" i="15" s="1"/>
  <c r="G236" i="16"/>
  <c r="H236" i="16" s="1"/>
  <c r="G234" i="16"/>
  <c r="H234" i="16" s="1"/>
  <c r="H232" i="16"/>
  <c r="V232" i="16" s="1"/>
  <c r="G239" i="16"/>
  <c r="H239" i="16" s="1"/>
  <c r="AA233" i="31"/>
  <c r="X232" i="31" s="1"/>
  <c r="G233" i="16"/>
  <c r="H233" i="16" s="1"/>
  <c r="Q238" i="16"/>
  <c r="R238" i="16" s="1"/>
  <c r="V233" i="28"/>
  <c r="W233" i="28" s="1"/>
  <c r="P236" i="16"/>
  <c r="S239" i="4"/>
  <c r="T239" i="4" s="1"/>
  <c r="V232" i="30"/>
  <c r="W232" i="30" s="1"/>
  <c r="Q239" i="4"/>
  <c r="R239" i="4" s="1"/>
  <c r="E234" i="4"/>
  <c r="F234" i="4" s="1"/>
  <c r="E233" i="4"/>
  <c r="F233" i="4" s="1"/>
  <c r="F231" i="4"/>
  <c r="V231" i="4" s="1"/>
  <c r="W231" i="4" s="1"/>
  <c r="X231" i="4" s="1"/>
  <c r="R237" i="4"/>
  <c r="K235" i="4"/>
  <c r="L235" i="4" s="1"/>
  <c r="E239" i="4"/>
  <c r="F239" i="4" s="1"/>
  <c r="V232" i="28"/>
  <c r="W232" i="28" s="1"/>
  <c r="G232" i="5"/>
  <c r="M235" i="5"/>
  <c r="E231" i="5"/>
  <c r="O236" i="5"/>
  <c r="U239" i="5"/>
  <c r="Q237" i="5"/>
  <c r="I233" i="5"/>
  <c r="C229" i="5"/>
  <c r="C230" i="5" s="1"/>
  <c r="C231" i="5" s="1"/>
  <c r="S238" i="5"/>
  <c r="K234" i="5"/>
  <c r="K236" i="21"/>
  <c r="L236" i="21" s="1"/>
  <c r="V234" i="30"/>
  <c r="K236" i="30"/>
  <c r="L236" i="30" s="1"/>
  <c r="K236" i="27"/>
  <c r="L236" i="27" s="1"/>
  <c r="V232" i="27"/>
  <c r="W232" i="27" s="1"/>
  <c r="C27" i="33"/>
  <c r="P4" i="26"/>
  <c r="Q124" i="26" s="1"/>
  <c r="Q239" i="18"/>
  <c r="R239" i="18" s="1"/>
  <c r="Q238" i="18"/>
  <c r="R238" i="18" s="1"/>
  <c r="R237" i="18"/>
  <c r="O238" i="18"/>
  <c r="P238" i="18" s="1"/>
  <c r="P236" i="18"/>
  <c r="O239" i="18"/>
  <c r="P239" i="18" s="1"/>
  <c r="O237" i="18"/>
  <c r="P237" i="18" s="1"/>
  <c r="M235" i="7"/>
  <c r="O236" i="7"/>
  <c r="I233" i="7"/>
  <c r="Q237" i="7"/>
  <c r="K234" i="7"/>
  <c r="G232" i="7"/>
  <c r="E231" i="7"/>
  <c r="S238" i="7"/>
  <c r="U239" i="7"/>
  <c r="C229" i="7"/>
  <c r="C230" i="7" s="1"/>
  <c r="C231" i="7" s="1"/>
  <c r="C15" i="33"/>
  <c r="P4" i="14"/>
  <c r="Q124" i="14" s="1"/>
  <c r="F236" i="29"/>
  <c r="W231" i="29"/>
  <c r="X231" i="29" s="1"/>
  <c r="V230" i="29"/>
  <c r="F236" i="16"/>
  <c r="I238" i="13"/>
  <c r="J238" i="13" s="1"/>
  <c r="J233" i="13"/>
  <c r="I235" i="13"/>
  <c r="J235" i="13" s="1"/>
  <c r="I234" i="13"/>
  <c r="J234" i="13" s="1"/>
  <c r="I239" i="13"/>
  <c r="J239" i="13" s="1"/>
  <c r="I236" i="13"/>
  <c r="J236" i="13" s="1"/>
  <c r="I237" i="13"/>
  <c r="J237" i="13" s="1"/>
  <c r="P4" i="20"/>
  <c r="Q124" i="20" s="1"/>
  <c r="C21" i="33"/>
  <c r="C12" i="33"/>
  <c r="P4" i="11"/>
  <c r="Q124" i="11" s="1"/>
  <c r="R237" i="3"/>
  <c r="Q238" i="3"/>
  <c r="R238" i="3" s="1"/>
  <c r="Q239" i="3"/>
  <c r="R239" i="3" s="1"/>
  <c r="E239" i="3"/>
  <c r="F239" i="3" s="1"/>
  <c r="E236" i="3"/>
  <c r="F236" i="3" s="1"/>
  <c r="E238" i="3"/>
  <c r="F238" i="3" s="1"/>
  <c r="E232" i="3"/>
  <c r="F232" i="3" s="1"/>
  <c r="E233" i="3"/>
  <c r="F233" i="3" s="1"/>
  <c r="E235" i="3"/>
  <c r="F235" i="3" s="1"/>
  <c r="F231" i="3"/>
  <c r="V231" i="3" s="1"/>
  <c r="E234" i="3"/>
  <c r="F234" i="3" s="1"/>
  <c r="E237" i="3"/>
  <c r="F237" i="3" s="1"/>
  <c r="O238" i="3"/>
  <c r="P238" i="3" s="1"/>
  <c r="O239" i="3"/>
  <c r="P239" i="3" s="1"/>
  <c r="O237" i="3"/>
  <c r="P237" i="3" s="1"/>
  <c r="P236" i="3"/>
  <c r="P4" i="9"/>
  <c r="Q124" i="9" s="1"/>
  <c r="C10" i="33"/>
  <c r="AK23" i="32"/>
  <c r="AJ23" i="32"/>
  <c r="I233" i="12"/>
  <c r="O236" i="12"/>
  <c r="E231" i="12"/>
  <c r="Q237" i="12"/>
  <c r="K234" i="12"/>
  <c r="G232" i="12"/>
  <c r="U239" i="12"/>
  <c r="C229" i="12"/>
  <c r="C230" i="12" s="1"/>
  <c r="C231" i="12" s="1"/>
  <c r="S238" i="12"/>
  <c r="M235" i="12"/>
  <c r="F239" i="30"/>
  <c r="K236" i="28"/>
  <c r="P4" i="17"/>
  <c r="Q124" i="17" s="1"/>
  <c r="C18" i="33"/>
  <c r="E239" i="13"/>
  <c r="F239" i="13" s="1"/>
  <c r="E234" i="13"/>
  <c r="F234" i="13" s="1"/>
  <c r="E237" i="13"/>
  <c r="F237" i="13" s="1"/>
  <c r="E233" i="13"/>
  <c r="F233" i="13" s="1"/>
  <c r="E238" i="13"/>
  <c r="F238" i="13" s="1"/>
  <c r="E232" i="13"/>
  <c r="F232" i="13" s="1"/>
  <c r="E236" i="13"/>
  <c r="F236" i="13" s="1"/>
  <c r="E235" i="13"/>
  <c r="F235" i="13" s="1"/>
  <c r="F231" i="13"/>
  <c r="V231" i="13" s="1"/>
  <c r="V234" i="27"/>
  <c r="V230" i="27"/>
  <c r="W231" i="27"/>
  <c r="X231" i="27" s="1"/>
  <c r="O236" i="6"/>
  <c r="Q237" i="6"/>
  <c r="U239" i="6"/>
  <c r="M235" i="6"/>
  <c r="E231" i="6"/>
  <c r="I233" i="6"/>
  <c r="S238" i="6"/>
  <c r="K234" i="6"/>
  <c r="G232" i="6"/>
  <c r="C229" i="6"/>
  <c r="C230" i="6" s="1"/>
  <c r="C231" i="6" s="1"/>
  <c r="M237" i="18"/>
  <c r="N237" i="18" s="1"/>
  <c r="M236" i="18"/>
  <c r="N236" i="18" s="1"/>
  <c r="N235" i="18"/>
  <c r="M238" i="18"/>
  <c r="N238" i="18" s="1"/>
  <c r="M239" i="18"/>
  <c r="N239" i="18" s="1"/>
  <c r="E237" i="18"/>
  <c r="F237" i="18" s="1"/>
  <c r="E234" i="18"/>
  <c r="F234" i="18" s="1"/>
  <c r="E238" i="18"/>
  <c r="F238" i="18" s="1"/>
  <c r="E232" i="18"/>
  <c r="F232" i="18" s="1"/>
  <c r="E235" i="18"/>
  <c r="F235" i="18" s="1"/>
  <c r="F231" i="18"/>
  <c r="V231" i="18" s="1"/>
  <c r="E239" i="18"/>
  <c r="F239" i="18" s="1"/>
  <c r="E236" i="18"/>
  <c r="E233" i="18"/>
  <c r="F233" i="18" s="1"/>
  <c r="P4" i="7"/>
  <c r="Q124" i="7" s="1"/>
  <c r="C8" i="33"/>
  <c r="V233" i="29"/>
  <c r="W233" i="29" s="1"/>
  <c r="V235" i="29"/>
  <c r="U239" i="25"/>
  <c r="C229" i="25"/>
  <c r="C230" i="25" s="1"/>
  <c r="C231" i="25" s="1"/>
  <c r="Q237" i="25"/>
  <c r="S238" i="25"/>
  <c r="M235" i="25"/>
  <c r="O236" i="25"/>
  <c r="I233" i="25"/>
  <c r="K234" i="25"/>
  <c r="G232" i="25"/>
  <c r="E231" i="25"/>
  <c r="I239" i="3"/>
  <c r="J239" i="3" s="1"/>
  <c r="I234" i="3"/>
  <c r="J234" i="3" s="1"/>
  <c r="I238" i="3"/>
  <c r="J238" i="3" s="1"/>
  <c r="J233" i="3"/>
  <c r="I235" i="3"/>
  <c r="J235" i="3" s="1"/>
  <c r="I236" i="3"/>
  <c r="J236" i="3" s="1"/>
  <c r="I237" i="3"/>
  <c r="J237" i="3" s="1"/>
  <c r="I233" i="9"/>
  <c r="U239" i="9"/>
  <c r="E231" i="9"/>
  <c r="K234" i="9"/>
  <c r="M235" i="9"/>
  <c r="C229" i="9"/>
  <c r="C230" i="9" s="1"/>
  <c r="C231" i="9" s="1"/>
  <c r="G232" i="9"/>
  <c r="O236" i="9"/>
  <c r="Q237" i="9"/>
  <c r="S238" i="9"/>
  <c r="F236" i="21"/>
  <c r="C11" i="33"/>
  <c r="P4" i="10"/>
  <c r="Q124" i="10" s="1"/>
  <c r="G239" i="3"/>
  <c r="H239" i="3" s="1"/>
  <c r="G235" i="3"/>
  <c r="H235" i="3" s="1"/>
  <c r="G233" i="3"/>
  <c r="H233" i="3" s="1"/>
  <c r="H232" i="3"/>
  <c r="G236" i="3"/>
  <c r="H236" i="3" s="1"/>
  <c r="G238" i="3"/>
  <c r="H238" i="3" s="1"/>
  <c r="G234" i="3"/>
  <c r="H234" i="3" s="1"/>
  <c r="G237" i="3"/>
  <c r="H237" i="3" s="1"/>
  <c r="V230" i="28"/>
  <c r="W231" i="28"/>
  <c r="X231" i="28" s="1"/>
  <c r="C13" i="33"/>
  <c r="P4" i="12"/>
  <c r="Q124" i="12" s="1"/>
  <c r="M235" i="8"/>
  <c r="Q237" i="8"/>
  <c r="S238" i="8"/>
  <c r="K234" i="8"/>
  <c r="I233" i="8"/>
  <c r="G232" i="8"/>
  <c r="C229" i="8"/>
  <c r="C230" i="8" s="1"/>
  <c r="C231" i="8" s="1"/>
  <c r="U239" i="8"/>
  <c r="E231" i="8"/>
  <c r="O236" i="8"/>
  <c r="V230" i="30"/>
  <c r="W231" i="30"/>
  <c r="X231" i="30" s="1"/>
  <c r="F238" i="30"/>
  <c r="L236" i="31"/>
  <c r="V236" i="31" s="1"/>
  <c r="K237" i="31"/>
  <c r="K234" i="17"/>
  <c r="G232" i="17"/>
  <c r="E231" i="17"/>
  <c r="U239" i="17"/>
  <c r="C229" i="17"/>
  <c r="C230" i="17" s="1"/>
  <c r="C231" i="17" s="1"/>
  <c r="Q237" i="17"/>
  <c r="S238" i="17"/>
  <c r="M235" i="17"/>
  <c r="O236" i="17"/>
  <c r="I233" i="17"/>
  <c r="G234" i="13"/>
  <c r="H234" i="13" s="1"/>
  <c r="G235" i="13"/>
  <c r="H235" i="13" s="1"/>
  <c r="G233" i="13"/>
  <c r="H233" i="13" s="1"/>
  <c r="H232" i="13"/>
  <c r="G236" i="13"/>
  <c r="H236" i="13" s="1"/>
  <c r="G237" i="13"/>
  <c r="H237" i="13" s="1"/>
  <c r="G238" i="13"/>
  <c r="H238" i="13" s="1"/>
  <c r="G239" i="13"/>
  <c r="H239" i="13" s="1"/>
  <c r="O238" i="13"/>
  <c r="P238" i="13" s="1"/>
  <c r="O239" i="13"/>
  <c r="P239" i="13" s="1"/>
  <c r="O237" i="13"/>
  <c r="P237" i="13" s="1"/>
  <c r="P236" i="13"/>
  <c r="R237" i="13"/>
  <c r="Q239" i="13"/>
  <c r="R239" i="13" s="1"/>
  <c r="Q238" i="13"/>
  <c r="R238" i="13" s="1"/>
  <c r="V235" i="27"/>
  <c r="M235" i="24"/>
  <c r="O236" i="24"/>
  <c r="I233" i="24"/>
  <c r="Q237" i="24"/>
  <c r="K234" i="24"/>
  <c r="G232" i="24"/>
  <c r="E231" i="24"/>
  <c r="U239" i="24"/>
  <c r="C229" i="24"/>
  <c r="C230" i="24" s="1"/>
  <c r="C231" i="24" s="1"/>
  <c r="S238" i="24"/>
  <c r="AJ16" i="32"/>
  <c r="AK16" i="32"/>
  <c r="P4" i="6"/>
  <c r="Q124" i="6" s="1"/>
  <c r="C7" i="33"/>
  <c r="I238" i="18"/>
  <c r="J238" i="18" s="1"/>
  <c r="J233" i="18"/>
  <c r="I235" i="18"/>
  <c r="J235" i="18" s="1"/>
  <c r="I236" i="18"/>
  <c r="J236" i="18" s="1"/>
  <c r="I239" i="18"/>
  <c r="J239" i="18" s="1"/>
  <c r="I234" i="18"/>
  <c r="J234" i="18" s="1"/>
  <c r="I237" i="18"/>
  <c r="J237" i="18" s="1"/>
  <c r="G236" i="18"/>
  <c r="H236" i="18" s="1"/>
  <c r="G238" i="18"/>
  <c r="H238" i="18" s="1"/>
  <c r="G239" i="18"/>
  <c r="H239" i="18" s="1"/>
  <c r="G235" i="18"/>
  <c r="H235" i="18" s="1"/>
  <c r="G234" i="18"/>
  <c r="H234" i="18" s="1"/>
  <c r="G237" i="18"/>
  <c r="H237" i="18" s="1"/>
  <c r="G233" i="18"/>
  <c r="H233" i="18" s="1"/>
  <c r="H232" i="18"/>
  <c r="V234" i="29"/>
  <c r="V232" i="29"/>
  <c r="C26" i="33"/>
  <c r="P4" i="25"/>
  <c r="Q124" i="25" s="1"/>
  <c r="Q237" i="20"/>
  <c r="M235" i="20"/>
  <c r="K234" i="20"/>
  <c r="S238" i="20"/>
  <c r="E231" i="20"/>
  <c r="U239" i="20"/>
  <c r="I233" i="20"/>
  <c r="O236" i="20"/>
  <c r="G232" i="20"/>
  <c r="C229" i="20"/>
  <c r="C230" i="20" s="1"/>
  <c r="C231" i="20" s="1"/>
  <c r="S239" i="3"/>
  <c r="T239" i="3" s="1"/>
  <c r="T238" i="3"/>
  <c r="F237" i="30"/>
  <c r="P4" i="22"/>
  <c r="Q124" i="22" s="1"/>
  <c r="C23" i="33"/>
  <c r="K235" i="13"/>
  <c r="L235" i="13" s="1"/>
  <c r="L234" i="13"/>
  <c r="K234" i="11"/>
  <c r="S238" i="11"/>
  <c r="C229" i="11"/>
  <c r="C230" i="11" s="1"/>
  <c r="C231" i="11" s="1"/>
  <c r="G232" i="11"/>
  <c r="U239" i="11"/>
  <c r="I233" i="11"/>
  <c r="M235" i="11"/>
  <c r="Q237" i="11"/>
  <c r="E231" i="11"/>
  <c r="O236" i="11"/>
  <c r="M236" i="3"/>
  <c r="N236" i="3" s="1"/>
  <c r="M239" i="3"/>
  <c r="N239" i="3" s="1"/>
  <c r="M237" i="3"/>
  <c r="N237" i="3" s="1"/>
  <c r="N235" i="3"/>
  <c r="M238" i="3"/>
  <c r="N238" i="3" s="1"/>
  <c r="Z233" i="31"/>
  <c r="Y233" i="31"/>
  <c r="W232" i="31"/>
  <c r="K235" i="3"/>
  <c r="L235" i="3" s="1"/>
  <c r="L234" i="3"/>
  <c r="V235" i="28"/>
  <c r="C9" i="33"/>
  <c r="P4" i="8"/>
  <c r="Q124" i="8" s="1"/>
  <c r="V230" i="16"/>
  <c r="W231" i="16"/>
  <c r="X231" i="16" s="1"/>
  <c r="K236" i="29"/>
  <c r="Q237" i="10"/>
  <c r="S238" i="10"/>
  <c r="U239" i="10"/>
  <c r="M235" i="10"/>
  <c r="O236" i="10"/>
  <c r="I233" i="10"/>
  <c r="K234" i="10"/>
  <c r="G232" i="10"/>
  <c r="E231" i="10"/>
  <c r="C229" i="10"/>
  <c r="C230" i="10" s="1"/>
  <c r="C231" i="10" s="1"/>
  <c r="V235" i="30"/>
  <c r="V233" i="30"/>
  <c r="W233" i="30" s="1"/>
  <c r="K234" i="22"/>
  <c r="G232" i="22"/>
  <c r="E231" i="22"/>
  <c r="M235" i="22"/>
  <c r="U239" i="22"/>
  <c r="C229" i="22"/>
  <c r="C230" i="22" s="1"/>
  <c r="C231" i="22" s="1"/>
  <c r="O236" i="22"/>
  <c r="Q237" i="22"/>
  <c r="S238" i="22"/>
  <c r="I233" i="22"/>
  <c r="T238" i="13"/>
  <c r="S239" i="13"/>
  <c r="T239" i="13" s="1"/>
  <c r="M239" i="13"/>
  <c r="N239" i="13" s="1"/>
  <c r="N235" i="13"/>
  <c r="M237" i="13"/>
  <c r="N237" i="13" s="1"/>
  <c r="M238" i="13"/>
  <c r="N238" i="13" s="1"/>
  <c r="M236" i="13"/>
  <c r="N236" i="13" s="1"/>
  <c r="F236" i="27"/>
  <c r="V233" i="27"/>
  <c r="W233" i="27" s="1"/>
  <c r="C25" i="33"/>
  <c r="P4" i="24"/>
  <c r="Q124" i="24" s="1"/>
  <c r="Q237" i="26"/>
  <c r="E231" i="26"/>
  <c r="M235" i="26"/>
  <c r="O236" i="26"/>
  <c r="C229" i="26"/>
  <c r="C230" i="26" s="1"/>
  <c r="C231" i="26" s="1"/>
  <c r="S238" i="26"/>
  <c r="K234" i="26"/>
  <c r="G232" i="26"/>
  <c r="U239" i="26"/>
  <c r="I233" i="26"/>
  <c r="T238" i="18"/>
  <c r="S239" i="18"/>
  <c r="T239" i="18" s="1"/>
  <c r="K235" i="18"/>
  <c r="L235" i="18" s="1"/>
  <c r="L234" i="18"/>
  <c r="K234" i="14"/>
  <c r="S238" i="14"/>
  <c r="C229" i="14"/>
  <c r="C230" i="14" s="1"/>
  <c r="C231" i="14" s="1"/>
  <c r="G232" i="14"/>
  <c r="U239" i="14"/>
  <c r="I233" i="14"/>
  <c r="M235" i="14"/>
  <c r="Q237" i="14"/>
  <c r="E231" i="14"/>
  <c r="O236" i="14"/>
  <c r="I239" i="4"/>
  <c r="J239" i="4" s="1"/>
  <c r="Q110" i="2"/>
  <c r="P5" i="2"/>
  <c r="N180" i="2"/>
  <c r="U2" i="32"/>
  <c r="N177" i="2"/>
  <c r="Z2" i="32"/>
  <c r="Z27" i="32" s="1"/>
  <c r="C45" i="33" s="1"/>
  <c r="T27" i="32"/>
  <c r="C40" i="33" s="1"/>
  <c r="F38" i="32"/>
  <c r="I197" i="2"/>
  <c r="G3" i="33" s="1"/>
  <c r="N175" i="2"/>
  <c r="N174" i="2"/>
  <c r="K236" i="16" l="1"/>
  <c r="V230" i="21"/>
  <c r="M114" i="2"/>
  <c r="P114" i="2"/>
  <c r="V232" i="21"/>
  <c r="W232" i="21" s="1"/>
  <c r="N4" i="33"/>
  <c r="R4" i="33" s="1"/>
  <c r="I195" i="2"/>
  <c r="N19" i="33"/>
  <c r="R19" i="33" s="1"/>
  <c r="Q131" i="26"/>
  <c r="Q131" i="25"/>
  <c r="Q131" i="24"/>
  <c r="M235" i="19"/>
  <c r="I233" i="19"/>
  <c r="S238" i="19"/>
  <c r="O236" i="19"/>
  <c r="G232" i="19"/>
  <c r="K234" i="19"/>
  <c r="U239" i="19"/>
  <c r="C229" i="19"/>
  <c r="C230" i="19" s="1"/>
  <c r="C231" i="19" s="1"/>
  <c r="E231" i="19"/>
  <c r="Q237" i="19"/>
  <c r="C20" i="33"/>
  <c r="P4" i="19"/>
  <c r="Q124" i="19" s="1"/>
  <c r="Q131" i="22"/>
  <c r="Q131" i="20"/>
  <c r="N16" i="33"/>
  <c r="R16" i="33" s="1"/>
  <c r="Q131" i="17"/>
  <c r="N14" i="33"/>
  <c r="R14" i="33" s="1"/>
  <c r="Q131" i="14"/>
  <c r="Q131" i="12"/>
  <c r="Q131" i="11"/>
  <c r="Q131" i="10"/>
  <c r="Q131" i="9"/>
  <c r="Q131" i="8"/>
  <c r="Q131" i="7"/>
  <c r="Q131" i="6"/>
  <c r="V235" i="16"/>
  <c r="W235" i="16" s="1"/>
  <c r="D132" i="2"/>
  <c r="X2" i="32"/>
  <c r="X27" i="32" s="1"/>
  <c r="N176" i="2"/>
  <c r="V233" i="21"/>
  <c r="W233" i="21" s="1"/>
  <c r="V234" i="16"/>
  <c r="M236" i="23"/>
  <c r="N236" i="23" s="1"/>
  <c r="V235" i="21"/>
  <c r="W235" i="21" s="1"/>
  <c r="X233" i="31"/>
  <c r="M239" i="23"/>
  <c r="N239" i="23" s="1"/>
  <c r="M238" i="23"/>
  <c r="N238" i="23" s="1"/>
  <c r="N235" i="23"/>
  <c r="J27" i="32"/>
  <c r="V233" i="16"/>
  <c r="W233" i="16" s="1"/>
  <c r="V234" i="21"/>
  <c r="Y233" i="28"/>
  <c r="V233" i="4"/>
  <c r="W233" i="4" s="1"/>
  <c r="G235" i="23"/>
  <c r="H235" i="23" s="1"/>
  <c r="G239" i="23"/>
  <c r="H239" i="23" s="1"/>
  <c r="G233" i="23"/>
  <c r="H233" i="23" s="1"/>
  <c r="G237" i="23"/>
  <c r="H237" i="23" s="1"/>
  <c r="G238" i="23"/>
  <c r="H238" i="23" s="1"/>
  <c r="G234" i="23"/>
  <c r="H234" i="23" s="1"/>
  <c r="G236" i="23"/>
  <c r="H236" i="23" s="1"/>
  <c r="H232" i="23"/>
  <c r="O239" i="23"/>
  <c r="P239" i="23" s="1"/>
  <c r="O237" i="23"/>
  <c r="P237" i="23" s="1"/>
  <c r="O238" i="23"/>
  <c r="P238" i="23" s="1"/>
  <c r="P236" i="23"/>
  <c r="T238" i="23"/>
  <c r="S239" i="23"/>
  <c r="T239" i="23" s="1"/>
  <c r="I239" i="23"/>
  <c r="J239" i="23" s="1"/>
  <c r="I236" i="23"/>
  <c r="J236" i="23" s="1"/>
  <c r="I238" i="23"/>
  <c r="J238" i="23" s="1"/>
  <c r="I234" i="23"/>
  <c r="J234" i="23" s="1"/>
  <c r="I237" i="23"/>
  <c r="J237" i="23" s="1"/>
  <c r="J233" i="23"/>
  <c r="I235" i="23"/>
  <c r="J235" i="23" s="1"/>
  <c r="L234" i="23"/>
  <c r="K235" i="23"/>
  <c r="Q238" i="23"/>
  <c r="R238" i="23" s="1"/>
  <c r="R237" i="23"/>
  <c r="Q239" i="23"/>
  <c r="R239" i="23" s="1"/>
  <c r="E234" i="23"/>
  <c r="E235" i="23"/>
  <c r="E236" i="23"/>
  <c r="F236" i="23" s="1"/>
  <c r="E232" i="23"/>
  <c r="F232" i="23" s="1"/>
  <c r="E237" i="23"/>
  <c r="F237" i="23" s="1"/>
  <c r="E238" i="23"/>
  <c r="F238" i="23" s="1"/>
  <c r="E239" i="23"/>
  <c r="F239" i="23" s="1"/>
  <c r="E233" i="23"/>
  <c r="F231" i="23"/>
  <c r="V231" i="23" s="1"/>
  <c r="Y233" i="4"/>
  <c r="L234" i="15"/>
  <c r="K235" i="15"/>
  <c r="P236" i="15"/>
  <c r="O238" i="15"/>
  <c r="P238" i="15" s="1"/>
  <c r="O239" i="15"/>
  <c r="P239" i="15" s="1"/>
  <c r="O237" i="15"/>
  <c r="P237" i="15" s="1"/>
  <c r="I235" i="15"/>
  <c r="J235" i="15" s="1"/>
  <c r="I234" i="15"/>
  <c r="J234" i="15" s="1"/>
  <c r="I239" i="15"/>
  <c r="J239" i="15" s="1"/>
  <c r="I236" i="15"/>
  <c r="J236" i="15" s="1"/>
  <c r="I237" i="15"/>
  <c r="J237" i="15" s="1"/>
  <c r="J233" i="15"/>
  <c r="I238" i="15"/>
  <c r="J238" i="15" s="1"/>
  <c r="T238" i="15"/>
  <c r="S239" i="15"/>
  <c r="T239" i="15" s="1"/>
  <c r="E238" i="15"/>
  <c r="F238" i="15" s="1"/>
  <c r="E237" i="15"/>
  <c r="F237" i="15" s="1"/>
  <c r="F231" i="15"/>
  <c r="V231" i="15" s="1"/>
  <c r="E232" i="15"/>
  <c r="E234" i="15"/>
  <c r="E236" i="15"/>
  <c r="F236" i="15" s="1"/>
  <c r="E235" i="15"/>
  <c r="E239" i="15"/>
  <c r="F239" i="15" s="1"/>
  <c r="E233" i="15"/>
  <c r="G235" i="15"/>
  <c r="H235" i="15" s="1"/>
  <c r="G236" i="15"/>
  <c r="H236" i="15" s="1"/>
  <c r="G239" i="15"/>
  <c r="H239" i="15" s="1"/>
  <c r="G233" i="15"/>
  <c r="H233" i="15" s="1"/>
  <c r="G238" i="15"/>
  <c r="H238" i="15" s="1"/>
  <c r="G237" i="15"/>
  <c r="H237" i="15" s="1"/>
  <c r="G234" i="15"/>
  <c r="H234" i="15" s="1"/>
  <c r="H232" i="15"/>
  <c r="R237" i="15"/>
  <c r="Q239" i="15"/>
  <c r="R239" i="15" s="1"/>
  <c r="Q238" i="15"/>
  <c r="R238" i="15" s="1"/>
  <c r="AA233" i="28"/>
  <c r="X232" i="28" s="1"/>
  <c r="Z233" i="28"/>
  <c r="K237" i="30"/>
  <c r="K238" i="30" s="1"/>
  <c r="V236" i="27"/>
  <c r="Y236" i="27" s="1"/>
  <c r="W236" i="27" s="1"/>
  <c r="V234" i="4"/>
  <c r="V230" i="4"/>
  <c r="V235" i="4"/>
  <c r="K236" i="4"/>
  <c r="V236" i="21"/>
  <c r="P236" i="5"/>
  <c r="O237" i="5"/>
  <c r="P237" i="5" s="1"/>
  <c r="O239" i="5"/>
  <c r="P239" i="5" s="1"/>
  <c r="O238" i="5"/>
  <c r="P238" i="5" s="1"/>
  <c r="I234" i="5"/>
  <c r="J234" i="5" s="1"/>
  <c r="I238" i="5"/>
  <c r="J238" i="5" s="1"/>
  <c r="I237" i="5"/>
  <c r="J237" i="5" s="1"/>
  <c r="J233" i="5"/>
  <c r="I235" i="5"/>
  <c r="J235" i="5" s="1"/>
  <c r="I239" i="5"/>
  <c r="J239" i="5" s="1"/>
  <c r="I236" i="5"/>
  <c r="J236" i="5" s="1"/>
  <c r="E233" i="5"/>
  <c r="F233" i="5" s="1"/>
  <c r="E234" i="5"/>
  <c r="E239" i="5"/>
  <c r="F239" i="5" s="1"/>
  <c r="E235" i="5"/>
  <c r="F235" i="5" s="1"/>
  <c r="E238" i="5"/>
  <c r="F238" i="5" s="1"/>
  <c r="E236" i="5"/>
  <c r="F236" i="5" s="1"/>
  <c r="F231" i="5"/>
  <c r="V231" i="5" s="1"/>
  <c r="E232" i="5"/>
  <c r="F232" i="5" s="1"/>
  <c r="E237" i="5"/>
  <c r="F237" i="5" s="1"/>
  <c r="L234" i="5"/>
  <c r="K235" i="5"/>
  <c r="R237" i="5"/>
  <c r="Q239" i="5"/>
  <c r="R239" i="5" s="1"/>
  <c r="Q238" i="5"/>
  <c r="R238" i="5" s="1"/>
  <c r="M239" i="5"/>
  <c r="N239" i="5" s="1"/>
  <c r="M237" i="5"/>
  <c r="N237" i="5" s="1"/>
  <c r="M236" i="5"/>
  <c r="N236" i="5" s="1"/>
  <c r="M238" i="5"/>
  <c r="N238" i="5" s="1"/>
  <c r="N235" i="5"/>
  <c r="S239" i="5"/>
  <c r="T239" i="5" s="1"/>
  <c r="T238" i="5"/>
  <c r="H232" i="5"/>
  <c r="G237" i="5"/>
  <c r="H237" i="5" s="1"/>
  <c r="G239" i="5"/>
  <c r="H239" i="5" s="1"/>
  <c r="G236" i="5"/>
  <c r="H236" i="5" s="1"/>
  <c r="G235" i="5"/>
  <c r="H235" i="5" s="1"/>
  <c r="G238" i="5"/>
  <c r="H238" i="5" s="1"/>
  <c r="G233" i="5"/>
  <c r="H233" i="5" s="1"/>
  <c r="G234" i="5"/>
  <c r="H234" i="5" s="1"/>
  <c r="AD27" i="32"/>
  <c r="Y2" i="32"/>
  <c r="Y27" i="32" s="1"/>
  <c r="K237" i="21"/>
  <c r="K236" i="3"/>
  <c r="L236" i="3" s="1"/>
  <c r="V236" i="3" s="1"/>
  <c r="V236" i="30"/>
  <c r="AA236" i="30" s="1"/>
  <c r="K237" i="27"/>
  <c r="K238" i="27" s="1"/>
  <c r="AA236" i="31"/>
  <c r="Z236" i="31"/>
  <c r="Y236" i="31"/>
  <c r="Q239" i="26"/>
  <c r="R239" i="26" s="1"/>
  <c r="R237" i="26"/>
  <c r="Q238" i="26"/>
  <c r="R238" i="26" s="1"/>
  <c r="K235" i="11"/>
  <c r="L235" i="11" s="1"/>
  <c r="L234" i="11"/>
  <c r="K235" i="20"/>
  <c r="L235" i="20" s="1"/>
  <c r="L234" i="20"/>
  <c r="E238" i="24"/>
  <c r="F238" i="24" s="1"/>
  <c r="E232" i="24"/>
  <c r="F232" i="24" s="1"/>
  <c r="E233" i="24"/>
  <c r="F233" i="24" s="1"/>
  <c r="E235" i="24"/>
  <c r="F235" i="24" s="1"/>
  <c r="F231" i="24"/>
  <c r="V231" i="24" s="1"/>
  <c r="E239" i="24"/>
  <c r="F239" i="24" s="1"/>
  <c r="E236" i="24"/>
  <c r="F236" i="24" s="1"/>
  <c r="E237" i="24"/>
  <c r="F237" i="24" s="1"/>
  <c r="E234" i="24"/>
  <c r="F234" i="24" s="1"/>
  <c r="I238" i="17"/>
  <c r="J238" i="17" s="1"/>
  <c r="J233" i="17"/>
  <c r="I235" i="17"/>
  <c r="J235" i="17" s="1"/>
  <c r="I236" i="17"/>
  <c r="J236" i="17" s="1"/>
  <c r="I239" i="17"/>
  <c r="J239" i="17" s="1"/>
  <c r="I234" i="17"/>
  <c r="J234" i="17" s="1"/>
  <c r="I237" i="17"/>
  <c r="J237" i="17" s="1"/>
  <c r="Q239" i="17"/>
  <c r="R239" i="17" s="1"/>
  <c r="Q238" i="17"/>
  <c r="R238" i="17" s="1"/>
  <c r="R237" i="17"/>
  <c r="T238" i="8"/>
  <c r="S239" i="8"/>
  <c r="T239" i="8" s="1"/>
  <c r="H232" i="9"/>
  <c r="G233" i="9"/>
  <c r="H233" i="9" s="1"/>
  <c r="G239" i="9"/>
  <c r="H239" i="9" s="1"/>
  <c r="G238" i="9"/>
  <c r="H238" i="9" s="1"/>
  <c r="G235" i="9"/>
  <c r="H235" i="9" s="1"/>
  <c r="G236" i="9"/>
  <c r="H236" i="9" s="1"/>
  <c r="G234" i="9"/>
  <c r="H234" i="9" s="1"/>
  <c r="G237" i="9"/>
  <c r="H237" i="9" s="1"/>
  <c r="E236" i="9"/>
  <c r="F236" i="9" s="1"/>
  <c r="E235" i="9"/>
  <c r="F235" i="9" s="1"/>
  <c r="E237" i="9"/>
  <c r="F237" i="9" s="1"/>
  <c r="E239" i="9"/>
  <c r="F239" i="9" s="1"/>
  <c r="E234" i="9"/>
  <c r="E232" i="9"/>
  <c r="E238" i="9"/>
  <c r="F238" i="9" s="1"/>
  <c r="F231" i="9"/>
  <c r="V231" i="9" s="1"/>
  <c r="E233" i="9"/>
  <c r="L234" i="25"/>
  <c r="K235" i="25"/>
  <c r="L235" i="25" s="1"/>
  <c r="S239" i="25"/>
  <c r="T239" i="25" s="1"/>
  <c r="T238" i="25"/>
  <c r="I237" i="6"/>
  <c r="J237" i="6" s="1"/>
  <c r="I238" i="6"/>
  <c r="J238" i="6" s="1"/>
  <c r="I234" i="6"/>
  <c r="J234" i="6" s="1"/>
  <c r="I235" i="6"/>
  <c r="J235" i="6" s="1"/>
  <c r="J233" i="6"/>
  <c r="I236" i="6"/>
  <c r="J236" i="6" s="1"/>
  <c r="I239" i="6"/>
  <c r="J239" i="6" s="1"/>
  <c r="Q239" i="6"/>
  <c r="R239" i="6" s="1"/>
  <c r="Q238" i="6"/>
  <c r="R238" i="6" s="1"/>
  <c r="R237" i="6"/>
  <c r="Q239" i="12"/>
  <c r="R239" i="12" s="1"/>
  <c r="R237" i="12"/>
  <c r="Q238" i="12"/>
  <c r="R238" i="12" s="1"/>
  <c r="W231" i="3"/>
  <c r="X231" i="3" s="1"/>
  <c r="V230" i="3"/>
  <c r="N15" i="33"/>
  <c r="R15" i="33" s="1"/>
  <c r="G239" i="7"/>
  <c r="H239" i="7" s="1"/>
  <c r="G235" i="7"/>
  <c r="H235" i="7" s="1"/>
  <c r="G233" i="7"/>
  <c r="H233" i="7" s="1"/>
  <c r="H232" i="7"/>
  <c r="G236" i="7"/>
  <c r="H236" i="7" s="1"/>
  <c r="G238" i="7"/>
  <c r="H238" i="7" s="1"/>
  <c r="G237" i="7"/>
  <c r="H237" i="7" s="1"/>
  <c r="G234" i="7"/>
  <c r="H234" i="7" s="1"/>
  <c r="O239" i="7"/>
  <c r="P239" i="7" s="1"/>
  <c r="O238" i="7"/>
  <c r="P238" i="7" s="1"/>
  <c r="P236" i="7"/>
  <c r="O237" i="7"/>
  <c r="P237" i="7" s="1"/>
  <c r="M239" i="20"/>
  <c r="N239" i="20" s="1"/>
  <c r="N235" i="20"/>
  <c r="M236" i="20"/>
  <c r="N236" i="20" s="1"/>
  <c r="M237" i="20"/>
  <c r="N237" i="20" s="1"/>
  <c r="M238" i="20"/>
  <c r="N238" i="20" s="1"/>
  <c r="S239" i="24"/>
  <c r="T239" i="24" s="1"/>
  <c r="T238" i="24"/>
  <c r="G239" i="24"/>
  <c r="H239" i="24" s="1"/>
  <c r="G235" i="24"/>
  <c r="H235" i="24" s="1"/>
  <c r="G234" i="24"/>
  <c r="H234" i="24" s="1"/>
  <c r="G237" i="24"/>
  <c r="H237" i="24" s="1"/>
  <c r="G233" i="24"/>
  <c r="H233" i="24" s="1"/>
  <c r="H232" i="24"/>
  <c r="G236" i="24"/>
  <c r="H236" i="24" s="1"/>
  <c r="G238" i="24"/>
  <c r="H238" i="24" s="1"/>
  <c r="O239" i="24"/>
  <c r="P239" i="24" s="1"/>
  <c r="O237" i="24"/>
  <c r="P237" i="24" s="1"/>
  <c r="O238" i="24"/>
  <c r="P238" i="24" s="1"/>
  <c r="P236" i="24"/>
  <c r="O239" i="17"/>
  <c r="P239" i="17" s="1"/>
  <c r="P236" i="17"/>
  <c r="O237" i="17"/>
  <c r="P237" i="17" s="1"/>
  <c r="O238" i="17"/>
  <c r="P238" i="17" s="1"/>
  <c r="L234" i="17"/>
  <c r="K235" i="17"/>
  <c r="L235" i="17" s="1"/>
  <c r="O238" i="8"/>
  <c r="P238" i="8" s="1"/>
  <c r="O237" i="8"/>
  <c r="P237" i="8" s="1"/>
  <c r="P236" i="8"/>
  <c r="O239" i="8"/>
  <c r="P239" i="8" s="1"/>
  <c r="G233" i="8"/>
  <c r="H233" i="8" s="1"/>
  <c r="H232" i="8"/>
  <c r="G236" i="8"/>
  <c r="H236" i="8" s="1"/>
  <c r="G238" i="8"/>
  <c r="H238" i="8" s="1"/>
  <c r="G239" i="8"/>
  <c r="H239" i="8" s="1"/>
  <c r="G237" i="8"/>
  <c r="H237" i="8" s="1"/>
  <c r="G234" i="8"/>
  <c r="H234" i="8" s="1"/>
  <c r="G235" i="8"/>
  <c r="H235" i="8" s="1"/>
  <c r="R237" i="8"/>
  <c r="Q239" i="8"/>
  <c r="R239" i="8" s="1"/>
  <c r="Q238" i="8"/>
  <c r="R238" i="8" s="1"/>
  <c r="T238" i="9"/>
  <c r="S239" i="9"/>
  <c r="T239" i="9" s="1"/>
  <c r="I238" i="25"/>
  <c r="J238" i="25" s="1"/>
  <c r="J233" i="25"/>
  <c r="I235" i="25"/>
  <c r="J235" i="25" s="1"/>
  <c r="I236" i="25"/>
  <c r="J236" i="25" s="1"/>
  <c r="I239" i="25"/>
  <c r="J239" i="25" s="1"/>
  <c r="I234" i="25"/>
  <c r="J234" i="25" s="1"/>
  <c r="I237" i="25"/>
  <c r="J237" i="25" s="1"/>
  <c r="Q239" i="25"/>
  <c r="R239" i="25" s="1"/>
  <c r="Q238" i="25"/>
  <c r="R238" i="25" s="1"/>
  <c r="R237" i="25"/>
  <c r="V230" i="18"/>
  <c r="W231" i="18"/>
  <c r="X231" i="18" s="1"/>
  <c r="V234" i="18"/>
  <c r="G233" i="6"/>
  <c r="H233" i="6" s="1"/>
  <c r="G236" i="6"/>
  <c r="H236" i="6" s="1"/>
  <c r="G238" i="6"/>
  <c r="H238" i="6" s="1"/>
  <c r="G239" i="6"/>
  <c r="H239" i="6" s="1"/>
  <c r="G235" i="6"/>
  <c r="H235" i="6" s="1"/>
  <c r="H232" i="6"/>
  <c r="G237" i="6"/>
  <c r="H237" i="6" s="1"/>
  <c r="G234" i="6"/>
  <c r="H234" i="6" s="1"/>
  <c r="E234" i="6"/>
  <c r="E235" i="6"/>
  <c r="F235" i="6" s="1"/>
  <c r="E236" i="6"/>
  <c r="F236" i="6" s="1"/>
  <c r="E232" i="6"/>
  <c r="E239" i="6"/>
  <c r="F239" i="6" s="1"/>
  <c r="E238" i="6"/>
  <c r="F238" i="6" s="1"/>
  <c r="F231" i="6"/>
  <c r="V231" i="6" s="1"/>
  <c r="E237" i="6"/>
  <c r="F237" i="6" s="1"/>
  <c r="E233" i="6"/>
  <c r="P236" i="6"/>
  <c r="O237" i="6"/>
  <c r="P237" i="6" s="1"/>
  <c r="O238" i="6"/>
  <c r="P238" i="6" s="1"/>
  <c r="O239" i="6"/>
  <c r="P239" i="6" s="1"/>
  <c r="V232" i="13"/>
  <c r="V234" i="13"/>
  <c r="L236" i="28"/>
  <c r="V236" i="28" s="1"/>
  <c r="AA236" i="28" s="1"/>
  <c r="K237" i="28"/>
  <c r="W232" i="16"/>
  <c r="E239" i="12"/>
  <c r="F239" i="12" s="1"/>
  <c r="E237" i="12"/>
  <c r="F237" i="12" s="1"/>
  <c r="E232" i="12"/>
  <c r="F232" i="12" s="1"/>
  <c r="E233" i="12"/>
  <c r="E238" i="12"/>
  <c r="F238" i="12" s="1"/>
  <c r="E235" i="12"/>
  <c r="F235" i="12" s="1"/>
  <c r="E234" i="12"/>
  <c r="F231" i="12"/>
  <c r="V231" i="12" s="1"/>
  <c r="E236" i="12"/>
  <c r="F236" i="12" s="1"/>
  <c r="V235" i="3"/>
  <c r="K235" i="7"/>
  <c r="L235" i="7" s="1"/>
  <c r="L234" i="7"/>
  <c r="M239" i="7"/>
  <c r="N239" i="7" s="1"/>
  <c r="M236" i="7"/>
  <c r="N236" i="7" s="1"/>
  <c r="M238" i="7"/>
  <c r="N238" i="7" s="1"/>
  <c r="N235" i="7"/>
  <c r="M237" i="7"/>
  <c r="N237" i="7" s="1"/>
  <c r="N27" i="33"/>
  <c r="R27" i="33" s="1"/>
  <c r="G236" i="14"/>
  <c r="H236" i="14" s="1"/>
  <c r="G237" i="14"/>
  <c r="H237" i="14" s="1"/>
  <c r="G238" i="14"/>
  <c r="H238" i="14" s="1"/>
  <c r="G234" i="14"/>
  <c r="H234" i="14" s="1"/>
  <c r="G235" i="14"/>
  <c r="H235" i="14" s="1"/>
  <c r="G239" i="14"/>
  <c r="H239" i="14" s="1"/>
  <c r="G233" i="14"/>
  <c r="H233" i="14" s="1"/>
  <c r="H232" i="14"/>
  <c r="T238" i="22"/>
  <c r="S239" i="22"/>
  <c r="T239" i="22" s="1"/>
  <c r="E238" i="10"/>
  <c r="F238" i="10" s="1"/>
  <c r="E232" i="10"/>
  <c r="F232" i="10" s="1"/>
  <c r="E233" i="10"/>
  <c r="F233" i="10" s="1"/>
  <c r="E235" i="10"/>
  <c r="F235" i="10" s="1"/>
  <c r="E239" i="10"/>
  <c r="E236" i="10"/>
  <c r="F236" i="10" s="1"/>
  <c r="F231" i="10"/>
  <c r="V231" i="10" s="1"/>
  <c r="E237" i="10"/>
  <c r="F237" i="10" s="1"/>
  <c r="E234" i="10"/>
  <c r="F234" i="10" s="1"/>
  <c r="E239" i="11"/>
  <c r="F239" i="11" s="1"/>
  <c r="E234" i="11"/>
  <c r="F234" i="11" s="1"/>
  <c r="E237" i="11"/>
  <c r="F237" i="11" s="1"/>
  <c r="E238" i="11"/>
  <c r="F238" i="11" s="1"/>
  <c r="E232" i="11"/>
  <c r="F232" i="11" s="1"/>
  <c r="E236" i="11"/>
  <c r="F236" i="11" s="1"/>
  <c r="E233" i="11"/>
  <c r="F233" i="11" s="1"/>
  <c r="E235" i="11"/>
  <c r="F235" i="11" s="1"/>
  <c r="F231" i="11"/>
  <c r="V231" i="11" s="1"/>
  <c r="M239" i="14"/>
  <c r="N239" i="14" s="1"/>
  <c r="M237" i="14"/>
  <c r="N237" i="14" s="1"/>
  <c r="M236" i="14"/>
  <c r="N236" i="14" s="1"/>
  <c r="M238" i="14"/>
  <c r="N238" i="14" s="1"/>
  <c r="N235" i="14"/>
  <c r="G233" i="26"/>
  <c r="H233" i="26" s="1"/>
  <c r="H232" i="26"/>
  <c r="G234" i="26"/>
  <c r="H234" i="26" s="1"/>
  <c r="G236" i="26"/>
  <c r="H236" i="26" s="1"/>
  <c r="G237" i="26"/>
  <c r="H237" i="26" s="1"/>
  <c r="G238" i="26"/>
  <c r="H238" i="26" s="1"/>
  <c r="G239" i="26"/>
  <c r="H239" i="26" s="1"/>
  <c r="G235" i="26"/>
  <c r="H235" i="26" s="1"/>
  <c r="O239" i="26"/>
  <c r="P239" i="26" s="1"/>
  <c r="O237" i="26"/>
  <c r="P237" i="26" s="1"/>
  <c r="P236" i="26"/>
  <c r="O238" i="26"/>
  <c r="P238" i="26" s="1"/>
  <c r="Q239" i="22"/>
  <c r="R239" i="22" s="1"/>
  <c r="Q238" i="22"/>
  <c r="R238" i="22" s="1"/>
  <c r="R237" i="22"/>
  <c r="M237" i="22"/>
  <c r="N237" i="22" s="1"/>
  <c r="M236" i="22"/>
  <c r="N236" i="22" s="1"/>
  <c r="M238" i="22"/>
  <c r="N238" i="22" s="1"/>
  <c r="N235" i="22"/>
  <c r="M239" i="22"/>
  <c r="N239" i="22" s="1"/>
  <c r="L236" i="29"/>
  <c r="V236" i="29" s="1"/>
  <c r="Y236" i="29" s="1"/>
  <c r="W236" i="29" s="1"/>
  <c r="K237" i="29"/>
  <c r="Y233" i="27"/>
  <c r="O237" i="22"/>
  <c r="P237" i="22" s="1"/>
  <c r="O238" i="22"/>
  <c r="P238" i="22" s="1"/>
  <c r="P236" i="22"/>
  <c r="O239" i="22"/>
  <c r="P239" i="22" s="1"/>
  <c r="E237" i="22"/>
  <c r="F237" i="22" s="1"/>
  <c r="E234" i="22"/>
  <c r="F234" i="22" s="1"/>
  <c r="E238" i="22"/>
  <c r="F238" i="22" s="1"/>
  <c r="E232" i="22"/>
  <c r="F232" i="22" s="1"/>
  <c r="E233" i="22"/>
  <c r="F233" i="22" s="1"/>
  <c r="E235" i="22"/>
  <c r="F235" i="22" s="1"/>
  <c r="F231" i="22"/>
  <c r="V231" i="22" s="1"/>
  <c r="E239" i="22"/>
  <c r="F239" i="22" s="1"/>
  <c r="E236" i="22"/>
  <c r="L234" i="10"/>
  <c r="K235" i="10"/>
  <c r="L235" i="10" s="1"/>
  <c r="M239" i="11"/>
  <c r="N239" i="11" s="1"/>
  <c r="N235" i="11"/>
  <c r="M237" i="11"/>
  <c r="N237" i="11" s="1"/>
  <c r="M238" i="11"/>
  <c r="N238" i="11" s="1"/>
  <c r="M236" i="11"/>
  <c r="N236" i="11" s="1"/>
  <c r="Z233" i="27"/>
  <c r="K236" i="13"/>
  <c r="G239" i="20"/>
  <c r="H239" i="20" s="1"/>
  <c r="G236" i="20"/>
  <c r="H236" i="20" s="1"/>
  <c r="G233" i="20"/>
  <c r="H233" i="20" s="1"/>
  <c r="G237" i="20"/>
  <c r="H237" i="20" s="1"/>
  <c r="H232" i="20"/>
  <c r="G235" i="20"/>
  <c r="H235" i="20" s="1"/>
  <c r="G238" i="20"/>
  <c r="H238" i="20" s="1"/>
  <c r="G234" i="20"/>
  <c r="H234" i="20" s="1"/>
  <c r="E237" i="20"/>
  <c r="F237" i="20" s="1"/>
  <c r="E235" i="20"/>
  <c r="F235" i="20" s="1"/>
  <c r="E232" i="20"/>
  <c r="F232" i="20" s="1"/>
  <c r="E233" i="20"/>
  <c r="E239" i="20"/>
  <c r="F239" i="20" s="1"/>
  <c r="E234" i="20"/>
  <c r="F231" i="20"/>
  <c r="V231" i="20" s="1"/>
  <c r="E236" i="20"/>
  <c r="F236" i="20" s="1"/>
  <c r="E238" i="20"/>
  <c r="F238" i="20" s="1"/>
  <c r="R237" i="20"/>
  <c r="Q239" i="20"/>
  <c r="R239" i="20" s="1"/>
  <c r="Q238" i="20"/>
  <c r="R238" i="20" s="1"/>
  <c r="L234" i="24"/>
  <c r="K235" i="24"/>
  <c r="L235" i="24" s="1"/>
  <c r="M236" i="24"/>
  <c r="N236" i="24" s="1"/>
  <c r="N235" i="24"/>
  <c r="M237" i="24"/>
  <c r="N237" i="24" s="1"/>
  <c r="M238" i="24"/>
  <c r="N238" i="24" s="1"/>
  <c r="M239" i="24"/>
  <c r="N239" i="24" s="1"/>
  <c r="M239" i="17"/>
  <c r="N239" i="17" s="1"/>
  <c r="N235" i="17"/>
  <c r="M237" i="17"/>
  <c r="N237" i="17" s="1"/>
  <c r="M236" i="17"/>
  <c r="N236" i="17" s="1"/>
  <c r="M238" i="17"/>
  <c r="N238" i="17" s="1"/>
  <c r="K238" i="31"/>
  <c r="L237" i="31"/>
  <c r="V237" i="31" s="1"/>
  <c r="AA233" i="30"/>
  <c r="E235" i="8"/>
  <c r="F235" i="8" s="1"/>
  <c r="E237" i="8"/>
  <c r="F237" i="8" s="1"/>
  <c r="E236" i="8"/>
  <c r="F236" i="8" s="1"/>
  <c r="E232" i="8"/>
  <c r="F232" i="8" s="1"/>
  <c r="F231" i="8"/>
  <c r="V231" i="8" s="1"/>
  <c r="E234" i="8"/>
  <c r="F234" i="8" s="1"/>
  <c r="E238" i="8"/>
  <c r="F238" i="8" s="1"/>
  <c r="E239" i="8"/>
  <c r="F239" i="8" s="1"/>
  <c r="E233" i="8"/>
  <c r="F233" i="8" s="1"/>
  <c r="I238" i="8"/>
  <c r="J238" i="8" s="1"/>
  <c r="J233" i="8"/>
  <c r="I239" i="8"/>
  <c r="J239" i="8" s="1"/>
  <c r="I236" i="8"/>
  <c r="J236" i="8" s="1"/>
  <c r="I235" i="8"/>
  <c r="J235" i="8" s="1"/>
  <c r="I237" i="8"/>
  <c r="J237" i="8" s="1"/>
  <c r="I234" i="8"/>
  <c r="J234" i="8" s="1"/>
  <c r="M239" i="8"/>
  <c r="N239" i="8" s="1"/>
  <c r="N235" i="8"/>
  <c r="M238" i="8"/>
  <c r="N238" i="8" s="1"/>
  <c r="M236" i="8"/>
  <c r="N236" i="8" s="1"/>
  <c r="M237" i="8"/>
  <c r="N237" i="8" s="1"/>
  <c r="R237" i="9"/>
  <c r="Q239" i="9"/>
  <c r="R239" i="9" s="1"/>
  <c r="Q238" i="9"/>
  <c r="R238" i="9" s="1"/>
  <c r="M238" i="9"/>
  <c r="N238" i="9" s="1"/>
  <c r="M236" i="9"/>
  <c r="N236" i="9" s="1"/>
  <c r="M239" i="9"/>
  <c r="N239" i="9" s="1"/>
  <c r="N235" i="9"/>
  <c r="M237" i="9"/>
  <c r="N237" i="9" s="1"/>
  <c r="I238" i="9"/>
  <c r="J238" i="9" s="1"/>
  <c r="I237" i="9"/>
  <c r="J237" i="9" s="1"/>
  <c r="I235" i="9"/>
  <c r="J235" i="9" s="1"/>
  <c r="I239" i="9"/>
  <c r="J239" i="9" s="1"/>
  <c r="J233" i="9"/>
  <c r="I236" i="9"/>
  <c r="J236" i="9" s="1"/>
  <c r="I234" i="9"/>
  <c r="J234" i="9" s="1"/>
  <c r="E238" i="25"/>
  <c r="F238" i="25" s="1"/>
  <c r="E232" i="25"/>
  <c r="F232" i="25" s="1"/>
  <c r="E233" i="25"/>
  <c r="F233" i="25" s="1"/>
  <c r="E234" i="25"/>
  <c r="F234" i="25" s="1"/>
  <c r="E235" i="25"/>
  <c r="F235" i="25" s="1"/>
  <c r="F231" i="25"/>
  <c r="V231" i="25" s="1"/>
  <c r="E239" i="25"/>
  <c r="F239" i="25" s="1"/>
  <c r="E236" i="25"/>
  <c r="F236" i="25" s="1"/>
  <c r="E237" i="25"/>
  <c r="F237" i="25" s="1"/>
  <c r="O239" i="25"/>
  <c r="P239" i="25" s="1"/>
  <c r="P236" i="25"/>
  <c r="O237" i="25"/>
  <c r="P237" i="25" s="1"/>
  <c r="O238" i="25"/>
  <c r="P238" i="25" s="1"/>
  <c r="V233" i="18"/>
  <c r="W233" i="18" s="1"/>
  <c r="V235" i="18"/>
  <c r="K235" i="6"/>
  <c r="L235" i="6" s="1"/>
  <c r="L234" i="6"/>
  <c r="M238" i="6"/>
  <c r="N238" i="6" s="1"/>
  <c r="M236" i="6"/>
  <c r="N236" i="6" s="1"/>
  <c r="M239" i="6"/>
  <c r="N239" i="6" s="1"/>
  <c r="M237" i="6"/>
  <c r="N237" i="6" s="1"/>
  <c r="N235" i="6"/>
  <c r="AA233" i="27"/>
  <c r="W231" i="13"/>
  <c r="X231" i="13" s="1"/>
  <c r="V230" i="13"/>
  <c r="Z233" i="30"/>
  <c r="M237" i="12"/>
  <c r="N237" i="12" s="1"/>
  <c r="M238" i="12"/>
  <c r="N238" i="12" s="1"/>
  <c r="M239" i="12"/>
  <c r="N239" i="12" s="1"/>
  <c r="N235" i="12"/>
  <c r="M236" i="12"/>
  <c r="N236" i="12" s="1"/>
  <c r="G235" i="12"/>
  <c r="H235" i="12" s="1"/>
  <c r="G234" i="12"/>
  <c r="H234" i="12" s="1"/>
  <c r="G236" i="12"/>
  <c r="H236" i="12" s="1"/>
  <c r="G233" i="12"/>
  <c r="H233" i="12" s="1"/>
  <c r="H232" i="12"/>
  <c r="G239" i="12"/>
  <c r="H239" i="12" s="1"/>
  <c r="G238" i="12"/>
  <c r="H238" i="12" s="1"/>
  <c r="G237" i="12"/>
  <c r="H237" i="12" s="1"/>
  <c r="O237" i="12"/>
  <c r="P237" i="12" s="1"/>
  <c r="O238" i="12"/>
  <c r="P238" i="12" s="1"/>
  <c r="O239" i="12"/>
  <c r="P239" i="12" s="1"/>
  <c r="P236" i="12"/>
  <c r="V233" i="3"/>
  <c r="W233" i="3" s="1"/>
  <c r="S239" i="7"/>
  <c r="T239" i="7" s="1"/>
  <c r="T238" i="7"/>
  <c r="R237" i="7"/>
  <c r="Q239" i="7"/>
  <c r="R239" i="7" s="1"/>
  <c r="Q238" i="7"/>
  <c r="R238" i="7" s="1"/>
  <c r="R237" i="14"/>
  <c r="Q239" i="14"/>
  <c r="R239" i="14" s="1"/>
  <c r="Q238" i="14"/>
  <c r="R238" i="14" s="1"/>
  <c r="L234" i="22"/>
  <c r="K235" i="22"/>
  <c r="L235" i="22" s="1"/>
  <c r="O237" i="10"/>
  <c r="P237" i="10" s="1"/>
  <c r="O238" i="10"/>
  <c r="P238" i="10" s="1"/>
  <c r="P236" i="10"/>
  <c r="O239" i="10"/>
  <c r="P239" i="10" s="1"/>
  <c r="R237" i="10"/>
  <c r="Q238" i="10"/>
  <c r="R238" i="10" s="1"/>
  <c r="Q239" i="10"/>
  <c r="R239" i="10" s="1"/>
  <c r="I236" i="20"/>
  <c r="J236" i="20" s="1"/>
  <c r="I235" i="20"/>
  <c r="J235" i="20" s="1"/>
  <c r="I239" i="20"/>
  <c r="J239" i="20" s="1"/>
  <c r="J233" i="20"/>
  <c r="I238" i="20"/>
  <c r="J238" i="20" s="1"/>
  <c r="I237" i="20"/>
  <c r="J237" i="20" s="1"/>
  <c r="I234" i="20"/>
  <c r="J234" i="20" s="1"/>
  <c r="I238" i="24"/>
  <c r="J238" i="24" s="1"/>
  <c r="J233" i="24"/>
  <c r="I235" i="24"/>
  <c r="J235" i="24" s="1"/>
  <c r="I236" i="24"/>
  <c r="J236" i="24" s="1"/>
  <c r="I239" i="24"/>
  <c r="J239" i="24" s="1"/>
  <c r="I234" i="24"/>
  <c r="J234" i="24" s="1"/>
  <c r="I237" i="24"/>
  <c r="J237" i="24" s="1"/>
  <c r="G239" i="17"/>
  <c r="H239" i="17" s="1"/>
  <c r="G235" i="17"/>
  <c r="H235" i="17" s="1"/>
  <c r="G238" i="17"/>
  <c r="H238" i="17" s="1"/>
  <c r="G234" i="17"/>
  <c r="H234" i="17" s="1"/>
  <c r="G237" i="17"/>
  <c r="H237" i="17" s="1"/>
  <c r="G233" i="17"/>
  <c r="H233" i="17" s="1"/>
  <c r="H232" i="17"/>
  <c r="G236" i="17"/>
  <c r="H236" i="17" s="1"/>
  <c r="G239" i="10"/>
  <c r="H239" i="10" s="1"/>
  <c r="G235" i="10"/>
  <c r="H235" i="10" s="1"/>
  <c r="G237" i="10"/>
  <c r="H237" i="10" s="1"/>
  <c r="G233" i="10"/>
  <c r="H233" i="10" s="1"/>
  <c r="H232" i="10"/>
  <c r="G234" i="10"/>
  <c r="H234" i="10" s="1"/>
  <c r="G236" i="10"/>
  <c r="H236" i="10" s="1"/>
  <c r="G238" i="10"/>
  <c r="H238" i="10" s="1"/>
  <c r="M237" i="10"/>
  <c r="N237" i="10" s="1"/>
  <c r="M238" i="10"/>
  <c r="N238" i="10" s="1"/>
  <c r="N235" i="10"/>
  <c r="M236" i="10"/>
  <c r="N236" i="10" s="1"/>
  <c r="M239" i="10"/>
  <c r="N239" i="10" s="1"/>
  <c r="R237" i="11"/>
  <c r="Q239" i="11"/>
  <c r="R239" i="11" s="1"/>
  <c r="Q238" i="11"/>
  <c r="R238" i="11" s="1"/>
  <c r="G236" i="11"/>
  <c r="H236" i="11" s="1"/>
  <c r="G237" i="11"/>
  <c r="H237" i="11" s="1"/>
  <c r="G239" i="11"/>
  <c r="H239" i="11" s="1"/>
  <c r="G234" i="11"/>
  <c r="H234" i="11" s="1"/>
  <c r="G235" i="11"/>
  <c r="H235" i="11" s="1"/>
  <c r="G238" i="11"/>
  <c r="H238" i="11" s="1"/>
  <c r="G233" i="11"/>
  <c r="H233" i="11" s="1"/>
  <c r="H232" i="11"/>
  <c r="O238" i="14"/>
  <c r="P238" i="14" s="1"/>
  <c r="O237" i="14"/>
  <c r="P237" i="14" s="1"/>
  <c r="O239" i="14"/>
  <c r="P239" i="14" s="1"/>
  <c r="P236" i="14"/>
  <c r="I238" i="14"/>
  <c r="J238" i="14" s="1"/>
  <c r="J233" i="14"/>
  <c r="I235" i="14"/>
  <c r="J235" i="14" s="1"/>
  <c r="I234" i="14"/>
  <c r="J234" i="14" s="1"/>
  <c r="I239" i="14"/>
  <c r="J239" i="14" s="1"/>
  <c r="I236" i="14"/>
  <c r="J236" i="14" s="1"/>
  <c r="I237" i="14"/>
  <c r="J237" i="14" s="1"/>
  <c r="T238" i="14"/>
  <c r="S239" i="14"/>
  <c r="T239" i="14" s="1"/>
  <c r="K236" i="18"/>
  <c r="L234" i="26"/>
  <c r="K235" i="26"/>
  <c r="L235" i="26" s="1"/>
  <c r="M236" i="26"/>
  <c r="N236" i="26" s="1"/>
  <c r="N235" i="26"/>
  <c r="M237" i="26"/>
  <c r="N237" i="26" s="1"/>
  <c r="M238" i="26"/>
  <c r="N238" i="26" s="1"/>
  <c r="M239" i="26"/>
  <c r="N239" i="26" s="1"/>
  <c r="E239" i="14"/>
  <c r="F239" i="14" s="1"/>
  <c r="E234" i="14"/>
  <c r="F234" i="14" s="1"/>
  <c r="E237" i="14"/>
  <c r="F237" i="14" s="1"/>
  <c r="E233" i="14"/>
  <c r="F233" i="14" s="1"/>
  <c r="E238" i="14"/>
  <c r="F238" i="14" s="1"/>
  <c r="E232" i="14"/>
  <c r="F232" i="14" s="1"/>
  <c r="E236" i="14"/>
  <c r="E235" i="14"/>
  <c r="F235" i="14" s="1"/>
  <c r="F231" i="14"/>
  <c r="V231" i="14" s="1"/>
  <c r="K235" i="14"/>
  <c r="L235" i="14" s="1"/>
  <c r="L234" i="14"/>
  <c r="I235" i="26"/>
  <c r="J235" i="26" s="1"/>
  <c r="I234" i="26"/>
  <c r="J234" i="26" s="1"/>
  <c r="I238" i="26"/>
  <c r="J238" i="26" s="1"/>
  <c r="I239" i="26"/>
  <c r="J239" i="26" s="1"/>
  <c r="I236" i="26"/>
  <c r="J236" i="26" s="1"/>
  <c r="I237" i="26"/>
  <c r="J237" i="26" s="1"/>
  <c r="J233" i="26"/>
  <c r="T238" i="26"/>
  <c r="S239" i="26"/>
  <c r="T239" i="26" s="1"/>
  <c r="E237" i="26"/>
  <c r="E233" i="26"/>
  <c r="F233" i="26" s="1"/>
  <c r="E234" i="26"/>
  <c r="F234" i="26" s="1"/>
  <c r="E238" i="26"/>
  <c r="E232" i="26"/>
  <c r="F232" i="26" s="1"/>
  <c r="E236" i="26"/>
  <c r="E235" i="26"/>
  <c r="F235" i="26" s="1"/>
  <c r="F231" i="26"/>
  <c r="V231" i="26" s="1"/>
  <c r="E239" i="26"/>
  <c r="F239" i="26" s="1"/>
  <c r="I237" i="22"/>
  <c r="J237" i="22" s="1"/>
  <c r="I238" i="22"/>
  <c r="J238" i="22" s="1"/>
  <c r="J233" i="22"/>
  <c r="I235" i="22"/>
  <c r="J235" i="22" s="1"/>
  <c r="I236" i="22"/>
  <c r="J236" i="22" s="1"/>
  <c r="I239" i="22"/>
  <c r="J239" i="22" s="1"/>
  <c r="I234" i="22"/>
  <c r="J234" i="22" s="1"/>
  <c r="G236" i="22"/>
  <c r="H236" i="22" s="1"/>
  <c r="G235" i="22"/>
  <c r="H235" i="22" s="1"/>
  <c r="G239" i="22"/>
  <c r="H239" i="22" s="1"/>
  <c r="H232" i="22"/>
  <c r="G234" i="22"/>
  <c r="H234" i="22" s="1"/>
  <c r="G237" i="22"/>
  <c r="H237" i="22" s="1"/>
  <c r="G233" i="22"/>
  <c r="H233" i="22" s="1"/>
  <c r="G238" i="22"/>
  <c r="H238" i="22" s="1"/>
  <c r="J233" i="10"/>
  <c r="I234" i="10"/>
  <c r="J234" i="10" s="1"/>
  <c r="I235" i="10"/>
  <c r="J235" i="10" s="1"/>
  <c r="I236" i="10"/>
  <c r="J236" i="10" s="1"/>
  <c r="I237" i="10"/>
  <c r="J237" i="10" s="1"/>
  <c r="I238" i="10"/>
  <c r="J238" i="10" s="1"/>
  <c r="I239" i="10"/>
  <c r="J239" i="10" s="1"/>
  <c r="T238" i="10"/>
  <c r="S239" i="10"/>
  <c r="T239" i="10" s="1"/>
  <c r="O238" i="11"/>
  <c r="P238" i="11" s="1"/>
  <c r="O237" i="11"/>
  <c r="P237" i="11" s="1"/>
  <c r="O239" i="11"/>
  <c r="P239" i="11" s="1"/>
  <c r="P236" i="11"/>
  <c r="I238" i="11"/>
  <c r="J238" i="11" s="1"/>
  <c r="J233" i="11"/>
  <c r="I235" i="11"/>
  <c r="J235" i="11" s="1"/>
  <c r="I239" i="11"/>
  <c r="J239" i="11" s="1"/>
  <c r="I236" i="11"/>
  <c r="J236" i="11" s="1"/>
  <c r="I234" i="11"/>
  <c r="J234" i="11" s="1"/>
  <c r="I237" i="11"/>
  <c r="J237" i="11" s="1"/>
  <c r="T238" i="11"/>
  <c r="S239" i="11"/>
  <c r="T239" i="11" s="1"/>
  <c r="O237" i="20"/>
  <c r="P237" i="20" s="1"/>
  <c r="O239" i="20"/>
  <c r="P239" i="20" s="1"/>
  <c r="P236" i="20"/>
  <c r="O238" i="20"/>
  <c r="P238" i="20" s="1"/>
  <c r="T238" i="20"/>
  <c r="S239" i="20"/>
  <c r="T239" i="20" s="1"/>
  <c r="Z233" i="29"/>
  <c r="W232" i="29"/>
  <c r="Y233" i="29"/>
  <c r="Q238" i="24"/>
  <c r="R238" i="24" s="1"/>
  <c r="R237" i="24"/>
  <c r="Q239" i="24"/>
  <c r="R239" i="24" s="1"/>
  <c r="L236" i="16"/>
  <c r="V236" i="16" s="1"/>
  <c r="K237" i="16"/>
  <c r="S239" i="17"/>
  <c r="T239" i="17" s="1"/>
  <c r="T238" i="17"/>
  <c r="E238" i="17"/>
  <c r="F238" i="17" s="1"/>
  <c r="E232" i="17"/>
  <c r="F232" i="17" s="1"/>
  <c r="E233" i="17"/>
  <c r="F233" i="17" s="1"/>
  <c r="E237" i="17"/>
  <c r="F237" i="17" s="1"/>
  <c r="E235" i="17"/>
  <c r="F235" i="17" s="1"/>
  <c r="F231" i="17"/>
  <c r="V231" i="17" s="1"/>
  <c r="E234" i="17"/>
  <c r="F234" i="17" s="1"/>
  <c r="E239" i="17"/>
  <c r="F239" i="17" s="1"/>
  <c r="E236" i="17"/>
  <c r="F236" i="17" s="1"/>
  <c r="K235" i="8"/>
  <c r="L235" i="8" s="1"/>
  <c r="L234" i="8"/>
  <c r="O237" i="9"/>
  <c r="P237" i="9" s="1"/>
  <c r="O238" i="9"/>
  <c r="P238" i="9" s="1"/>
  <c r="O239" i="9"/>
  <c r="P239" i="9" s="1"/>
  <c r="P236" i="9"/>
  <c r="L234" i="9"/>
  <c r="K235" i="9"/>
  <c r="L235" i="9" s="1"/>
  <c r="G239" i="25"/>
  <c r="H239" i="25" s="1"/>
  <c r="G235" i="25"/>
  <c r="H235" i="25" s="1"/>
  <c r="G236" i="25"/>
  <c r="H236" i="25" s="1"/>
  <c r="G234" i="25"/>
  <c r="H234" i="25" s="1"/>
  <c r="G237" i="25"/>
  <c r="H237" i="25" s="1"/>
  <c r="G233" i="25"/>
  <c r="H233" i="25" s="1"/>
  <c r="H232" i="25"/>
  <c r="G238" i="25"/>
  <c r="H238" i="25" s="1"/>
  <c r="N235" i="25"/>
  <c r="M236" i="25"/>
  <c r="N236" i="25" s="1"/>
  <c r="M237" i="25"/>
  <c r="N237" i="25" s="1"/>
  <c r="M238" i="25"/>
  <c r="N238" i="25" s="1"/>
  <c r="M239" i="25"/>
  <c r="N239" i="25" s="1"/>
  <c r="F236" i="18"/>
  <c r="V232" i="18"/>
  <c r="S239" i="6"/>
  <c r="T239" i="6" s="1"/>
  <c r="T238" i="6"/>
  <c r="V235" i="13"/>
  <c r="V233" i="13"/>
  <c r="W233" i="13" s="1"/>
  <c r="Y233" i="30"/>
  <c r="S239" i="12"/>
  <c r="T239" i="12" s="1"/>
  <c r="T238" i="12"/>
  <c r="L234" i="12"/>
  <c r="K235" i="12"/>
  <c r="L235" i="12" s="1"/>
  <c r="I239" i="12"/>
  <c r="J239" i="12" s="1"/>
  <c r="I235" i="12"/>
  <c r="J235" i="12" s="1"/>
  <c r="I236" i="12"/>
  <c r="J236" i="12" s="1"/>
  <c r="I237" i="12"/>
  <c r="J237" i="12" s="1"/>
  <c r="I238" i="12"/>
  <c r="J238" i="12" s="1"/>
  <c r="J233" i="12"/>
  <c r="I234" i="12"/>
  <c r="J234" i="12" s="1"/>
  <c r="V234" i="3"/>
  <c r="V232" i="3"/>
  <c r="AA233" i="29"/>
  <c r="E238" i="7"/>
  <c r="F238" i="7" s="1"/>
  <c r="E232" i="7"/>
  <c r="F232" i="7" s="1"/>
  <c r="E233" i="7"/>
  <c r="F233" i="7" s="1"/>
  <c r="E239" i="7"/>
  <c r="F239" i="7" s="1"/>
  <c r="E236" i="7"/>
  <c r="F236" i="7" s="1"/>
  <c r="E237" i="7"/>
  <c r="F237" i="7" s="1"/>
  <c r="E234" i="7"/>
  <c r="F234" i="7" s="1"/>
  <c r="E235" i="7"/>
  <c r="F235" i="7" s="1"/>
  <c r="F231" i="7"/>
  <c r="V231" i="7" s="1"/>
  <c r="I238" i="7"/>
  <c r="J238" i="7" s="1"/>
  <c r="J233" i="7"/>
  <c r="I239" i="7"/>
  <c r="J239" i="7" s="1"/>
  <c r="I234" i="7"/>
  <c r="J234" i="7" s="1"/>
  <c r="I237" i="7"/>
  <c r="J237" i="7" s="1"/>
  <c r="I236" i="7"/>
  <c r="J236" i="7" s="1"/>
  <c r="I235" i="7"/>
  <c r="J235" i="7" s="1"/>
  <c r="U27" i="32"/>
  <c r="C41" i="33" s="1"/>
  <c r="P111" i="2"/>
  <c r="I3" i="33"/>
  <c r="I34" i="33" s="1"/>
  <c r="G34" i="33"/>
  <c r="C44" i="33" s="1"/>
  <c r="Q115" i="2" l="1"/>
  <c r="Z236" i="27"/>
  <c r="N23" i="33"/>
  <c r="R23" i="33" s="1"/>
  <c r="N25" i="33"/>
  <c r="R25" i="33" s="1"/>
  <c r="N26" i="33"/>
  <c r="R26" i="33" s="1"/>
  <c r="N21" i="33"/>
  <c r="R21" i="33" s="1"/>
  <c r="N10" i="33"/>
  <c r="R10" i="33" s="1"/>
  <c r="P236" i="19"/>
  <c r="O238" i="19"/>
  <c r="P238" i="19" s="1"/>
  <c r="O237" i="19"/>
  <c r="P237" i="19" s="1"/>
  <c r="O239" i="19"/>
  <c r="P239" i="19" s="1"/>
  <c r="T238" i="19"/>
  <c r="S239" i="19"/>
  <c r="T239" i="19" s="1"/>
  <c r="Q131" i="19"/>
  <c r="N20" i="33"/>
  <c r="R20" i="33" s="1"/>
  <c r="N18" i="33"/>
  <c r="R18" i="33" s="1"/>
  <c r="R237" i="19"/>
  <c r="Q238" i="19"/>
  <c r="R238" i="19" s="1"/>
  <c r="Q239" i="19"/>
  <c r="R239" i="19" s="1"/>
  <c r="L234" i="19"/>
  <c r="K235" i="19"/>
  <c r="I238" i="19"/>
  <c r="J238" i="19" s="1"/>
  <c r="I239" i="19"/>
  <c r="J239" i="19" s="1"/>
  <c r="J233" i="19"/>
  <c r="I234" i="19"/>
  <c r="J234" i="19" s="1"/>
  <c r="I235" i="19"/>
  <c r="J235" i="19" s="1"/>
  <c r="I237" i="19"/>
  <c r="J237" i="19" s="1"/>
  <c r="I236" i="19"/>
  <c r="J236" i="19" s="1"/>
  <c r="E232" i="19"/>
  <c r="F232" i="19" s="1"/>
  <c r="F231" i="19"/>
  <c r="V231" i="19" s="1"/>
  <c r="E235" i="19"/>
  <c r="E236" i="19"/>
  <c r="F236" i="19" s="1"/>
  <c r="E234" i="19"/>
  <c r="E237" i="19"/>
  <c r="F237" i="19" s="1"/>
  <c r="E239" i="19"/>
  <c r="F239" i="19" s="1"/>
  <c r="E233" i="19"/>
  <c r="E238" i="19"/>
  <c r="F238" i="19" s="1"/>
  <c r="G236" i="19"/>
  <c r="H236" i="19" s="1"/>
  <c r="G235" i="19"/>
  <c r="H235" i="19" s="1"/>
  <c r="G233" i="19"/>
  <c r="H233" i="19" s="1"/>
  <c r="H232" i="19"/>
  <c r="V232" i="19" s="1"/>
  <c r="W232" i="19" s="1"/>
  <c r="G239" i="19"/>
  <c r="H239" i="19" s="1"/>
  <c r="G237" i="19"/>
  <c r="H237" i="19" s="1"/>
  <c r="G238" i="19"/>
  <c r="H238" i="19" s="1"/>
  <c r="G234" i="19"/>
  <c r="H234" i="19" s="1"/>
  <c r="M239" i="19"/>
  <c r="N239" i="19" s="1"/>
  <c r="M237" i="19"/>
  <c r="N237" i="19" s="1"/>
  <c r="M238" i="19"/>
  <c r="N238" i="19" s="1"/>
  <c r="M236" i="19"/>
  <c r="N236" i="19" s="1"/>
  <c r="N235" i="19"/>
  <c r="N12" i="33"/>
  <c r="R12" i="33" s="1"/>
  <c r="N11" i="33"/>
  <c r="R11" i="33" s="1"/>
  <c r="N13" i="33"/>
  <c r="R13" i="33" s="1"/>
  <c r="N9" i="33"/>
  <c r="R9" i="33" s="1"/>
  <c r="Z236" i="16"/>
  <c r="N8" i="33"/>
  <c r="R8" i="33" s="1"/>
  <c r="N7" i="33"/>
  <c r="R7" i="33" s="1"/>
  <c r="AA233" i="21"/>
  <c r="X233" i="21" s="1"/>
  <c r="Y233" i="21"/>
  <c r="V232" i="26"/>
  <c r="W232" i="26" s="1"/>
  <c r="Z233" i="21"/>
  <c r="AA236" i="27"/>
  <c r="W234" i="27" s="1"/>
  <c r="AA236" i="21"/>
  <c r="W234" i="21" s="1"/>
  <c r="Y236" i="28"/>
  <c r="W235" i="28" s="1"/>
  <c r="X233" i="28"/>
  <c r="Y236" i="21"/>
  <c r="W236" i="21" s="1"/>
  <c r="Z233" i="16"/>
  <c r="AA233" i="16"/>
  <c r="X233" i="16" s="1"/>
  <c r="Y233" i="16"/>
  <c r="Z236" i="21"/>
  <c r="AA233" i="4"/>
  <c r="X233" i="4" s="1"/>
  <c r="Z233" i="4"/>
  <c r="L237" i="30"/>
  <c r="V237" i="30" s="1"/>
  <c r="K237" i="3"/>
  <c r="L237" i="3" s="1"/>
  <c r="V237" i="3" s="1"/>
  <c r="V232" i="23"/>
  <c r="W232" i="23" s="1"/>
  <c r="F233" i="23"/>
  <c r="V233" i="23" s="1"/>
  <c r="F235" i="23"/>
  <c r="V230" i="23"/>
  <c r="W231" i="23"/>
  <c r="X231" i="23" s="1"/>
  <c r="F234" i="23"/>
  <c r="V234" i="23" s="1"/>
  <c r="L235" i="23"/>
  <c r="K236" i="23"/>
  <c r="F233" i="15"/>
  <c r="V233" i="15" s="1"/>
  <c r="W233" i="15" s="1"/>
  <c r="F234" i="15"/>
  <c r="V234" i="15" s="1"/>
  <c r="F232" i="15"/>
  <c r="V232" i="15" s="1"/>
  <c r="F235" i="15"/>
  <c r="W231" i="15"/>
  <c r="X231" i="15" s="1"/>
  <c r="V230" i="15"/>
  <c r="L235" i="15"/>
  <c r="K236" i="15"/>
  <c r="V232" i="14"/>
  <c r="W232" i="14" s="1"/>
  <c r="V232" i="8"/>
  <c r="W232" i="8" s="1"/>
  <c r="V235" i="9"/>
  <c r="W235" i="9" s="1"/>
  <c r="V232" i="7"/>
  <c r="W232" i="7" s="1"/>
  <c r="L236" i="4"/>
  <c r="V236" i="4" s="1"/>
  <c r="K237" i="4"/>
  <c r="V232" i="17"/>
  <c r="W232" i="17" s="1"/>
  <c r="V235" i="17"/>
  <c r="W235" i="17" s="1"/>
  <c r="V233" i="17"/>
  <c r="W233" i="17" s="1"/>
  <c r="V233" i="5"/>
  <c r="W233" i="5" s="1"/>
  <c r="V232" i="5"/>
  <c r="L235" i="5"/>
  <c r="V235" i="5" s="1"/>
  <c r="K236" i="5"/>
  <c r="V230" i="5"/>
  <c r="W231" i="5"/>
  <c r="X231" i="5" s="1"/>
  <c r="F234" i="5"/>
  <c r="V234" i="5" s="1"/>
  <c r="Z236" i="30"/>
  <c r="Y236" i="30"/>
  <c r="W236" i="30" s="1"/>
  <c r="Z236" i="28"/>
  <c r="V235" i="12"/>
  <c r="W235" i="12" s="1"/>
  <c r="K236" i="7"/>
  <c r="L236" i="7" s="1"/>
  <c r="W235" i="30"/>
  <c r="L237" i="27"/>
  <c r="V237" i="27" s="1"/>
  <c r="K236" i="25"/>
  <c r="L236" i="25" s="1"/>
  <c r="V236" i="25" s="1"/>
  <c r="K238" i="21"/>
  <c r="L237" i="21"/>
  <c r="V237" i="21" s="1"/>
  <c r="V234" i="14"/>
  <c r="K236" i="6"/>
  <c r="L236" i="6" s="1"/>
  <c r="W234" i="30"/>
  <c r="K236" i="26"/>
  <c r="L236" i="26" s="1"/>
  <c r="K236" i="22"/>
  <c r="L236" i="22" s="1"/>
  <c r="V233" i="7"/>
  <c r="W233" i="7" s="1"/>
  <c r="K236" i="17"/>
  <c r="L236" i="17" s="1"/>
  <c r="V236" i="17" s="1"/>
  <c r="K236" i="11"/>
  <c r="L236" i="11" s="1"/>
  <c r="K236" i="9"/>
  <c r="L236" i="9" s="1"/>
  <c r="V236" i="9" s="1"/>
  <c r="W235" i="27"/>
  <c r="V232" i="25"/>
  <c r="V233" i="11"/>
  <c r="W233" i="11" s="1"/>
  <c r="Z236" i="29"/>
  <c r="W234" i="28"/>
  <c r="L237" i="16"/>
  <c r="V237" i="16" s="1"/>
  <c r="K238" i="16"/>
  <c r="V233" i="26"/>
  <c r="W233" i="26" s="1"/>
  <c r="W235" i="18"/>
  <c r="V234" i="7"/>
  <c r="W232" i="3"/>
  <c r="Y233" i="3"/>
  <c r="Z233" i="3"/>
  <c r="W232" i="18"/>
  <c r="Z233" i="18"/>
  <c r="Y233" i="18"/>
  <c r="K236" i="8"/>
  <c r="V230" i="26"/>
  <c r="W231" i="26"/>
  <c r="X231" i="26" s="1"/>
  <c r="F238" i="26"/>
  <c r="K236" i="14"/>
  <c r="V235" i="14"/>
  <c r="V233" i="14"/>
  <c r="W233" i="14" s="1"/>
  <c r="AA233" i="13"/>
  <c r="V234" i="25"/>
  <c r="V233" i="8"/>
  <c r="W233" i="8" s="1"/>
  <c r="W231" i="8"/>
  <c r="X231" i="8" s="1"/>
  <c r="V230" i="8"/>
  <c r="V235" i="8"/>
  <c r="F234" i="20"/>
  <c r="V234" i="20" s="1"/>
  <c r="Y236" i="16"/>
  <c r="W236" i="16" s="1"/>
  <c r="V235" i="22"/>
  <c r="V234" i="22"/>
  <c r="V230" i="11"/>
  <c r="W231" i="11"/>
  <c r="X231" i="11" s="1"/>
  <c r="V232" i="11"/>
  <c r="W231" i="10"/>
  <c r="X231" i="10" s="1"/>
  <c r="V230" i="10"/>
  <c r="V233" i="10"/>
  <c r="W235" i="3"/>
  <c r="Z236" i="3"/>
  <c r="Y236" i="3"/>
  <c r="W236" i="3" s="1"/>
  <c r="F234" i="12"/>
  <c r="V234" i="12" s="1"/>
  <c r="V232" i="12"/>
  <c r="F232" i="6"/>
  <c r="V232" i="6" s="1"/>
  <c r="AA233" i="3"/>
  <c r="AA236" i="16"/>
  <c r="W231" i="9"/>
  <c r="X231" i="9" s="1"/>
  <c r="V230" i="9"/>
  <c r="V233" i="24"/>
  <c r="W233" i="24" s="1"/>
  <c r="V235" i="20"/>
  <c r="W236" i="31"/>
  <c r="W235" i="31"/>
  <c r="F236" i="26"/>
  <c r="AA236" i="3"/>
  <c r="K236" i="12"/>
  <c r="W235" i="13"/>
  <c r="V234" i="17"/>
  <c r="V235" i="26"/>
  <c r="V234" i="26"/>
  <c r="F236" i="14"/>
  <c r="V235" i="6"/>
  <c r="V233" i="25"/>
  <c r="W233" i="25" s="1"/>
  <c r="X233" i="30"/>
  <c r="X232" i="30"/>
  <c r="K236" i="24"/>
  <c r="F236" i="22"/>
  <c r="V233" i="22"/>
  <c r="W233" i="22" s="1"/>
  <c r="V235" i="11"/>
  <c r="V232" i="10"/>
  <c r="Y233" i="13"/>
  <c r="Z233" i="13"/>
  <c r="W232" i="13"/>
  <c r="W231" i="6"/>
  <c r="X231" i="6" s="1"/>
  <c r="V230" i="6"/>
  <c r="AA233" i="18"/>
  <c r="W235" i="29"/>
  <c r="V232" i="24"/>
  <c r="V232" i="22"/>
  <c r="V234" i="10"/>
  <c r="F239" i="10"/>
  <c r="L237" i="28"/>
  <c r="V237" i="28" s="1"/>
  <c r="K238" i="28"/>
  <c r="F232" i="9"/>
  <c r="V232" i="9" s="1"/>
  <c r="V234" i="24"/>
  <c r="V230" i="24"/>
  <c r="W231" i="24"/>
  <c r="X231" i="24" s="1"/>
  <c r="K236" i="20"/>
  <c r="W234" i="31"/>
  <c r="X235" i="31"/>
  <c r="X236" i="31" s="1"/>
  <c r="V230" i="7"/>
  <c r="W231" i="7"/>
  <c r="X231" i="7" s="1"/>
  <c r="W231" i="17"/>
  <c r="X231" i="17" s="1"/>
  <c r="V230" i="17"/>
  <c r="V230" i="25"/>
  <c r="W231" i="25"/>
  <c r="X231" i="25" s="1"/>
  <c r="F233" i="20"/>
  <c r="V233" i="20" s="1"/>
  <c r="W233" i="20" s="1"/>
  <c r="V235" i="7"/>
  <c r="X233" i="29"/>
  <c r="X232" i="29"/>
  <c r="V235" i="10"/>
  <c r="F237" i="26"/>
  <c r="W231" i="14"/>
  <c r="V230" i="14"/>
  <c r="L236" i="18"/>
  <c r="V236" i="18" s="1"/>
  <c r="K237" i="18"/>
  <c r="X232" i="27"/>
  <c r="X233" i="27"/>
  <c r="V235" i="25"/>
  <c r="V234" i="8"/>
  <c r="L238" i="31"/>
  <c r="V238" i="31" s="1"/>
  <c r="K239" i="31"/>
  <c r="L239" i="31" s="1"/>
  <c r="V239" i="31" s="1"/>
  <c r="W231" i="20"/>
  <c r="X231" i="20" s="1"/>
  <c r="V230" i="20"/>
  <c r="V232" i="20"/>
  <c r="L236" i="13"/>
  <c r="V236" i="13" s="1"/>
  <c r="K237" i="13"/>
  <c r="K236" i="10"/>
  <c r="V230" i="22"/>
  <c r="W231" i="22"/>
  <c r="X231" i="22" s="1"/>
  <c r="X235" i="27"/>
  <c r="X236" i="27" s="1"/>
  <c r="L237" i="29"/>
  <c r="V237" i="29" s="1"/>
  <c r="K238" i="29"/>
  <c r="L238" i="30"/>
  <c r="V238" i="30" s="1"/>
  <c r="K239" i="30"/>
  <c r="V234" i="11"/>
  <c r="V230" i="12"/>
  <c r="W231" i="12"/>
  <c r="X231" i="12" s="1"/>
  <c r="F233" i="12"/>
  <c r="V233" i="12" s="1"/>
  <c r="F233" i="6"/>
  <c r="V233" i="6" s="1"/>
  <c r="W233" i="6" s="1"/>
  <c r="F234" i="6"/>
  <c r="V234" i="6" s="1"/>
  <c r="K239" i="27"/>
  <c r="L239" i="27" s="1"/>
  <c r="V239" i="27" s="1"/>
  <c r="L238" i="27"/>
  <c r="V238" i="27" s="1"/>
  <c r="F233" i="9"/>
  <c r="V233" i="9" s="1"/>
  <c r="W233" i="9" s="1"/>
  <c r="F234" i="9"/>
  <c r="V234" i="9" s="1"/>
  <c r="V235" i="24"/>
  <c r="AA236" i="29"/>
  <c r="H38" i="32"/>
  <c r="X232" i="4" l="1"/>
  <c r="F235" i="19"/>
  <c r="W231" i="19"/>
  <c r="X231" i="19" s="1"/>
  <c r="V230" i="19"/>
  <c r="F234" i="19"/>
  <c r="V234" i="19" s="1"/>
  <c r="L235" i="19"/>
  <c r="K236" i="19"/>
  <c r="F233" i="19"/>
  <c r="V233" i="19" s="1"/>
  <c r="X232" i="21"/>
  <c r="X232" i="16"/>
  <c r="K238" i="3"/>
  <c r="L238" i="3" s="1"/>
  <c r="V238" i="3" s="1"/>
  <c r="W236" i="28"/>
  <c r="X235" i="28"/>
  <c r="X236" i="28" s="1"/>
  <c r="X235" i="21"/>
  <c r="X236" i="21" s="1"/>
  <c r="Y233" i="26"/>
  <c r="K237" i="22"/>
  <c r="L237" i="22" s="1"/>
  <c r="V237" i="22" s="1"/>
  <c r="AA233" i="22"/>
  <c r="X233" i="22" s="1"/>
  <c r="X235" i="30"/>
  <c r="X236" i="30" s="1"/>
  <c r="Y233" i="8"/>
  <c r="AA233" i="14"/>
  <c r="X232" i="14" s="1"/>
  <c r="AA233" i="17"/>
  <c r="X232" i="17" s="1"/>
  <c r="Y233" i="17"/>
  <c r="Z233" i="17"/>
  <c r="Z236" i="9"/>
  <c r="V235" i="23"/>
  <c r="W235" i="23" s="1"/>
  <c r="W233" i="23"/>
  <c r="Z233" i="23"/>
  <c r="AA233" i="23"/>
  <c r="Y233" i="23"/>
  <c r="L236" i="23"/>
  <c r="V236" i="23" s="1"/>
  <c r="K237" i="23"/>
  <c r="V235" i="15"/>
  <c r="W235" i="15" s="1"/>
  <c r="W232" i="15"/>
  <c r="Z233" i="15"/>
  <c r="Y233" i="15"/>
  <c r="AA233" i="15"/>
  <c r="L236" i="15"/>
  <c r="V236" i="15" s="1"/>
  <c r="K237" i="15"/>
  <c r="K237" i="11"/>
  <c r="K238" i="11" s="1"/>
  <c r="AA233" i="25"/>
  <c r="X233" i="25" s="1"/>
  <c r="Z236" i="17"/>
  <c r="AA233" i="5"/>
  <c r="X232" i="5" s="1"/>
  <c r="W232" i="25"/>
  <c r="AA236" i="4"/>
  <c r="Z236" i="4"/>
  <c r="Y236" i="4"/>
  <c r="K238" i="4"/>
  <c r="L237" i="4"/>
  <c r="V237" i="4" s="1"/>
  <c r="Y233" i="7"/>
  <c r="AA233" i="7"/>
  <c r="X232" i="7" s="1"/>
  <c r="Z233" i="7"/>
  <c r="K237" i="7"/>
  <c r="L237" i="7" s="1"/>
  <c r="Z233" i="8"/>
  <c r="AA233" i="20"/>
  <c r="X232" i="20" s="1"/>
  <c r="Y233" i="14"/>
  <c r="Z233" i="14"/>
  <c r="K237" i="9"/>
  <c r="L237" i="9" s="1"/>
  <c r="V237" i="9" s="1"/>
  <c r="V236" i="7"/>
  <c r="Y236" i="7" s="1"/>
  <c r="W236" i="7" s="1"/>
  <c r="W235" i="5"/>
  <c r="W232" i="5"/>
  <c r="Z233" i="5"/>
  <c r="Y233" i="5"/>
  <c r="L236" i="5"/>
  <c r="V236" i="5" s="1"/>
  <c r="AA236" i="5" s="1"/>
  <c r="W234" i="5" s="1"/>
  <c r="K237" i="5"/>
  <c r="K237" i="25"/>
  <c r="L237" i="25" s="1"/>
  <c r="V237" i="25" s="1"/>
  <c r="Z239" i="31"/>
  <c r="W237" i="31" s="1"/>
  <c r="X237" i="31" s="1"/>
  <c r="X235" i="3"/>
  <c r="X236" i="3" s="1"/>
  <c r="K237" i="26"/>
  <c r="K238" i="26" s="1"/>
  <c r="V236" i="26"/>
  <c r="AA236" i="26" s="1"/>
  <c r="W234" i="26" s="1"/>
  <c r="AA233" i="26"/>
  <c r="X233" i="26" s="1"/>
  <c r="Z233" i="26"/>
  <c r="V236" i="22"/>
  <c r="Z236" i="22" s="1"/>
  <c r="L238" i="21"/>
  <c r="V238" i="21" s="1"/>
  <c r="K239" i="21"/>
  <c r="L239" i="21" s="1"/>
  <c r="V239" i="21" s="1"/>
  <c r="K237" i="17"/>
  <c r="L237" i="17" s="1"/>
  <c r="V237" i="17" s="1"/>
  <c r="V236" i="11"/>
  <c r="Y236" i="11" s="1"/>
  <c r="W236" i="11" s="1"/>
  <c r="K237" i="6"/>
  <c r="V236" i="6"/>
  <c r="Y236" i="6" s="1"/>
  <c r="W236" i="6" s="1"/>
  <c r="AA233" i="9"/>
  <c r="X232" i="9" s="1"/>
  <c r="Z239" i="27"/>
  <c r="W237" i="27" s="1"/>
  <c r="X237" i="27" s="1"/>
  <c r="AA236" i="9"/>
  <c r="Z233" i="6"/>
  <c r="Y233" i="6"/>
  <c r="W232" i="6"/>
  <c r="AA233" i="6"/>
  <c r="W233" i="12"/>
  <c r="AA233" i="12"/>
  <c r="Z236" i="18"/>
  <c r="AA236" i="18"/>
  <c r="Y236" i="18"/>
  <c r="W236" i="18" s="1"/>
  <c r="W238" i="30"/>
  <c r="X238" i="30"/>
  <c r="L239" i="30"/>
  <c r="V239" i="30" s="1"/>
  <c r="L236" i="10"/>
  <c r="V236" i="10" s="1"/>
  <c r="K237" i="10"/>
  <c r="Z236" i="13"/>
  <c r="Z236" i="25"/>
  <c r="Y236" i="25"/>
  <c r="W236" i="25" s="1"/>
  <c r="W235" i="25"/>
  <c r="X231" i="14"/>
  <c r="W232" i="22"/>
  <c r="Z233" i="22"/>
  <c r="Y233" i="22"/>
  <c r="L236" i="24"/>
  <c r="V236" i="24" s="1"/>
  <c r="Z236" i="24" s="1"/>
  <c r="K237" i="24"/>
  <c r="Y236" i="9"/>
  <c r="W236" i="9" s="1"/>
  <c r="W234" i="3"/>
  <c r="Y233" i="25"/>
  <c r="W234" i="16"/>
  <c r="X235" i="16"/>
  <c r="X236" i="16" s="1"/>
  <c r="L236" i="8"/>
  <c r="V236" i="8" s="1"/>
  <c r="Y236" i="8" s="1"/>
  <c r="K237" i="8"/>
  <c r="Y233" i="24"/>
  <c r="Z233" i="24"/>
  <c r="W232" i="24"/>
  <c r="X233" i="18"/>
  <c r="X232" i="18"/>
  <c r="Y233" i="10"/>
  <c r="W233" i="10" s="1"/>
  <c r="Z233" i="10"/>
  <c r="W232" i="10"/>
  <c r="Z233" i="11"/>
  <c r="W232" i="11"/>
  <c r="Y233" i="11"/>
  <c r="AA236" i="25"/>
  <c r="L238" i="16"/>
  <c r="V238" i="16" s="1"/>
  <c r="K239" i="16"/>
  <c r="L239" i="16" s="1"/>
  <c r="V239" i="16" s="1"/>
  <c r="L238" i="29"/>
  <c r="V238" i="29" s="1"/>
  <c r="K239" i="29"/>
  <c r="L239" i="29" s="1"/>
  <c r="V239" i="29" s="1"/>
  <c r="W239" i="29" s="1"/>
  <c r="W240" i="29" s="1"/>
  <c r="W238" i="31"/>
  <c r="Y239" i="31"/>
  <c r="W239" i="31" s="1"/>
  <c r="W240" i="31" s="1"/>
  <c r="W235" i="10"/>
  <c r="Y236" i="17"/>
  <c r="W236" i="17" s="1"/>
  <c r="W235" i="7"/>
  <c r="L236" i="20"/>
  <c r="V236" i="20" s="1"/>
  <c r="Z236" i="20" s="1"/>
  <c r="K237" i="20"/>
  <c r="K239" i="28"/>
  <c r="L239" i="28" s="1"/>
  <c r="V239" i="28" s="1"/>
  <c r="L238" i="28"/>
  <c r="V238" i="28" s="1"/>
  <c r="W235" i="11"/>
  <c r="AA236" i="17"/>
  <c r="Y236" i="13"/>
  <c r="W236" i="13" s="1"/>
  <c r="Z233" i="25"/>
  <c r="W235" i="20"/>
  <c r="X233" i="3"/>
  <c r="X232" i="3"/>
  <c r="AA236" i="13"/>
  <c r="AA233" i="10"/>
  <c r="AA233" i="11"/>
  <c r="W235" i="22"/>
  <c r="W235" i="8"/>
  <c r="X233" i="13"/>
  <c r="X232" i="13"/>
  <c r="W235" i="14"/>
  <c r="W238" i="27"/>
  <c r="Y239" i="27"/>
  <c r="W239" i="27" s="1"/>
  <c r="W240" i="27" s="1"/>
  <c r="W232" i="20"/>
  <c r="Y233" i="20"/>
  <c r="Z233" i="20"/>
  <c r="W234" i="29"/>
  <c r="X235" i="29"/>
  <c r="X236" i="29" s="1"/>
  <c r="W235" i="24"/>
  <c r="L237" i="13"/>
  <c r="V237" i="13" s="1"/>
  <c r="K238" i="13"/>
  <c r="L237" i="18"/>
  <c r="V237" i="18" s="1"/>
  <c r="K238" i="18"/>
  <c r="AA233" i="24"/>
  <c r="Y233" i="9"/>
  <c r="W232" i="9"/>
  <c r="Z233" i="9"/>
  <c r="W235" i="6"/>
  <c r="L236" i="12"/>
  <c r="V236" i="12" s="1"/>
  <c r="K237" i="12"/>
  <c r="Z233" i="12"/>
  <c r="Y233" i="12"/>
  <c r="W232" i="12"/>
  <c r="AA233" i="8"/>
  <c r="L236" i="14"/>
  <c r="V236" i="14" s="1"/>
  <c r="AA236" i="14" s="1"/>
  <c r="K237" i="14"/>
  <c r="D130" i="2"/>
  <c r="D133" i="2" s="1"/>
  <c r="AA2" i="32"/>
  <c r="N179" i="2"/>
  <c r="X238" i="31" l="1"/>
  <c r="K239" i="3"/>
  <c r="L239" i="3" s="1"/>
  <c r="V239" i="3" s="1"/>
  <c r="Z239" i="3" s="1"/>
  <c r="W237" i="3" s="1"/>
  <c r="X237" i="3" s="1"/>
  <c r="V235" i="19"/>
  <c r="W235" i="19" s="1"/>
  <c r="W233" i="19"/>
  <c r="Y233" i="19"/>
  <c r="AA233" i="19"/>
  <c r="Z233" i="19"/>
  <c r="K237" i="19"/>
  <c r="L236" i="19"/>
  <c r="V236" i="19" s="1"/>
  <c r="X232" i="22"/>
  <c r="X233" i="14"/>
  <c r="X233" i="17"/>
  <c r="K238" i="22"/>
  <c r="L238" i="22" s="1"/>
  <c r="V238" i="22" s="1"/>
  <c r="Z236" i="26"/>
  <c r="Z236" i="11"/>
  <c r="X232" i="25"/>
  <c r="AA236" i="23"/>
  <c r="W234" i="23" s="1"/>
  <c r="X232" i="26"/>
  <c r="Y236" i="22"/>
  <c r="W236" i="22" s="1"/>
  <c r="AA236" i="11"/>
  <c r="Z236" i="23"/>
  <c r="X233" i="23"/>
  <c r="X232" i="23"/>
  <c r="Y236" i="23"/>
  <c r="W236" i="23" s="1"/>
  <c r="L237" i="23"/>
  <c r="V237" i="23" s="1"/>
  <c r="K238" i="23"/>
  <c r="L237" i="11"/>
  <c r="V237" i="11" s="1"/>
  <c r="Z236" i="15"/>
  <c r="AA236" i="15"/>
  <c r="Y236" i="15"/>
  <c r="W236" i="15" s="1"/>
  <c r="X232" i="15"/>
  <c r="X233" i="15"/>
  <c r="L237" i="15"/>
  <c r="V237" i="15" s="1"/>
  <c r="K238" i="15"/>
  <c r="K238" i="17"/>
  <c r="K239" i="17" s="1"/>
  <c r="L239" i="17" s="1"/>
  <c r="V239" i="17" s="1"/>
  <c r="AA236" i="22"/>
  <c r="W234" i="22" s="1"/>
  <c r="X235" i="17"/>
  <c r="X236" i="17" s="1"/>
  <c r="X233" i="5"/>
  <c r="AA236" i="7"/>
  <c r="W234" i="7" s="1"/>
  <c r="X233" i="7"/>
  <c r="AA236" i="6"/>
  <c r="W234" i="6" s="1"/>
  <c r="Z236" i="6"/>
  <c r="Z236" i="7"/>
  <c r="Y236" i="26"/>
  <c r="W235" i="26" s="1"/>
  <c r="W236" i="4"/>
  <c r="W235" i="4"/>
  <c r="L238" i="4"/>
  <c r="V238" i="4" s="1"/>
  <c r="K239" i="4"/>
  <c r="L239" i="4" s="1"/>
  <c r="V239" i="4" s="1"/>
  <c r="X235" i="4"/>
  <c r="X236" i="4" s="1"/>
  <c r="W234" i="4"/>
  <c r="V237" i="7"/>
  <c r="K238" i="7"/>
  <c r="K239" i="7" s="1"/>
  <c r="L239" i="7" s="1"/>
  <c r="V239" i="7" s="1"/>
  <c r="K238" i="25"/>
  <c r="L238" i="25" s="1"/>
  <c r="V238" i="25" s="1"/>
  <c r="X233" i="20"/>
  <c r="K238" i="9"/>
  <c r="K239" i="9" s="1"/>
  <c r="L239" i="9" s="1"/>
  <c r="V239" i="9" s="1"/>
  <c r="X233" i="9"/>
  <c r="Z236" i="5"/>
  <c r="L237" i="5"/>
  <c r="V237" i="5" s="1"/>
  <c r="K238" i="5"/>
  <c r="Y236" i="5"/>
  <c r="W236" i="5" s="1"/>
  <c r="X238" i="27"/>
  <c r="D228" i="27" s="1"/>
  <c r="D229" i="27" s="1"/>
  <c r="D202" i="27" s="1"/>
  <c r="Y236" i="24"/>
  <c r="W236" i="24" s="1"/>
  <c r="AA236" i="24"/>
  <c r="W234" i="24" s="1"/>
  <c r="AE2" i="32"/>
  <c r="AH2" i="32" s="1"/>
  <c r="Z239" i="16"/>
  <c r="W237" i="16" s="1"/>
  <c r="X237" i="16" s="1"/>
  <c r="L237" i="26"/>
  <c r="V237" i="26" s="1"/>
  <c r="W238" i="21"/>
  <c r="Y239" i="21"/>
  <c r="X238" i="21" s="1"/>
  <c r="Z239" i="21"/>
  <c r="W237" i="21" s="1"/>
  <c r="X237" i="21" s="1"/>
  <c r="Y236" i="20"/>
  <c r="W236" i="20" s="1"/>
  <c r="L237" i="6"/>
  <c r="V237" i="6" s="1"/>
  <c r="K238" i="6"/>
  <c r="X235" i="9"/>
  <c r="X236" i="9" s="1"/>
  <c r="Z239" i="29"/>
  <c r="W237" i="29" s="1"/>
  <c r="X237" i="29" s="1"/>
  <c r="Z236" i="10"/>
  <c r="AA236" i="10"/>
  <c r="Y236" i="10"/>
  <c r="W236" i="10" s="1"/>
  <c r="Y239" i="30"/>
  <c r="W239" i="30"/>
  <c r="W240" i="30" s="1"/>
  <c r="Z239" i="30"/>
  <c r="W237" i="30" s="1"/>
  <c r="L238" i="18"/>
  <c r="V238" i="18" s="1"/>
  <c r="K239" i="18"/>
  <c r="L239" i="18" s="1"/>
  <c r="V239" i="18" s="1"/>
  <c r="L238" i="13"/>
  <c r="V238" i="13" s="1"/>
  <c r="K239" i="13"/>
  <c r="L239" i="13" s="1"/>
  <c r="V239" i="13" s="1"/>
  <c r="X233" i="10"/>
  <c r="X232" i="10"/>
  <c r="W234" i="17"/>
  <c r="W238" i="28"/>
  <c r="Y239" i="28"/>
  <c r="W239" i="28" s="1"/>
  <c r="W240" i="28" s="1"/>
  <c r="X238" i="28"/>
  <c r="L237" i="20"/>
  <c r="V237" i="20" s="1"/>
  <c r="K238" i="20"/>
  <c r="X235" i="25"/>
  <c r="X236" i="25" s="1"/>
  <c r="W236" i="8"/>
  <c r="L237" i="10"/>
  <c r="V237" i="10" s="1"/>
  <c r="K238" i="10"/>
  <c r="W234" i="18"/>
  <c r="X235" i="18"/>
  <c r="X236" i="18" s="1"/>
  <c r="W234" i="9"/>
  <c r="L237" i="14"/>
  <c r="V237" i="14" s="1"/>
  <c r="K238" i="14"/>
  <c r="X233" i="8"/>
  <c r="X232" i="8"/>
  <c r="W234" i="14"/>
  <c r="W234" i="13"/>
  <c r="X235" i="13"/>
  <c r="X236" i="13" s="1"/>
  <c r="L237" i="24"/>
  <c r="V237" i="24" s="1"/>
  <c r="K238" i="24"/>
  <c r="AA236" i="20"/>
  <c r="X232" i="12"/>
  <c r="X233" i="12"/>
  <c r="L237" i="12"/>
  <c r="V237" i="12" s="1"/>
  <c r="K238" i="12"/>
  <c r="Z236" i="14"/>
  <c r="D228" i="31"/>
  <c r="D229" i="31" s="1"/>
  <c r="D202" i="31" s="1"/>
  <c r="L238" i="11"/>
  <c r="V238" i="11" s="1"/>
  <c r="K239" i="11"/>
  <c r="L239" i="11" s="1"/>
  <c r="V239" i="11" s="1"/>
  <c r="Y236" i="14"/>
  <c r="W236" i="14" s="1"/>
  <c r="L238" i="26"/>
  <c r="V238" i="26" s="1"/>
  <c r="K239" i="26"/>
  <c r="L239" i="26" s="1"/>
  <c r="V239" i="26" s="1"/>
  <c r="Z236" i="12"/>
  <c r="Y236" i="12"/>
  <c r="W236" i="12" s="1"/>
  <c r="Z239" i="28"/>
  <c r="W237" i="28" s="1"/>
  <c r="X233" i="24"/>
  <c r="X232" i="24"/>
  <c r="AA236" i="8"/>
  <c r="Z236" i="8"/>
  <c r="X233" i="11"/>
  <c r="X232" i="11"/>
  <c r="W238" i="29"/>
  <c r="Y239" i="29"/>
  <c r="X238" i="29" s="1"/>
  <c r="W238" i="16"/>
  <c r="Y239" i="16"/>
  <c r="X238" i="16" s="1"/>
  <c r="W234" i="25"/>
  <c r="L237" i="8"/>
  <c r="V237" i="8" s="1"/>
  <c r="K238" i="8"/>
  <c r="AA236" i="12"/>
  <c r="X232" i="6"/>
  <c r="X233" i="6"/>
  <c r="AA27" i="32"/>
  <c r="C43" i="33" s="1"/>
  <c r="N195" i="2"/>
  <c r="Y239" i="3" l="1"/>
  <c r="X238" i="3" s="1"/>
  <c r="AA236" i="19"/>
  <c r="W234" i="19" s="1"/>
  <c r="W236" i="26"/>
  <c r="Z236" i="19"/>
  <c r="Y236" i="19"/>
  <c r="W236" i="19" s="1"/>
  <c r="X233" i="19"/>
  <c r="X232" i="19"/>
  <c r="L237" i="19"/>
  <c r="V237" i="19" s="1"/>
  <c r="K238" i="19"/>
  <c r="X235" i="7"/>
  <c r="X236" i="7" s="1"/>
  <c r="K239" i="22"/>
  <c r="L239" i="22" s="1"/>
  <c r="V239" i="22" s="1"/>
  <c r="Z239" i="22" s="1"/>
  <c r="W237" i="22" s="1"/>
  <c r="X237" i="22" s="1"/>
  <c r="X235" i="11"/>
  <c r="X236" i="11" s="1"/>
  <c r="W234" i="11"/>
  <c r="X235" i="22"/>
  <c r="X236" i="22" s="1"/>
  <c r="X235" i="6"/>
  <c r="X236" i="6" s="1"/>
  <c r="W238" i="3"/>
  <c r="X235" i="23"/>
  <c r="X236" i="23" s="1"/>
  <c r="L238" i="23"/>
  <c r="V238" i="23" s="1"/>
  <c r="K239" i="23"/>
  <c r="L239" i="23" s="1"/>
  <c r="V239" i="23" s="1"/>
  <c r="K239" i="15"/>
  <c r="L239" i="15" s="1"/>
  <c r="V239" i="15" s="1"/>
  <c r="L238" i="15"/>
  <c r="V238" i="15" s="1"/>
  <c r="W234" i="15"/>
  <c r="X235" i="15"/>
  <c r="X236" i="15" s="1"/>
  <c r="L238" i="17"/>
  <c r="V238" i="17" s="1"/>
  <c r="Y239" i="17" s="1"/>
  <c r="W239" i="17" s="1"/>
  <c r="W240" i="17" s="1"/>
  <c r="X235" i="24"/>
  <c r="X236" i="24" s="1"/>
  <c r="X235" i="26"/>
  <c r="X236" i="26" s="1"/>
  <c r="Y239" i="4"/>
  <c r="W238" i="4" s="1"/>
  <c r="Z239" i="4"/>
  <c r="W237" i="4" s="1"/>
  <c r="X237" i="4" s="1"/>
  <c r="K239" i="25"/>
  <c r="L239" i="25" s="1"/>
  <c r="V239" i="25" s="1"/>
  <c r="Y239" i="25" s="1"/>
  <c r="W239" i="25" s="1"/>
  <c r="W240" i="25" s="1"/>
  <c r="L238" i="7"/>
  <c r="V238" i="7" s="1"/>
  <c r="X235" i="5"/>
  <c r="X236" i="5" s="1"/>
  <c r="L238" i="9"/>
  <c r="V238" i="9" s="1"/>
  <c r="Y239" i="9" s="1"/>
  <c r="W239" i="9" s="1"/>
  <c r="W240" i="9" s="1"/>
  <c r="K239" i="5"/>
  <c r="L239" i="5" s="1"/>
  <c r="V239" i="5" s="1"/>
  <c r="L238" i="5"/>
  <c r="V238" i="5" s="1"/>
  <c r="AJ2" i="32"/>
  <c r="AK2" i="32"/>
  <c r="D228" i="29"/>
  <c r="D229" i="29" s="1"/>
  <c r="D202" i="29" s="1"/>
  <c r="Z239" i="13"/>
  <c r="W237" i="13" s="1"/>
  <c r="X237" i="13" s="1"/>
  <c r="Z239" i="11"/>
  <c r="W237" i="11" s="1"/>
  <c r="X237" i="11" s="1"/>
  <c r="W239" i="21"/>
  <c r="W240" i="21" s="1"/>
  <c r="L238" i="6"/>
  <c r="V238" i="6" s="1"/>
  <c r="K239" i="6"/>
  <c r="L239" i="6" s="1"/>
  <c r="V239" i="6" s="1"/>
  <c r="W239" i="3"/>
  <c r="W240" i="3" s="1"/>
  <c r="Z239" i="26"/>
  <c r="W237" i="26" s="1"/>
  <c r="X237" i="26" s="1"/>
  <c r="X235" i="14"/>
  <c r="X236" i="14" s="1"/>
  <c r="W234" i="10"/>
  <c r="X235" i="10"/>
  <c r="X236" i="10" s="1"/>
  <c r="X237" i="30"/>
  <c r="D228" i="30" s="1"/>
  <c r="D229" i="30" s="1"/>
  <c r="D202" i="30" s="1"/>
  <c r="X237" i="28"/>
  <c r="D228" i="28" s="1"/>
  <c r="D229" i="28" s="1"/>
  <c r="D202" i="28" s="1"/>
  <c r="Y239" i="11"/>
  <c r="X238" i="11" s="1"/>
  <c r="Z239" i="18"/>
  <c r="W237" i="18" s="1"/>
  <c r="X237" i="18" s="1"/>
  <c r="X235" i="8"/>
  <c r="X236" i="8" s="1"/>
  <c r="W234" i="8"/>
  <c r="K239" i="12"/>
  <c r="L239" i="12" s="1"/>
  <c r="V239" i="12" s="1"/>
  <c r="L238" i="12"/>
  <c r="V238" i="12" s="1"/>
  <c r="X235" i="20"/>
  <c r="X236" i="20" s="1"/>
  <c r="W234" i="20"/>
  <c r="L238" i="14"/>
  <c r="V238" i="14" s="1"/>
  <c r="K239" i="14"/>
  <c r="L239" i="14" s="1"/>
  <c r="V239" i="14" s="1"/>
  <c r="W238" i="25"/>
  <c r="L238" i="20"/>
  <c r="V238" i="20" s="1"/>
  <c r="K239" i="20"/>
  <c r="L239" i="20" s="1"/>
  <c r="V239" i="20" s="1"/>
  <c r="Y239" i="18"/>
  <c r="W238" i="18" s="1"/>
  <c r="W238" i="26"/>
  <c r="Y239" i="26"/>
  <c r="W239" i="26" s="1"/>
  <c r="W240" i="26" s="1"/>
  <c r="L238" i="8"/>
  <c r="V238" i="8" s="1"/>
  <c r="K239" i="8"/>
  <c r="L239" i="8" s="1"/>
  <c r="V239" i="8" s="1"/>
  <c r="W239" i="16"/>
  <c r="W240" i="16" s="1"/>
  <c r="X235" i="12"/>
  <c r="X236" i="12" s="1"/>
  <c r="W234" i="12"/>
  <c r="L238" i="24"/>
  <c r="V238" i="24" s="1"/>
  <c r="K239" i="24"/>
  <c r="L239" i="24" s="1"/>
  <c r="V239" i="24" s="1"/>
  <c r="L238" i="10"/>
  <c r="V238" i="10" s="1"/>
  <c r="K239" i="10"/>
  <c r="Y239" i="13"/>
  <c r="X238" i="13" s="1"/>
  <c r="W238" i="13"/>
  <c r="P133" i="2"/>
  <c r="N181" i="2"/>
  <c r="X235" i="19" l="1"/>
  <c r="X236" i="19" s="1"/>
  <c r="L238" i="19"/>
  <c r="V238" i="19" s="1"/>
  <c r="K239" i="19"/>
  <c r="L239" i="19" s="1"/>
  <c r="V239" i="19" s="1"/>
  <c r="W238" i="11"/>
  <c r="Y239" i="22"/>
  <c r="W238" i="22" s="1"/>
  <c r="X238" i="18"/>
  <c r="W239" i="22"/>
  <c r="W240" i="22" s="1"/>
  <c r="W239" i="18"/>
  <c r="W240" i="18" s="1"/>
  <c r="X238" i="22"/>
  <c r="W238" i="23"/>
  <c r="Y239" i="23"/>
  <c r="W239" i="23" s="1"/>
  <c r="W240" i="23" s="1"/>
  <c r="Z239" i="23"/>
  <c r="W237" i="23" s="1"/>
  <c r="Z239" i="15"/>
  <c r="W237" i="15" s="1"/>
  <c r="X237" i="15" s="1"/>
  <c r="Y239" i="15"/>
  <c r="W239" i="15" s="1"/>
  <c r="W240" i="15" s="1"/>
  <c r="W238" i="15"/>
  <c r="W238" i="17"/>
  <c r="Z239" i="17"/>
  <c r="W237" i="17" s="1"/>
  <c r="X237" i="17" s="1"/>
  <c r="W239" i="11"/>
  <c r="W240" i="11" s="1"/>
  <c r="Z239" i="6"/>
  <c r="W237" i="6" s="1"/>
  <c r="X237" i="6" s="1"/>
  <c r="W239" i="4"/>
  <c r="W240" i="4" s="1"/>
  <c r="X238" i="4"/>
  <c r="Z239" i="25"/>
  <c r="W237" i="25" s="1"/>
  <c r="X237" i="25" s="1"/>
  <c r="X238" i="9"/>
  <c r="Y239" i="7"/>
  <c r="W239" i="7" s="1"/>
  <c r="W240" i="7" s="1"/>
  <c r="W238" i="7"/>
  <c r="Z239" i="7"/>
  <c r="W237" i="7" s="1"/>
  <c r="X237" i="7" s="1"/>
  <c r="Z239" i="9"/>
  <c r="W237" i="9" s="1"/>
  <c r="X237" i="9" s="1"/>
  <c r="W238" i="9"/>
  <c r="W238" i="5"/>
  <c r="Z239" i="5"/>
  <c r="W237" i="5" s="1"/>
  <c r="X237" i="5" s="1"/>
  <c r="Y239" i="5"/>
  <c r="X238" i="5" s="1"/>
  <c r="Z239" i="14"/>
  <c r="W237" i="14" s="1"/>
  <c r="X237" i="14" s="1"/>
  <c r="D228" i="21"/>
  <c r="D229" i="21" s="1"/>
  <c r="D202" i="21" s="1"/>
  <c r="Z239" i="20"/>
  <c r="W237" i="20" s="1"/>
  <c r="X237" i="20" s="1"/>
  <c r="Y239" i="6"/>
  <c r="X238" i="6"/>
  <c r="D228" i="3"/>
  <c r="D229" i="3" s="1"/>
  <c r="D202" i="3" s="1"/>
  <c r="Z239" i="24"/>
  <c r="W237" i="24" s="1"/>
  <c r="X237" i="24" s="1"/>
  <c r="X238" i="17"/>
  <c r="Z239" i="12"/>
  <c r="W237" i="12" s="1"/>
  <c r="X237" i="12" s="1"/>
  <c r="W238" i="10"/>
  <c r="X238" i="26"/>
  <c r="D228" i="26" s="1"/>
  <c r="D229" i="26" s="1"/>
  <c r="D202" i="26" s="1"/>
  <c r="X238" i="25"/>
  <c r="Y239" i="14"/>
  <c r="X238" i="14" s="1"/>
  <c r="W238" i="14"/>
  <c r="Y239" i="12"/>
  <c r="W239" i="12" s="1"/>
  <c r="W240" i="12" s="1"/>
  <c r="W238" i="12"/>
  <c r="L239" i="10"/>
  <c r="V239" i="10" s="1"/>
  <c r="W238" i="24"/>
  <c r="Y239" i="24"/>
  <c r="W239" i="24" s="1"/>
  <c r="W240" i="24" s="1"/>
  <c r="Z239" i="8"/>
  <c r="W237" i="8" s="1"/>
  <c r="W239" i="13"/>
  <c r="W240" i="13" s="1"/>
  <c r="Y239" i="8"/>
  <c r="W239" i="8" s="1"/>
  <c r="W240" i="8" s="1"/>
  <c r="W238" i="8"/>
  <c r="Y239" i="20"/>
  <c r="W239" i="20" s="1"/>
  <c r="W240" i="20" s="1"/>
  <c r="W238" i="20"/>
  <c r="D228" i="16"/>
  <c r="D229" i="16" s="1"/>
  <c r="D202" i="16" s="1"/>
  <c r="AE27" i="32"/>
  <c r="N196" i="2"/>
  <c r="N192" i="2"/>
  <c r="Z239" i="19" l="1"/>
  <c r="W237" i="19" s="1"/>
  <c r="X237" i="19" s="1"/>
  <c r="W238" i="19"/>
  <c r="Y239" i="19"/>
  <c r="W239" i="19" s="1"/>
  <c r="W240" i="19" s="1"/>
  <c r="D228" i="22"/>
  <c r="D229" i="22" s="1"/>
  <c r="D202" i="22" s="1"/>
  <c r="D228" i="18"/>
  <c r="D229" i="18" s="1"/>
  <c r="D202" i="18" s="1"/>
  <c r="X238" i="23"/>
  <c r="X238" i="15"/>
  <c r="D228" i="15" s="1"/>
  <c r="D229" i="15" s="1"/>
  <c r="D202" i="15" s="1"/>
  <c r="X237" i="23"/>
  <c r="D228" i="17"/>
  <c r="D229" i="17" s="1"/>
  <c r="D202" i="17" s="1"/>
  <c r="D228" i="25"/>
  <c r="D229" i="25" s="1"/>
  <c r="D202" i="25" s="1"/>
  <c r="D228" i="11"/>
  <c r="D229" i="11" s="1"/>
  <c r="D202" i="11" s="1"/>
  <c r="D228" i="4"/>
  <c r="D229" i="4" s="1"/>
  <c r="D202" i="4" s="1"/>
  <c r="W239" i="14"/>
  <c r="W240" i="14" s="1"/>
  <c r="X238" i="7"/>
  <c r="D228" i="7" s="1"/>
  <c r="D229" i="7" s="1"/>
  <c r="D202" i="7" s="1"/>
  <c r="D228" i="9"/>
  <c r="D229" i="9" s="1"/>
  <c r="D202" i="9" s="1"/>
  <c r="W239" i="5"/>
  <c r="W240" i="5" s="1"/>
  <c r="D228" i="5" s="1"/>
  <c r="D229" i="5" s="1"/>
  <c r="D202" i="5" s="1"/>
  <c r="W239" i="6"/>
  <c r="W240" i="6" s="1"/>
  <c r="W238" i="6"/>
  <c r="X238" i="12"/>
  <c r="D228" i="12" s="1"/>
  <c r="D229" i="12" s="1"/>
  <c r="D202" i="12" s="1"/>
  <c r="X238" i="20"/>
  <c r="D228" i="20" s="1"/>
  <c r="D229" i="20" s="1"/>
  <c r="D202" i="20" s="1"/>
  <c r="X238" i="8"/>
  <c r="X238" i="24"/>
  <c r="D228" i="24" s="1"/>
  <c r="D229" i="24" s="1"/>
  <c r="D202" i="24" s="1"/>
  <c r="Y239" i="10"/>
  <c r="W239" i="10" s="1"/>
  <c r="W240" i="10" s="1"/>
  <c r="Z239" i="10"/>
  <c r="W237" i="10" s="1"/>
  <c r="X237" i="8"/>
  <c r="D228" i="13"/>
  <c r="D229" i="13" s="1"/>
  <c r="D202" i="13" s="1"/>
  <c r="N197" i="2"/>
  <c r="N199" i="2"/>
  <c r="I198" i="2" s="1"/>
  <c r="AJ27" i="32"/>
  <c r="C53" i="33" s="1"/>
  <c r="C63" i="33" s="1"/>
  <c r="D63" i="33" s="1"/>
  <c r="AK27" i="32"/>
  <c r="AH27" i="32"/>
  <c r="N200" i="2"/>
  <c r="X238" i="19" l="1"/>
  <c r="D228" i="19" s="1"/>
  <c r="D229" i="19" s="1"/>
  <c r="D202" i="19" s="1"/>
  <c r="D228" i="23"/>
  <c r="D229" i="23" s="1"/>
  <c r="D202" i="23" s="1"/>
  <c r="D228" i="8"/>
  <c r="D229" i="8" s="1"/>
  <c r="D202" i="8" s="1"/>
  <c r="D228" i="14"/>
  <c r="D229" i="14" s="1"/>
  <c r="D202" i="14" s="1"/>
  <c r="X238" i="10"/>
  <c r="D228" i="6"/>
  <c r="D229" i="6" s="1"/>
  <c r="D202" i="6" s="1"/>
  <c r="X237" i="10"/>
  <c r="P4" i="2"/>
  <c r="Q124" i="2" s="1"/>
  <c r="C3" i="33"/>
  <c r="C34" i="33" s="1"/>
  <c r="C49" i="33" s="1"/>
  <c r="C51" i="33" s="1"/>
  <c r="C228" i="2"/>
  <c r="I233" i="2" s="1"/>
  <c r="D228" i="10" l="1"/>
  <c r="D229" i="10" s="1"/>
  <c r="D202" i="10" s="1"/>
  <c r="N3" i="33"/>
  <c r="Q131" i="2"/>
  <c r="Q237" i="2"/>
  <c r="R237" i="2" s="1"/>
  <c r="E231" i="2"/>
  <c r="E237" i="2" s="1"/>
  <c r="O236" i="2"/>
  <c r="P236" i="2" s="1"/>
  <c r="S238" i="2"/>
  <c r="T238" i="2" s="1"/>
  <c r="K234" i="2"/>
  <c r="K235" i="2" s="1"/>
  <c r="L235" i="2" s="1"/>
  <c r="G232" i="2"/>
  <c r="G237" i="2" s="1"/>
  <c r="H237" i="2" s="1"/>
  <c r="U239" i="2"/>
  <c r="C229" i="2"/>
  <c r="C230" i="2" s="1"/>
  <c r="C231" i="2" s="1"/>
  <c r="M235" i="2"/>
  <c r="I234" i="2"/>
  <c r="J234" i="2" s="1"/>
  <c r="J233" i="2"/>
  <c r="F231" i="2" l="1"/>
  <c r="V231" i="2" s="1"/>
  <c r="W231" i="2" s="1"/>
  <c r="I235" i="2"/>
  <c r="Q239" i="2"/>
  <c r="R239" i="2" s="1"/>
  <c r="Q238" i="2"/>
  <c r="R238" i="2" s="1"/>
  <c r="G238" i="2"/>
  <c r="H238" i="2" s="1"/>
  <c r="E238" i="2"/>
  <c r="F238" i="2" s="1"/>
  <c r="G234" i="2"/>
  <c r="H234" i="2" s="1"/>
  <c r="G236" i="2"/>
  <c r="H236" i="2" s="1"/>
  <c r="E232" i="2"/>
  <c r="F232" i="2" s="1"/>
  <c r="G233" i="2"/>
  <c r="H233" i="2" s="1"/>
  <c r="G239" i="2"/>
  <c r="H239" i="2" s="1"/>
  <c r="E235" i="2"/>
  <c r="F235" i="2" s="1"/>
  <c r="E239" i="2"/>
  <c r="F239" i="2" s="1"/>
  <c r="R3" i="33"/>
  <c r="R34" i="33" s="1"/>
  <c r="N34" i="33"/>
  <c r="S239" i="2"/>
  <c r="T239" i="2" s="1"/>
  <c r="E233" i="2"/>
  <c r="F233" i="2" s="1"/>
  <c r="E234" i="2"/>
  <c r="F234" i="2" s="1"/>
  <c r="H232" i="2"/>
  <c r="E236" i="2"/>
  <c r="F236" i="2" s="1"/>
  <c r="O237" i="2"/>
  <c r="P237" i="2" s="1"/>
  <c r="N235" i="2"/>
  <c r="L234" i="2"/>
  <c r="M236" i="2"/>
  <c r="N236" i="2" s="1"/>
  <c r="O239" i="2"/>
  <c r="P239" i="2" s="1"/>
  <c r="M237" i="2"/>
  <c r="N237" i="2" s="1"/>
  <c r="O238" i="2"/>
  <c r="P238" i="2" s="1"/>
  <c r="G235" i="2"/>
  <c r="H235" i="2" s="1"/>
  <c r="K236" i="2"/>
  <c r="F237" i="2"/>
  <c r="V230" i="2" l="1"/>
  <c r="J235" i="2"/>
  <c r="V235" i="2" s="1"/>
  <c r="I236" i="2"/>
  <c r="V233" i="2"/>
  <c r="M238" i="2"/>
  <c r="V232" i="2"/>
  <c r="V234" i="2"/>
  <c r="L236" i="2"/>
  <c r="K237" i="2"/>
  <c r="X231" i="2"/>
  <c r="J236" i="2" l="1"/>
  <c r="V236" i="2" s="1"/>
  <c r="I237" i="2"/>
  <c r="Z233" i="2"/>
  <c r="N238" i="2"/>
  <c r="M239" i="2"/>
  <c r="N239" i="2" s="1"/>
  <c r="AA233" i="2"/>
  <c r="W232" i="2"/>
  <c r="Y233" i="2"/>
  <c r="W233" i="2" s="1"/>
  <c r="L237" i="2"/>
  <c r="K238" i="2"/>
  <c r="X232" i="2" l="1"/>
  <c r="Y236" i="2"/>
  <c r="W236" i="2" s="1"/>
  <c r="Z236" i="2"/>
  <c r="AA236" i="2"/>
  <c r="W234" i="2" s="1"/>
  <c r="J237" i="2"/>
  <c r="V237" i="2" s="1"/>
  <c r="I238" i="2"/>
  <c r="X233" i="2"/>
  <c r="W235" i="2"/>
  <c r="L238" i="2"/>
  <c r="K239" i="2"/>
  <c r="X235" i="2" l="1"/>
  <c r="X236" i="2" s="1"/>
  <c r="J238" i="2"/>
  <c r="V238" i="2" s="1"/>
  <c r="I239" i="2"/>
  <c r="J239" i="2" s="1"/>
  <c r="L239" i="2"/>
  <c r="V239" i="2" l="1"/>
  <c r="Y239" i="2" s="1"/>
  <c r="Z239" i="2" l="1"/>
  <c r="W237" i="2" s="1"/>
  <c r="X237" i="2" s="1"/>
  <c r="W239" i="2"/>
  <c r="W240" i="2" s="1"/>
  <c r="W238" i="2"/>
  <c r="X238" i="2"/>
  <c r="D228" i="2" l="1"/>
  <c r="D229" i="2" s="1"/>
  <c r="D202" i="2" s="1"/>
</calcChain>
</file>

<file path=xl/comments1.xml><?xml version="1.0" encoding="utf-8"?>
<comments xmlns="http://schemas.openxmlformats.org/spreadsheetml/2006/main">
  <authors>
    <author>Mario Hidalgo Garcia</author>
    <author>Mario Hidalgo García</author>
    <author>Mario R. Hidalgo Garcia</author>
  </authors>
  <commentList>
    <comment ref="Q7" authorId="0" shapeId="0">
      <text>
        <r>
          <rPr>
            <b/>
            <sz val="9"/>
            <color indexed="81"/>
            <rFont val="Tahoma"/>
            <family val="2"/>
          </rPr>
          <t>Mario Hidalgo:</t>
        </r>
        <r>
          <rPr>
            <sz val="9"/>
            <color indexed="81"/>
            <rFont val="Tahoma"/>
            <family val="2"/>
          </rPr>
          <t xml:space="preserve">
Las personas Jubiladas no cotizan por ISP ni Cesantía, sin embargo puede darse la ocasión de cotizar las AFP.
Esto es información solo ayuda a la planilla a realizar sus cálculos
Si hay un error en esto, favor informar en la web.</t>
        </r>
      </text>
    </comment>
    <comment ref="Q33" authorId="0" shapeId="0">
      <text>
        <r>
          <rPr>
            <b/>
            <sz val="9"/>
            <color indexed="81"/>
            <rFont val="Tahoma"/>
            <family val="2"/>
          </rPr>
          <t>Mario Hidalgo:</t>
        </r>
        <r>
          <rPr>
            <sz val="9"/>
            <color indexed="81"/>
            <rFont val="Tahoma"/>
            <family val="2"/>
          </rPr>
          <t xml:space="preserve">
Para organizar el Libro de remuneraciones, se recomienda dejar en este apartado, a las personas que no posean un Contrato de Trabajo Activo</t>
        </r>
      </text>
    </comment>
    <comment ref="R45" authorId="0" shapeId="0">
      <text>
        <r>
          <rPr>
            <b/>
            <sz val="9"/>
            <color indexed="81"/>
            <rFont val="Tahoma"/>
            <family val="2"/>
          </rPr>
          <t>Mario Hidalgo:</t>
        </r>
        <r>
          <rPr>
            <sz val="9"/>
            <color indexed="81"/>
            <rFont val="Tahoma"/>
            <family val="2"/>
          </rPr>
          <t xml:space="preserve">
No modifique esta celda, a menos que sepa lo que hace.</t>
        </r>
      </text>
    </comment>
    <comment ref="P46" authorId="1" shapeId="0">
      <text>
        <r>
          <rPr>
            <b/>
            <sz val="9"/>
            <color indexed="81"/>
            <rFont val="Tahoma"/>
            <family val="2"/>
          </rPr>
          <t>Mario Hidalgo:</t>
        </r>
        <r>
          <rPr>
            <sz val="9"/>
            <color indexed="81"/>
            <rFont val="Tahoma"/>
            <family val="2"/>
          </rPr>
          <t xml:space="preserve">
Modifica la forma en que se calculan las horas extras y los atrasos.</t>
        </r>
      </text>
    </comment>
    <comment ref="R47" authorId="0" shapeId="0">
      <text>
        <r>
          <rPr>
            <b/>
            <sz val="9"/>
            <color indexed="81"/>
            <rFont val="Tahoma"/>
            <family val="2"/>
          </rPr>
          <t>Mario Hidalgo:</t>
        </r>
        <r>
          <rPr>
            <sz val="9"/>
            <color indexed="81"/>
            <rFont val="Tahoma"/>
            <family val="2"/>
          </rPr>
          <t xml:space="preserve">
Es importante que recuerde actualizar este valor, para poder realizar los cálculos correspondientes</t>
        </r>
      </text>
    </comment>
    <comment ref="O59" authorId="2" shapeId="0">
      <text>
        <r>
          <rPr>
            <b/>
            <sz val="9"/>
            <color indexed="81"/>
            <rFont val="Tahoma"/>
            <family val="2"/>
          </rPr>
          <t xml:space="preserve">Mario R. Hidalgo:
</t>
        </r>
        <r>
          <rPr>
            <sz val="9"/>
            <color indexed="81"/>
            <rFont val="Tahoma"/>
            <family val="2"/>
          </rPr>
          <t>Tope gratificación legal</t>
        </r>
      </text>
    </comment>
    <comment ref="K74" authorId="1" shapeId="0">
      <text>
        <r>
          <rPr>
            <b/>
            <sz val="9"/>
            <color indexed="81"/>
            <rFont val="Tahoma"/>
            <family val="2"/>
          </rPr>
          <t>Mario Hidalgo García:</t>
        </r>
        <r>
          <rPr>
            <sz val="9"/>
            <color indexed="81"/>
            <rFont val="Tahoma"/>
            <family val="2"/>
          </rPr>
          <t xml:space="preserve">
Por defecto, la planilla considerara el Adicional de salud, para rebajar en el cálculo del total tributable y obtener el impuesto único, si por alguna razón, usted no desea esto, cámbielo a "</t>
        </r>
        <r>
          <rPr>
            <b/>
            <sz val="9"/>
            <color indexed="81"/>
            <rFont val="Tahoma"/>
            <family val="2"/>
          </rPr>
          <t>NO</t>
        </r>
        <r>
          <rPr>
            <sz val="9"/>
            <color indexed="81"/>
            <rFont val="Tahoma"/>
            <family val="2"/>
          </rPr>
          <t>". 
(</t>
        </r>
        <r>
          <rPr>
            <i/>
            <sz val="9"/>
            <color indexed="81"/>
            <rFont val="Tahoma"/>
            <family val="2"/>
          </rPr>
          <t>No imagino por qué haría eso…</t>
        </r>
        <r>
          <rPr>
            <sz val="9"/>
            <color indexed="81"/>
            <rFont val="Tahoma"/>
            <family val="2"/>
          </rPr>
          <t>)</t>
        </r>
      </text>
    </comment>
    <comment ref="K86" authorId="0" shapeId="0">
      <text>
        <r>
          <rPr>
            <b/>
            <sz val="9"/>
            <color indexed="81"/>
            <rFont val="Tahoma"/>
            <family val="2"/>
          </rPr>
          <t>Mario Hidalgo García:</t>
        </r>
        <r>
          <rPr>
            <sz val="9"/>
            <color indexed="81"/>
            <rFont val="Tahoma"/>
            <family val="2"/>
          </rPr>
          <t xml:space="preserve">
No se resuelven dudas por correo, por favor no insista. Cualquier consulta, comentario, felicitaciones o criticas, puede hacerlo desde la web oficial del proyecto.</t>
        </r>
      </text>
    </comment>
  </commentList>
</comments>
</file>

<file path=xl/comments2.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3.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4.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5.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6.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7.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8.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9.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0.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1.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2.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3.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4.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5.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6.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7.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8.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19.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0.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1.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2.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3.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4.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5.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6.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7.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8.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29.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30.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31.xml><?xml version="1.0" encoding="utf-8"?>
<comments xmlns="http://schemas.openxmlformats.org/spreadsheetml/2006/main">
  <authors>
    <author>Mario R. Hidalgo Garcia</author>
    <author>Mario Hidalgo Garcia</author>
    <author>Mario Hidalgo García</author>
  </authors>
  <commentList>
    <comment ref="T1" authorId="0" shapeId="0">
      <text>
        <r>
          <rPr>
            <b/>
            <sz val="9"/>
            <color indexed="81"/>
            <rFont val="Tahoma"/>
            <family val="2"/>
          </rPr>
          <t>Mario R. Hidalgo García:</t>
        </r>
        <r>
          <rPr>
            <sz val="9"/>
            <color indexed="81"/>
            <rFont val="Tahoma"/>
            <family val="2"/>
          </rPr>
          <t xml:space="preserve">
Día normal, en este deacuerdo a lo indicado, se consideraran las horas extras o atrasos.</t>
        </r>
      </text>
    </comment>
    <comment ref="T2" authorId="0" shapeId="0">
      <text>
        <r>
          <rPr>
            <b/>
            <sz val="9"/>
            <color indexed="81"/>
            <rFont val="Tahoma"/>
            <family val="2"/>
          </rPr>
          <t>Mario R. Hidalgo García:</t>
        </r>
        <r>
          <rPr>
            <sz val="9"/>
            <color indexed="81"/>
            <rFont val="Tahoma"/>
            <family val="2"/>
          </rPr>
          <t xml:space="preserve">
Considera el día como falla y realiza el descuento correspondiente al día completo (esto no se considera como atraso, así que no afecta al balance de horas extras y atrasos)</t>
        </r>
      </text>
    </comment>
    <comment ref="T3" authorId="0" shapeId="0">
      <text>
        <r>
          <rPr>
            <b/>
            <sz val="9"/>
            <color indexed="81"/>
            <rFont val="Tahoma"/>
            <family val="2"/>
          </rPr>
          <t>Mario R. Hidalgo García:</t>
        </r>
        <r>
          <rPr>
            <sz val="9"/>
            <color indexed="81"/>
            <rFont val="Tahoma"/>
            <family val="2"/>
          </rPr>
          <t xml:space="preserve">
No es una falla, solo se utiliza para arreglos de descuento en caso de que el trabajador falle durante Media jornada. Por lo cual se descuenta medio día de gratificación más las horas correspondientes. El aplicar "F2" en un día implica que la gratificación correspondiente a ese día sufrirá un descuento de 50% de su total, la cual se reflejara en el pago mensual.
Por ejemplo si su gratificación legal es del 25% mensual con un tope de 4.75% el trabajador recibe un total de $72.042 de gratificación mensual y $2.401 pesos diarios. entonces al fallar 1 día se le descuentas $2,401 si utiliza F2 (medio día) se le descuenta 1.200,7 pesos por media jornada.</t>
        </r>
      </text>
    </comment>
    <comment ref="F4" authorId="0" shapeId="0">
      <text>
        <r>
          <rPr>
            <b/>
            <sz val="9"/>
            <color indexed="81"/>
            <rFont val="Tahoma"/>
            <family val="2"/>
          </rPr>
          <t xml:space="preserve">Mario R. Hidalgo García:
</t>
        </r>
        <r>
          <rPr>
            <sz val="9"/>
            <color indexed="81"/>
            <rFont val="Tahoma"/>
            <family val="2"/>
          </rPr>
          <t>El nombre del trabajador, debe rellenarlo en la hoja Datos.</t>
        </r>
        <r>
          <rPr>
            <sz val="9"/>
            <color indexed="81"/>
            <rFont val="Tahoma"/>
            <family val="2"/>
          </rPr>
          <t xml:space="preserve">
</t>
        </r>
      </text>
    </comment>
    <comment ref="I4" authorId="1" shapeId="0">
      <text>
        <r>
          <rPr>
            <b/>
            <sz val="9"/>
            <color indexed="81"/>
            <rFont val="Tahoma"/>
            <family val="2"/>
          </rPr>
          <t>Mario Hidalgo:</t>
        </r>
        <r>
          <rPr>
            <sz val="9"/>
            <color indexed="81"/>
            <rFont val="Tahoma"/>
            <family val="2"/>
          </rPr>
          <t xml:space="preserve">
En los recuadros </t>
        </r>
        <r>
          <rPr>
            <b/>
            <sz val="9"/>
            <color indexed="81"/>
            <rFont val="Tahoma"/>
            <family val="2"/>
          </rPr>
          <t xml:space="preserve">LUNES A VIERNES </t>
        </r>
        <r>
          <rPr>
            <sz val="9"/>
            <color indexed="81"/>
            <rFont val="Tahoma"/>
            <family val="2"/>
          </rPr>
          <t>y</t>
        </r>
        <r>
          <rPr>
            <b/>
            <sz val="9"/>
            <color indexed="81"/>
            <rFont val="Tahoma"/>
            <family val="2"/>
          </rPr>
          <t xml:space="preserve"> SABADOS A DOMINGOS </t>
        </r>
        <r>
          <rPr>
            <sz val="9"/>
            <color indexed="81"/>
            <rFont val="Tahoma"/>
            <family val="2"/>
          </rPr>
          <t xml:space="preserve">debe ingresar las horas que se trabajan durante el día.
Por ejemplo, si el horario es de 9 horas diarias, repartidas entre </t>
        </r>
        <r>
          <rPr>
            <b/>
            <sz val="9"/>
            <color indexed="81"/>
            <rFont val="Tahoma"/>
            <family val="2"/>
          </rPr>
          <t>Lunes a Viernes</t>
        </r>
        <r>
          <rPr>
            <sz val="9"/>
            <color indexed="81"/>
            <rFont val="Tahoma"/>
            <family val="2"/>
          </rPr>
          <t xml:space="preserve">, debería dejar el recuadro con un 9:00 y el de </t>
        </r>
        <r>
          <rPr>
            <b/>
            <sz val="9"/>
            <color indexed="81"/>
            <rFont val="Tahoma"/>
            <family val="2"/>
          </rPr>
          <t>Sábados a Domingos</t>
        </r>
        <r>
          <rPr>
            <sz val="9"/>
            <color indexed="81"/>
            <rFont val="Tahoma"/>
            <family val="2"/>
          </rPr>
          <t xml:space="preserve"> en 0:00.
Otro ejemplo, si el horario el de Lunes a Viernes 8 horas y sábado Medio día, el recuadro </t>
        </r>
        <r>
          <rPr>
            <b/>
            <sz val="9"/>
            <color indexed="81"/>
            <rFont val="Tahoma"/>
            <family val="2"/>
          </rPr>
          <t>Lunes a Viernes</t>
        </r>
        <r>
          <rPr>
            <sz val="9"/>
            <color indexed="81"/>
            <rFont val="Tahoma"/>
            <family val="2"/>
          </rPr>
          <t xml:space="preserve">, deberá ser 8:00 y el de </t>
        </r>
        <r>
          <rPr>
            <b/>
            <sz val="9"/>
            <color indexed="81"/>
            <rFont val="Tahoma"/>
            <family val="2"/>
          </rPr>
          <t>Sábados a Domingos</t>
        </r>
        <r>
          <rPr>
            <sz val="9"/>
            <color indexed="81"/>
            <rFont val="Tahoma"/>
            <family val="2"/>
          </rPr>
          <t xml:space="preserve"> en 5:00 de esta forma sumara las 45 horas semanales.
Como ultimo ejemplo, si el horario es por turnos, 12 horas diarias de lunes a domingos y descansa 7 días, en la casilla de </t>
        </r>
        <r>
          <rPr>
            <b/>
            <sz val="9"/>
            <color indexed="81"/>
            <rFont val="Tahoma"/>
            <family val="2"/>
          </rPr>
          <t xml:space="preserve">Lunes a Viernes </t>
        </r>
        <r>
          <rPr>
            <sz val="9"/>
            <color indexed="81"/>
            <rFont val="Tahoma"/>
            <family val="2"/>
          </rPr>
          <t>colocas</t>
        </r>
        <r>
          <rPr>
            <b/>
            <sz val="9"/>
            <color indexed="81"/>
            <rFont val="Tahoma"/>
            <family val="2"/>
          </rPr>
          <t xml:space="preserve"> </t>
        </r>
        <r>
          <rPr>
            <sz val="9"/>
            <color indexed="81"/>
            <rFont val="Tahoma"/>
            <family val="2"/>
          </rPr>
          <t xml:space="preserve">12:00 y en la de </t>
        </r>
        <r>
          <rPr>
            <b/>
            <sz val="9"/>
            <color indexed="81"/>
            <rFont val="Tahoma"/>
            <family val="2"/>
          </rPr>
          <t>Sábado y Domingo</t>
        </r>
        <r>
          <rPr>
            <sz val="9"/>
            <color indexed="81"/>
            <rFont val="Tahoma"/>
            <family val="2"/>
          </rPr>
          <t xml:space="preserve"> 12:00, dejando toda la columna "</t>
        </r>
        <r>
          <rPr>
            <b/>
            <sz val="9"/>
            <color indexed="81"/>
            <rFont val="Tahoma"/>
            <family val="2"/>
          </rPr>
          <t>B</t>
        </r>
        <r>
          <rPr>
            <sz val="9"/>
            <color indexed="81"/>
            <rFont val="Tahoma"/>
            <family val="2"/>
          </rPr>
          <t>" de los días trabajados como "</t>
        </r>
        <r>
          <rPr>
            <b/>
            <sz val="9"/>
            <color indexed="81"/>
            <rFont val="Tahoma"/>
            <family val="2"/>
          </rPr>
          <t>A</t>
        </r>
        <r>
          <rPr>
            <sz val="9"/>
            <color indexed="81"/>
            <rFont val="Tahoma"/>
            <family val="2"/>
          </rPr>
          <t>" de Asistido y los no trabajados como "</t>
        </r>
        <r>
          <rPr>
            <b/>
            <sz val="9"/>
            <color indexed="81"/>
            <rFont val="Tahoma"/>
            <family val="2"/>
          </rPr>
          <t>D</t>
        </r>
        <r>
          <rPr>
            <sz val="9"/>
            <color indexed="81"/>
            <rFont val="Tahoma"/>
            <family val="2"/>
          </rPr>
          <t xml:space="preserve">" de descanso.
</t>
        </r>
      </text>
    </comment>
    <comment ref="T4" authorId="0" shapeId="0">
      <text>
        <r>
          <rPr>
            <b/>
            <sz val="9"/>
            <color indexed="81"/>
            <rFont val="Tahoma"/>
            <family val="2"/>
          </rPr>
          <t>Mario R. Hidalgo García:</t>
        </r>
        <r>
          <rPr>
            <sz val="9"/>
            <color indexed="81"/>
            <rFont val="Tahoma"/>
            <family val="2"/>
          </rPr>
          <t xml:space="preserve">
Similar a las Fallas</t>
        </r>
      </text>
    </comment>
    <comment ref="F5" authorId="0" shapeId="0">
      <text>
        <r>
          <rPr>
            <b/>
            <sz val="9"/>
            <color indexed="81"/>
            <rFont val="Tahoma"/>
            <family val="2"/>
          </rPr>
          <t>Mario R. Hidalgo García:</t>
        </r>
        <r>
          <rPr>
            <sz val="9"/>
            <color indexed="81"/>
            <rFont val="Tahoma"/>
            <family val="2"/>
          </rPr>
          <t xml:space="preserve">
Sueldo base afecto a gratificación e imponibles. No representa el alcance liquido a obtener por el trabajador.
Base != Liquido (Base no es lo mismo que liquido)</t>
        </r>
      </text>
    </comment>
    <comment ref="T5" authorId="0" shapeId="0">
      <text>
        <r>
          <rPr>
            <b/>
            <sz val="9"/>
            <color indexed="81"/>
            <rFont val="Tahoma"/>
            <family val="2"/>
          </rPr>
          <t>Mario R. Hidalgo García:</t>
        </r>
        <r>
          <rPr>
            <sz val="9"/>
            <color indexed="81"/>
            <rFont val="Tahoma"/>
            <family val="2"/>
          </rPr>
          <t xml:space="preserve">
Se considera como día domingo o feriado legal. El día es pagado al trabajador aunque no trabaje, y si se trabaja en este día, se considera como hora extraordinaria</t>
        </r>
      </text>
    </comment>
    <comment ref="T6" authorId="0" shapeId="0">
      <text>
        <r>
          <rPr>
            <b/>
            <sz val="9"/>
            <color indexed="81"/>
            <rFont val="Tahoma"/>
            <family val="2"/>
          </rPr>
          <t>Mario R. Hidalgo García:</t>
        </r>
        <r>
          <rPr>
            <sz val="9"/>
            <color indexed="81"/>
            <rFont val="Tahoma"/>
            <family val="2"/>
          </rPr>
          <t xml:space="preserve">
Los días que tengan la letra </t>
        </r>
        <r>
          <rPr>
            <b/>
            <sz val="9"/>
            <color indexed="81"/>
            <rFont val="Tahoma"/>
            <family val="2"/>
          </rPr>
          <t>N</t>
        </r>
        <r>
          <rPr>
            <sz val="9"/>
            <color indexed="81"/>
            <rFont val="Tahoma"/>
            <family val="2"/>
          </rPr>
          <t>, no se consideraran como días del mes, anula por completo la fila de todo calculo e ignora todo dato anotado en ella.</t>
        </r>
      </text>
    </comment>
    <comment ref="C7" authorId="0" shapeId="0">
      <text>
        <r>
          <rPr>
            <b/>
            <sz val="9"/>
            <color indexed="81"/>
            <rFont val="Tahoma"/>
            <family val="2"/>
          </rPr>
          <t>Mario R. Hidalgo García:</t>
        </r>
        <r>
          <rPr>
            <sz val="9"/>
            <color indexed="81"/>
            <rFont val="Tahoma"/>
            <family val="2"/>
          </rPr>
          <t xml:space="preserve">
Cantidad de horas trabajadas durante el día, cada hora fuera de este rango, se considerara como hora extra</t>
        </r>
      </text>
    </comment>
    <comment ref="M7" authorId="0" shapeId="0">
      <text>
        <r>
          <rPr>
            <b/>
            <sz val="9"/>
            <color indexed="81"/>
            <rFont val="Tahoma"/>
            <family val="2"/>
          </rPr>
          <t>Mario R. Hidalgo García:</t>
        </r>
        <r>
          <rPr>
            <sz val="9"/>
            <color indexed="81"/>
            <rFont val="Tahoma"/>
            <family val="2"/>
          </rPr>
          <t xml:space="preserve">
si durante la semana trabaja 8 horas y el día sábado medio día, cambiar este numero a la cantidad de horas trabajadas los sábados</t>
        </r>
      </text>
    </comment>
    <comment ref="T7" authorId="0" shapeId="0">
      <text>
        <r>
          <rPr>
            <b/>
            <sz val="9"/>
            <color indexed="81"/>
            <rFont val="Tahoma"/>
            <family val="2"/>
          </rPr>
          <t>Mario R. Hidalgo García:</t>
        </r>
        <r>
          <rPr>
            <sz val="9"/>
            <color indexed="81"/>
            <rFont val="Tahoma"/>
            <family val="2"/>
          </rPr>
          <t xml:space="preserve">
Este no sobre descuento de hora, se considera como día trabajado. Sirve de anote para recordar que debe un día</t>
        </r>
      </text>
    </comment>
    <comment ref="B13" authorId="0" shapeId="0">
      <text>
        <r>
          <rPr>
            <b/>
            <sz val="9"/>
            <color indexed="81"/>
            <rFont val="Tahoma"/>
            <family val="2"/>
          </rPr>
          <t>Mario R. Hidalgo García:</t>
        </r>
        <r>
          <rPr>
            <sz val="9"/>
            <color indexed="81"/>
            <rFont val="Tahoma"/>
            <family val="2"/>
          </rPr>
          <t xml:space="preserve">
</t>
        </r>
        <r>
          <rPr>
            <b/>
            <sz val="9"/>
            <color indexed="81"/>
            <rFont val="Tahoma"/>
            <family val="2"/>
          </rPr>
          <t>F:</t>
        </r>
        <r>
          <rPr>
            <sz val="9"/>
            <color indexed="81"/>
            <rFont val="Tahoma"/>
            <family val="2"/>
          </rPr>
          <t xml:space="preserve"> Falla IRRECUPERABLE, además afecta a gratificación legal.
</t>
        </r>
        <r>
          <rPr>
            <b/>
            <sz val="9"/>
            <color indexed="81"/>
            <rFont val="Tahoma"/>
            <family val="2"/>
          </rPr>
          <t>A:</t>
        </r>
        <r>
          <rPr>
            <sz val="9"/>
            <color indexed="81"/>
            <rFont val="Tahoma"/>
            <family val="2"/>
          </rPr>
          <t xml:space="preserve"> Día normal, Si borra las horas, la planilla tomara las horas extras del trabajador para recuperar este día.
El mismo sistema se utiliza para toda la planilla.</t>
        </r>
      </text>
    </comment>
    <comment ref="M20" authorId="1" shapeId="0">
      <text>
        <r>
          <rPr>
            <b/>
            <sz val="9"/>
            <color indexed="81"/>
            <rFont val="Tahoma"/>
            <family val="2"/>
          </rPr>
          <t>Mario Hidalgo:</t>
        </r>
        <r>
          <rPr>
            <sz val="9"/>
            <color indexed="81"/>
            <rFont val="Tahoma"/>
            <family val="2"/>
          </rPr>
          <t xml:space="preserve">
Si el trabajador obtiene un bono imponible afecto a impuesto durante el mes, por cierta actividad o desempeño, anótelo aquí.</t>
        </r>
      </text>
    </comment>
    <comment ref="O20" authorId="0" shapeId="0">
      <text>
        <r>
          <rPr>
            <b/>
            <sz val="9"/>
            <color indexed="81"/>
            <rFont val="Tahoma"/>
            <family val="2"/>
          </rPr>
          <t>Mario Hidalgo:</t>
        </r>
        <r>
          <rPr>
            <sz val="9"/>
            <color indexed="81"/>
            <rFont val="Tahoma"/>
            <family val="2"/>
          </rPr>
          <t xml:space="preserve">
Si el trabajador solicita un préstamo o adelanto durante el mes para cigarro, bebida u otros, anótelo en el día correspondiente (No es para el suple)</t>
        </r>
      </text>
    </comment>
    <comment ref="F74" authorId="0" shapeId="0">
      <text>
        <r>
          <rPr>
            <b/>
            <sz val="9"/>
            <color indexed="81"/>
            <rFont val="Tahoma"/>
            <family val="2"/>
          </rPr>
          <t>Mario R. Hidalgo García:</t>
        </r>
        <r>
          <rPr>
            <sz val="9"/>
            <color indexed="81"/>
            <rFont val="Tahoma"/>
            <family val="2"/>
          </rPr>
          <t xml:space="preserve">
Aunque esto no siempre aplica de la misma manera, algunas empresas lo prefieren de este modo.
Lo que sucede aquí, es que al sobre tiempo se le restan los atrasos (no las fallas) y el restante se paga como sobre tiempo.
Por ejemplo si tiene </t>
        </r>
        <r>
          <rPr>
            <b/>
            <sz val="9"/>
            <color indexed="81"/>
            <rFont val="Tahoma"/>
            <family val="2"/>
          </rPr>
          <t>3 horas en atraso</t>
        </r>
        <r>
          <rPr>
            <sz val="9"/>
            <color indexed="81"/>
            <rFont val="Tahoma"/>
            <family val="2"/>
          </rPr>
          <t xml:space="preserve"> y </t>
        </r>
        <r>
          <rPr>
            <b/>
            <sz val="9"/>
            <color indexed="81"/>
            <rFont val="Tahoma"/>
            <family val="2"/>
          </rPr>
          <t>5 horas extras</t>
        </r>
        <r>
          <rPr>
            <sz val="9"/>
            <color indexed="81"/>
            <rFont val="Tahoma"/>
            <family val="2"/>
          </rPr>
          <t xml:space="preserve">, solo se cancelan </t>
        </r>
        <r>
          <rPr>
            <b/>
            <sz val="9"/>
            <color indexed="81"/>
            <rFont val="Tahoma"/>
            <family val="2"/>
          </rPr>
          <t>2 horas extras</t>
        </r>
        <r>
          <rPr>
            <sz val="9"/>
            <color indexed="81"/>
            <rFont val="Tahoma"/>
            <family val="2"/>
          </rPr>
          <t xml:space="preserve"> y las otras </t>
        </r>
        <r>
          <rPr>
            <b/>
            <sz val="9"/>
            <color indexed="81"/>
            <rFont val="Tahoma"/>
            <family val="2"/>
          </rPr>
          <t>3 horas</t>
        </r>
        <r>
          <rPr>
            <sz val="9"/>
            <color indexed="81"/>
            <rFont val="Tahoma"/>
            <family val="2"/>
          </rPr>
          <t xml:space="preserve"> se toman para recuperar los atrasos que tuvo en el mes y así no sufre descuentos por llegar tarde. (o Vice versa)</t>
        </r>
      </text>
    </comment>
    <comment ref="F80" authorId="0" shapeId="0">
      <text>
        <r>
          <rPr>
            <b/>
            <sz val="9"/>
            <color indexed="81"/>
            <rFont val="Tahoma"/>
            <family val="2"/>
          </rPr>
          <t>Mario R. Hidalgo García:</t>
        </r>
        <r>
          <rPr>
            <sz val="9"/>
            <color indexed="81"/>
            <rFont val="Tahoma"/>
            <family val="2"/>
          </rPr>
          <t xml:space="preserve">
Las celdas a continuación tienen como objetivo, indicar los días u horas pendientes de </t>
        </r>
        <r>
          <rPr>
            <b/>
            <sz val="9"/>
            <color indexed="81"/>
            <rFont val="Tahoma"/>
            <family val="2"/>
          </rPr>
          <t>meses anteriores</t>
        </r>
        <r>
          <rPr>
            <sz val="9"/>
            <color indexed="81"/>
            <rFont val="Tahoma"/>
            <family val="2"/>
          </rPr>
          <t xml:space="preserve">. Por ejemplo si el ciclo de cierre es los 25 de cada mes, entonces los atrasos, horas extras u fallas del </t>
        </r>
        <r>
          <rPr>
            <b/>
            <sz val="9"/>
            <color indexed="81"/>
            <rFont val="Tahoma"/>
            <family val="2"/>
          </rPr>
          <t>mes pasado</t>
        </r>
        <r>
          <rPr>
            <sz val="9"/>
            <color indexed="81"/>
            <rFont val="Tahoma"/>
            <family val="2"/>
          </rPr>
          <t xml:space="preserve"> podrá anotarlas en estos recuadros.</t>
        </r>
      </text>
    </comment>
    <comment ref="F93" authorId="0" shapeId="0">
      <text>
        <r>
          <rPr>
            <b/>
            <sz val="9"/>
            <color indexed="81"/>
            <rFont val="Tahoma"/>
            <family val="2"/>
          </rPr>
          <t>Mario R. Hidalgo García:</t>
        </r>
        <r>
          <rPr>
            <sz val="9"/>
            <color indexed="81"/>
            <rFont val="Tahoma"/>
            <family val="2"/>
          </rPr>
          <t xml:space="preserve">
</t>
        </r>
        <r>
          <rPr>
            <b/>
            <sz val="9"/>
            <color indexed="81"/>
            <rFont val="Tahoma"/>
            <family val="2"/>
          </rPr>
          <t>¿Qué sucede?</t>
        </r>
        <r>
          <rPr>
            <sz val="9"/>
            <color indexed="81"/>
            <rFont val="Tahoma"/>
            <family val="2"/>
          </rPr>
          <t xml:space="preserve"> Si falto </t>
        </r>
        <r>
          <rPr>
            <b/>
            <sz val="9"/>
            <color indexed="81"/>
            <rFont val="Tahoma"/>
            <family val="2"/>
          </rPr>
          <t>un día</t>
        </r>
        <r>
          <rPr>
            <sz val="9"/>
            <color indexed="81"/>
            <rFont val="Tahoma"/>
            <family val="2"/>
          </rPr>
          <t>, ¿me</t>
        </r>
        <r>
          <rPr>
            <b/>
            <sz val="9"/>
            <color indexed="81"/>
            <rFont val="Tahoma"/>
            <family val="2"/>
          </rPr>
          <t xml:space="preserve"> descuentan menos</t>
        </r>
        <r>
          <rPr>
            <sz val="9"/>
            <color indexed="81"/>
            <rFont val="Tahoma"/>
            <family val="2"/>
          </rPr>
          <t xml:space="preserve"> que si fallo las mismas cantidad de horas en </t>
        </r>
        <r>
          <rPr>
            <b/>
            <sz val="9"/>
            <color indexed="81"/>
            <rFont val="Tahoma"/>
            <family val="2"/>
          </rPr>
          <t>un día</t>
        </r>
        <r>
          <rPr>
            <sz val="9"/>
            <color indexed="81"/>
            <rFont val="Tahoma"/>
            <family val="2"/>
          </rPr>
          <t xml:space="preserve">?, entonces:
El valor día me sale a $10.000 y trabajo 8 horas diarias y la hora diaria me sale a $1.555 pesos. Ósea si trabajo 8 horas diarias x $1.555 me descuentan $12.440 entonces mi valor día debería ser $12.440
</t>
        </r>
        <r>
          <rPr>
            <u/>
            <sz val="9"/>
            <color indexed="81"/>
            <rFont val="Tahoma"/>
            <family val="2"/>
          </rPr>
          <t>La respuesta es</t>
        </r>
        <r>
          <rPr>
            <b/>
            <u/>
            <sz val="9"/>
            <color indexed="81"/>
            <rFont val="Tahoma"/>
            <family val="2"/>
          </rPr>
          <t xml:space="preserve"> NO</t>
        </r>
        <r>
          <rPr>
            <sz val="9"/>
            <color indexed="81"/>
            <rFont val="Tahoma"/>
            <family val="2"/>
          </rPr>
          <t>: usted no trabaja 8 horas diarias, usted trabaja 45 horas semanales. y las horas se pueden distribuir en la semana en no más de 6 días ni menos de 5.
En resumen: 8 Horas trabajadas no es lo mismo que 1 día trabajado, y un día trabajado, no necesariamente equivale a 8 horas. Por ejemplo cuando los sábados trabajan medio día, no significa que se le pagara solo medio día. Se paga el día completo, porque se está completando las 45 horas semanales.
Como acotación: recuerde que si falla un día, esta afecto a que se le descuenten el proporcional de la gratificación legal, no así si solo si tiene atrasos. (y si tiene 7 horas de atraso, mejor preocúpese de llegar mas temprano, antes de tanto reclamo.)</t>
        </r>
      </text>
    </comment>
    <comment ref="N94" authorId="0" shapeId="0">
      <text>
        <r>
          <rPr>
            <b/>
            <sz val="9"/>
            <color indexed="81"/>
            <rFont val="Tahoma"/>
            <family val="2"/>
          </rPr>
          <t>Mario R. Hidalgo:</t>
        </r>
        <r>
          <rPr>
            <sz val="9"/>
            <color indexed="81"/>
            <rFont val="Tahoma"/>
            <family val="2"/>
          </rPr>
          <t xml:space="preserve">
Tipo de sueldo Mínimo, guíese por la tabla de renta mínimo imponible mas abajo. 
(1 = 25% sueldo Base Tope Gratificación - Normal)
(2 = 25% sueldo Base Menor de 18 y Mayor de 65)
(3 = 25% sueldo Base Asesores de hogar)
(4 = 25% sueldo Imponible Tope Gratificación - Normal)
(5 = 25% sueldo Imponible Menor de 18 y Mayor de 65)
(6 = 25% sueldo Imponible Asesores de hogar)
(7 o mas = No "CERO" si no corresponde gratificación)
</t>
        </r>
        <r>
          <rPr>
            <b/>
            <u/>
            <sz val="9"/>
            <color indexed="81"/>
            <rFont val="Tahoma"/>
            <family val="2"/>
          </rPr>
          <t>IMPORTANTE:</t>
        </r>
        <r>
          <rPr>
            <sz val="9"/>
            <color indexed="81"/>
            <rFont val="Tahoma"/>
            <family val="2"/>
          </rPr>
          <t xml:space="preserve"> por motivos obvios, cuando se realiza el calculo de la gratificación por el total imponible, no se considera la gratificación en el 25%
Ejemplo: Total Ganado: 150,000 + Bono de Asistencia Total: 200,000 x 25% = 50,000
</t>
        </r>
        <r>
          <rPr>
            <b/>
            <u/>
            <sz val="9"/>
            <color indexed="81"/>
            <rFont val="Tahoma"/>
            <family val="2"/>
          </rPr>
          <t>Total Imponible:</t>
        </r>
        <r>
          <rPr>
            <sz val="9"/>
            <color indexed="81"/>
            <rFont val="Tahoma"/>
            <family val="2"/>
          </rPr>
          <t xml:space="preserve"> 250.000</t>
        </r>
      </text>
    </comment>
    <comment ref="H96" authorId="0" shapeId="0">
      <text>
        <r>
          <rPr>
            <b/>
            <sz val="9"/>
            <color indexed="81"/>
            <rFont val="Tahoma"/>
            <family val="2"/>
          </rPr>
          <t>Mario R. Hidalgo García:</t>
        </r>
        <r>
          <rPr>
            <sz val="9"/>
            <color indexed="81"/>
            <rFont val="Tahoma"/>
            <family val="2"/>
          </rPr>
          <t xml:space="preserve">
Estas celdas se consideran como permisos (Diarios), que se descontaran de igual manera que una falla, sin embargo no sufrirán penalizaciones en bonos como el de asistencia.</t>
        </r>
      </text>
    </comment>
    <comment ref="N98" authorId="0" shapeId="0">
      <text>
        <r>
          <rPr>
            <b/>
            <sz val="9"/>
            <color indexed="81"/>
            <rFont val="Tahoma"/>
            <family val="2"/>
          </rPr>
          <t>Mario R. Hidalgo García:</t>
        </r>
        <r>
          <rPr>
            <sz val="9"/>
            <color indexed="81"/>
            <rFont val="Tahoma"/>
            <family val="2"/>
          </rPr>
          <t xml:space="preserve">
Ingrese el monto fijo de bono por asistencia. La planilla calculara el proporcional de la siguiente manera.
Si la persona falla 1 día, el bono se reduce a la mitad, si la persona falla 2 días, el bono se pierde (y el resto es proporcional a los 2 días)
recuerde especificar en el contrato algo similar a esto:
El bono de asistencia se cancelará proporcional a los días trabajados, rebajado un 50% por 1 día de falla y al 100% por 2 días de fallas.</t>
        </r>
      </text>
    </comment>
    <comment ref="P105" authorId="0" shapeId="0">
      <text>
        <r>
          <rPr>
            <b/>
            <sz val="9"/>
            <color indexed="81"/>
            <rFont val="Tahoma"/>
            <family val="2"/>
          </rPr>
          <t xml:space="preserve">Mario Hidalgo:
</t>
        </r>
        <r>
          <rPr>
            <sz val="9"/>
            <color indexed="81"/>
            <rFont val="Tahoma"/>
            <family val="2"/>
          </rPr>
          <t>El seguro de cesantía equivale al 3% del cual el empleador esta obligado a cancelar el 2.4% y el trabajador el 0.6%</t>
        </r>
        <r>
          <rPr>
            <b/>
            <sz val="9"/>
            <color indexed="81"/>
            <rFont val="Tahoma"/>
            <family val="2"/>
          </rPr>
          <t xml:space="preserve">
</t>
        </r>
        <r>
          <rPr>
            <sz val="9"/>
            <color indexed="81"/>
            <rFont val="Tahoma"/>
            <family val="2"/>
          </rPr>
          <t xml:space="preserve">
</t>
        </r>
      </text>
    </comment>
    <comment ref="N106" authorId="0" shapeId="0">
      <text>
        <r>
          <rPr>
            <b/>
            <sz val="9"/>
            <color indexed="81"/>
            <rFont val="Tahoma"/>
            <family val="2"/>
          </rPr>
          <t>Mario Hidalgo:</t>
        </r>
        <r>
          <rPr>
            <sz val="9"/>
            <color indexed="81"/>
            <rFont val="Tahoma"/>
            <family val="2"/>
          </rPr>
          <t xml:space="preserve">
Insertar el Valor del adicional en UF
Si es que su Isapre aplica descuentos por plan o asignación familiar.</t>
        </r>
      </text>
    </comment>
    <comment ref="P106" authorId="0" shapeId="0">
      <text>
        <r>
          <rPr>
            <b/>
            <sz val="9"/>
            <color indexed="81"/>
            <rFont val="Tahoma"/>
            <family val="2"/>
          </rPr>
          <t>Mario Hidalgo:</t>
        </r>
        <r>
          <rPr>
            <sz val="9"/>
            <color indexed="81"/>
            <rFont val="Tahoma"/>
            <family val="2"/>
          </rPr>
          <t xml:space="preserve">
Este descuento es opcional si su Isapre lo requiere.
Ya sea por asignación familiar, planes u otros.</t>
        </r>
      </text>
    </comment>
    <comment ref="F109" authorId="2" shapeId="0">
      <text>
        <r>
          <rPr>
            <b/>
            <sz val="9"/>
            <color indexed="81"/>
            <rFont val="Tahoma"/>
            <family val="2"/>
          </rPr>
          <t>Mario Hidalgo:</t>
        </r>
        <r>
          <rPr>
            <sz val="9"/>
            <color indexed="81"/>
            <rFont val="Tahoma"/>
            <family val="2"/>
          </rPr>
          <t xml:space="preserve">
Calculo para libro de remuneraciones</t>
        </r>
      </text>
    </comment>
    <comment ref="N113" authorId="0" shapeId="0">
      <text>
        <r>
          <rPr>
            <b/>
            <sz val="9"/>
            <color indexed="81"/>
            <rFont val="Tahoma"/>
            <family val="2"/>
          </rPr>
          <t>Mario R. Hidalgo García:</t>
        </r>
        <r>
          <rPr>
            <sz val="9"/>
            <color indexed="81"/>
            <rFont val="Tahoma"/>
            <family val="2"/>
          </rPr>
          <t xml:space="preserve">
Sueldo Imponible (Base + Gratificación + Bono + H.Extras, etc. - Salud - Afp - Cesantía - Adicional Salud, etc. con tope de salud en Tabla por UF = Valor Afecto</t>
        </r>
      </text>
    </comment>
    <comment ref="Q113" authorId="0" shapeId="0">
      <text>
        <r>
          <rPr>
            <b/>
            <sz val="9"/>
            <color indexed="81"/>
            <rFont val="Tahoma"/>
            <family val="2"/>
          </rPr>
          <t>Mario R. Hidalgo García:</t>
        </r>
        <r>
          <rPr>
            <sz val="9"/>
            <color indexed="81"/>
            <rFont val="Tahoma"/>
            <family val="2"/>
          </rPr>
          <t xml:space="preserve">
Modificar según indicadores</t>
        </r>
      </text>
    </comment>
    <comment ref="P114" authorId="1" shapeId="0">
      <text>
        <r>
          <rPr>
            <b/>
            <sz val="9"/>
            <color indexed="81"/>
            <rFont val="Tahoma"/>
            <family val="2"/>
          </rPr>
          <t>Mario Hidalgo:</t>
        </r>
        <r>
          <rPr>
            <sz val="9"/>
            <color indexed="81"/>
            <rFont val="Tahoma"/>
            <family val="2"/>
          </rPr>
          <t xml:space="preserve">
Rebaja en Dinero del Impuesto único</t>
        </r>
      </text>
    </comment>
    <comment ref="F118" authorId="2" shapeId="0">
      <text>
        <r>
          <rPr>
            <b/>
            <sz val="9"/>
            <color indexed="81"/>
            <rFont val="Tahoma"/>
            <family val="2"/>
          </rPr>
          <t>Mario Hidalgo:</t>
        </r>
        <r>
          <rPr>
            <sz val="9"/>
            <color indexed="81"/>
            <rFont val="Tahoma"/>
            <family val="2"/>
          </rPr>
          <t xml:space="preserve">
Calculo para libro de remuneraciones</t>
        </r>
      </text>
    </comment>
    <comment ref="A119" authorId="1" shapeId="0">
      <text>
        <r>
          <rPr>
            <b/>
            <sz val="9"/>
            <color indexed="81"/>
            <rFont val="Tahoma"/>
            <family val="2"/>
          </rPr>
          <t>Mario Hidalgo:</t>
        </r>
        <r>
          <rPr>
            <sz val="9"/>
            <color indexed="81"/>
            <rFont val="Tahoma"/>
            <family val="2"/>
          </rPr>
          <t xml:space="preserve">
Por favor esta casilla no la ocupe, a menos que corresponda.
La asignación familiar se la otorga el estado por hijo y usted puede entregársela como un bono a su trabajador, para luego rebajarla de las imposiciones al momento de declararlas.
En estos momentos la planilla es lo único que no hace de forma automática por lo tanto deberá calcularlo manualmente.</t>
        </r>
      </text>
    </comment>
    <comment ref="K122" authorId="0" shapeId="0">
      <text>
        <r>
          <rPr>
            <b/>
            <sz val="9"/>
            <color indexed="81"/>
            <rFont val="Tahoma"/>
            <family val="2"/>
          </rPr>
          <t>Mario R. Hidalgo García:</t>
        </r>
        <r>
          <rPr>
            <sz val="9"/>
            <color indexed="81"/>
            <rFont val="Tahoma"/>
            <family val="2"/>
          </rPr>
          <t xml:space="preserve">
Estos datos puede modificarlos en la ultima hoja "Datos"</t>
        </r>
      </text>
    </comment>
    <comment ref="K128" authorId="1" shapeId="0">
      <text>
        <r>
          <rPr>
            <b/>
            <sz val="9"/>
            <color indexed="81"/>
            <rFont val="Tahoma"/>
            <family val="2"/>
          </rPr>
          <t>Mario Hidalgo:</t>
        </r>
        <r>
          <rPr>
            <sz val="9"/>
            <color indexed="81"/>
            <rFont val="Tahoma"/>
            <family val="2"/>
          </rPr>
          <t xml:space="preserve">
Para trabajadores por turnos, que viajan durante el mes con sus familias, o por viajes de negocios que asume el empleador.</t>
        </r>
      </text>
    </comment>
    <comment ref="K129" authorId="1" shapeId="0">
      <text>
        <r>
          <rPr>
            <b/>
            <sz val="9"/>
            <color indexed="81"/>
            <rFont val="Tahoma"/>
            <family val="2"/>
          </rPr>
          <t>Mario Hidalgo García:</t>
        </r>
        <r>
          <rPr>
            <sz val="9"/>
            <color indexed="81"/>
            <rFont val="Tahoma"/>
            <family val="2"/>
          </rPr>
          <t xml:space="preserve">
Para trabajadores por turnos, que necesitan una pensión mientras laboren, o para viajes de negocios y costos de hotel que asume el empleador</t>
        </r>
      </text>
    </comment>
  </commentList>
</comments>
</file>

<file path=xl/comments32.xml><?xml version="1.0" encoding="utf-8"?>
<comments xmlns="http://schemas.openxmlformats.org/spreadsheetml/2006/main">
  <authors>
    <author>Mario Hidalgo Garcia</author>
  </authors>
  <commentList>
    <comment ref="N1" authorId="0" shapeId="0">
      <text>
        <r>
          <rPr>
            <b/>
            <sz val="9"/>
            <color indexed="81"/>
            <rFont val="Tahoma"/>
            <family val="2"/>
          </rPr>
          <t>Mario Hidalgo:</t>
        </r>
        <r>
          <rPr>
            <sz val="9"/>
            <color indexed="81"/>
            <rFont val="Tahoma"/>
            <family val="2"/>
          </rPr>
          <t xml:space="preserve">
Este es un reflejo mensual de lo que tendria que acumular en el trabajador, si por algun motivo en el futuro, necesitara despedirlo.
Ya tendria considerado el gasto de sus años de servicios, siempre y cuando cumpla las condiciones.</t>
        </r>
      </text>
    </comment>
    <comment ref="B47" authorId="0" shapeId="0">
      <text>
        <r>
          <rPr>
            <b/>
            <sz val="9"/>
            <color indexed="81"/>
            <rFont val="Tahoma"/>
            <family val="2"/>
          </rPr>
          <t>Mario Hidalgo:</t>
        </r>
        <r>
          <rPr>
            <sz val="9"/>
            <color indexed="81"/>
            <rFont val="Tahoma"/>
            <family val="2"/>
          </rPr>
          <t xml:space="preserve">
Se incluyen en el iva.</t>
        </r>
      </text>
    </comment>
    <comment ref="C53" authorId="0" shapeId="0">
      <text>
        <r>
          <rPr>
            <b/>
            <sz val="9"/>
            <color indexed="81"/>
            <rFont val="Tahoma"/>
            <family val="2"/>
          </rPr>
          <t>Mario Hidalgo:</t>
        </r>
        <r>
          <rPr>
            <sz val="9"/>
            <color indexed="81"/>
            <rFont val="Tahoma"/>
            <family val="2"/>
          </rPr>
          <t xml:space="preserve">
Esta fila incluye el saldo de las boletas de honorarios y las asignaciones familiares</t>
        </r>
      </text>
    </comment>
  </commentList>
</comments>
</file>

<file path=xl/sharedStrings.xml><?xml version="1.0" encoding="utf-8"?>
<sst xmlns="http://schemas.openxmlformats.org/spreadsheetml/2006/main" count="11942" uniqueCount="656">
  <si>
    <t>SALIDA MAÑANA</t>
  </si>
  <si>
    <t>SALIDA TARDE</t>
  </si>
  <si>
    <t>ANTICIPO DIARIO</t>
  </si>
  <si>
    <t>DETALLES VARIOS</t>
  </si>
  <si>
    <t>QUINCENA MENSUAL</t>
  </si>
  <si>
    <t>GRATIFICACIÓN LEGAL</t>
  </si>
  <si>
    <t>COMISIONES U OTROS</t>
  </si>
  <si>
    <t>DESCUENTOS LEGALES</t>
  </si>
  <si>
    <t>COTIZACIÓN AFP</t>
  </si>
  <si>
    <t>SEGURO DE CESANTÍA</t>
  </si>
  <si>
    <t>TOTAL HORAS</t>
  </si>
  <si>
    <t>ANTICIPOS</t>
  </si>
  <si>
    <t>BONO NO IMPONIBLES</t>
  </si>
  <si>
    <t>BONO COLACION</t>
  </si>
  <si>
    <t>GRATIFICACION Y OTROS</t>
  </si>
  <si>
    <t>CARGO O DESEMPEÑO</t>
  </si>
  <si>
    <t>BONO EXTRA</t>
  </si>
  <si>
    <t>TOTAL HABERES</t>
  </si>
  <si>
    <t>TOTAL IMPONIBLE</t>
  </si>
  <si>
    <t>BONO DE PRODUCCIÓN</t>
  </si>
  <si>
    <t>TOTAL BONOS</t>
  </si>
  <si>
    <t>TOTAL DESCUENTOS</t>
  </si>
  <si>
    <t>NOMBRE DEL TRABAJADOR</t>
  </si>
  <si>
    <t>SUELDO BASE</t>
  </si>
  <si>
    <t>DETALLES LIQUIDACIÓN</t>
  </si>
  <si>
    <t>HORAS EXTRAS</t>
  </si>
  <si>
    <t>A</t>
  </si>
  <si>
    <t>LICENCIAS MEDICAS</t>
  </si>
  <si>
    <t>F</t>
  </si>
  <si>
    <t>FALLA</t>
  </si>
  <si>
    <t>ASISTIDO</t>
  </si>
  <si>
    <t>L</t>
  </si>
  <si>
    <t>LICENCIAS</t>
  </si>
  <si>
    <t>DESC. NO IMPONIBLES</t>
  </si>
  <si>
    <t>D</t>
  </si>
  <si>
    <t>FALLAS SIN MOTIVOS</t>
  </si>
  <si>
    <t>FALLAS O ATRASOS</t>
  </si>
  <si>
    <t>DETALLE</t>
  </si>
  <si>
    <t>IMPUESTO A LA RENTA</t>
  </si>
  <si>
    <t>N</t>
  </si>
  <si>
    <t>DIA NULO</t>
  </si>
  <si>
    <t>P</t>
  </si>
  <si>
    <t>TOTAL</t>
  </si>
  <si>
    <t>ATRASOS O RETIROS</t>
  </si>
  <si>
    <t>RESUMEN LABORAL Y OBSERVACIONES</t>
  </si>
  <si>
    <t>EN CONTRA</t>
  </si>
  <si>
    <t>A FAVOR</t>
  </si>
  <si>
    <t>HORAS SEMANALES</t>
  </si>
  <si>
    <t>RESUMEN HORAS EXTRAS Y ATRASOS MENSUALES</t>
  </si>
  <si>
    <t>TOTAL MES</t>
  </si>
  <si>
    <t>BALANCE</t>
  </si>
  <si>
    <t>LUNES A VIERNES</t>
  </si>
  <si>
    <t>DESCANSO / FERIADO</t>
  </si>
  <si>
    <t>IMPONIBLES</t>
  </si>
  <si>
    <t>F2</t>
  </si>
  <si>
    <t>VALOR HORA</t>
  </si>
  <si>
    <t>MEDIO DIA (FAIL GRAF)</t>
  </si>
  <si>
    <t>CONTROL ASISTENCIA</t>
  </si>
  <si>
    <t>NO IMPONIBLE</t>
  </si>
  <si>
    <t>TOTAL GANADO</t>
  </si>
  <si>
    <t>-</t>
  </si>
  <si>
    <t>+</t>
  </si>
  <si>
    <t>LIQUIDO GANADO</t>
  </si>
  <si>
    <t>TP</t>
  </si>
  <si>
    <t>H.EXTRAS</t>
  </si>
  <si>
    <t>A TRASOS</t>
  </si>
  <si>
    <t>ENTRADA TARDE</t>
  </si>
  <si>
    <t>ENTRADA MAÑANA</t>
  </si>
  <si>
    <t>DIAS SEMANA</t>
  </si>
  <si>
    <t>DETALLES DE REMUNERACIONES</t>
  </si>
  <si>
    <t>ATRASOS PENDIENTES</t>
  </si>
  <si>
    <t>H. EXTRAS PENDIENTES</t>
  </si>
  <si>
    <t>FALLAS PENDIENTES</t>
  </si>
  <si>
    <t>DIA EXT. PENDIENTES</t>
  </si>
  <si>
    <t>CONTABLES</t>
  </si>
  <si>
    <t>OTROS DESCUENTOS LEGALES</t>
  </si>
  <si>
    <t>PRESTAMO EMPRESA</t>
  </si>
  <si>
    <t>DEUDAS</t>
  </si>
  <si>
    <t>POLLAS</t>
  </si>
  <si>
    <t>RUT</t>
  </si>
  <si>
    <t>Sueldo Base</t>
  </si>
  <si>
    <t>HABERES</t>
  </si>
  <si>
    <t>DESCUENTOS</t>
  </si>
  <si>
    <t xml:space="preserve">suma indicada y declaro tener pleno conocimiento de los descuentos reflejados en este documento, </t>
  </si>
  <si>
    <t>hacer, por ninguno de los conceptos comprendidos en esta liquidación.</t>
  </si>
  <si>
    <t>______________________</t>
  </si>
  <si>
    <t xml:space="preserve">Certifico he recibido de mi empleador, a mi entera satisfacción la </t>
  </si>
  <si>
    <t>CALCULO IMPUESTO UNICO DE SEGUNDA CATEGORIA</t>
  </si>
  <si>
    <t>DESDE</t>
  </si>
  <si>
    <t>HASTA</t>
  </si>
  <si>
    <t>FACTOR</t>
  </si>
  <si>
    <t>OTROS CALCULOS CONTABLES</t>
  </si>
  <si>
    <t>REBAJA</t>
  </si>
  <si>
    <t>$ REBAJA</t>
  </si>
  <si>
    <t>RETENCIÓN JUDICIAL</t>
  </si>
  <si>
    <t>BOLETAS U OTROS (SI APLICA)</t>
  </si>
  <si>
    <t>B</t>
  </si>
  <si>
    <t>C</t>
  </si>
  <si>
    <t>Menores de 18 y Mayores de 65:</t>
  </si>
  <si>
    <t>Trabajadores de Casa Particular:</t>
  </si>
  <si>
    <t>AFP</t>
  </si>
  <si>
    <t>Cuprum</t>
  </si>
  <si>
    <t>Modelo</t>
  </si>
  <si>
    <t xml:space="preserve">Capital     </t>
  </si>
  <si>
    <t xml:space="preserve">Plan Vital </t>
  </si>
  <si>
    <t>Asignación Familiar</t>
  </si>
  <si>
    <t>Tope Mensual (50 UF):</t>
  </si>
  <si>
    <t>Tope Anual (600 UF):</t>
  </si>
  <si>
    <t>Tope Anual (900 UF):</t>
  </si>
  <si>
    <t>Tramo</t>
  </si>
  <si>
    <t>Monto</t>
  </si>
  <si>
    <t>Tipo Contrato(*)</t>
  </si>
  <si>
    <t>Financiamiento</t>
  </si>
  <si>
    <t>Empleador</t>
  </si>
  <si>
    <t>Trabajador</t>
  </si>
  <si>
    <t>Contrato Plazo Indefinido</t>
  </si>
  <si>
    <t>Contrato Plazo Fijo</t>
  </si>
  <si>
    <t>Trabajadores</t>
  </si>
  <si>
    <t>TASA</t>
  </si>
  <si>
    <t>Ajustes Previsionales</t>
  </si>
  <si>
    <t>Tope Imponibles</t>
  </si>
  <si>
    <t>Deposito Convenido</t>
  </si>
  <si>
    <t>Ahorro Previsional Voluntario</t>
  </si>
  <si>
    <t>FACTOR TRAMO</t>
  </si>
  <si>
    <t>TOPE U.F.</t>
  </si>
  <si>
    <t>TOTAL DESCUENTO</t>
  </si>
  <si>
    <t>OTROS DESC.</t>
  </si>
  <si>
    <t>DESC. LEGALES</t>
  </si>
  <si>
    <t>RECIBI CONFORME</t>
  </si>
  <si>
    <t>BONO MOVILIZACIÓN</t>
  </si>
  <si>
    <t>Asistencia</t>
  </si>
  <si>
    <t>MONEDA:</t>
  </si>
  <si>
    <t>pesos</t>
  </si>
  <si>
    <t>AL FINAL:</t>
  </si>
  <si>
    <t>centena millones</t>
  </si>
  <si>
    <t>decena millones</t>
  </si>
  <si>
    <t>unidades millones</t>
  </si>
  <si>
    <t>centena miles</t>
  </si>
  <si>
    <t xml:space="preserve"> </t>
  </si>
  <si>
    <t>decena miles</t>
  </si>
  <si>
    <t>unidades miles</t>
  </si>
  <si>
    <t xml:space="preserve">centena </t>
  </si>
  <si>
    <t xml:space="preserve">decena </t>
  </si>
  <si>
    <t xml:space="preserve">unidades </t>
  </si>
  <si>
    <t>un</t>
  </si>
  <si>
    <t>dos</t>
  </si>
  <si>
    <t>tres</t>
  </si>
  <si>
    <t>cuatro</t>
  </si>
  <si>
    <t>cinco</t>
  </si>
  <si>
    <t>seis</t>
  </si>
  <si>
    <t>siete</t>
  </si>
  <si>
    <t>ocho</t>
  </si>
  <si>
    <t>nueve</t>
  </si>
  <si>
    <t>diez</t>
  </si>
  <si>
    <t>once</t>
  </si>
  <si>
    <t>doce</t>
  </si>
  <si>
    <t>trece</t>
  </si>
  <si>
    <t>quince</t>
  </si>
  <si>
    <t>diecisiete</t>
  </si>
  <si>
    <t>dieciocho</t>
  </si>
  <si>
    <t>diecinueve</t>
  </si>
  <si>
    <t>veinte</t>
  </si>
  <si>
    <t>veinticuatro</t>
  </si>
  <si>
    <t>veinticinco</t>
  </si>
  <si>
    <t>veintisiete</t>
  </si>
  <si>
    <t>veintiocho</t>
  </si>
  <si>
    <t>veintinueve</t>
  </si>
  <si>
    <t>treinta</t>
  </si>
  <si>
    <t>cuarenta</t>
  </si>
  <si>
    <t>cincuenta</t>
  </si>
  <si>
    <t>sesenta</t>
  </si>
  <si>
    <t>setenta</t>
  </si>
  <si>
    <t>ochenta</t>
  </si>
  <si>
    <t>noventa</t>
  </si>
  <si>
    <t>cien</t>
  </si>
  <si>
    <t>doscientos</t>
  </si>
  <si>
    <t>trescientos</t>
  </si>
  <si>
    <t>cuatrocientos</t>
  </si>
  <si>
    <t>quinientos</t>
  </si>
  <si>
    <t>seiscientos</t>
  </si>
  <si>
    <t>setecientos</t>
  </si>
  <si>
    <t>ochocientos</t>
  </si>
  <si>
    <t>novecientos</t>
  </si>
  <si>
    <t>mil</t>
  </si>
  <si>
    <t>/100 CLP</t>
  </si>
  <si>
    <t>REVISADO POR</t>
  </si>
  <si>
    <t>CALIFICACIÓN MENSUAL DEL TRABAJADOR</t>
  </si>
  <si>
    <t>PUNTUALIDAD</t>
  </si>
  <si>
    <t>RESPETO</t>
  </si>
  <si>
    <t>DISPONIBILIDAD</t>
  </si>
  <si>
    <t>COMPROMISO</t>
  </si>
  <si>
    <t>RESPONSABILIDAD</t>
  </si>
  <si>
    <t>MOTIVACIÓN</t>
  </si>
  <si>
    <t>CONSECUENTE</t>
  </si>
  <si>
    <t>PRESENTACIÓN PERSONAL</t>
  </si>
  <si>
    <t>INICIATIVA</t>
  </si>
  <si>
    <t>CRITERIO</t>
  </si>
  <si>
    <r>
      <rPr>
        <b/>
        <sz val="8"/>
        <rFont val="Tahoma"/>
        <family val="2"/>
      </rPr>
      <t>Puntualidad:</t>
    </r>
    <r>
      <rPr>
        <sz val="8"/>
        <rFont val="Tahoma"/>
        <family val="2"/>
      </rPr>
      <t xml:space="preserve"> Cumple con el horario establecido por la Empresa
</t>
    </r>
  </si>
  <si>
    <t>Los criterios utilizados en esta evaluación son los siguientes:</t>
  </si>
  <si>
    <r>
      <rPr>
        <b/>
        <sz val="8"/>
        <rFont val="Tahoma"/>
        <family val="2"/>
      </rPr>
      <t>Compromiso:</t>
    </r>
    <r>
      <rPr>
        <sz val="8"/>
        <rFont val="Tahoma"/>
        <family val="2"/>
      </rPr>
      <t xml:space="preserve"> Grado en que se preocupa de lograr el objetivo de su trabajo.
</t>
    </r>
  </si>
  <si>
    <r>
      <rPr>
        <b/>
        <sz val="8"/>
        <rFont val="Tahoma"/>
        <family val="2"/>
      </rPr>
      <t>Responsabilidad:</t>
    </r>
    <r>
      <rPr>
        <sz val="8"/>
        <rFont val="Tahoma"/>
        <family val="2"/>
      </rPr>
      <t xml:space="preserve"> Es capaz de cumplir con las tareas y obligaciones que contrae.
</t>
    </r>
  </si>
  <si>
    <r>
      <rPr>
        <b/>
        <sz val="8"/>
        <rFont val="Tahoma"/>
        <family val="2"/>
      </rPr>
      <t>Motivación:</t>
    </r>
    <r>
      <rPr>
        <sz val="8"/>
        <rFont val="Tahoma"/>
        <family val="2"/>
      </rPr>
      <t xml:space="preserve"> Estado o animo en el que el trabajador realiza sus trabajos</t>
    </r>
  </si>
  <si>
    <r>
      <t xml:space="preserve">Consecuente: </t>
    </r>
    <r>
      <rPr>
        <sz val="8"/>
        <rFont val="Tahoma"/>
        <family val="2"/>
      </rPr>
      <t>Aplica los conocimientos propios o pide consejo si no lo sabe</t>
    </r>
  </si>
  <si>
    <r>
      <rPr>
        <b/>
        <sz val="8"/>
        <rFont val="Tahoma"/>
        <family val="2"/>
      </rPr>
      <t>Iniciativa:</t>
    </r>
    <r>
      <rPr>
        <sz val="8"/>
        <rFont val="Tahoma"/>
        <family val="2"/>
      </rPr>
      <t xml:space="preserve"> Desarrolla trabajos pendientes o atrasados por voluntad propia</t>
    </r>
  </si>
  <si>
    <r>
      <rPr>
        <b/>
        <sz val="8"/>
        <rFont val="Tahoma"/>
        <family val="2"/>
      </rPr>
      <t xml:space="preserve">Criterio: </t>
    </r>
    <r>
      <rPr>
        <sz val="8"/>
        <rFont val="Tahoma"/>
        <family val="2"/>
      </rPr>
      <t xml:space="preserve">Es objetivo en su trabajo
</t>
    </r>
  </si>
  <si>
    <r>
      <rPr>
        <b/>
        <sz val="8"/>
        <rFont val="Tahoma"/>
        <family val="2"/>
      </rPr>
      <t xml:space="preserve">EPP: </t>
    </r>
    <r>
      <rPr>
        <sz val="8"/>
        <rFont val="Tahoma"/>
        <family val="2"/>
      </rPr>
      <t>Utiliza sus elementos de protección personal</t>
    </r>
  </si>
  <si>
    <r>
      <t xml:space="preserve">Trato con las personas ajenas a la empresa: </t>
    </r>
    <r>
      <rPr>
        <sz val="8"/>
        <rFont val="Tahoma"/>
        <family val="2"/>
      </rPr>
      <t>Forma en que se relaciona</t>
    </r>
  </si>
  <si>
    <r>
      <t xml:space="preserve">Trato con los clientes: </t>
    </r>
    <r>
      <rPr>
        <sz val="8"/>
        <rFont val="Tahoma"/>
        <family val="2"/>
      </rPr>
      <t>El respeto y actitud con los clientes</t>
    </r>
  </si>
  <si>
    <r>
      <t xml:space="preserve">Liderazgo: </t>
    </r>
    <r>
      <rPr>
        <sz val="8"/>
        <rFont val="Tahoma"/>
        <family val="2"/>
      </rPr>
      <t>Es capaz de manejar y organizar un equipo de trabajo</t>
    </r>
  </si>
  <si>
    <r>
      <rPr>
        <b/>
        <sz val="8"/>
        <rFont val="Tahoma"/>
        <family val="2"/>
      </rPr>
      <t>Conocimiento:</t>
    </r>
    <r>
      <rPr>
        <sz val="8"/>
        <rFont val="Tahoma"/>
        <family val="2"/>
      </rPr>
      <t xml:space="preserve"> Dominio del conocimiento con respecto a los trabajos realizados</t>
    </r>
  </si>
  <si>
    <t>Por favor rellene las casillas con valoraciones del 1 al 10</t>
  </si>
  <si>
    <t>CONOCIMIENTO</t>
  </si>
  <si>
    <t>LIDERAZGO</t>
  </si>
  <si>
    <t>TRATO CON LOS CLIENTES Y DISPONIBILIDAD CON ELLOS</t>
  </si>
  <si>
    <r>
      <t xml:space="preserve">Inicio y Termino: </t>
    </r>
    <r>
      <rPr>
        <sz val="8"/>
        <rFont val="Tahoma"/>
        <family val="2"/>
      </rPr>
      <t>Comienza su jornada a la hora y se retira no antes del termino</t>
    </r>
  </si>
  <si>
    <t>USO DE ELEMENTOS E.P.P.</t>
  </si>
  <si>
    <t>INICIO/TERMINO DE LA JORNADA LABORAL</t>
  </si>
  <si>
    <t>TRATO CON LAS VISITAS A LA EMPRESA</t>
  </si>
  <si>
    <r>
      <rPr>
        <b/>
        <sz val="8"/>
        <rFont val="Tahoma"/>
        <family val="2"/>
      </rPr>
      <t>Respeto:</t>
    </r>
    <r>
      <rPr>
        <sz val="8"/>
        <rFont val="Tahoma"/>
        <family val="2"/>
      </rPr>
      <t xml:space="preserve"> Es cortés y educado con sus superiores y compañeros de trabajo</t>
    </r>
  </si>
  <si>
    <r>
      <rPr>
        <b/>
        <sz val="8"/>
        <rFont val="Tahoma"/>
        <family val="2"/>
      </rPr>
      <t>Disponibilidad:</t>
    </r>
    <r>
      <rPr>
        <sz val="8"/>
        <rFont val="Tahoma"/>
        <family val="2"/>
      </rPr>
      <t xml:space="preserve"> Esta dispuesto a colaborar o asistir en horarios excepcionales</t>
    </r>
  </si>
  <si>
    <r>
      <rPr>
        <b/>
        <sz val="8"/>
        <rFont val="Tahoma"/>
        <family val="2"/>
      </rPr>
      <t xml:space="preserve">Presentación personal: </t>
    </r>
    <r>
      <rPr>
        <sz val="8"/>
        <rFont val="Tahoma"/>
        <family val="2"/>
      </rPr>
      <t>Cumple con las normas básica de educación e higiene</t>
    </r>
  </si>
  <si>
    <r>
      <t xml:space="preserve">Cuidado de Herramientas: </t>
    </r>
    <r>
      <rPr>
        <sz val="8"/>
        <rFont val="Tahoma"/>
        <family val="2"/>
      </rPr>
      <t>Utiliza adecuadamente las herramientas de trabajo</t>
    </r>
  </si>
  <si>
    <t>Los datos aquí reflejados, no son mas que indicadores, estos deben ser actualizados mensualmente según el régimen de su país. Por otro lado, el impuesto a la renta se calcula solo por medio de la planilla.</t>
  </si>
  <si>
    <t>Seguro de Cesantía</t>
  </si>
  <si>
    <t>Renta Mínima</t>
  </si>
  <si>
    <t>Cotización Trabajos Pesados</t>
  </si>
  <si>
    <t>PLANILLA DE LIQUIDACIÓN - OPCIONAL (Ideas en http://www.aimbox.net)</t>
  </si>
  <si>
    <t>VALOR UF</t>
  </si>
  <si>
    <t>ADICIONAL SALUD</t>
  </si>
  <si>
    <t>ISAPRES</t>
  </si>
  <si>
    <t xml:space="preserve">los cuales han sido autorizados por ley y/o mutuo acuerdo y no tengo cargo ni cobro alguno posterior que </t>
  </si>
  <si>
    <t>COTIZACIÓN DE SALUD</t>
  </si>
  <si>
    <t>BONO FIJO (AJUSTE LIQUIDACION)</t>
  </si>
  <si>
    <t>BONO DE ASISTENCIA</t>
  </si>
  <si>
    <t>PERMISOS</t>
  </si>
  <si>
    <t>COLUMNA "M"</t>
  </si>
  <si>
    <t>FALLAS JUSTIFICADAS</t>
  </si>
  <si>
    <t>TELÉFONO</t>
  </si>
  <si>
    <t>SIS</t>
  </si>
  <si>
    <t>Trabajador 1</t>
  </si>
  <si>
    <t>Trabajador 2</t>
  </si>
  <si>
    <t>Trabajador 3</t>
  </si>
  <si>
    <t>Trabajador 4</t>
  </si>
  <si>
    <t>Trabajador 5</t>
  </si>
  <si>
    <t>Trabajador 6</t>
  </si>
  <si>
    <t>Trabajador 7</t>
  </si>
  <si>
    <t>Trabajador 8</t>
  </si>
  <si>
    <t>Trabajador 9</t>
  </si>
  <si>
    <t>Trabajador 10</t>
  </si>
  <si>
    <t>Trabajador 11</t>
  </si>
  <si>
    <t>Trabajador 12</t>
  </si>
  <si>
    <t>Trabajador 13</t>
  </si>
  <si>
    <t>Trabajador 14</t>
  </si>
  <si>
    <t>Trabajador 15</t>
  </si>
  <si>
    <t>Trabajador 16</t>
  </si>
  <si>
    <t>Trabajador 17</t>
  </si>
  <si>
    <t>Trabajador 18</t>
  </si>
  <si>
    <t>Trabajador 19</t>
  </si>
  <si>
    <t>SALUD</t>
  </si>
  <si>
    <t>Trabajador 20</t>
  </si>
  <si>
    <t>Trabajador 21</t>
  </si>
  <si>
    <t>Trabajador 22</t>
  </si>
  <si>
    <t>Trabajador 23</t>
  </si>
  <si>
    <t>Trabajador 24</t>
  </si>
  <si>
    <t>Trabajador 25</t>
  </si>
  <si>
    <t>Trabajador 26</t>
  </si>
  <si>
    <t>PUEDE COPIAR LOS DATOS DE LA PLANILA DEL MES ANTERIOR, PARA AHORRAR TIEMPO</t>
  </si>
  <si>
    <t>CARGO</t>
  </si>
  <si>
    <t>FECHA DE INGRESO</t>
  </si>
  <si>
    <t>FECHA DE NACIMIENTO</t>
  </si>
  <si>
    <t>TIPO DE CONTRATO</t>
  </si>
  <si>
    <t>BONO DE MOVILIZACIÓN</t>
  </si>
  <si>
    <t>BONO DE COLACIÓN</t>
  </si>
  <si>
    <t>Soldador</t>
  </si>
  <si>
    <t>Vendedor</t>
  </si>
  <si>
    <t>Adquisiciones</t>
  </si>
  <si>
    <t>Para que el Sistema de Remuneraciones en Excel, funcione correctamente, debe actualizar mensualmente los datos de esta planilla.</t>
  </si>
  <si>
    <t>Mecánico</t>
  </si>
  <si>
    <t>Bodeguero</t>
  </si>
  <si>
    <t>Gratificación</t>
  </si>
  <si>
    <t>Movilización</t>
  </si>
  <si>
    <t>Colación</t>
  </si>
  <si>
    <t>PLANILLA DE REMUNERACIONES EN EXCEL</t>
  </si>
  <si>
    <t>El Horario de Trabajo, se edita por separado en las hojas individuales de cada trabajador. Por favor considere modificar manualmente el horario, dependiendo del turno adecuado</t>
  </si>
  <si>
    <t>SABADOS A DOMINGOS</t>
  </si>
  <si>
    <t>Ingrese las horas que debe trabajar diariamente entre "Lunes a Viernes" y "Sábados a Domingo"</t>
  </si>
  <si>
    <t>Copyright</t>
  </si>
  <si>
    <r>
      <t xml:space="preserve">Las celdas a continuación tienen como objetivo, indicar los días u horas pendientes de </t>
    </r>
    <r>
      <rPr>
        <b/>
        <sz val="7"/>
        <color rgb="FFFF0000"/>
        <rFont val="Tahoma"/>
        <family val="2"/>
      </rPr>
      <t>meses anteriores</t>
    </r>
    <r>
      <rPr>
        <b/>
        <sz val="7"/>
        <rFont val="Tahoma"/>
        <family val="2"/>
      </rPr>
      <t>. O Reajustes de horas extras o atrasos en forma manual, Utilícelo responsablemente.</t>
    </r>
  </si>
  <si>
    <t>Otra AFP</t>
  </si>
  <si>
    <t>No Cotiza</t>
  </si>
  <si>
    <t>Independientes</t>
  </si>
  <si>
    <t>Tasa de AFP Trabajadores</t>
  </si>
  <si>
    <t>Dependientes</t>
  </si>
  <si>
    <t>Isapre</t>
  </si>
  <si>
    <t>Tasa de Isapre Trabajadores</t>
  </si>
  <si>
    <t>Dependientes e Independientes:</t>
  </si>
  <si>
    <t>Trabajos Pesados</t>
  </si>
  <si>
    <t>Menos Pesados</t>
  </si>
  <si>
    <t>R.I.</t>
  </si>
  <si>
    <t xml:space="preserve"> R.I.</t>
  </si>
  <si>
    <t>Liquido Aprox.</t>
  </si>
  <si>
    <t>ESTO ES UN EJEMPLO APROXIMADO DE CATEGORIAS DE SUELDOS</t>
  </si>
  <si>
    <t>Para afiliados a una AFP</t>
  </si>
  <si>
    <t>Para afiliados al IPS</t>
  </si>
  <si>
    <t>Balancear</t>
  </si>
  <si>
    <t>La Gratificación Legal se calcula en base al tope indicado.</t>
  </si>
  <si>
    <t>IPC Mensual</t>
  </si>
  <si>
    <t>UF Mensual</t>
  </si>
  <si>
    <t>UTM Mensual</t>
  </si>
  <si>
    <t>UTA Mensual</t>
  </si>
  <si>
    <t>IPC 12 Meses</t>
  </si>
  <si>
    <t>Las UF se consideran desde ultima lectura del mes</t>
  </si>
  <si>
    <t>Prom. Dólar</t>
  </si>
  <si>
    <t>Fonasa o Isapres (Impuesto Único)</t>
  </si>
  <si>
    <t>H. Mensuales</t>
  </si>
  <si>
    <t>Hábitat</t>
  </si>
  <si>
    <t xml:space="preserve">Próvida </t>
  </si>
  <si>
    <t>Es importante mantener actualizada esta información de modo contrario, los cálculos realizados por la planilla no serán correctos.</t>
  </si>
  <si>
    <t>Listas Individuales</t>
  </si>
  <si>
    <t>SEGURO DE INVALIDES Y SOBREVIVENCIA</t>
  </si>
  <si>
    <t>FERIADO PROPORCIONAL</t>
  </si>
  <si>
    <t>INDEMNIZACIÓN DE AÑOS Y SERVICIOS</t>
  </si>
  <si>
    <t>SEGURO CESANTIA</t>
  </si>
  <si>
    <t>MUTUAL (ACIDENTES DE TRABAJO)</t>
  </si>
  <si>
    <t>ISP exINP</t>
  </si>
  <si>
    <t>TOTAL GASTOS ADICIONALES EMPLEADOR</t>
  </si>
  <si>
    <t>TOTAL TRIBUTABLE</t>
  </si>
  <si>
    <t>CUIDADO DE HERAMIENTAS</t>
  </si>
  <si>
    <t>DESCUENTOS VARIOS</t>
  </si>
  <si>
    <t>CESANTIA</t>
  </si>
  <si>
    <t>S.I.S.</t>
  </si>
  <si>
    <t>NOMBRE</t>
  </si>
  <si>
    <t>CENTRO DE COSTOS</t>
  </si>
  <si>
    <t>Administración</t>
  </si>
  <si>
    <t>VALOR UTM</t>
  </si>
  <si>
    <t>AHORRO PREVISIONAL VOLUNTARIO PACTADO</t>
  </si>
  <si>
    <t>VALOR EN %</t>
  </si>
  <si>
    <t>AHORRO PREVISIONAL VOLUNTARIO EN UF.</t>
  </si>
  <si>
    <t>AHORRO PREVISIONAL VOLUNTARIO PORCENT.</t>
  </si>
  <si>
    <t>PACTADO $</t>
  </si>
  <si>
    <t>AHORRO PREVISIONAL VOLUNT.</t>
  </si>
  <si>
    <t>IMPUESTO UNICO A LA RENTA</t>
  </si>
  <si>
    <t>RETENCIONES LEGALES</t>
  </si>
  <si>
    <t>ANTICIPO EN EFECTIVO</t>
  </si>
  <si>
    <t>MULTAS SANCIONES</t>
  </si>
  <si>
    <t>DESCUENTOS DIARIOS</t>
  </si>
  <si>
    <t>ATRASOS INJUSTIFICADOS</t>
  </si>
  <si>
    <t>BOLETAS U HONORARIOS</t>
  </si>
  <si>
    <t>SUELDO MENSUAL</t>
  </si>
  <si>
    <t>BONOS DE PRODUCCIÓN</t>
  </si>
  <si>
    <t>VIATICO DE VIAJES</t>
  </si>
  <si>
    <t>SOBREGIRO</t>
  </si>
  <si>
    <t>Nombre Empresa</t>
  </si>
  <si>
    <t>RUT Empresa</t>
  </si>
  <si>
    <t>Representante Legal</t>
  </si>
  <si>
    <t>Rut Representante</t>
  </si>
  <si>
    <t>Dirección</t>
  </si>
  <si>
    <t>TOPE EN UF</t>
  </si>
  <si>
    <t>Teléfono</t>
  </si>
  <si>
    <t>ACTIVADO</t>
  </si>
  <si>
    <t>1-. No Cotiza</t>
  </si>
  <si>
    <t xml:space="preserve">2-. Capital </t>
  </si>
  <si>
    <t>3-. Cuprum</t>
  </si>
  <si>
    <t>4-. Hábitat</t>
  </si>
  <si>
    <t xml:space="preserve">5-. PlanVital </t>
  </si>
  <si>
    <t>6-. Próvida</t>
  </si>
  <si>
    <t>7-. Modelo</t>
  </si>
  <si>
    <t>8-. Otra AFP</t>
  </si>
  <si>
    <t>9-. Otra AFP</t>
  </si>
  <si>
    <t>10-. Otra AFP</t>
  </si>
  <si>
    <t>ACUMULA MES</t>
  </si>
  <si>
    <t>2-. INDEFINIDO</t>
  </si>
  <si>
    <t>11-. No Cotiza</t>
  </si>
  <si>
    <t>12-. Fonasa</t>
  </si>
  <si>
    <t>13-. Banmedica</t>
  </si>
  <si>
    <t>14-. Colmena</t>
  </si>
  <si>
    <t>15-. Consalud</t>
  </si>
  <si>
    <t>16-. Cruz Blanca</t>
  </si>
  <si>
    <t>17-. Ferrosalud</t>
  </si>
  <si>
    <t>18-. Fundación</t>
  </si>
  <si>
    <t>19-. Fusat</t>
  </si>
  <si>
    <t>20-. MasVida</t>
  </si>
  <si>
    <t>21-. Normedica</t>
  </si>
  <si>
    <t>22-. Sfera</t>
  </si>
  <si>
    <t>23-. Vida Tres</t>
  </si>
  <si>
    <t>24-. Otra Isapre</t>
  </si>
  <si>
    <t>25-. Otra Isapre</t>
  </si>
  <si>
    <t>26-. Otra Isapre</t>
  </si>
  <si>
    <t>27-. Otra Isapre</t>
  </si>
  <si>
    <t>28-. Otra Isapre</t>
  </si>
  <si>
    <t>29-. Otra Isapre</t>
  </si>
  <si>
    <t>30-. Otra Isapre</t>
  </si>
  <si>
    <t>12-. FONASA</t>
  </si>
  <si>
    <t>Bono Colación</t>
  </si>
  <si>
    <t>Bono Movilización</t>
  </si>
  <si>
    <t>Bono Asistencia</t>
  </si>
  <si>
    <t>Tipo Contrato</t>
  </si>
  <si>
    <t>IPS</t>
  </si>
  <si>
    <t>Cargo</t>
  </si>
  <si>
    <t>Centro de costos</t>
  </si>
  <si>
    <t>Fecha nacimiento</t>
  </si>
  <si>
    <t>Fecha Ingreso</t>
  </si>
  <si>
    <t>Nombre del Proyecto</t>
  </si>
  <si>
    <t>Desarrollado por</t>
  </si>
  <si>
    <t>Fecha Actualización</t>
  </si>
  <si>
    <t>Versión del Proyecto</t>
  </si>
  <si>
    <t>Descripción</t>
  </si>
  <si>
    <t>Contacto</t>
  </si>
  <si>
    <t>Tipo de Licencia</t>
  </si>
  <si>
    <t>Sistema de control de asistencia y Software de remuneraciones en Excel.</t>
  </si>
  <si>
    <t>Requisitos</t>
  </si>
  <si>
    <t>Windows XP, Vista, Seven u 8</t>
  </si>
  <si>
    <t>Office 2007, 2010, 2013 o superior</t>
  </si>
  <si>
    <t>sea parte de este proyecto, ayudando a mantenerla actualizada, informando errores y comunicando sus ideas por medio de el blog oficial.</t>
  </si>
  <si>
    <t>FALLOS CONOCIDOS</t>
  </si>
  <si>
    <t>LISTA DE DONADORES</t>
  </si>
  <si>
    <t>Nombre</t>
  </si>
  <si>
    <t xml:space="preserve">2-. CAPITAL </t>
  </si>
  <si>
    <t>Días Trabajados</t>
  </si>
  <si>
    <t>Base Mes</t>
  </si>
  <si>
    <t>Horas Extras</t>
  </si>
  <si>
    <t>Otros Imponibles</t>
  </si>
  <si>
    <t>Impuesto unico</t>
  </si>
  <si>
    <t>AVP</t>
  </si>
  <si>
    <t>Total Haberes</t>
  </si>
  <si>
    <t>Seguro de Accidentes</t>
  </si>
  <si>
    <t>Total</t>
  </si>
  <si>
    <t>Feriado Proporcional</t>
  </si>
  <si>
    <t>Hoja 2</t>
  </si>
  <si>
    <t>OTRAS RETENCIONES</t>
  </si>
  <si>
    <t>ANTICIPOS EN EFECTIVO</t>
  </si>
  <si>
    <t>Mayor o igual</t>
  </si>
  <si>
    <t>Menor a</t>
  </si>
  <si>
    <t>----</t>
  </si>
  <si>
    <t>PRODUCTIVIDAD</t>
  </si>
  <si>
    <t>Reflejo de Cálculos (Mirror)</t>
  </si>
  <si>
    <t>catorce</t>
  </si>
  <si>
    <t>dieciséis</t>
  </si>
  <si>
    <t>veintiún</t>
  </si>
  <si>
    <t>veintidós</t>
  </si>
  <si>
    <t>veintitrés</t>
  </si>
  <si>
    <t>veintiséis</t>
  </si>
  <si>
    <t>La siguiente planilla es capas de generar una liquidación de sueldo en base a los datos que usted le proporcione. Para que la planilla funcione de manera eficiente, debe actualizar mensualmente los datos contenido en la hoja "Indicadores Mensuales" del libro correspondiente al mes en que este trabajando. Opcionalmente puede ingresar en base al libro u tarjeta, las horas de ingreso y salida en los recuadros de mas abajo para realizar el calculo de horas totales trabajadas, extras, inasistencias y atrasos. También puede hacerlo de forma manual en un apartado que le dedicamos en las filas "80 y 81".</t>
  </si>
  <si>
    <t>REBAJA ASI. FAMILIAR</t>
  </si>
  <si>
    <t>OTROS DESCUENTOS</t>
  </si>
  <si>
    <t>Atrasos</t>
  </si>
  <si>
    <t>Hoja 1</t>
  </si>
  <si>
    <t>1-. NO COTIZA</t>
  </si>
  <si>
    <t>Contador General</t>
  </si>
  <si>
    <t>6-. PRÓVIDA</t>
  </si>
  <si>
    <t>16-. CRUZ BLANCA</t>
  </si>
  <si>
    <t>7-. MODELO</t>
  </si>
  <si>
    <t>Junior Administrativo</t>
  </si>
  <si>
    <t>4-. HÁBITAT</t>
  </si>
  <si>
    <t>Estructuraciones</t>
  </si>
  <si>
    <t>Ayudante de Soldador</t>
  </si>
  <si>
    <t>Ayudante de Pintor</t>
  </si>
  <si>
    <t>Administrador</t>
  </si>
  <si>
    <t xml:space="preserve">5-. PLANVITAL </t>
  </si>
  <si>
    <t>13-. BANMEDICA</t>
  </si>
  <si>
    <t>Secretaria Ejecutiva</t>
  </si>
  <si>
    <t>4-. JUBILADO</t>
  </si>
  <si>
    <t>TOTAL DESCUENTOS LEGALES</t>
  </si>
  <si>
    <t>SALDO LIQUIDO</t>
  </si>
  <si>
    <t>PASAJES, VUELOS, VIAJES,OTROS</t>
  </si>
  <si>
    <t>ESTADIA, PENSION, HOTELES, OTROS</t>
  </si>
  <si>
    <t>OTROS GASTOS (ESPECIFIQUE)</t>
  </si>
  <si>
    <t>AGUISNALDOS</t>
  </si>
  <si>
    <t>Trabajador 27</t>
  </si>
  <si>
    <t>Trabajador 28</t>
  </si>
  <si>
    <t>Trabajador 29</t>
  </si>
  <si>
    <t>Trabajador 30</t>
  </si>
  <si>
    <t>BOLETA DE SERVICIOS</t>
  </si>
  <si>
    <t>CONTRATO DE TRABAJO</t>
  </si>
  <si>
    <t>3-. BOLETA</t>
  </si>
  <si>
    <t>11-. NO COTIZA</t>
  </si>
  <si>
    <t>Bonos Adicionales</t>
  </si>
  <si>
    <t>Total Descuentos</t>
  </si>
  <si>
    <t>Descuento Boleta (10%)</t>
  </si>
  <si>
    <t>BOLETAS DE HONORARIOS</t>
  </si>
  <si>
    <t>Ingresos extras</t>
  </si>
  <si>
    <t>Años de Servicios</t>
  </si>
  <si>
    <t>Pasajes, Vuelos, Otros</t>
  </si>
  <si>
    <t>Pensiones, Hoteles,Otros</t>
  </si>
  <si>
    <t>Otros Gastos</t>
  </si>
  <si>
    <t>Total Imponible</t>
  </si>
  <si>
    <t>ASIGNACIÓN FAMILIAR</t>
  </si>
  <si>
    <t>Retenciones</t>
  </si>
  <si>
    <t>Sub Total</t>
  </si>
  <si>
    <t>Liquido a Pagar</t>
  </si>
  <si>
    <t>Sobregiro</t>
  </si>
  <si>
    <t>LIQUIDO A PAGAR</t>
  </si>
  <si>
    <t>OCUPAR SOLO PARA ASIGNACIÓN</t>
  </si>
  <si>
    <t>SUB TOTAL</t>
  </si>
  <si>
    <t>Hoja 3</t>
  </si>
  <si>
    <t>Seguro de cesantia</t>
  </si>
  <si>
    <t>Quincena</t>
  </si>
  <si>
    <t>Nombre de AFP</t>
  </si>
  <si>
    <t>Nombre Isapre</t>
  </si>
  <si>
    <t>Centro De Costos</t>
  </si>
  <si>
    <t>BOLETA DE HONORARIOS</t>
  </si>
  <si>
    <t>CONTRATO DE TRABAJOS</t>
  </si>
  <si>
    <t>Este trabajo, es de una sola persona con asesoría y colaboración de otras y se le dedica bastante tiempo para poder desarrollar una herramienta fácil de usar y gratuita para su empresa.</t>
  </si>
  <si>
    <t>Pagina del proyecto</t>
  </si>
  <si>
    <t>Todo aporte monetario es voluntario, y será muy bien recibido, los donadores pueden aparecer si así ellos lo desean en los créditos de la planilla de manera mensual.</t>
  </si>
  <si>
    <t>Si quita la numeración a IPS y AFP, los datos podrían variar</t>
  </si>
  <si>
    <t>Mecánica</t>
  </si>
  <si>
    <t>NOMBRE COMPLETO</t>
  </si>
  <si>
    <t>Tota Liquido Ganado</t>
  </si>
  <si>
    <t>LIQUIDO ALANZADO</t>
  </si>
  <si>
    <t>Resumen Mensual</t>
  </si>
  <si>
    <t>Total a pagar AFP</t>
  </si>
  <si>
    <t>Total a pagar ISP</t>
  </si>
  <si>
    <t>Total a pagar S.I.S.</t>
  </si>
  <si>
    <t>Total a pagar Cesantia</t>
  </si>
  <si>
    <t>Total a pagar exINP</t>
  </si>
  <si>
    <t>Total a pagar imp Unico</t>
  </si>
  <si>
    <t>Saldo Liquido a pagar</t>
  </si>
  <si>
    <t>Total a pagar APV</t>
  </si>
  <si>
    <t>Salud</t>
  </si>
  <si>
    <t>Bonos no Imponibles</t>
  </si>
  <si>
    <t>Otr. Desc</t>
  </si>
  <si>
    <t>Hoja 4</t>
  </si>
  <si>
    <t>Sobre Giro</t>
  </si>
  <si>
    <t>SubTotal</t>
  </si>
  <si>
    <t>Liquido a pagar</t>
  </si>
  <si>
    <t>Total a pagar Boletas</t>
  </si>
  <si>
    <t>Liquidos a pagos</t>
  </si>
  <si>
    <t>Total Liquido Contrato</t>
  </si>
  <si>
    <t>Total Liquido Boletas</t>
  </si>
  <si>
    <t>Liquidos a pago</t>
  </si>
  <si>
    <t>Pendientes de pagos</t>
  </si>
  <si>
    <t>Saldo a pago</t>
  </si>
  <si>
    <t>Abonos</t>
  </si>
  <si>
    <t>Tornero</t>
  </si>
  <si>
    <t>Electricidad</t>
  </si>
  <si>
    <t>Finiquitos</t>
  </si>
  <si>
    <t>RemunExcel Chile</t>
  </si>
  <si>
    <t>CC BY-ND 3.0</t>
  </si>
  <si>
    <t>Las horas no se pueden calcular en horario nocturno sobre las 23:59</t>
  </si>
  <si>
    <t>Preguntas y Respuestas Frecuentes</t>
  </si>
  <si>
    <t>¿Si tengo un grupo de empleados, que trabajan entre 22:00  a 07:00am como debo ingresarlo en la planilla?</t>
  </si>
  <si>
    <r>
      <rPr>
        <b/>
        <sz val="10"/>
        <color theme="5"/>
        <rFont val="Calibri"/>
        <family val="2"/>
        <scheme val="minor"/>
      </rPr>
      <t>R-.</t>
    </r>
    <r>
      <rPr>
        <sz val="10"/>
        <color theme="1"/>
        <rFont val="Calibri"/>
        <family val="2"/>
        <scheme val="minor"/>
      </rPr>
      <t xml:space="preserve"> Lamentablemente la planilla aun no soporta sistema de turnos nocturnos, pero puede simular un turno de la siguiente manera. 22:00, remplazarlo por 10:00am y 07:00am, remplazarlo por 07:00pm, quedando de la siguiente manera; 10:00 - 07:00 para que la planilla pueda hacer el calculo que corresponde.</t>
    </r>
  </si>
  <si>
    <t>Nombre del Trabajador</t>
  </si>
  <si>
    <t>5.977.069-3</t>
  </si>
  <si>
    <t>4.548.566-2</t>
  </si>
  <si>
    <t>15.021.000-1</t>
  </si>
  <si>
    <t>(09) 850 55 426</t>
  </si>
  <si>
    <t>(09) 850 55 427</t>
  </si>
  <si>
    <t>(09) 850 55 428</t>
  </si>
  <si>
    <t>(09) 850 55 429</t>
  </si>
  <si>
    <t>(09) 850 55 430</t>
  </si>
  <si>
    <t>(09) 850 55 431</t>
  </si>
  <si>
    <t>(09) 850 55 432</t>
  </si>
  <si>
    <t>(09) 850 55 433</t>
  </si>
  <si>
    <t>(09) 850 55 434</t>
  </si>
  <si>
    <t>(09) 850 55 436</t>
  </si>
  <si>
    <t>(09) 850 55 437</t>
  </si>
  <si>
    <t>(09) 850 55 438</t>
  </si>
  <si>
    <t>(09) 850 55 439</t>
  </si>
  <si>
    <t>(09) 850 55 440</t>
  </si>
  <si>
    <t>(09) 850 55 441</t>
  </si>
  <si>
    <t>(09) 850 55 442</t>
  </si>
  <si>
    <t>(09) 850 55 443</t>
  </si>
  <si>
    <t>(09) 850 55 444</t>
  </si>
  <si>
    <t>(09) 850 55 445</t>
  </si>
  <si>
    <t>(09) 850 55 446</t>
  </si>
  <si>
    <t>(09) 850 55 447</t>
  </si>
  <si>
    <t>(09) 850 55 448</t>
  </si>
  <si>
    <t>(09) 850 55 449</t>
  </si>
  <si>
    <t>(09) 850 55 450</t>
  </si>
  <si>
    <t>Ayudante General</t>
  </si>
  <si>
    <t>15.151.515-6</t>
  </si>
  <si>
    <t>15.151.515-7</t>
  </si>
  <si>
    <t>10.159.159-1</t>
  </si>
  <si>
    <t>15.151.515-8</t>
  </si>
  <si>
    <t>15.151.515-9</t>
  </si>
  <si>
    <t>3-. CUPRUM</t>
  </si>
  <si>
    <t>Nombre de la Empresa</t>
  </si>
  <si>
    <t>10.000.000-0</t>
  </si>
  <si>
    <t>Nombre del representante</t>
  </si>
  <si>
    <t>70.000.000-0</t>
  </si>
  <si>
    <t>(055) 000 000</t>
  </si>
  <si>
    <t>Dirección de la empresa #000</t>
  </si>
  <si>
    <t>¿La planilla no me calcula las horas extras de manera incorrecta, donde configuro esto?</t>
  </si>
  <si>
    <r>
      <rPr>
        <b/>
        <sz val="10"/>
        <color theme="5"/>
        <rFont val="Calibri"/>
        <family val="2"/>
        <scheme val="minor"/>
      </rPr>
      <t>R-.</t>
    </r>
    <r>
      <rPr>
        <sz val="10"/>
        <color theme="1"/>
        <rFont val="Calibri"/>
        <family val="2"/>
        <scheme val="minor"/>
      </rPr>
      <t xml:space="preserve"> La planilla consta con dos recuadros para configurar la cantidad de horas diarias que deben trabajar sus empleados ubicadas en las casilla "</t>
    </r>
    <r>
      <rPr>
        <b/>
        <sz val="10"/>
        <color theme="1"/>
        <rFont val="Calibri"/>
        <family val="2"/>
        <scheme val="minor"/>
      </rPr>
      <t>G7</t>
    </r>
    <r>
      <rPr>
        <sz val="10"/>
        <color theme="1"/>
        <rFont val="Calibri"/>
        <family val="2"/>
        <scheme val="minor"/>
      </rPr>
      <t>" y "</t>
    </r>
    <r>
      <rPr>
        <b/>
        <sz val="10"/>
        <color theme="1"/>
        <rFont val="Calibri"/>
        <family val="2"/>
        <scheme val="minor"/>
      </rPr>
      <t>P7</t>
    </r>
    <r>
      <rPr>
        <sz val="10"/>
        <color theme="1"/>
        <rFont val="Calibri"/>
        <family val="2"/>
        <scheme val="minor"/>
      </rPr>
      <t xml:space="preserve">" de cada hoja de trabajador. Por defecto estas casillas vienen con los datos de la siguiente manera: de </t>
    </r>
    <r>
      <rPr>
        <b/>
        <sz val="10"/>
        <color theme="1"/>
        <rFont val="Calibri"/>
        <family val="2"/>
        <scheme val="minor"/>
      </rPr>
      <t>Lunes a Viernes</t>
    </r>
    <r>
      <rPr>
        <sz val="10"/>
        <color theme="1"/>
        <rFont val="Calibri"/>
        <family val="2"/>
        <scheme val="minor"/>
      </rPr>
      <t xml:space="preserve">: 8:00 hrs </t>
    </r>
    <r>
      <rPr>
        <b/>
        <sz val="10"/>
        <color theme="1"/>
        <rFont val="Calibri"/>
        <family val="2"/>
        <scheme val="minor"/>
      </rPr>
      <t>Sábados y/o Domingos</t>
    </r>
    <r>
      <rPr>
        <sz val="10"/>
        <color theme="1"/>
        <rFont val="Calibri"/>
        <family val="2"/>
        <scheme val="minor"/>
      </rPr>
      <t xml:space="preserve">: 5:00 hrs. Antes de ingresar las horas, usted deberá modificar esos dos recuadros, a la cantidad de horas adecuada a su empresa. por ejemplo si en su empresa, trabajan de Lunes a viernes, 9:00hrs y los sábados y domingos, no trabajan, la planilla debería estar configurada de </t>
    </r>
    <r>
      <rPr>
        <b/>
        <sz val="10"/>
        <color theme="1"/>
        <rFont val="Calibri"/>
        <family val="2"/>
        <scheme val="minor"/>
      </rPr>
      <t>Lunes a Viernes</t>
    </r>
    <r>
      <rPr>
        <sz val="10"/>
        <color theme="1"/>
        <rFont val="Calibri"/>
        <family val="2"/>
        <scheme val="minor"/>
      </rPr>
      <t xml:space="preserve">: 9:00 hrs y </t>
    </r>
    <r>
      <rPr>
        <b/>
        <sz val="10"/>
        <color theme="1"/>
        <rFont val="Calibri"/>
        <family val="2"/>
        <scheme val="minor"/>
      </rPr>
      <t>Sábado y/o Domingo</t>
    </r>
    <r>
      <rPr>
        <sz val="10"/>
        <color theme="1"/>
        <rFont val="Calibri"/>
        <family val="2"/>
        <scheme val="minor"/>
      </rPr>
      <t>: 0:00 hrs.</t>
    </r>
  </si>
  <si>
    <t>¿Qué sucede si mis empleados trabajan los sábados y domingos como día normal y descansan un día a a elección en la semana?</t>
  </si>
  <si>
    <r>
      <rPr>
        <b/>
        <sz val="10"/>
        <color theme="5"/>
        <rFont val="Calibri"/>
        <family val="2"/>
        <scheme val="minor"/>
      </rPr>
      <t>R-.</t>
    </r>
    <r>
      <rPr>
        <sz val="10"/>
        <color theme="1"/>
        <rFont val="Calibri"/>
        <family val="2"/>
        <scheme val="minor"/>
      </rPr>
      <t xml:space="preserve"> Este punto también esta considerado, lo primero que deberá hacer usted, es configurar las horas que trabajan a diarios sus empleados, para ello puede configurar tal cual se indica en la pregunta anterior. Luego en cada hoja de trabajador, en la columna "</t>
    </r>
    <r>
      <rPr>
        <b/>
        <sz val="10"/>
        <color theme="1"/>
        <rFont val="Calibri"/>
        <family val="2"/>
        <scheme val="minor"/>
      </rPr>
      <t>A</t>
    </r>
    <r>
      <rPr>
        <sz val="10"/>
        <color theme="1"/>
        <rFont val="Calibri"/>
        <family val="2"/>
        <scheme val="minor"/>
      </rPr>
      <t>" deberá configurar los días de sus trabajadores, por ejemplo si los domingos, para usted los considera como un día normal y no como horas extras si es que lo trabajan, deberá agregar una letra "</t>
    </r>
    <r>
      <rPr>
        <b/>
        <sz val="10"/>
        <color theme="1"/>
        <rFont val="Calibri"/>
        <family val="2"/>
        <scheme val="minor"/>
      </rPr>
      <t>A</t>
    </r>
    <r>
      <rPr>
        <sz val="10"/>
        <color theme="1"/>
        <rFont val="Calibri"/>
        <family val="2"/>
        <scheme val="minor"/>
      </rPr>
      <t>" y si un día martes es feriado o descanso, remplazarlo con la letra "</t>
    </r>
    <r>
      <rPr>
        <b/>
        <sz val="10"/>
        <color theme="1"/>
        <rFont val="Calibri"/>
        <family val="2"/>
        <scheme val="minor"/>
      </rPr>
      <t>D</t>
    </r>
    <r>
      <rPr>
        <sz val="10"/>
        <color theme="1"/>
        <rFont val="Calibri"/>
        <family val="2"/>
        <scheme val="minor"/>
      </rPr>
      <t>". de la misma manera, si un empleado, por ejemplo trabaja, 12 horas diarias de lunes a domingo y luego descansa 7 días de Lunes a Domingos, usted deberá agregar en la primera semana, solo letras "</t>
    </r>
    <r>
      <rPr>
        <b/>
        <sz val="10"/>
        <color theme="1"/>
        <rFont val="Calibri"/>
        <family val="2"/>
        <scheme val="minor"/>
      </rPr>
      <t>A</t>
    </r>
    <r>
      <rPr>
        <sz val="10"/>
        <color theme="1"/>
        <rFont val="Calibri"/>
        <family val="2"/>
        <scheme val="minor"/>
      </rPr>
      <t>" en la columna "</t>
    </r>
    <r>
      <rPr>
        <b/>
        <sz val="10"/>
        <color theme="1"/>
        <rFont val="Calibri"/>
        <family val="2"/>
        <scheme val="minor"/>
      </rPr>
      <t>A</t>
    </r>
    <r>
      <rPr>
        <sz val="10"/>
        <color theme="1"/>
        <rFont val="Calibri"/>
        <family val="2"/>
        <scheme val="minor"/>
      </rPr>
      <t>" y en la segunda semana solo letras "</t>
    </r>
    <r>
      <rPr>
        <b/>
        <sz val="10"/>
        <color theme="1"/>
        <rFont val="Calibri"/>
        <family val="2"/>
        <scheme val="minor"/>
      </rPr>
      <t>D</t>
    </r>
    <r>
      <rPr>
        <sz val="10"/>
        <color theme="1"/>
        <rFont val="Calibri"/>
        <family val="2"/>
        <scheme val="minor"/>
      </rPr>
      <t>". Tenga en consideración borrar las horas trabajadas en los días con letras "</t>
    </r>
    <r>
      <rPr>
        <b/>
        <sz val="10"/>
        <color theme="1"/>
        <rFont val="Calibri"/>
        <family val="2"/>
        <scheme val="minor"/>
      </rPr>
      <t>D</t>
    </r>
    <r>
      <rPr>
        <sz val="10"/>
        <color theme="1"/>
        <rFont val="Calibri"/>
        <family val="2"/>
        <scheme val="minor"/>
      </rPr>
      <t>", para que no lo considere como horas extras. (Cada Hoja de trabajador, viene configurada con un ejemplo diferente, por favor revise y verifique si se adapta a su empresa.)</t>
    </r>
  </si>
  <si>
    <t>Supervisor de Taller</t>
  </si>
  <si>
    <t>Mecánico Neumático</t>
  </si>
  <si>
    <t>Tornería</t>
  </si>
  <si>
    <t>Técnico en Neumáticos</t>
  </si>
  <si>
    <t>Gastos Administrativos</t>
  </si>
  <si>
    <t>GASTOS EXTRAS - EMPLEADOR (no aparece en la liquidación)</t>
  </si>
  <si>
    <t>Fecha</t>
  </si>
  <si>
    <t>Moneda</t>
  </si>
  <si>
    <t>CLP</t>
  </si>
  <si>
    <t>Changelog</t>
  </si>
  <si>
    <t>RC2 - Corregido el Tope UF en Impuesto Unico</t>
  </si>
  <si>
    <t>RC2 - Corregido y adaptado la funcion para trabajar con CCAF</t>
  </si>
  <si>
    <t>CCAF</t>
  </si>
  <si>
    <t>DIFERENCIA</t>
  </si>
  <si>
    <t>CCAF (CAJA COMPENSACIONES)</t>
  </si>
  <si>
    <t>Adicional Salud</t>
  </si>
  <si>
    <t>RC2 - Corregido calculo de 10% boleta en Libro de Remuneraciones</t>
  </si>
  <si>
    <t>RC2 - Nuevo diseño liquidación, para ahorrar tinta.</t>
  </si>
  <si>
    <t>OTROS INGRESOS</t>
  </si>
  <si>
    <t>TOTAL IMPONIBLE (no aplica)</t>
  </si>
  <si>
    <t>TOTAL TRIBUTABLE (no aplica)</t>
  </si>
  <si>
    <t>FINIQUITO</t>
  </si>
  <si>
    <t>SI SE FINIQUITA EL TRABAJADOR DECS.</t>
  </si>
  <si>
    <t>SI SE FINIQUITA EL TRABAJADOR AUMT.</t>
  </si>
  <si>
    <t>DESGASTE DE HERRAMIENTAS</t>
  </si>
  <si>
    <t>RC3 - Corregido calculo de adicional salud (considera todo el mes)</t>
  </si>
  <si>
    <t>RC3 - Agregado item para finiquitos</t>
  </si>
  <si>
    <t>RC3 - Simplificado comprobante de boleta</t>
  </si>
  <si>
    <t>RC3 - Corregido calculos de boletas en Libro de Remuneraciones</t>
  </si>
  <si>
    <t>COMISIONES E INCENTIVOS</t>
  </si>
  <si>
    <t>RC3 - Agregado en formula, comisiones e incentivos</t>
  </si>
  <si>
    <t>ANUNCIOS</t>
  </si>
  <si>
    <t>RC3 - Desbloqueada celda - Titulo Mes</t>
  </si>
  <si>
    <t>Julio Gutierrez</t>
  </si>
  <si>
    <t>Lesther Duran</t>
  </si>
  <si>
    <t>No funciona con Office 2003 o inferior</t>
  </si>
  <si>
    <t>No se pueden insertar imágenes en la liquidación</t>
  </si>
  <si>
    <t>NECESITAMOS TU AYUDA. REQUERIMOS DE ESPACIO, DONDE ALMACENAR TODA LAS UTILIDADES QUE AIMBOX.NET TE ENTREGA GRATUITAMENTE, PARA ELLO ESTAMOS PENSANDO EN UTILIZAR DROPBOX.</t>
  </si>
  <si>
    <t>DROPBOX, NOS DA ESPACIO POR CADA PERSONA QUE SE REGISTRE GRATUITAMENTE, TAN SOLO DEBES SEGUIR EL VINCULO, REGISTRARTE Y TENDRAS TU PROPIA CUENTA DE DROPBOX HASTA DE 18 GB GRATIS Y NOS AYUDARAS A MANTENERNOS EN LINEA.</t>
  </si>
  <si>
    <t>http://db.tt/hhepk7UT &lt;----- LUEGO DE REGISTRARSE, NO SE OLVIDEN INSTALARLO Y PROBARLO.</t>
  </si>
  <si>
    <t>RC4 - Nueva Opción en Gratificación, para monto libre</t>
  </si>
  <si>
    <t>ANTE TODO, MUCHAS GRACIAS POR AYUDARNOS A PROBAR NUESTRA PLANILLA DE REMUNERACIONES REMUNEXCEL 1.0 RC4 Y TE RECORDAMOS POR FAVOR ENVIARNOS CUALQUIER FALLA O ERROR QUE ENCUENTRES A NUESTROS FOROS.</t>
  </si>
  <si>
    <t>15-. CONSALUD</t>
  </si>
  <si>
    <t>Gerencia</t>
  </si>
  <si>
    <t>RC5 - Corregido Calculo de CotizaciónTope Imponible (R. Ardiles.)</t>
  </si>
  <si>
    <t>RC5 - Corregido Tope Imponible Impuesto Unico (R. Ardiles.)</t>
  </si>
  <si>
    <t>RC5 - Cambio automatico en 7% UF para Isapres (R. Ardiles.)</t>
  </si>
  <si>
    <t>RC5 - Corregido Tope Imponible IPS</t>
  </si>
  <si>
    <t>(09) 614 46 698</t>
  </si>
  <si>
    <t>Mario Hidalgo</t>
  </si>
  <si>
    <t>http://www.apoyoti.com</t>
  </si>
  <si>
    <t>Esta Hoja viene configurada como ejemplo para un empleado que trabaja 45 horas semanales 8 horas de lunes a viernes y 5 horas los sábados, descansa los feriados y domingos. (Puede editarla a su gusto, cuando desee, para mas información visite nuestro blog - ApoyoTi.com)</t>
  </si>
  <si>
    <t>http://www.apoyoti.com/donaciones</t>
  </si>
  <si>
    <t xml:space="preserve">RC6 - Corregido Tope Tributable con Adicional Salud </t>
  </si>
  <si>
    <t xml:space="preserve">          Reportado por Christian en ContadorAuditor</t>
  </si>
  <si>
    <t>Mauricio Rojas</t>
  </si>
  <si>
    <t>Considerar Adicional de salud en rebajas de IU</t>
  </si>
  <si>
    <t>SI</t>
  </si>
  <si>
    <t>NO</t>
  </si>
  <si>
    <t>5-. POR OBRA</t>
  </si>
  <si>
    <t>RC7 - Se agrego alternativa, para calculo de Impuesto Único</t>
  </si>
  <si>
    <t>RC7 - Se añadio el contrato por Obra.</t>
  </si>
  <si>
    <t>RC8 - Se Corrigieron errores en calculo de Impuesto Unico (Ahorro Voluntario)</t>
  </si>
  <si>
    <t>RC8 - Se Actualizaron los nuevos datos de la tabla de Impuesto Unico</t>
  </si>
  <si>
    <t>1.0 RC8</t>
  </si>
  <si>
    <t>RC8 - Corregido el tope en rentas altas del del SIS</t>
  </si>
  <si>
    <t>RC8 - Corregido el tope en rentas altas del del exINP</t>
  </si>
  <si>
    <t>JULIO DEL 2013</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</si>
</sst>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5" formatCode="&quot;$&quot;\ #,##0;\-&quot;$&quot;\ #,##0"/>
    <numFmt numFmtId="6" formatCode="&quot;$&quot;\ #,##0;[Red]\-&quot;$&quot;\ #,##0"/>
    <numFmt numFmtId="42" formatCode="_-&quot;$&quot;\ * #,##0_-;\-&quot;$&quot;\ * #,##0_-;_-&quot;$&quot;\ * &quot;-&quot;_-;_-@_-"/>
    <numFmt numFmtId="43" formatCode="_-* #,##0.00_-;\-* #,##0.00_-;_-* &quot;-&quot;??_-;_-@_-"/>
    <numFmt numFmtId="164" formatCode="[h]:mm"/>
    <numFmt numFmtId="165" formatCode="_-[$$-340A]\ * #,##0_-;\-[$$-340A]\ * #,##0_-;_-[$$-340A]\ * \-_-;_-@_-"/>
    <numFmt numFmtId="166" formatCode="[$$-340A]\ #,##0;\-[$$-340A]\ #,##0"/>
    <numFmt numFmtId="167" formatCode="_-&quot;$ &quot;* #,##0.00_-;&quot;-$ &quot;* #,##0.00_-;_-&quot;$ &quot;* \-??_-;_-@_-"/>
    <numFmt numFmtId="168" formatCode="_-[$$-340A]\ * #,##0_-;[Red]\-[$$-340A]\ * #,##0_-;_-[$$-340A]\ * \-_-;_-@_-"/>
    <numFmt numFmtId="169" formatCode="0.0%"/>
    <numFmt numFmtId="170" formatCode="[$-340A]d&quot; de &quot;mmmm&quot; de &quot;yyyy;@"/>
    <numFmt numFmtId="171" formatCode="[$-F800]dddd\,\ mmmm\ dd\,\ yyyy"/>
    <numFmt numFmtId="172" formatCode="#,##0.00_ ;\-#,##0.00\ "/>
    <numFmt numFmtId="173" formatCode="0.000"/>
    <numFmt numFmtId="174" formatCode="[$$-340A]\ #,##0"/>
    <numFmt numFmtId="175" formatCode="[$$-340A]\ #,##0;[Red]\-[$$-340A]\ #,##0"/>
    <numFmt numFmtId="176" formatCode="[$$-340A]\ #,##0.00;[Red]\-[$$-340A]\ #,##0.00"/>
    <numFmt numFmtId="177" formatCode="0.00_ ;[Red]\-0.00\ "/>
    <numFmt numFmtId="178" formatCode="[$$-2C0A]\ #,##0;[Red][$$-2C0A]\ \-#,##0"/>
  </numFmts>
  <fonts count="76" x14ac:knownFonts="1">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Tahoma"/>
      <family val="2"/>
    </font>
    <font>
      <b/>
      <sz val="8"/>
      <name val="Tahoma"/>
      <family val="2"/>
    </font>
    <font>
      <b/>
      <sz val="8"/>
      <color indexed="9"/>
      <name val="Tahoma"/>
      <family val="2"/>
    </font>
    <font>
      <b/>
      <sz val="8"/>
      <color indexed="8"/>
      <name val="Tahoma"/>
      <family val="2"/>
    </font>
    <font>
      <sz val="10"/>
      <name val="Arial"/>
      <family val="2"/>
    </font>
    <font>
      <sz val="8"/>
      <color theme="1"/>
      <name val="Tahoma"/>
      <family val="2"/>
    </font>
    <font>
      <b/>
      <sz val="8"/>
      <color theme="0"/>
      <name val="Tahoma"/>
      <family val="2"/>
    </font>
    <font>
      <sz val="10"/>
      <name val="Calibri"/>
      <family val="2"/>
      <scheme val="minor"/>
    </font>
    <font>
      <b/>
      <sz val="10"/>
      <color theme="0"/>
      <name val="Calibri"/>
      <family val="2"/>
      <scheme val="minor"/>
    </font>
    <font>
      <sz val="9"/>
      <color indexed="81"/>
      <name val="Tahoma"/>
      <family val="2"/>
    </font>
    <font>
      <b/>
      <sz val="9"/>
      <color indexed="81"/>
      <name val="Tahoma"/>
      <family val="2"/>
    </font>
    <font>
      <b/>
      <sz val="8"/>
      <color theme="1"/>
      <name val="Tahoma"/>
      <family val="2"/>
    </font>
    <font>
      <u/>
      <sz val="10"/>
      <color theme="10"/>
      <name val="Arial"/>
      <family val="2"/>
    </font>
    <font>
      <b/>
      <sz val="10"/>
      <name val="Calibri"/>
      <family val="2"/>
      <scheme val="minor"/>
    </font>
    <font>
      <b/>
      <u/>
      <sz val="10"/>
      <color theme="10"/>
      <name val="Calibri"/>
      <family val="2"/>
      <scheme val="minor"/>
    </font>
    <font>
      <b/>
      <sz val="8"/>
      <color rgb="FF0070C0"/>
      <name val="Tahoma"/>
      <family val="2"/>
    </font>
    <font>
      <b/>
      <sz val="8"/>
      <color rgb="FF002060"/>
      <name val="Tahoma"/>
      <family val="2"/>
    </font>
    <font>
      <sz val="10"/>
      <color theme="0"/>
      <name val="Calibri"/>
      <family val="2"/>
      <scheme val="minor"/>
    </font>
    <font>
      <b/>
      <sz val="8"/>
      <color rgb="FFFF0000"/>
      <name val="Tahoma"/>
      <family val="2"/>
    </font>
    <font>
      <u/>
      <sz val="9"/>
      <color indexed="81"/>
      <name val="Tahoma"/>
      <family val="2"/>
    </font>
    <font>
      <b/>
      <u/>
      <sz val="9"/>
      <color indexed="81"/>
      <name val="Tahoma"/>
      <family val="2"/>
    </font>
    <font>
      <b/>
      <sz val="7"/>
      <name val="Tahoma"/>
      <family val="2"/>
    </font>
    <font>
      <b/>
      <sz val="7"/>
      <color theme="0"/>
      <name val="Tahoma"/>
      <family val="2"/>
    </font>
    <font>
      <b/>
      <sz val="7"/>
      <color rgb="FFFF0000"/>
      <name val="Tahoma"/>
      <family val="2"/>
    </font>
    <font>
      <sz val="10"/>
      <color theme="1"/>
      <name val="Calibri"/>
      <family val="2"/>
      <scheme val="minor"/>
    </font>
    <font>
      <sz val="8"/>
      <color rgb="FF000000"/>
      <name val="Tahoma"/>
      <family val="2"/>
    </font>
    <font>
      <b/>
      <sz val="8"/>
      <color rgb="FF000000"/>
      <name val="Tahoma"/>
      <family val="2"/>
    </font>
    <font>
      <b/>
      <sz val="8"/>
      <color theme="1" tint="0.34998626667073579"/>
      <name val="Tahoma"/>
      <family val="2"/>
    </font>
    <font>
      <b/>
      <sz val="8"/>
      <color theme="3"/>
      <name val="Tahoma"/>
      <family val="2"/>
    </font>
    <font>
      <b/>
      <sz val="8"/>
      <color indexed="10"/>
      <name val="Tahoma"/>
      <family val="2"/>
    </font>
    <font>
      <sz val="8"/>
      <color indexed="9"/>
      <name val="Tahoma"/>
      <family val="2"/>
    </font>
    <font>
      <b/>
      <sz val="14"/>
      <color theme="1"/>
      <name val="Tahoma"/>
      <family val="2"/>
    </font>
    <font>
      <b/>
      <u/>
      <sz val="8"/>
      <color theme="10"/>
      <name val="Tahoma"/>
      <family val="2"/>
    </font>
    <font>
      <b/>
      <sz val="8"/>
      <color theme="9" tint="-0.24994659260841701"/>
      <name val="Tahoma"/>
      <family val="2"/>
    </font>
    <font>
      <b/>
      <sz val="10"/>
      <color theme="1"/>
      <name val="Calibri"/>
      <family val="2"/>
      <scheme val="minor"/>
    </font>
    <font>
      <b/>
      <sz val="10"/>
      <color rgb="FFFFFF00"/>
      <name val="Calibri"/>
      <family val="2"/>
      <scheme val="minor"/>
    </font>
    <font>
      <sz val="10"/>
      <color rgb="FF000000"/>
      <name val="Calibri"/>
      <family val="2"/>
      <scheme val="minor"/>
    </font>
    <font>
      <b/>
      <u/>
      <sz val="8"/>
      <name val="Tahoma"/>
      <family val="2"/>
    </font>
    <font>
      <b/>
      <i/>
      <u/>
      <sz val="10"/>
      <color theme="0"/>
      <name val="Calibri"/>
      <family val="2"/>
      <scheme val="minor"/>
    </font>
    <font>
      <sz val="8"/>
      <color theme="1"/>
      <name val="Calibri"/>
      <family val="2"/>
      <scheme val="minor"/>
    </font>
    <font>
      <u/>
      <sz val="10"/>
      <name val="Calibri"/>
      <family val="2"/>
      <scheme val="minor"/>
    </font>
    <font>
      <b/>
      <u/>
      <sz val="10"/>
      <name val="Calibri"/>
      <family val="2"/>
      <scheme val="minor"/>
    </font>
    <font>
      <b/>
      <sz val="12"/>
      <color theme="1"/>
      <name val="Tahoma"/>
      <family val="2"/>
    </font>
    <font>
      <b/>
      <sz val="10"/>
      <color theme="1"/>
      <name val="Tahoma"/>
      <family val="2"/>
    </font>
    <font>
      <sz val="10"/>
      <name val="Tahoma"/>
      <family val="2"/>
    </font>
    <font>
      <sz val="10"/>
      <color theme="1"/>
      <name val="Tahoma"/>
      <family val="2"/>
    </font>
    <font>
      <sz val="9"/>
      <color theme="1"/>
      <name val="Tahoma"/>
      <family val="2"/>
    </font>
    <font>
      <b/>
      <sz val="10"/>
      <name val="Tahoma"/>
      <family val="2"/>
    </font>
    <font>
      <sz val="7"/>
      <name val="Tahoma"/>
      <family val="2"/>
    </font>
    <font>
      <b/>
      <sz val="8"/>
      <color theme="0" tint="-0.14996795556505021"/>
      <name val="Tahoma"/>
      <family val="2"/>
    </font>
    <font>
      <b/>
      <sz val="10"/>
      <color theme="10"/>
      <name val="Calibri"/>
      <family val="2"/>
      <scheme val="minor"/>
    </font>
    <font>
      <sz val="18"/>
      <color theme="1"/>
      <name val="Calibri"/>
      <family val="2"/>
      <scheme val="minor"/>
    </font>
    <font>
      <b/>
      <sz val="10"/>
      <color theme="3"/>
      <name val="Calibri"/>
      <family val="2"/>
      <scheme val="minor"/>
    </font>
    <font>
      <b/>
      <sz val="10"/>
      <color theme="5"/>
      <name val="Calibri"/>
      <family val="2"/>
      <scheme val="minor"/>
    </font>
    <font>
      <b/>
      <u/>
      <sz val="10"/>
      <color rgb="FFFF0000"/>
      <name val="Calibri"/>
      <family val="2"/>
      <scheme val="minor"/>
    </font>
    <font>
      <sz val="10"/>
      <color theme="10"/>
      <name val="Calibri"/>
      <family val="2"/>
      <scheme val="minor"/>
    </font>
    <font>
      <i/>
      <sz val="9"/>
      <color indexed="81"/>
      <name val="Tahoma"/>
      <family val="2"/>
    </font>
    <font>
      <b/>
      <u/>
      <sz val="8"/>
      <color theme="10"/>
      <name val="Arial"/>
      <family val="2"/>
    </font>
  </fonts>
  <fills count="42">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theme="0" tint="-0.499984740745262"/>
        <bgColor indexed="64"/>
      </patternFill>
    </fill>
    <fill>
      <patternFill patternType="solid">
        <fgColor theme="0" tint="-0.14996795556505021"/>
        <bgColor indexed="64"/>
      </patternFill>
    </fill>
    <fill>
      <patternFill patternType="solid">
        <fgColor theme="1" tint="0.24994659260841701"/>
        <bgColor indexed="64"/>
      </patternFill>
    </fill>
    <fill>
      <patternFill patternType="solid">
        <fgColor rgb="FFFF0000"/>
        <bgColor indexed="64"/>
      </patternFill>
    </fill>
    <fill>
      <patternFill patternType="solid">
        <fgColor rgb="FF0070C0"/>
        <bgColor indexed="64"/>
      </patternFill>
    </fill>
    <fill>
      <patternFill patternType="solid">
        <fgColor theme="0"/>
        <bgColor indexed="64"/>
      </patternFill>
    </fill>
    <fill>
      <patternFill patternType="solid">
        <fgColor rgb="FF00B050"/>
        <bgColor indexed="64"/>
      </patternFill>
    </fill>
    <fill>
      <patternFill patternType="solid">
        <fgColor theme="1"/>
        <bgColor indexed="64"/>
      </patternFill>
    </fill>
    <fill>
      <patternFill patternType="solid">
        <fgColor theme="1" tint="0.249977111117893"/>
        <bgColor indexed="64"/>
      </patternFill>
    </fill>
    <fill>
      <patternFill patternType="solid">
        <fgColor theme="0" tint="-0.14999847407452621"/>
        <bgColor indexed="64"/>
      </patternFill>
    </fill>
    <fill>
      <patternFill patternType="solid">
        <fgColor theme="8" tint="0.59996337778862885"/>
        <bgColor indexed="64"/>
      </patternFill>
    </fill>
    <fill>
      <patternFill patternType="solid">
        <fgColor rgb="FFFFFFFF"/>
        <bgColor indexed="64"/>
      </patternFill>
    </fill>
    <fill>
      <patternFill patternType="solid">
        <fgColor indexed="13"/>
        <bgColor indexed="64"/>
      </patternFill>
    </fill>
    <fill>
      <patternFill patternType="solid">
        <fgColor theme="4"/>
        <bgColor theme="4"/>
      </patternFill>
    </fill>
    <fill>
      <patternFill patternType="solid">
        <fgColor theme="4" tint="0.79998168889431442"/>
        <bgColor theme="4" tint="0.59999389629810485"/>
      </patternFill>
    </fill>
    <fill>
      <patternFill patternType="solid">
        <fgColor theme="4" tint="0.79998168889431442"/>
        <bgColor theme="4" tint="0.79998168889431442"/>
      </patternFill>
    </fill>
    <fill>
      <patternFill patternType="solid">
        <fgColor rgb="FFE0E0E0"/>
        <bgColor indexed="64"/>
      </patternFill>
    </fill>
    <fill>
      <patternFill patternType="solid">
        <fgColor theme="0" tint="-4.9989318521683403E-2"/>
        <bgColor indexed="64"/>
      </patternFill>
    </fill>
  </fills>
  <borders count="165">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diagonal/>
    </border>
    <border>
      <left/>
      <right style="thin">
        <color indexed="64"/>
      </right>
      <top/>
      <bottom/>
      <diagonal/>
    </border>
    <border>
      <left style="thin">
        <color indexed="59"/>
      </left>
      <right/>
      <top style="thin">
        <color indexed="59"/>
      </top>
      <bottom/>
      <diagonal/>
    </border>
    <border>
      <left style="thin">
        <color indexed="64"/>
      </left>
      <right style="thin">
        <color indexed="64"/>
      </right>
      <top/>
      <bottom/>
      <diagonal/>
    </border>
    <border>
      <left/>
      <right/>
      <top/>
      <bottom style="thin">
        <color indexed="64"/>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top style="thin">
        <color theme="0" tint="-0.14996795556505021"/>
      </top>
      <bottom style="thin">
        <color theme="0" tint="-0.1499679555650502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indexed="64"/>
      </top>
      <bottom style="thin">
        <color auto="1"/>
      </bottom>
      <diagonal/>
    </border>
    <border>
      <left/>
      <right/>
      <top style="thin">
        <color indexed="64"/>
      </top>
      <bottom style="thin">
        <color auto="1"/>
      </bottom>
      <diagonal/>
    </border>
    <border>
      <left style="thin">
        <color indexed="64"/>
      </left>
      <right style="thin">
        <color indexed="64"/>
      </right>
      <top/>
      <bottom style="thin">
        <color indexed="64"/>
      </bottom>
      <diagonal/>
    </border>
    <border>
      <left style="medium">
        <color rgb="FFC2C2C2"/>
      </left>
      <right style="medium">
        <color rgb="FFC2C2C2"/>
      </right>
      <top style="medium">
        <color rgb="FFC2C2C2"/>
      </top>
      <bottom style="medium">
        <color rgb="FFC2C2C2"/>
      </bottom>
      <diagonal/>
    </border>
    <border>
      <left style="medium">
        <color rgb="FFC2C2C2"/>
      </left>
      <right/>
      <top style="medium">
        <color rgb="FFC2C2C2"/>
      </top>
      <bottom style="medium">
        <color rgb="FFC2C2C2"/>
      </bottom>
      <diagonal/>
    </border>
    <border>
      <left/>
      <right/>
      <top style="medium">
        <color rgb="FFC2C2C2"/>
      </top>
      <bottom style="medium">
        <color rgb="FFC2C2C2"/>
      </bottom>
      <diagonal/>
    </border>
    <border>
      <left/>
      <right style="medium">
        <color rgb="FFC2C2C2"/>
      </right>
      <top style="medium">
        <color rgb="FFC2C2C2"/>
      </top>
      <bottom style="medium">
        <color rgb="FFC2C2C2"/>
      </bottom>
      <diagonal/>
    </border>
    <border>
      <left style="medium">
        <color rgb="FFC2C2C2"/>
      </left>
      <right style="medium">
        <color rgb="FFC2C2C2"/>
      </right>
      <top/>
      <bottom style="medium">
        <color rgb="FFC2C2C2"/>
      </bottom>
      <diagonal/>
    </border>
    <border>
      <left/>
      <right/>
      <top/>
      <bottom style="medium">
        <color rgb="FFC2C2C2"/>
      </bottom>
      <diagonal/>
    </border>
    <border>
      <left/>
      <right style="medium">
        <color rgb="FFC2C2C2"/>
      </right>
      <top/>
      <bottom style="medium">
        <color rgb="FFC2C2C2"/>
      </bottom>
      <diagonal/>
    </border>
    <border>
      <left/>
      <right/>
      <top style="medium">
        <color rgb="FFC2C2C2"/>
      </top>
      <bottom/>
      <diagonal/>
    </border>
    <border>
      <left/>
      <right style="medium">
        <color rgb="FFC2C2C2"/>
      </right>
      <top style="medium">
        <color rgb="FFC2C2C2"/>
      </top>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right style="medium">
        <color theme="0" tint="-0.24994659260841701"/>
      </right>
      <top style="medium">
        <color theme="0" tint="-0.24994659260841701"/>
      </top>
      <bottom style="medium">
        <color theme="0" tint="-0.24994659260841701"/>
      </bottom>
      <diagonal/>
    </border>
    <border>
      <left/>
      <right/>
      <top/>
      <bottom style="medium">
        <color theme="0" tint="-0.24994659260841701"/>
      </bottom>
      <diagonal/>
    </border>
    <border>
      <left/>
      <right style="medium">
        <color theme="0" tint="-0.24994659260841701"/>
      </right>
      <top/>
      <bottom style="medium">
        <color theme="0" tint="-0.24994659260841701"/>
      </bottom>
      <diagonal/>
    </border>
    <border>
      <left style="medium">
        <color theme="0" tint="-0.24994659260841701"/>
      </left>
      <right/>
      <top style="medium">
        <color theme="0" tint="-0.24994659260841701"/>
      </top>
      <bottom style="medium">
        <color theme="0" tint="-0.24994659260841701"/>
      </bottom>
      <diagonal/>
    </border>
    <border>
      <left/>
      <right/>
      <top style="medium">
        <color theme="0" tint="-0.24994659260841701"/>
      </top>
      <bottom style="medium">
        <color theme="0" tint="-0.24994659260841701"/>
      </bottom>
      <diagonal/>
    </border>
    <border>
      <left style="medium">
        <color indexed="64"/>
      </left>
      <right style="medium">
        <color indexed="64"/>
      </right>
      <top style="medium">
        <color indexed="64"/>
      </top>
      <bottom style="medium">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right/>
      <top style="thin">
        <color auto="1"/>
      </top>
      <bottom/>
      <diagonal/>
    </border>
    <border>
      <left style="thin">
        <color theme="0"/>
      </left>
      <right/>
      <top/>
      <bottom/>
      <diagonal/>
    </border>
    <border>
      <left style="thin">
        <color theme="0"/>
      </left>
      <right/>
      <top style="thick">
        <color theme="0"/>
      </top>
      <bottom/>
      <diagonal/>
    </border>
    <border>
      <left style="thin">
        <color theme="0"/>
      </left>
      <right/>
      <top style="thin">
        <color theme="0"/>
      </top>
      <bottom/>
      <diagonal/>
    </border>
    <border>
      <left/>
      <right/>
      <top style="medium">
        <color theme="0" tint="-0.24994659260841701"/>
      </top>
      <bottom/>
      <diagonal/>
    </border>
    <border>
      <left/>
      <right style="medium">
        <color theme="0" tint="-0.24994659260841701"/>
      </right>
      <top style="medium">
        <color theme="0" tint="-0.24994659260841701"/>
      </top>
      <bottom/>
      <diagonal/>
    </border>
    <border>
      <left/>
      <right style="thin">
        <color indexed="64"/>
      </right>
      <top style="medium">
        <color rgb="FFC2C2C2"/>
      </top>
      <bottom style="medium">
        <color rgb="FFC2C2C2"/>
      </bottom>
      <diagonal/>
    </border>
    <border>
      <left style="medium">
        <color theme="0" tint="-0.24994659260841701"/>
      </left>
      <right/>
      <top style="medium">
        <color theme="0" tint="-0.24994659260841701"/>
      </top>
      <bottom/>
      <diagonal/>
    </border>
    <border>
      <left style="medium">
        <color theme="0" tint="-0.24994659260841701"/>
      </left>
      <right/>
      <top/>
      <bottom/>
      <diagonal/>
    </border>
    <border>
      <left/>
      <right style="medium">
        <color theme="0" tint="-0.24994659260841701"/>
      </right>
      <top/>
      <bottom/>
      <diagonal/>
    </border>
    <border>
      <left style="medium">
        <color theme="0" tint="-0.24994659260841701"/>
      </left>
      <right/>
      <top/>
      <bottom style="medium">
        <color theme="0" tint="-0.24994659260841701"/>
      </bottom>
      <diagonal/>
    </border>
    <border>
      <left style="thin">
        <color theme="0"/>
      </left>
      <right/>
      <top/>
      <bottom style="thick">
        <color theme="0"/>
      </bottom>
      <diagonal/>
    </border>
    <border>
      <left/>
      <right style="thin">
        <color theme="0"/>
      </right>
      <top/>
      <bottom style="thick">
        <color theme="0"/>
      </bottom>
      <diagonal/>
    </border>
    <border>
      <left style="thin">
        <color theme="0"/>
      </left>
      <right/>
      <top style="thick">
        <color theme="0"/>
      </top>
      <bottom style="thin">
        <color theme="0"/>
      </bottom>
      <diagonal/>
    </border>
    <border>
      <left/>
      <right style="thin">
        <color theme="0"/>
      </right>
      <top style="thick">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right/>
      <top/>
      <bottom style="thick">
        <color theme="0"/>
      </bottom>
      <diagonal/>
    </border>
    <border>
      <left/>
      <right/>
      <top style="thick">
        <color theme="0"/>
      </top>
      <bottom style="thin">
        <color theme="0"/>
      </bottom>
      <diagonal/>
    </border>
    <border>
      <left/>
      <right/>
      <top style="thin">
        <color theme="0"/>
      </top>
      <bottom style="thin">
        <color theme="0"/>
      </bottom>
      <diagonal/>
    </border>
    <border>
      <left/>
      <right/>
      <top style="thin">
        <color theme="0"/>
      </top>
      <bottom/>
      <diagonal/>
    </border>
    <border>
      <left style="thin">
        <color auto="1"/>
      </left>
      <right style="dashDotDot">
        <color auto="1"/>
      </right>
      <top style="thin">
        <color auto="1"/>
      </top>
      <bottom/>
      <diagonal/>
    </border>
    <border>
      <left style="thin">
        <color auto="1"/>
      </left>
      <right style="dashDotDot">
        <color auto="1"/>
      </right>
      <top/>
      <bottom/>
      <diagonal/>
    </border>
    <border>
      <left style="thin">
        <color auto="1"/>
      </left>
      <right style="dashDotDot">
        <color auto="1"/>
      </right>
      <top/>
      <bottom style="thin">
        <color auto="1"/>
      </bottom>
      <diagonal/>
    </border>
    <border>
      <left style="dashDot">
        <color auto="1"/>
      </left>
      <right style="thin">
        <color auto="1"/>
      </right>
      <top style="thin">
        <color auto="1"/>
      </top>
      <bottom/>
      <diagonal/>
    </border>
    <border>
      <left style="dashDot">
        <color auto="1"/>
      </left>
      <right style="thin">
        <color auto="1"/>
      </right>
      <top/>
      <bottom/>
      <diagonal/>
    </border>
    <border>
      <left style="dashDot">
        <color auto="1"/>
      </left>
      <right style="thin">
        <color auto="1"/>
      </right>
      <top/>
      <bottom style="thin">
        <color auto="1"/>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theme="0" tint="-0.34998626667073579"/>
      </bottom>
      <diagonal/>
    </border>
    <border>
      <left/>
      <right/>
      <top style="medium">
        <color indexed="64"/>
      </top>
      <bottom style="medium">
        <color theme="0" tint="-0.34998626667073579"/>
      </bottom>
      <diagonal/>
    </border>
    <border>
      <left/>
      <right style="medium">
        <color theme="0" tint="-0.34998626667073579"/>
      </right>
      <top style="medium">
        <color indexed="64"/>
      </top>
      <bottom style="medium">
        <color theme="0" tint="-0.34998626667073579"/>
      </bottom>
      <diagonal/>
    </border>
    <border>
      <left style="medium">
        <color indexed="64"/>
      </left>
      <right/>
      <top style="medium">
        <color theme="0" tint="-0.34998626667073579"/>
      </top>
      <bottom style="medium">
        <color theme="0" tint="-0.34998626667073579"/>
      </bottom>
      <diagonal/>
    </border>
    <border>
      <left/>
      <right/>
      <top style="medium">
        <color theme="0" tint="-0.34998626667073579"/>
      </top>
      <bottom style="medium">
        <color theme="0" tint="-0.34998626667073579"/>
      </bottom>
      <diagonal/>
    </border>
    <border>
      <left/>
      <right style="medium">
        <color theme="0" tint="-0.34998626667073579"/>
      </right>
      <top style="medium">
        <color theme="0" tint="-0.34998626667073579"/>
      </top>
      <bottom style="medium">
        <color theme="0" tint="-0.34998626667073579"/>
      </bottom>
      <diagonal/>
    </border>
    <border>
      <left style="medium">
        <color theme="0" tint="-0.34998626667073579"/>
      </left>
      <right/>
      <top style="medium">
        <color theme="0" tint="-0.34998626667073579"/>
      </top>
      <bottom style="medium">
        <color theme="0" tint="-0.34998626667073579"/>
      </bottom>
      <diagonal/>
    </border>
    <border>
      <left/>
      <right style="medium">
        <color indexed="64"/>
      </right>
      <top style="medium">
        <color theme="0" tint="-0.34998626667073579"/>
      </top>
      <bottom style="medium">
        <color theme="0" tint="-0.34998626667073579"/>
      </bottom>
      <diagonal/>
    </border>
    <border>
      <left style="medium">
        <color theme="0" tint="-0.34998626667073579"/>
      </left>
      <right/>
      <top style="medium">
        <color indexed="64"/>
      </top>
      <bottom style="medium">
        <color theme="0" tint="-0.34998626667073579"/>
      </bottom>
      <diagonal/>
    </border>
    <border>
      <left/>
      <right style="medium">
        <color indexed="64"/>
      </right>
      <top style="medium">
        <color indexed="64"/>
      </top>
      <bottom style="medium">
        <color theme="0" tint="-0.34998626667073579"/>
      </bottom>
      <diagonal/>
    </border>
    <border>
      <left style="medium">
        <color indexed="64"/>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right style="medium">
        <color theme="0" tint="-0.34998626667073579"/>
      </right>
      <top/>
      <bottom style="medium">
        <color indexed="64"/>
      </bottom>
      <diagonal/>
    </border>
    <border>
      <left style="medium">
        <color theme="0" tint="-0.34998626667073579"/>
      </left>
      <right/>
      <top style="medium">
        <color theme="0" tint="-0.34998626667073579"/>
      </top>
      <bottom/>
      <diagonal/>
    </border>
    <border>
      <left/>
      <right style="medium">
        <color indexed="64"/>
      </right>
      <top style="medium">
        <color theme="0" tint="-0.34998626667073579"/>
      </top>
      <bottom/>
      <diagonal/>
    </border>
    <border>
      <left style="medium">
        <color theme="0" tint="-0.34998626667073579"/>
      </left>
      <right/>
      <top/>
      <bottom style="medium">
        <color indexed="64"/>
      </bottom>
      <diagonal/>
    </border>
    <border>
      <left/>
      <right/>
      <top style="medium">
        <color theme="0" tint="-0.34998626667073579"/>
      </top>
      <bottom style="medium">
        <color indexed="64"/>
      </bottom>
      <diagonal/>
    </border>
    <border>
      <left style="medium">
        <color theme="0" tint="-0.34998626667073579"/>
      </left>
      <right/>
      <top style="medium">
        <color theme="0" tint="-0.34998626667073579"/>
      </top>
      <bottom style="medium">
        <color indexed="64"/>
      </bottom>
      <diagonal/>
    </border>
    <border>
      <left/>
      <right style="medium">
        <color indexed="64"/>
      </right>
      <top style="medium">
        <color theme="0" tint="-0.34998626667073579"/>
      </top>
      <bottom style="medium">
        <color indexed="64"/>
      </bottom>
      <diagonal/>
    </border>
    <border>
      <left/>
      <right style="medium">
        <color theme="0" tint="-0.34998626667073579"/>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rgb="FFCCCCCC"/>
      </right>
      <top/>
      <bottom style="medium">
        <color rgb="FFCCCCCC"/>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style="medium">
        <color theme="0" tint="-0.14993743705557422"/>
      </left>
      <right style="medium">
        <color theme="0" tint="-0.14993743705557422"/>
      </right>
      <top style="medium">
        <color theme="0" tint="-0.14993743705557422"/>
      </top>
      <bottom style="medium">
        <color theme="0" tint="-0.14993743705557422"/>
      </bottom>
      <diagonal/>
    </border>
    <border>
      <left/>
      <right style="medium">
        <color theme="0" tint="-0.14993743705557422"/>
      </right>
      <top/>
      <bottom/>
      <diagonal/>
    </border>
    <border>
      <left style="medium">
        <color theme="0" tint="-0.14993743705557422"/>
      </left>
      <right/>
      <top style="medium">
        <color theme="0" tint="-0.14993743705557422"/>
      </top>
      <bottom style="medium">
        <color theme="0" tint="-0.14993743705557422"/>
      </bottom>
      <diagonal/>
    </border>
    <border>
      <left/>
      <right/>
      <top style="medium">
        <color theme="0" tint="-0.14993743705557422"/>
      </top>
      <bottom style="medium">
        <color theme="0" tint="-0.14993743705557422"/>
      </bottom>
      <diagonal/>
    </border>
    <border>
      <left/>
      <right style="medium">
        <color theme="0" tint="-0.14993743705557422"/>
      </right>
      <top style="medium">
        <color theme="0" tint="-0.14993743705557422"/>
      </top>
      <bottom style="medium">
        <color theme="0" tint="-0.14993743705557422"/>
      </bottom>
      <diagonal/>
    </border>
    <border>
      <left style="medium">
        <color theme="0" tint="-0.14993743705557422"/>
      </left>
      <right style="medium">
        <color theme="0" tint="-0.14993743705557422"/>
      </right>
      <top style="medium">
        <color theme="0" tint="-0.14993743705557422"/>
      </top>
      <bottom/>
      <diagonal/>
    </border>
    <border>
      <left style="medium">
        <color theme="0" tint="-0.14993743705557422"/>
      </left>
      <right style="medium">
        <color theme="0" tint="-0.14993743705557422"/>
      </right>
      <top/>
      <bottom style="medium">
        <color theme="0" tint="-0.14993743705557422"/>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right/>
      <top/>
      <bottom style="medium">
        <color rgb="FFCCCCCC"/>
      </bottom>
      <diagonal/>
    </border>
    <border>
      <left/>
      <right style="medium">
        <color rgb="FFCCCCCC"/>
      </right>
      <top/>
      <bottom/>
      <diagonal/>
    </border>
    <border>
      <left style="medium">
        <color rgb="FFCCCCCC"/>
      </left>
      <right style="medium">
        <color rgb="FFCCCCCC"/>
      </right>
      <top/>
      <bottom/>
      <diagonal/>
    </border>
    <border>
      <left style="medium">
        <color rgb="FFCCCCCC"/>
      </left>
      <right style="medium">
        <color rgb="FFCCCCCC"/>
      </right>
      <top style="medium">
        <color rgb="FFCCCCCC"/>
      </top>
      <bottom/>
      <diagonal/>
    </border>
    <border>
      <left/>
      <right style="medium">
        <color rgb="FFCCCCCC"/>
      </right>
      <top style="medium">
        <color rgb="FFCCCCCC"/>
      </top>
      <bottom/>
      <diagonal/>
    </border>
    <border>
      <left style="medium">
        <color theme="0" tint="-0.14996795556505021"/>
      </left>
      <right style="medium">
        <color theme="0" tint="-0.14996795556505021"/>
      </right>
      <top style="medium">
        <color theme="0" tint="-0.14996795556505021"/>
      </top>
      <bottom style="medium">
        <color theme="0" tint="-0.14996795556505021"/>
      </bottom>
      <diagonal/>
    </border>
    <border>
      <left style="medium">
        <color theme="0" tint="-0.14996795556505021"/>
      </left>
      <right style="medium">
        <color theme="0" tint="-0.14996795556505021"/>
      </right>
      <top/>
      <bottom style="medium">
        <color theme="0" tint="-0.1499679555650502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diagonal/>
    </border>
    <border>
      <left style="thin">
        <color indexed="64"/>
      </left>
      <right style="thin">
        <color theme="0" tint="-0.499984740745262"/>
      </right>
      <top style="thin">
        <color indexed="64"/>
      </top>
      <bottom style="thin">
        <color indexed="64"/>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indexed="64"/>
      </right>
      <top style="thin">
        <color theme="0" tint="-0.499984740745262"/>
      </top>
      <bottom style="thin">
        <color indexed="64"/>
      </bottom>
      <diagonal/>
    </border>
    <border>
      <left style="thin">
        <color indexed="64"/>
      </left>
      <right style="thin">
        <color indexed="64"/>
      </right>
      <top style="thin">
        <color theme="0" tint="-0.499984740745262"/>
      </top>
      <bottom style="thin">
        <color indexed="64"/>
      </bottom>
      <diagonal/>
    </border>
    <border>
      <left style="thin">
        <color indexed="64"/>
      </left>
      <right style="thin">
        <color theme="0" tint="-0.499984740745262"/>
      </right>
      <top style="thin">
        <color theme="0" tint="-0.499984740745262"/>
      </top>
      <bottom style="thin">
        <color indexed="64"/>
      </bottom>
      <diagonal/>
    </border>
    <border>
      <left style="thin">
        <color theme="0" tint="-0.499984740745262"/>
      </left>
      <right style="thin">
        <color indexed="64"/>
      </right>
      <top style="thin">
        <color indexed="64"/>
      </top>
      <bottom style="thin">
        <color indexed="64"/>
      </bottom>
      <diagonal/>
    </border>
    <border>
      <left style="thin">
        <color theme="0" tint="-0.499984740745262"/>
      </left>
      <right style="thin">
        <color indexed="64"/>
      </right>
      <top style="thin">
        <color indexed="64"/>
      </top>
      <bottom style="thin">
        <color theme="0" tint="-0.499984740745262"/>
      </bottom>
      <diagonal/>
    </border>
    <border>
      <left style="thin">
        <color indexed="64"/>
      </left>
      <right style="thin">
        <color indexed="64"/>
      </right>
      <top style="thin">
        <color indexed="64"/>
      </top>
      <bottom style="thin">
        <color theme="0" tint="-0.499984740745262"/>
      </bottom>
      <diagonal/>
    </border>
    <border>
      <left style="thin">
        <color indexed="64"/>
      </left>
      <right style="thin">
        <color theme="0" tint="-0.499984740745262"/>
      </right>
      <top style="thin">
        <color indexed="64"/>
      </top>
      <bottom style="thin">
        <color theme="0" tint="-0.499984740745262"/>
      </bottom>
      <diagonal/>
    </border>
    <border>
      <left style="thin">
        <color theme="0" tint="-0.499984740745262"/>
      </left>
      <right style="thin">
        <color theme="0" tint="-0.499984740745262"/>
      </right>
      <top/>
      <bottom/>
      <diagonal/>
    </border>
  </borders>
  <cellStyleXfs count="45">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3" fillId="4" borderId="0" applyNumberFormat="0" applyBorder="0" applyAlignment="0" applyProtection="0"/>
    <xf numFmtId="0" fontId="4" fillId="16" borderId="1" applyNumberFormat="0" applyAlignment="0" applyProtection="0"/>
    <xf numFmtId="0" fontId="5" fillId="17" borderId="2" applyNumberFormat="0" applyAlignment="0" applyProtection="0"/>
    <xf numFmtId="0" fontId="6" fillId="0" borderId="3" applyNumberFormat="0" applyFill="0" applyAlignment="0" applyProtection="0"/>
    <xf numFmtId="0" fontId="7" fillId="0" borderId="0" applyNumberFormat="0" applyFill="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21" borderId="0" applyNumberFormat="0" applyBorder="0" applyAlignment="0" applyProtection="0"/>
    <xf numFmtId="0" fontId="8" fillId="7" borderId="1" applyNumberFormat="0" applyAlignment="0" applyProtection="0"/>
    <xf numFmtId="0" fontId="9" fillId="3" borderId="0" applyNumberFormat="0" applyBorder="0" applyAlignment="0" applyProtection="0"/>
    <xf numFmtId="167" fontId="22" fillId="0" borderId="0" applyFill="0" applyBorder="0" applyAlignment="0" applyProtection="0"/>
    <xf numFmtId="0" fontId="10" fillId="22" borderId="0" applyNumberFormat="0" applyBorder="0" applyAlignment="0" applyProtection="0"/>
    <xf numFmtId="0" fontId="22" fillId="23" borderId="4" applyNumberFormat="0" applyAlignment="0" applyProtection="0"/>
    <xf numFmtId="0" fontId="11" fillId="16" borderId="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5" fillId="0" borderId="6" applyNumberFormat="0" applyFill="0" applyAlignment="0" applyProtection="0"/>
    <xf numFmtId="0" fontId="16" fillId="0" borderId="7" applyNumberFormat="0" applyFill="0" applyAlignment="0" applyProtection="0"/>
    <xf numFmtId="0" fontId="7" fillId="0" borderId="8" applyNumberFormat="0" applyFill="0" applyAlignment="0" applyProtection="0"/>
    <xf numFmtId="0" fontId="17" fillId="0" borderId="9" applyNumberFormat="0" applyFill="0" applyAlignment="0" applyProtection="0"/>
    <xf numFmtId="0" fontId="30" fillId="0" borderId="0" applyNumberFormat="0" applyFill="0" applyBorder="0" applyAlignment="0" applyProtection="0">
      <alignment vertical="top"/>
      <protection locked="0"/>
    </xf>
    <xf numFmtId="43" fontId="22" fillId="0" borderId="0" applyFont="0" applyFill="0" applyBorder="0" applyAlignment="0" applyProtection="0"/>
  </cellStyleXfs>
  <cellXfs count="940">
    <xf numFmtId="0" fontId="0" fillId="0" borderId="0" xfId="0"/>
    <xf numFmtId="164" fontId="18" fillId="25" borderId="10" xfId="0" applyNumberFormat="1" applyFont="1" applyFill="1" applyBorder="1" applyAlignment="1" applyProtection="1">
      <alignment horizontal="center" vertical="center" wrapText="1"/>
    </xf>
    <xf numFmtId="164" fontId="18" fillId="33" borderId="10" xfId="0" applyNumberFormat="1" applyFont="1" applyFill="1" applyBorder="1" applyAlignment="1" applyProtection="1">
      <alignment horizontal="center" vertical="center" wrapText="1"/>
    </xf>
    <xf numFmtId="164" fontId="18" fillId="0" borderId="10" xfId="0" applyNumberFormat="1" applyFont="1" applyFill="1" applyBorder="1" applyAlignment="1" applyProtection="1">
      <alignment horizontal="center" vertical="center" wrapText="1"/>
    </xf>
    <xf numFmtId="168" fontId="18" fillId="25" borderId="10" xfId="0" applyNumberFormat="1" applyFont="1" applyFill="1" applyBorder="1" applyAlignment="1" applyProtection="1">
      <alignment horizontal="center" vertical="center" wrapText="1"/>
    </xf>
    <xf numFmtId="164" fontId="36" fillId="25" borderId="10" xfId="0" applyNumberFormat="1" applyFont="1" applyFill="1" applyBorder="1" applyAlignment="1" applyProtection="1">
      <alignment horizontal="center" vertical="center" wrapText="1"/>
    </xf>
    <xf numFmtId="164" fontId="36" fillId="0" borderId="10" xfId="0" applyNumberFormat="1" applyFont="1" applyFill="1" applyBorder="1" applyAlignment="1" applyProtection="1">
      <alignment horizontal="center" vertical="center" wrapText="1"/>
    </xf>
    <xf numFmtId="164" fontId="33" fillId="0" borderId="10" xfId="0" applyNumberFormat="1" applyFont="1" applyFill="1" applyBorder="1" applyAlignment="1" applyProtection="1">
      <alignment horizontal="center" vertical="center" wrapText="1"/>
    </xf>
    <xf numFmtId="164" fontId="33" fillId="25" borderId="10" xfId="0" applyNumberFormat="1" applyFont="1" applyFill="1" applyBorder="1" applyAlignment="1" applyProtection="1">
      <alignment horizontal="center" vertical="center" wrapText="1"/>
    </xf>
    <xf numFmtId="0" fontId="19" fillId="0" borderId="0" xfId="0" applyNumberFormat="1" applyFont="1" applyFill="1" applyAlignment="1" applyProtection="1">
      <alignment horizontal="center" vertical="center" wrapText="1"/>
    </xf>
    <xf numFmtId="0" fontId="23" fillId="25" borderId="10" xfId="0" applyNumberFormat="1" applyFont="1" applyFill="1" applyBorder="1" applyAlignment="1" applyProtection="1">
      <alignment horizontal="left" vertical="center" wrapText="1"/>
    </xf>
    <xf numFmtId="0" fontId="19" fillId="0" borderId="10" xfId="0" applyNumberFormat="1" applyFont="1" applyFill="1" applyBorder="1" applyAlignment="1" applyProtection="1">
      <alignment horizontal="center" vertical="center" wrapText="1"/>
    </xf>
    <xf numFmtId="0" fontId="24" fillId="0" borderId="0" xfId="0" applyNumberFormat="1" applyFont="1" applyFill="1" applyBorder="1" applyAlignment="1" applyProtection="1">
      <alignment vertical="center" wrapText="1"/>
    </xf>
    <xf numFmtId="0" fontId="24" fillId="0" borderId="16" xfId="0" applyNumberFormat="1" applyFont="1" applyFill="1" applyBorder="1" applyAlignment="1" applyProtection="1">
      <alignment vertical="center" wrapText="1"/>
    </xf>
    <xf numFmtId="0" fontId="24" fillId="0" borderId="22" xfId="0" applyNumberFormat="1" applyFont="1" applyFill="1" applyBorder="1" applyAlignment="1" applyProtection="1">
      <alignment vertical="center" wrapText="1"/>
    </xf>
    <xf numFmtId="0" fontId="24" fillId="0" borderId="0" xfId="0" applyNumberFormat="1" applyFont="1" applyFill="1" applyBorder="1" applyAlignment="1" applyProtection="1">
      <alignment horizontal="center" vertical="center" wrapText="1"/>
    </xf>
    <xf numFmtId="168" fontId="18" fillId="0" borderId="0" xfId="0" applyNumberFormat="1" applyFont="1" applyFill="1" applyBorder="1" applyAlignment="1" applyProtection="1">
      <alignment horizontal="center" vertical="center" wrapText="1"/>
    </xf>
    <xf numFmtId="168" fontId="24" fillId="0" borderId="0" xfId="0" applyNumberFormat="1" applyFont="1" applyFill="1" applyBorder="1" applyAlignment="1" applyProtection="1">
      <alignment horizontal="center" vertical="center" wrapText="1"/>
    </xf>
    <xf numFmtId="164" fontId="18" fillId="0" borderId="0" xfId="0" applyNumberFormat="1" applyFont="1" applyFill="1" applyBorder="1" applyAlignment="1" applyProtection="1">
      <alignment horizontal="center" vertical="center" wrapText="1"/>
    </xf>
    <xf numFmtId="168" fontId="18" fillId="0" borderId="0" xfId="0" applyNumberFormat="1" applyFont="1" applyFill="1" applyBorder="1" applyAlignment="1" applyProtection="1">
      <alignment vertical="center" wrapText="1"/>
    </xf>
    <xf numFmtId="164" fontId="34" fillId="0" borderId="0" xfId="0" applyNumberFormat="1" applyFont="1" applyFill="1" applyBorder="1" applyAlignment="1" applyProtection="1">
      <alignment horizontal="center" vertical="center" wrapText="1"/>
    </xf>
    <xf numFmtId="168" fontId="18" fillId="0" borderId="0" xfId="0" applyNumberFormat="1" applyFont="1" applyFill="1" applyBorder="1" applyAlignment="1" applyProtection="1">
      <alignment horizontal="left" vertical="center" wrapText="1"/>
    </xf>
    <xf numFmtId="0" fontId="24" fillId="0" borderId="0" xfId="0" applyNumberFormat="1" applyFont="1" applyFill="1" applyBorder="1" applyAlignment="1" applyProtection="1">
      <alignment horizontal="left" vertical="center" wrapText="1"/>
    </xf>
    <xf numFmtId="166" fontId="18" fillId="0" borderId="17" xfId="0" applyNumberFormat="1" applyFont="1" applyFill="1" applyBorder="1" applyAlignment="1" applyProtection="1">
      <alignment horizontal="center" vertical="center" wrapText="1"/>
    </xf>
    <xf numFmtId="166" fontId="18" fillId="0" borderId="19" xfId="0" applyNumberFormat="1" applyFont="1" applyFill="1" applyBorder="1" applyAlignment="1" applyProtection="1">
      <alignment horizontal="center" vertical="center" wrapText="1"/>
    </xf>
    <xf numFmtId="0" fontId="24" fillId="29" borderId="0" xfId="0" applyNumberFormat="1" applyFont="1" applyFill="1" applyBorder="1" applyAlignment="1" applyProtection="1">
      <alignment vertical="center" wrapText="1"/>
    </xf>
    <xf numFmtId="0" fontId="24" fillId="29" borderId="0" xfId="0" applyNumberFormat="1" applyFont="1" applyFill="1" applyBorder="1" applyAlignment="1" applyProtection="1">
      <alignment horizontal="left" vertical="center" wrapText="1"/>
    </xf>
    <xf numFmtId="0" fontId="18" fillId="0" borderId="0" xfId="0" applyFont="1" applyFill="1" applyAlignment="1" applyProtection="1">
      <alignment vertical="center"/>
    </xf>
    <xf numFmtId="0" fontId="18" fillId="0" borderId="0" xfId="0" applyFont="1" applyFill="1" applyAlignment="1" applyProtection="1">
      <alignment horizontal="left" vertical="center"/>
    </xf>
    <xf numFmtId="0" fontId="24" fillId="0" borderId="20" xfId="0" applyNumberFormat="1" applyFont="1" applyFill="1" applyBorder="1" applyAlignment="1" applyProtection="1">
      <alignment vertical="center" wrapText="1"/>
    </xf>
    <xf numFmtId="164" fontId="24" fillId="0" borderId="0" xfId="0" applyNumberFormat="1" applyFont="1" applyFill="1" applyBorder="1" applyAlignment="1" applyProtection="1">
      <alignment horizontal="center" vertical="center" wrapText="1"/>
    </xf>
    <xf numFmtId="164" fontId="19" fillId="0" borderId="0" xfId="0" applyNumberFormat="1" applyFont="1" applyFill="1" applyBorder="1" applyAlignment="1" applyProtection="1">
      <alignment horizontal="center" vertical="center" wrapText="1"/>
    </xf>
    <xf numFmtId="0" fontId="18" fillId="0" borderId="0" xfId="0" applyNumberFormat="1" applyFont="1" applyFill="1" applyBorder="1" applyAlignment="1" applyProtection="1">
      <alignment vertical="center" wrapText="1"/>
    </xf>
    <xf numFmtId="168" fontId="19" fillId="0" borderId="0" xfId="0" applyNumberFormat="1" applyFont="1" applyFill="1" applyBorder="1" applyAlignment="1" applyProtection="1">
      <alignment vertical="center" wrapText="1"/>
    </xf>
    <xf numFmtId="0" fontId="20" fillId="0" borderId="0" xfId="0" applyNumberFormat="1" applyFont="1" applyFill="1" applyBorder="1" applyAlignment="1" applyProtection="1">
      <alignment horizontal="left" vertical="center" wrapText="1"/>
    </xf>
    <xf numFmtId="0" fontId="20" fillId="0" borderId="0" xfId="0" applyNumberFormat="1" applyFont="1" applyFill="1" applyBorder="1" applyAlignment="1" applyProtection="1">
      <alignment horizontal="center" vertical="center" wrapText="1"/>
    </xf>
    <xf numFmtId="164" fontId="19" fillId="0" borderId="0" xfId="0" applyNumberFormat="1" applyFont="1" applyFill="1" applyBorder="1" applyAlignment="1" applyProtection="1">
      <alignment vertical="center" wrapText="1"/>
    </xf>
    <xf numFmtId="0" fontId="18" fillId="0" borderId="0" xfId="0" applyNumberFormat="1" applyFont="1" applyFill="1" applyAlignment="1" applyProtection="1">
      <alignment vertical="center" wrapText="1"/>
    </xf>
    <xf numFmtId="0" fontId="24" fillId="0" borderId="0" xfId="0" applyNumberFormat="1" applyFont="1" applyFill="1" applyAlignment="1" applyProtection="1">
      <alignment horizontal="center" vertical="center" wrapText="1"/>
    </xf>
    <xf numFmtId="168" fontId="18" fillId="0" borderId="0" xfId="0" applyNumberFormat="1" applyFont="1" applyFill="1" applyAlignment="1" applyProtection="1">
      <alignment vertical="center" wrapText="1"/>
    </xf>
    <xf numFmtId="168" fontId="18" fillId="0" borderId="0" xfId="0" applyNumberFormat="1" applyFont="1" applyFill="1" applyBorder="1" applyAlignment="1" applyProtection="1">
      <alignment horizontal="right" vertical="center" wrapText="1"/>
    </xf>
    <xf numFmtId="165" fontId="19" fillId="0" borderId="0" xfId="32" applyNumberFormat="1" applyFont="1" applyFill="1" applyBorder="1" applyAlignment="1" applyProtection="1">
      <alignment horizontal="center" vertical="center" wrapText="1"/>
    </xf>
    <xf numFmtId="0" fontId="33" fillId="0" borderId="0" xfId="0" applyNumberFormat="1" applyFont="1" applyFill="1" applyBorder="1" applyAlignment="1" applyProtection="1">
      <alignment horizontal="center" vertical="center" wrapText="1"/>
    </xf>
    <xf numFmtId="164" fontId="36" fillId="0" borderId="0" xfId="0" applyNumberFormat="1" applyFont="1" applyFill="1" applyBorder="1" applyAlignment="1" applyProtection="1">
      <alignment horizontal="center" vertical="center" wrapText="1"/>
    </xf>
    <xf numFmtId="0" fontId="31" fillId="0" borderId="0" xfId="0" applyFont="1" applyProtection="1"/>
    <xf numFmtId="0" fontId="25" fillId="0" borderId="0" xfId="0" applyFont="1" applyProtection="1"/>
    <xf numFmtId="14" fontId="18" fillId="0" borderId="0" xfId="0" applyNumberFormat="1" applyFont="1" applyFill="1" applyBorder="1" applyAlignment="1" applyProtection="1">
      <alignment vertical="center" wrapText="1"/>
    </xf>
    <xf numFmtId="42" fontId="19" fillId="0" borderId="10" xfId="0" applyNumberFormat="1" applyFont="1" applyFill="1" applyBorder="1" applyAlignment="1" applyProtection="1">
      <alignment vertical="center" wrapText="1"/>
    </xf>
    <xf numFmtId="0" fontId="18" fillId="0" borderId="0" xfId="0" applyFont="1" applyProtection="1">
      <protection hidden="1"/>
    </xf>
    <xf numFmtId="0" fontId="18" fillId="0" borderId="0" xfId="0" applyFont="1" applyProtection="1">
      <protection locked="0"/>
    </xf>
    <xf numFmtId="0" fontId="18" fillId="0" borderId="0" xfId="0" quotePrefix="1" applyFont="1" applyProtection="1">
      <protection locked="0"/>
    </xf>
    <xf numFmtId="43" fontId="47" fillId="0" borderId="47" xfId="44" applyNumberFormat="1" applyFont="1" applyBorder="1" applyProtection="1">
      <protection locked="0"/>
    </xf>
    <xf numFmtId="43" fontId="48" fillId="0" borderId="0" xfId="0" applyNumberFormat="1" applyFont="1" applyProtection="1">
      <protection hidden="1"/>
    </xf>
    <xf numFmtId="0" fontId="48" fillId="0" borderId="0" xfId="0" applyFont="1" applyProtection="1">
      <protection hidden="1"/>
    </xf>
    <xf numFmtId="1" fontId="18" fillId="0" borderId="0" xfId="0" applyNumberFormat="1" applyFont="1" applyProtection="1">
      <protection hidden="1"/>
    </xf>
    <xf numFmtId="0" fontId="18" fillId="36" borderId="0" xfId="0" applyFont="1" applyFill="1" applyAlignment="1" applyProtection="1">
      <alignment horizontal="right"/>
      <protection hidden="1"/>
    </xf>
    <xf numFmtId="0" fontId="18" fillId="36" borderId="0" xfId="0" applyFont="1" applyFill="1" applyProtection="1">
      <protection hidden="1"/>
    </xf>
    <xf numFmtId="0" fontId="18" fillId="0" borderId="0" xfId="0" applyFont="1" applyAlignment="1" applyProtection="1">
      <protection hidden="1"/>
    </xf>
    <xf numFmtId="0" fontId="19" fillId="0" borderId="0" xfId="0" applyFont="1" applyFill="1" applyBorder="1" applyAlignment="1" applyProtection="1">
      <alignment vertical="center" wrapText="1"/>
    </xf>
    <xf numFmtId="0" fontId="23" fillId="0" borderId="0" xfId="0" applyFont="1" applyBorder="1" applyAlignment="1" applyProtection="1">
      <alignment vertical="center"/>
    </xf>
    <xf numFmtId="0" fontId="18" fillId="0" borderId="0" xfId="0" applyNumberFormat="1" applyFont="1" applyFill="1" applyBorder="1" applyAlignment="1" applyProtection="1">
      <alignment horizontal="right" vertical="center" wrapText="1"/>
    </xf>
    <xf numFmtId="170" fontId="18" fillId="0" borderId="0" xfId="0" applyNumberFormat="1" applyFont="1" applyFill="1" applyBorder="1" applyAlignment="1" applyProtection="1">
      <alignment horizontal="right" vertical="center" wrapText="1"/>
    </xf>
    <xf numFmtId="0" fontId="18" fillId="0" borderId="0" xfId="0" applyNumberFormat="1" applyFont="1" applyFill="1" applyAlignment="1" applyProtection="1">
      <alignment horizontal="left" vertical="center" wrapText="1"/>
    </xf>
    <xf numFmtId="169" fontId="18" fillId="0" borderId="10" xfId="0" applyNumberFormat="1" applyFont="1" applyFill="1" applyBorder="1" applyAlignment="1" applyProtection="1">
      <alignment horizontal="right" vertical="center" wrapText="1"/>
    </xf>
    <xf numFmtId="0" fontId="18" fillId="0" borderId="48" xfId="0" applyNumberFormat="1" applyFont="1" applyFill="1" applyBorder="1" applyAlignment="1" applyProtection="1">
      <alignment horizontal="center" vertical="center" wrapText="1"/>
    </xf>
    <xf numFmtId="0" fontId="18" fillId="35" borderId="32" xfId="0" applyFont="1" applyFill="1" applyBorder="1" applyAlignment="1" applyProtection="1">
      <alignment horizontal="center" vertical="center" wrapText="1"/>
    </xf>
    <xf numFmtId="0" fontId="19" fillId="35" borderId="32" xfId="0" applyFont="1" applyFill="1" applyBorder="1" applyAlignment="1" applyProtection="1">
      <alignment horizontal="center" vertical="center" wrapText="1"/>
    </xf>
    <xf numFmtId="0" fontId="19" fillId="35" borderId="33" xfId="0" applyFont="1" applyFill="1" applyBorder="1" applyAlignment="1" applyProtection="1">
      <alignment horizontal="center" vertical="center" wrapText="1"/>
    </xf>
    <xf numFmtId="0" fontId="42" fillId="0" borderId="0" xfId="0" applyNumberFormat="1" applyFont="1" applyAlignment="1" applyProtection="1">
      <alignment vertical="center"/>
    </xf>
    <xf numFmtId="0" fontId="42" fillId="0" borderId="0" xfId="0" applyNumberFormat="1" applyFont="1" applyBorder="1" applyAlignment="1" applyProtection="1">
      <alignment vertical="center"/>
    </xf>
    <xf numFmtId="2" fontId="42" fillId="0" borderId="0" xfId="0" applyNumberFormat="1" applyFont="1" applyAlignment="1" applyProtection="1">
      <alignment horizontal="center" vertical="center"/>
    </xf>
    <xf numFmtId="0" fontId="54" fillId="0" borderId="0" xfId="0" applyNumberFormat="1" applyFont="1" applyFill="1" applyBorder="1" applyAlignment="1" applyProtection="1">
      <alignment vertical="center"/>
    </xf>
    <xf numFmtId="10" fontId="42" fillId="0" borderId="0" xfId="0" applyNumberFormat="1" applyFont="1" applyFill="1" applyBorder="1" applyAlignment="1" applyProtection="1">
      <alignment vertical="center"/>
    </xf>
    <xf numFmtId="169" fontId="42" fillId="0" borderId="0" xfId="0" applyNumberFormat="1" applyFont="1" applyFill="1" applyBorder="1" applyAlignment="1" applyProtection="1">
      <alignment horizontal="center" vertical="center"/>
    </xf>
    <xf numFmtId="0" fontId="42" fillId="0" borderId="0" xfId="0" applyNumberFormat="1" applyFont="1" applyFill="1" applyBorder="1" applyAlignment="1" applyProtection="1">
      <alignment vertical="center"/>
    </xf>
    <xf numFmtId="0" fontId="26" fillId="0" borderId="0" xfId="0" applyFont="1" applyFill="1" applyBorder="1" applyAlignment="1" applyProtection="1">
      <alignment vertical="center"/>
    </xf>
    <xf numFmtId="0" fontId="18" fillId="35" borderId="35" xfId="0" applyFont="1" applyFill="1" applyBorder="1" applyAlignment="1" applyProtection="1">
      <alignment horizontal="center" vertical="center" wrapText="1"/>
    </xf>
    <xf numFmtId="10" fontId="18" fillId="35" borderId="35" xfId="0" applyNumberFormat="1" applyFont="1" applyFill="1" applyBorder="1" applyAlignment="1" applyProtection="1">
      <alignment horizontal="center" vertical="center" wrapText="1"/>
    </xf>
    <xf numFmtId="0" fontId="18" fillId="0" borderId="0" xfId="0" applyFont="1" applyFill="1" applyBorder="1" applyAlignment="1" applyProtection="1">
      <alignment vertical="center" wrapText="1"/>
    </xf>
    <xf numFmtId="0" fontId="18" fillId="35" borderId="36" xfId="0" applyFont="1" applyFill="1" applyBorder="1" applyAlignment="1" applyProtection="1">
      <alignment horizontal="center" vertical="center" wrapText="1"/>
    </xf>
    <xf numFmtId="0" fontId="43" fillId="0" borderId="0" xfId="0" applyFont="1" applyFill="1" applyBorder="1" applyAlignment="1" applyProtection="1">
      <alignment vertical="center" wrapText="1"/>
    </xf>
    <xf numFmtId="0" fontId="42" fillId="0" borderId="0" xfId="0" applyNumberFormat="1" applyFont="1" applyFill="1" applyBorder="1" applyAlignment="1" applyProtection="1">
      <alignment horizontal="center" vertical="center"/>
    </xf>
    <xf numFmtId="0" fontId="18" fillId="35" borderId="42" xfId="0" applyFont="1" applyFill="1" applyBorder="1" applyAlignment="1" applyProtection="1">
      <alignment horizontal="center" vertical="center" wrapText="1"/>
    </xf>
    <xf numFmtId="0" fontId="42" fillId="0" borderId="41" xfId="0" applyNumberFormat="1" applyFont="1" applyBorder="1" applyAlignment="1" applyProtection="1">
      <alignment horizontal="center" vertical="center"/>
    </xf>
    <xf numFmtId="0" fontId="18" fillId="0" borderId="42" xfId="0" applyNumberFormat="1" applyFont="1" applyFill="1" applyBorder="1" applyAlignment="1" applyProtection="1">
      <alignment horizontal="center" vertical="center" wrapText="1"/>
    </xf>
    <xf numFmtId="0" fontId="18" fillId="0" borderId="0" xfId="0" applyFont="1" applyFill="1" applyBorder="1" applyAlignment="1" applyProtection="1">
      <alignment horizontal="center" vertical="center" wrapText="1"/>
    </xf>
    <xf numFmtId="0" fontId="18" fillId="0" borderId="0" xfId="0" applyFont="1" applyFill="1" applyBorder="1" applyAlignment="1" applyProtection="1">
      <alignment vertical="center" textRotation="90" wrapText="1"/>
    </xf>
    <xf numFmtId="2" fontId="42" fillId="0" borderId="35" xfId="0" applyNumberFormat="1" applyFont="1" applyBorder="1" applyAlignment="1" applyProtection="1">
      <alignment horizontal="center" vertical="center"/>
    </xf>
    <xf numFmtId="0" fontId="56" fillId="37" borderId="55" xfId="0" applyFont="1" applyFill="1" applyBorder="1" applyAlignment="1" applyProtection="1">
      <alignment horizontal="center"/>
    </xf>
    <xf numFmtId="0" fontId="18" fillId="35" borderId="33" xfId="0" applyFont="1" applyFill="1" applyBorder="1" applyAlignment="1" applyProtection="1">
      <alignment vertical="center"/>
    </xf>
    <xf numFmtId="0" fontId="19" fillId="0" borderId="0" xfId="0" applyFont="1" applyFill="1" applyBorder="1" applyAlignment="1" applyProtection="1">
      <alignment vertical="center"/>
    </xf>
    <xf numFmtId="0" fontId="18" fillId="0" borderId="0" xfId="0" applyNumberFormat="1" applyFont="1" applyFill="1" applyBorder="1" applyAlignment="1" applyProtection="1">
      <alignment horizontal="center" vertical="center" wrapText="1"/>
    </xf>
    <xf numFmtId="46" fontId="31" fillId="0" borderId="0" xfId="0" applyNumberFormat="1" applyFont="1" applyFill="1" applyBorder="1" applyAlignment="1" applyProtection="1">
      <alignment vertical="center"/>
    </xf>
    <xf numFmtId="46" fontId="25" fillId="0" borderId="0" xfId="0" applyNumberFormat="1" applyFont="1" applyFill="1" applyBorder="1" applyAlignment="1" applyProtection="1">
      <alignment vertical="center"/>
    </xf>
    <xf numFmtId="0" fontId="18" fillId="0" borderId="39" xfId="0" applyFont="1" applyFill="1" applyBorder="1" applyAlignment="1" applyProtection="1">
      <alignment vertical="center"/>
    </xf>
    <xf numFmtId="2" fontId="42" fillId="0" borderId="0" xfId="0" applyNumberFormat="1" applyFont="1" applyFill="1" applyAlignment="1" applyProtection="1">
      <alignment horizontal="center" vertical="center"/>
    </xf>
    <xf numFmtId="168" fontId="19" fillId="0" borderId="0" xfId="0" applyNumberFormat="1" applyFont="1" applyFill="1" applyBorder="1" applyAlignment="1" applyProtection="1">
      <alignment horizontal="center" vertical="center" wrapText="1"/>
    </xf>
    <xf numFmtId="0" fontId="20" fillId="26"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vertical="center" wrapText="1"/>
    </xf>
    <xf numFmtId="0" fontId="18" fillId="0" borderId="29" xfId="0" applyNumberFormat="1" applyFont="1" applyFill="1" applyBorder="1" applyAlignment="1" applyProtection="1">
      <alignment horizontal="center" vertical="center" wrapText="1"/>
    </xf>
    <xf numFmtId="164" fontId="19" fillId="25" borderId="10" xfId="0" applyNumberFormat="1" applyFont="1" applyFill="1" applyBorder="1" applyAlignment="1" applyProtection="1">
      <alignment horizontal="center" vertical="center" wrapText="1"/>
    </xf>
    <xf numFmtId="0" fontId="19" fillId="25" borderId="10" xfId="0" applyNumberFormat="1" applyFont="1" applyFill="1" applyBorder="1" applyAlignment="1" applyProtection="1">
      <alignment horizontal="center" vertical="center" wrapText="1"/>
    </xf>
    <xf numFmtId="0" fontId="19" fillId="33" borderId="10" xfId="0" applyNumberFormat="1" applyFont="1" applyFill="1" applyBorder="1" applyAlignment="1" applyProtection="1">
      <alignment horizontal="center" vertical="center" wrapText="1"/>
    </xf>
    <xf numFmtId="168" fontId="19" fillId="33" borderId="10" xfId="0" applyNumberFormat="1" applyFont="1" applyFill="1" applyBorder="1" applyAlignment="1" applyProtection="1">
      <alignment horizontal="center" vertical="center" wrapText="1"/>
    </xf>
    <xf numFmtId="0" fontId="19" fillId="0" borderId="11" xfId="0" applyNumberFormat="1" applyFont="1" applyFill="1" applyBorder="1" applyAlignment="1" applyProtection="1">
      <alignment horizontal="center" vertical="center" wrapText="1"/>
    </xf>
    <xf numFmtId="0" fontId="23" fillId="0" borderId="0" xfId="0" applyFont="1" applyBorder="1" applyAlignment="1" applyProtection="1">
      <alignment horizontal="center" vertical="center"/>
    </xf>
    <xf numFmtId="0" fontId="18" fillId="0" borderId="11" xfId="0" applyNumberFormat="1" applyFont="1" applyFill="1" applyBorder="1" applyAlignment="1" applyProtection="1">
      <alignment vertical="center" wrapText="1"/>
    </xf>
    <xf numFmtId="0" fontId="18" fillId="0" borderId="15" xfId="0" applyNumberFormat="1" applyFont="1" applyFill="1" applyBorder="1" applyAlignment="1" applyProtection="1">
      <alignment vertical="center" wrapText="1"/>
    </xf>
    <xf numFmtId="0" fontId="19" fillId="25" borderId="10" xfId="0" applyNumberFormat="1" applyFont="1" applyFill="1" applyBorder="1" applyAlignment="1" applyProtection="1">
      <alignment horizontal="left" vertical="center" wrapText="1"/>
    </xf>
    <xf numFmtId="0" fontId="19" fillId="27" borderId="10" xfId="0" applyNumberFormat="1" applyFont="1" applyFill="1" applyBorder="1" applyAlignment="1" applyProtection="1">
      <alignment horizontal="center" vertical="center" wrapText="1"/>
    </xf>
    <xf numFmtId="0" fontId="19" fillId="27" borderId="10" xfId="0" applyNumberFormat="1" applyFont="1" applyFill="1" applyBorder="1" applyAlignment="1" applyProtection="1">
      <alignment horizontal="left" vertical="center" wrapText="1"/>
    </xf>
    <xf numFmtId="0" fontId="19" fillId="0" borderId="0" xfId="0" applyNumberFormat="1" applyFont="1" applyFill="1" applyBorder="1" applyAlignment="1" applyProtection="1">
      <alignment horizontal="center" vertical="center" wrapText="1"/>
    </xf>
    <xf numFmtId="0" fontId="19" fillId="28" borderId="10" xfId="0" applyNumberFormat="1" applyFont="1" applyFill="1" applyBorder="1" applyAlignment="1" applyProtection="1">
      <alignment horizontal="center" vertical="center" wrapText="1"/>
    </xf>
    <xf numFmtId="0" fontId="19" fillId="28" borderId="10" xfId="0" applyNumberFormat="1" applyFont="1" applyFill="1" applyBorder="1" applyAlignment="1" applyProtection="1">
      <alignment horizontal="left" vertical="center" wrapText="1"/>
    </xf>
    <xf numFmtId="0" fontId="19" fillId="30" borderId="10" xfId="0" applyNumberFormat="1" applyFont="1" applyFill="1" applyBorder="1" applyAlignment="1" applyProtection="1">
      <alignment horizontal="center" vertical="center" wrapText="1"/>
    </xf>
    <xf numFmtId="0" fontId="19" fillId="30" borderId="10" xfId="0" applyNumberFormat="1" applyFont="1" applyFill="1" applyBorder="1" applyAlignment="1" applyProtection="1">
      <alignment horizontal="left" vertical="center" wrapText="1"/>
    </xf>
    <xf numFmtId="0" fontId="24" fillId="31" borderId="10" xfId="0" applyNumberFormat="1" applyFont="1" applyFill="1" applyBorder="1" applyAlignment="1" applyProtection="1">
      <alignment horizontal="center" vertical="center" wrapText="1"/>
    </xf>
    <xf numFmtId="0" fontId="24" fillId="31" borderId="10" xfId="0" applyNumberFormat="1" applyFont="1" applyFill="1" applyBorder="1" applyAlignment="1" applyProtection="1">
      <alignment horizontal="left" vertical="center" wrapText="1"/>
    </xf>
    <xf numFmtId="0" fontId="55" fillId="0" borderId="0" xfId="43" applyNumberFormat="1" applyFont="1" applyFill="1" applyBorder="1" applyAlignment="1" applyProtection="1">
      <alignment vertical="center" wrapText="1"/>
    </xf>
    <xf numFmtId="0" fontId="19" fillId="34" borderId="10" xfId="0" applyNumberFormat="1" applyFont="1" applyFill="1" applyBorder="1" applyAlignment="1" applyProtection="1">
      <alignment horizontal="center" vertical="center" wrapText="1"/>
    </xf>
    <xf numFmtId="0" fontId="19" fillId="34" borderId="10" xfId="0" applyNumberFormat="1" applyFont="1" applyFill="1" applyBorder="1" applyAlignment="1" applyProtection="1">
      <alignment horizontal="left" vertical="center" wrapText="1"/>
    </xf>
    <xf numFmtId="168" fontId="20" fillId="26" borderId="10" xfId="0" applyNumberFormat="1" applyFont="1" applyFill="1" applyBorder="1" applyAlignment="1" applyProtection="1">
      <alignment horizontal="center" vertical="center" wrapText="1"/>
    </xf>
    <xf numFmtId="0" fontId="20" fillId="26" borderId="18" xfId="0" applyNumberFormat="1" applyFont="1" applyFill="1" applyBorder="1" applyAlignment="1" applyProtection="1">
      <alignment horizontal="center" vertical="center" wrapText="1"/>
    </xf>
    <xf numFmtId="0" fontId="18" fillId="0" borderId="0" xfId="0" applyNumberFormat="1" applyFont="1" applyFill="1" applyBorder="1" applyAlignment="1" applyProtection="1">
      <alignment horizontal="left" vertical="center" wrapText="1"/>
    </xf>
    <xf numFmtId="42" fontId="24" fillId="0" borderId="0" xfId="0" applyNumberFormat="1" applyFont="1" applyFill="1" applyBorder="1" applyAlignment="1" applyProtection="1">
      <alignment horizontal="center" vertical="center" wrapText="1"/>
    </xf>
    <xf numFmtId="0" fontId="0" fillId="0" borderId="0" xfId="0" applyBorder="1" applyAlignment="1" applyProtection="1">
      <alignment vertical="center"/>
    </xf>
    <xf numFmtId="0" fontId="18" fillId="0" borderId="16" xfId="0" applyNumberFormat="1" applyFont="1" applyFill="1" applyBorder="1" applyAlignment="1" applyProtection="1">
      <alignment vertical="center" wrapText="1"/>
    </xf>
    <xf numFmtId="0" fontId="19" fillId="0" borderId="0" xfId="0" applyNumberFormat="1" applyFont="1" applyFill="1" applyAlignment="1" applyProtection="1">
      <alignment horizontal="left" vertical="center" wrapText="1"/>
    </xf>
    <xf numFmtId="10" fontId="18" fillId="0" borderId="10" xfId="0" applyNumberFormat="1" applyFont="1" applyFill="1" applyBorder="1" applyAlignment="1" applyProtection="1">
      <alignment horizontal="right" vertical="center" wrapText="1"/>
    </xf>
    <xf numFmtId="0" fontId="18" fillId="0" borderId="0" xfId="0" applyNumberFormat="1" applyFont="1" applyFill="1" applyAlignment="1" applyProtection="1">
      <alignment horizontal="center" vertical="center" wrapText="1"/>
    </xf>
    <xf numFmtId="0" fontId="19" fillId="0" borderId="49" xfId="0" applyNumberFormat="1" applyFont="1" applyFill="1" applyBorder="1" applyAlignment="1" applyProtection="1">
      <alignment vertical="center" wrapText="1"/>
    </xf>
    <xf numFmtId="0" fontId="19" fillId="0" borderId="25" xfId="0" applyNumberFormat="1" applyFont="1" applyFill="1" applyBorder="1" applyAlignment="1" applyProtection="1">
      <alignment vertical="center" wrapText="1"/>
    </xf>
    <xf numFmtId="0" fontId="19" fillId="0" borderId="0" xfId="0" applyNumberFormat="1" applyFont="1" applyFill="1" applyBorder="1" applyAlignment="1" applyProtection="1">
      <alignment vertical="center" wrapText="1"/>
    </xf>
    <xf numFmtId="167" fontId="18" fillId="0" borderId="0" xfId="32" applyFont="1" applyFill="1" applyBorder="1" applyAlignment="1" applyProtection="1">
      <alignment vertical="center" wrapText="1"/>
    </xf>
    <xf numFmtId="42" fontId="18" fillId="0" borderId="0" xfId="32" applyNumberFormat="1" applyFont="1" applyFill="1" applyBorder="1" applyAlignment="1" applyProtection="1">
      <alignment vertical="center" wrapText="1"/>
    </xf>
    <xf numFmtId="0" fontId="23" fillId="0" borderId="0" xfId="0" applyFont="1" applyAlignment="1" applyProtection="1">
      <alignment vertical="center"/>
    </xf>
    <xf numFmtId="0" fontId="29" fillId="0" borderId="0" xfId="0" applyFont="1" applyAlignment="1" applyProtection="1">
      <alignment vertical="center"/>
    </xf>
    <xf numFmtId="0" fontId="29" fillId="0" borderId="0" xfId="0" applyFont="1" applyBorder="1" applyAlignment="1" applyProtection="1">
      <alignment vertical="center"/>
    </xf>
    <xf numFmtId="0" fontId="42" fillId="0" borderId="0" xfId="0" applyFont="1" applyAlignment="1" applyProtection="1">
      <alignment vertical="center"/>
    </xf>
    <xf numFmtId="0" fontId="18" fillId="0" borderId="0" xfId="0" applyNumberFormat="1" applyFont="1" applyFill="1" applyAlignment="1" applyProtection="1">
      <alignment horizontal="center" vertical="center" wrapText="1"/>
    </xf>
    <xf numFmtId="10" fontId="36" fillId="0" borderId="10" xfId="0" applyNumberFormat="1" applyFont="1" applyFill="1" applyBorder="1" applyAlignment="1" applyProtection="1">
      <alignment vertical="center" wrapText="1"/>
    </xf>
    <xf numFmtId="10" fontId="42" fillId="0" borderId="0" xfId="0" applyNumberFormat="1" applyFont="1" applyAlignment="1" applyProtection="1">
      <alignment horizontal="center" vertical="center"/>
    </xf>
    <xf numFmtId="0" fontId="36" fillId="0" borderId="10" xfId="0" applyNumberFormat="1" applyFont="1" applyFill="1" applyBorder="1" applyAlignment="1" applyProtection="1">
      <alignment vertical="center" wrapText="1"/>
      <protection locked="0"/>
    </xf>
    <xf numFmtId="0" fontId="49" fillId="0" borderId="0" xfId="0" applyFont="1" applyBorder="1" applyAlignment="1" applyProtection="1">
      <alignment horizontal="center" vertical="center"/>
    </xf>
    <xf numFmtId="0" fontId="60" fillId="0" borderId="0" xfId="0" applyFont="1" applyBorder="1" applyAlignment="1" applyProtection="1">
      <alignment horizontal="center" vertical="center"/>
    </xf>
    <xf numFmtId="0" fontId="60" fillId="0" borderId="0" xfId="0" applyFont="1" applyBorder="1" applyAlignment="1" applyProtection="1">
      <alignment vertical="center"/>
    </xf>
    <xf numFmtId="0" fontId="62" fillId="0" borderId="0" xfId="0" applyNumberFormat="1" applyFont="1" applyFill="1" applyBorder="1" applyAlignment="1" applyProtection="1">
      <alignment horizontal="right" vertical="center" wrapText="1"/>
    </xf>
    <xf numFmtId="173" fontId="36" fillId="0" borderId="10" xfId="0" applyNumberFormat="1" applyFont="1" applyFill="1" applyBorder="1" applyAlignment="1" applyProtection="1">
      <alignment horizontal="right" vertical="center" wrapText="1"/>
      <protection locked="0"/>
    </xf>
    <xf numFmtId="177" fontId="18" fillId="0" borderId="10" xfId="0" applyNumberFormat="1" applyFont="1" applyFill="1" applyBorder="1" applyAlignment="1" applyProtection="1">
      <alignment horizontal="right" vertical="center" wrapText="1"/>
      <protection locked="0"/>
    </xf>
    <xf numFmtId="169" fontId="18" fillId="0" borderId="10" xfId="0" applyNumberFormat="1" applyFont="1" applyFill="1" applyBorder="1" applyAlignment="1" applyProtection="1">
      <alignment horizontal="right" vertical="center" wrapText="1"/>
      <protection locked="0"/>
    </xf>
    <xf numFmtId="175" fontId="18" fillId="0" borderId="10" xfId="0" applyNumberFormat="1" applyFont="1" applyFill="1" applyBorder="1" applyAlignment="1" applyProtection="1">
      <alignment horizontal="right" vertical="center" wrapText="1"/>
      <protection locked="0"/>
    </xf>
    <xf numFmtId="0" fontId="18" fillId="0" borderId="0" xfId="0" applyNumberFormat="1" applyFont="1" applyFill="1" applyAlignment="1" applyProtection="1">
      <alignment vertical="center" wrapText="1"/>
      <protection locked="0"/>
    </xf>
    <xf numFmtId="168" fontId="18" fillId="0" borderId="0" xfId="0" applyNumberFormat="1" applyFont="1" applyFill="1" applyAlignment="1" applyProtection="1">
      <alignment vertical="center" wrapText="1"/>
      <protection locked="0"/>
    </xf>
    <xf numFmtId="0" fontId="18" fillId="0" borderId="0" xfId="0" applyNumberFormat="1" applyFont="1" applyFill="1" applyBorder="1" applyAlignment="1" applyProtection="1">
      <alignment vertical="center" wrapText="1"/>
      <protection locked="0"/>
    </xf>
    <xf numFmtId="10" fontId="42" fillId="0" borderId="0" xfId="0" applyNumberFormat="1" applyFont="1" applyAlignment="1" applyProtection="1">
      <alignment vertical="center"/>
    </xf>
    <xf numFmtId="0" fontId="23" fillId="0" borderId="0" xfId="0" applyFont="1" applyBorder="1" applyAlignment="1" applyProtection="1">
      <alignment vertical="center"/>
      <protection locked="0"/>
    </xf>
    <xf numFmtId="0" fontId="29" fillId="0" borderId="0" xfId="0" applyFont="1" applyBorder="1" applyAlignment="1" applyProtection="1">
      <alignment vertical="center"/>
      <protection locked="0"/>
    </xf>
    <xf numFmtId="0" fontId="18" fillId="0" borderId="0" xfId="0" applyFont="1" applyAlignment="1" applyProtection="1">
      <alignment horizontal="left"/>
      <protection hidden="1"/>
    </xf>
    <xf numFmtId="0" fontId="31" fillId="0" borderId="0" xfId="0" applyFont="1" applyAlignment="1" applyProtection="1">
      <alignment horizontal="center"/>
    </xf>
    <xf numFmtId="164" fontId="33" fillId="0" borderId="10" xfId="0" applyNumberFormat="1" applyFont="1" applyFill="1" applyBorder="1" applyAlignment="1" applyProtection="1">
      <alignment vertical="center" wrapText="1"/>
      <protection locked="0"/>
    </xf>
    <xf numFmtId="164" fontId="36" fillId="0" borderId="10" xfId="0" applyNumberFormat="1" applyFont="1" applyFill="1" applyBorder="1" applyAlignment="1" applyProtection="1">
      <alignment vertical="center" wrapText="1"/>
      <protection locked="0"/>
    </xf>
    <xf numFmtId="0" fontId="33" fillId="0" borderId="10" xfId="0" applyNumberFormat="1" applyFont="1" applyFill="1" applyBorder="1" applyAlignment="1" applyProtection="1">
      <alignment vertical="center" wrapText="1"/>
      <protection locked="0"/>
    </xf>
    <xf numFmtId="168" fontId="18" fillId="25" borderId="10" xfId="0" applyNumberFormat="1" applyFont="1" applyFill="1" applyBorder="1" applyAlignment="1" applyProtection="1">
      <alignment horizontal="center" vertical="center" wrapText="1"/>
      <protection locked="0"/>
    </xf>
    <xf numFmtId="168" fontId="18" fillId="25" borderId="10" xfId="0" applyNumberFormat="1" applyFont="1" applyFill="1" applyBorder="1" applyAlignment="1" applyProtection="1">
      <alignment vertical="center" wrapText="1"/>
      <protection locked="0"/>
    </xf>
    <xf numFmtId="0" fontId="24" fillId="26" borderId="10" xfId="0" applyNumberFormat="1" applyFont="1" applyFill="1" applyBorder="1" applyAlignment="1" applyProtection="1">
      <alignment horizontal="center" vertical="center" wrapText="1"/>
      <protection locked="0"/>
    </xf>
    <xf numFmtId="0" fontId="24" fillId="26" borderId="11" xfId="0" applyNumberFormat="1" applyFont="1" applyFill="1" applyBorder="1" applyAlignment="1" applyProtection="1">
      <alignment horizontal="center" vertical="center" wrapText="1"/>
      <protection locked="0"/>
    </xf>
    <xf numFmtId="0" fontId="18" fillId="0" borderId="48" xfId="0" applyNumberFormat="1" applyFont="1" applyFill="1" applyBorder="1" applyAlignment="1" applyProtection="1">
      <alignment horizontal="center" vertical="center" wrapText="1"/>
      <protection locked="0"/>
    </xf>
    <xf numFmtId="175" fontId="18" fillId="0" borderId="26" xfId="0" applyNumberFormat="1" applyFont="1" applyFill="1" applyBorder="1" applyAlignment="1" applyProtection="1">
      <alignment horizontal="right" vertical="center" wrapText="1"/>
    </xf>
    <xf numFmtId="0" fontId="18" fillId="0" borderId="26" xfId="0" applyNumberFormat="1" applyFont="1" applyFill="1" applyBorder="1" applyAlignment="1" applyProtection="1">
      <alignment horizontal="right" vertical="center" wrapText="1"/>
    </xf>
    <xf numFmtId="14" fontId="18" fillId="0" borderId="26" xfId="0" applyNumberFormat="1" applyFont="1" applyFill="1" applyBorder="1" applyAlignment="1" applyProtection="1">
      <alignment horizontal="right" vertical="center" wrapText="1"/>
    </xf>
    <xf numFmtId="0" fontId="19" fillId="0" borderId="21" xfId="0" applyNumberFormat="1" applyFont="1" applyFill="1" applyBorder="1" applyAlignment="1" applyProtection="1">
      <alignment vertical="center" wrapText="1"/>
    </xf>
    <xf numFmtId="10" fontId="18" fillId="0" borderId="26" xfId="0" applyNumberFormat="1" applyFont="1" applyFill="1" applyBorder="1" applyAlignment="1" applyProtection="1">
      <alignment horizontal="right" vertical="center" wrapText="1"/>
    </xf>
    <xf numFmtId="164" fontId="18" fillId="25" borderId="10" xfId="0" applyNumberFormat="1" applyFont="1" applyFill="1" applyBorder="1" applyAlignment="1" applyProtection="1">
      <alignment horizontal="center" vertical="center" wrapText="1"/>
      <protection locked="0"/>
    </xf>
    <xf numFmtId="0" fontId="31" fillId="0" borderId="0" xfId="0" applyFont="1" applyAlignment="1" applyProtection="1"/>
    <xf numFmtId="0" fontId="25" fillId="0" borderId="0" xfId="0" applyFont="1" applyAlignment="1" applyProtection="1"/>
    <xf numFmtId="10" fontId="18" fillId="35" borderId="35" xfId="0" applyNumberFormat="1" applyFont="1" applyFill="1" applyBorder="1" applyAlignment="1" applyProtection="1">
      <alignment horizontal="center" vertical="center" wrapText="1"/>
      <protection locked="0"/>
    </xf>
    <xf numFmtId="10" fontId="18" fillId="35" borderId="32" xfId="0" applyNumberFormat="1" applyFont="1" applyFill="1" applyBorder="1" applyAlignment="1" applyProtection="1">
      <alignment horizontal="center" vertical="center" wrapText="1"/>
      <protection locked="0"/>
    </xf>
    <xf numFmtId="10" fontId="18" fillId="35" borderId="33" xfId="0" applyNumberFormat="1" applyFont="1" applyFill="1" applyBorder="1" applyAlignment="1" applyProtection="1">
      <alignment horizontal="center" vertical="center" wrapText="1"/>
      <protection locked="0"/>
    </xf>
    <xf numFmtId="10" fontId="18" fillId="35" borderId="34" xfId="0" applyNumberFormat="1" applyFont="1" applyFill="1" applyBorder="1" applyAlignment="1" applyProtection="1">
      <alignment horizontal="center" vertical="center" wrapText="1"/>
      <protection locked="0"/>
    </xf>
    <xf numFmtId="2" fontId="18" fillId="35" borderId="42" xfId="0" applyNumberFormat="1" applyFont="1" applyFill="1" applyBorder="1" applyAlignment="1" applyProtection="1">
      <alignment vertical="center" wrapText="1"/>
      <protection locked="0"/>
    </xf>
    <xf numFmtId="2" fontId="18" fillId="0" borderId="42" xfId="0" applyNumberFormat="1" applyFont="1" applyFill="1" applyBorder="1" applyAlignment="1" applyProtection="1">
      <alignment vertical="center" wrapText="1"/>
      <protection locked="0"/>
    </xf>
    <xf numFmtId="10" fontId="18" fillId="35" borderId="41" xfId="0" applyNumberFormat="1" applyFont="1" applyFill="1" applyBorder="1" applyAlignment="1" applyProtection="1">
      <alignment horizontal="center" vertical="center" wrapText="1"/>
      <protection locked="0"/>
    </xf>
    <xf numFmtId="10" fontId="18" fillId="35" borderId="45" xfId="0" applyNumberFormat="1" applyFont="1" applyFill="1" applyBorder="1" applyAlignment="1" applyProtection="1">
      <alignment horizontal="center" vertical="center" wrapText="1"/>
      <protection locked="0"/>
    </xf>
    <xf numFmtId="2" fontId="18" fillId="35" borderId="42" xfId="0" applyNumberFormat="1" applyFont="1" applyFill="1" applyBorder="1" applyAlignment="1" applyProtection="1">
      <alignment horizontal="center" vertical="center" wrapText="1"/>
      <protection locked="0"/>
    </xf>
    <xf numFmtId="174" fontId="42" fillId="38" borderId="56" xfId="0" applyNumberFormat="1" applyFont="1" applyFill="1" applyBorder="1" applyAlignment="1" applyProtection="1">
      <alignment vertical="center"/>
      <protection locked="0"/>
    </xf>
    <xf numFmtId="174" fontId="42" fillId="39" borderId="57" xfId="0" applyNumberFormat="1" applyFont="1" applyFill="1" applyBorder="1" applyAlignment="1" applyProtection="1">
      <alignment vertical="center"/>
      <protection locked="0"/>
    </xf>
    <xf numFmtId="174" fontId="42" fillId="38" borderId="57" xfId="0" applyNumberFormat="1" applyFont="1" applyFill="1" applyBorder="1" applyAlignment="1" applyProtection="1">
      <alignment vertical="center"/>
      <protection locked="0"/>
    </xf>
    <xf numFmtId="14" fontId="42" fillId="0" borderId="0" xfId="0" applyNumberFormat="1" applyFont="1" applyFill="1" applyBorder="1" applyAlignment="1" applyProtection="1">
      <alignment vertical="center"/>
    </xf>
    <xf numFmtId="0" fontId="42" fillId="0" borderId="0" xfId="0" applyNumberFormat="1" applyFont="1" applyFill="1" applyBorder="1" applyAlignment="1" applyProtection="1">
      <alignment vertical="center" wrapText="1"/>
    </xf>
    <xf numFmtId="9" fontId="36" fillId="0" borderId="10" xfId="0" applyNumberFormat="1" applyFont="1" applyFill="1" applyBorder="1" applyAlignment="1" applyProtection="1">
      <alignment vertical="center" wrapText="1"/>
      <protection locked="0"/>
    </xf>
    <xf numFmtId="0" fontId="25" fillId="0" borderId="0" xfId="0" applyFont="1"/>
    <xf numFmtId="0" fontId="25" fillId="0" borderId="122" xfId="0" applyFont="1" applyBorder="1" applyAlignment="1">
      <alignment vertical="center"/>
    </xf>
    <xf numFmtId="0" fontId="25" fillId="0" borderId="0" xfId="0" applyFont="1" applyFill="1"/>
    <xf numFmtId="0" fontId="25" fillId="40" borderId="123" xfId="0" applyFont="1" applyFill="1" applyBorder="1" applyAlignment="1">
      <alignment horizontal="center" vertical="center" wrapText="1"/>
    </xf>
    <xf numFmtId="10" fontId="25" fillId="0" borderId="125" xfId="0" applyNumberFormat="1" applyFont="1" applyBorder="1" applyAlignment="1">
      <alignment vertical="center"/>
    </xf>
    <xf numFmtId="10" fontId="25" fillId="0" borderId="122" xfId="43" applyNumberFormat="1" applyFont="1" applyBorder="1" applyAlignment="1" applyProtection="1">
      <alignment vertical="center"/>
    </xf>
    <xf numFmtId="174" fontId="25" fillId="0" borderId="122" xfId="0" applyNumberFormat="1" applyFont="1" applyBorder="1" applyAlignment="1">
      <alignment vertical="center"/>
    </xf>
    <xf numFmtId="174" fontId="31" fillId="0" borderId="122" xfId="0" applyNumberFormat="1" applyFont="1" applyBorder="1" applyAlignment="1">
      <alignment vertical="center"/>
    </xf>
    <xf numFmtId="174" fontId="25" fillId="40" borderId="122" xfId="0" applyNumberFormat="1" applyFont="1" applyFill="1" applyBorder="1" applyAlignment="1">
      <alignment horizontal="right" vertical="center" wrapText="1"/>
    </xf>
    <xf numFmtId="174" fontId="31" fillId="40" borderId="122" xfId="0" applyNumberFormat="1" applyFont="1" applyFill="1" applyBorder="1" applyAlignment="1">
      <alignment horizontal="right" vertical="center" wrapText="1"/>
    </xf>
    <xf numFmtId="0" fontId="18" fillId="35" borderId="34" xfId="0" applyFont="1" applyFill="1" applyBorder="1" applyAlignment="1" applyProtection="1">
      <alignment horizontal="center" vertical="center" wrapText="1"/>
    </xf>
    <xf numFmtId="0" fontId="19" fillId="0" borderId="49" xfId="0" applyNumberFormat="1" applyFont="1" applyFill="1" applyBorder="1" applyAlignment="1" applyProtection="1">
      <alignment horizontal="left" vertical="center" wrapText="1"/>
    </xf>
    <xf numFmtId="0" fontId="19" fillId="0" borderId="25" xfId="0" applyNumberFormat="1" applyFont="1" applyFill="1" applyBorder="1" applyAlignment="1" applyProtection="1">
      <alignment horizontal="left" vertical="center" wrapText="1"/>
    </xf>
    <xf numFmtId="0" fontId="25" fillId="0" borderId="125" xfId="0" applyNumberFormat="1" applyFont="1" applyBorder="1" applyAlignment="1">
      <alignment vertical="center"/>
    </xf>
    <xf numFmtId="0" fontId="25" fillId="0" borderId="122" xfId="43" applyNumberFormat="1" applyFont="1" applyBorder="1" applyAlignment="1" applyProtection="1">
      <alignment vertical="center"/>
    </xf>
    <xf numFmtId="174" fontId="25" fillId="40" borderId="122" xfId="0" applyNumberFormat="1" applyFont="1" applyFill="1" applyBorder="1" applyAlignment="1">
      <alignment horizontal="right" vertical="center"/>
    </xf>
    <xf numFmtId="0" fontId="53" fillId="0" borderId="128" xfId="0" applyNumberFormat="1" applyFont="1" applyFill="1" applyBorder="1" applyAlignment="1" applyProtection="1">
      <alignment horizontal="center" vertical="center"/>
    </xf>
    <xf numFmtId="174" fontId="42" fillId="0" borderId="128" xfId="0" applyNumberFormat="1" applyFont="1" applyBorder="1" applyAlignment="1" applyProtection="1">
      <alignment vertical="center"/>
      <protection locked="0"/>
    </xf>
    <xf numFmtId="0" fontId="42" fillId="0" borderId="129" xfId="0" applyNumberFormat="1" applyFont="1" applyBorder="1" applyAlignment="1" applyProtection="1">
      <alignment vertical="center"/>
    </xf>
    <xf numFmtId="0" fontId="18" fillId="35" borderId="33" xfId="0" applyFont="1" applyFill="1" applyBorder="1" applyAlignment="1" applyProtection="1">
      <alignment vertical="center"/>
    </xf>
    <xf numFmtId="0" fontId="19" fillId="0" borderId="0" xfId="0" applyNumberFormat="1" applyFont="1" applyFill="1" applyBorder="1" applyAlignment="1" applyProtection="1">
      <alignment horizontal="center" vertical="center" wrapText="1"/>
    </xf>
    <xf numFmtId="0" fontId="24" fillId="0" borderId="0" xfId="0" applyNumberFormat="1" applyFont="1" applyFill="1" applyBorder="1" applyAlignment="1" applyProtection="1">
      <alignment horizontal="center" vertical="center" wrapText="1"/>
    </xf>
    <xf numFmtId="0" fontId="18" fillId="0" borderId="0" xfId="0" applyNumberFormat="1" applyFont="1" applyFill="1" applyBorder="1" applyAlignment="1" applyProtection="1">
      <alignment horizontal="center" vertical="center" wrapText="1"/>
    </xf>
    <xf numFmtId="0" fontId="18" fillId="0" borderId="0" xfId="0" applyNumberFormat="1" applyFont="1" applyFill="1" applyAlignment="1" applyProtection="1">
      <alignment horizontal="center" vertical="center" wrapText="1"/>
    </xf>
    <xf numFmtId="0" fontId="19" fillId="0" borderId="49" xfId="0" applyNumberFormat="1" applyFont="1" applyFill="1" applyBorder="1" applyAlignment="1" applyProtection="1">
      <alignment horizontal="left" vertical="center" wrapText="1"/>
    </xf>
    <xf numFmtId="0" fontId="19" fillId="0" borderId="25" xfId="0" applyNumberFormat="1" applyFont="1" applyFill="1" applyBorder="1" applyAlignment="1" applyProtection="1">
      <alignment horizontal="left" vertical="center" wrapText="1"/>
    </xf>
    <xf numFmtId="0" fontId="19" fillId="0" borderId="11" xfId="0" applyNumberFormat="1" applyFont="1" applyFill="1" applyBorder="1" applyAlignment="1" applyProtection="1">
      <alignment horizontal="center" vertical="center" wrapText="1"/>
    </xf>
    <xf numFmtId="0" fontId="18" fillId="0" borderId="29" xfId="0" applyNumberFormat="1" applyFont="1" applyFill="1" applyBorder="1" applyAlignment="1" applyProtection="1">
      <alignment horizontal="center" vertical="center" wrapText="1"/>
    </xf>
    <xf numFmtId="0" fontId="19" fillId="33" borderId="10" xfId="0" applyNumberFormat="1" applyFont="1" applyFill="1" applyBorder="1" applyAlignment="1" applyProtection="1">
      <alignment horizontal="center" vertical="center" wrapText="1"/>
    </xf>
    <xf numFmtId="0" fontId="23" fillId="0" borderId="0" xfId="0" applyFont="1" applyBorder="1" applyAlignment="1" applyProtection="1">
      <alignment horizontal="center" vertical="center"/>
      <protection locked="0"/>
    </xf>
    <xf numFmtId="0" fontId="19" fillId="25" borderId="10" xfId="0" applyNumberFormat="1" applyFont="1" applyFill="1" applyBorder="1" applyAlignment="1" applyProtection="1">
      <alignment horizontal="center" vertical="center" wrapText="1"/>
    </xf>
    <xf numFmtId="164" fontId="19" fillId="25" borderId="1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horizontal="center" vertical="center" wrapText="1"/>
    </xf>
    <xf numFmtId="0" fontId="19" fillId="0" borderId="0" xfId="0" applyNumberFormat="1" applyFont="1" applyFill="1" applyAlignment="1" applyProtection="1">
      <alignment horizontal="left" vertical="center" wrapText="1"/>
    </xf>
    <xf numFmtId="0" fontId="19" fillId="0" borderId="10" xfId="0" applyNumberFormat="1" applyFont="1" applyFill="1" applyBorder="1" applyAlignment="1" applyProtection="1">
      <alignment horizontal="center" vertical="center" wrapText="1"/>
    </xf>
    <xf numFmtId="168" fontId="19" fillId="33" borderId="10" xfId="0" applyNumberFormat="1" applyFont="1" applyFill="1" applyBorder="1" applyAlignment="1" applyProtection="1">
      <alignment horizontal="center" vertical="center" wrapText="1"/>
    </xf>
    <xf numFmtId="168" fontId="19" fillId="0" borderId="0" xfId="0" applyNumberFormat="1" applyFont="1" applyFill="1" applyBorder="1" applyAlignment="1" applyProtection="1">
      <alignment horizontal="center" vertical="center" wrapText="1"/>
    </xf>
    <xf numFmtId="0" fontId="18" fillId="0" borderId="0" xfId="0" applyFont="1" applyAlignment="1" applyProtection="1">
      <alignment horizontal="left"/>
      <protection hidden="1"/>
    </xf>
    <xf numFmtId="10" fontId="36" fillId="0" borderId="10" xfId="0" applyNumberFormat="1" applyFont="1" applyFill="1" applyBorder="1" applyAlignment="1" applyProtection="1">
      <alignment vertical="center" wrapText="1"/>
      <protection locked="0"/>
    </xf>
    <xf numFmtId="174" fontId="42" fillId="0" borderId="134" xfId="0" applyNumberFormat="1" applyFont="1" applyBorder="1" applyAlignment="1" applyProtection="1">
      <alignment vertical="center"/>
      <protection locked="0"/>
    </xf>
    <xf numFmtId="0" fontId="26" fillId="0" borderId="0" xfId="0" applyNumberFormat="1" applyFont="1" applyFill="1" applyBorder="1" applyAlignment="1" applyProtection="1">
      <alignment vertical="center"/>
    </xf>
    <xf numFmtId="0" fontId="25" fillId="0" borderId="0" xfId="0" applyFont="1" applyBorder="1"/>
    <xf numFmtId="0" fontId="25" fillId="0" borderId="0" xfId="0" applyFont="1" applyFill="1" applyBorder="1" applyAlignment="1">
      <alignment horizontal="center" vertical="center" wrapText="1"/>
    </xf>
    <xf numFmtId="0" fontId="25" fillId="0" borderId="0" xfId="0" applyFont="1" applyFill="1" applyBorder="1"/>
    <xf numFmtId="174" fontId="25" fillId="0" borderId="0" xfId="0" applyNumberFormat="1" applyFont="1" applyFill="1" applyBorder="1" applyAlignment="1">
      <alignment vertical="center"/>
    </xf>
    <xf numFmtId="0" fontId="25" fillId="0" borderId="0" xfId="0" applyFont="1" applyFill="1" applyBorder="1" applyAlignment="1">
      <alignment vertical="center"/>
    </xf>
    <xf numFmtId="174" fontId="25" fillId="0" borderId="0" xfId="0" applyNumberFormat="1" applyFont="1" applyFill="1" applyBorder="1" applyAlignment="1">
      <alignment horizontal="right" vertical="center"/>
    </xf>
    <xf numFmtId="0" fontId="25" fillId="0" borderId="0" xfId="0" applyFont="1" applyFill="1" applyBorder="1" applyAlignment="1">
      <alignment horizontal="right" vertical="center"/>
    </xf>
    <xf numFmtId="2" fontId="36" fillId="0" borderId="10" xfId="0" applyNumberFormat="1" applyFont="1" applyFill="1" applyBorder="1" applyAlignment="1" applyProtection="1">
      <alignment vertical="center" wrapText="1"/>
      <protection locked="0"/>
    </xf>
    <xf numFmtId="0" fontId="25" fillId="40" borderId="125" xfId="0" applyFont="1" applyFill="1" applyBorder="1" applyAlignment="1">
      <alignment horizontal="center" vertical="center" wrapText="1"/>
    </xf>
    <xf numFmtId="0" fontId="25" fillId="40" borderId="122" xfId="0" applyFont="1" applyFill="1" applyBorder="1" applyAlignment="1">
      <alignment horizontal="center" vertical="center" wrapText="1"/>
    </xf>
    <xf numFmtId="178" fontId="25" fillId="40" borderId="122" xfId="0" applyNumberFormat="1" applyFont="1" applyFill="1" applyBorder="1" applyAlignment="1">
      <alignment horizontal="right" vertical="center"/>
    </xf>
    <xf numFmtId="178" fontId="31" fillId="40" borderId="122" xfId="0" applyNumberFormat="1" applyFont="1" applyFill="1" applyBorder="1" applyAlignment="1">
      <alignment horizontal="right" vertical="center"/>
    </xf>
    <xf numFmtId="178" fontId="25" fillId="40" borderId="122" xfId="0" applyNumberFormat="1" applyFont="1" applyFill="1" applyBorder="1" applyAlignment="1">
      <alignment horizontal="center" vertical="center" wrapText="1"/>
    </xf>
    <xf numFmtId="3" fontId="31" fillId="0" borderId="0" xfId="0" applyNumberFormat="1" applyFont="1" applyFill="1" applyBorder="1" applyAlignment="1">
      <alignment horizontal="center" vertical="center"/>
    </xf>
    <xf numFmtId="174" fontId="25" fillId="0" borderId="122" xfId="0" applyNumberFormat="1" applyFont="1" applyBorder="1" applyAlignment="1">
      <alignment horizontal="center" vertical="center"/>
    </xf>
    <xf numFmtId="178" fontId="25" fillId="40" borderId="126" xfId="0" applyNumberFormat="1" applyFont="1" applyFill="1" applyBorder="1" applyAlignment="1">
      <alignment vertical="center"/>
    </xf>
    <xf numFmtId="0" fontId="25" fillId="0" borderId="122" xfId="0" applyNumberFormat="1" applyFont="1" applyBorder="1" applyAlignment="1">
      <alignment vertical="center"/>
    </xf>
    <xf numFmtId="0" fontId="25" fillId="40" borderId="122" xfId="0" applyNumberFormat="1" applyFont="1" applyFill="1" applyBorder="1" applyAlignment="1">
      <alignment horizontal="right" vertical="center"/>
    </xf>
    <xf numFmtId="174" fontId="42" fillId="0" borderId="128" xfId="0" applyNumberFormat="1" applyFont="1" applyBorder="1" applyAlignment="1" applyProtection="1">
      <alignment vertical="center"/>
      <protection locked="0"/>
    </xf>
    <xf numFmtId="174" fontId="42" fillId="0" borderId="134" xfId="0" applyNumberFormat="1" applyFont="1" applyBorder="1" applyAlignment="1" applyProtection="1">
      <alignment vertical="center"/>
      <protection locked="0"/>
    </xf>
    <xf numFmtId="0" fontId="31" fillId="40" borderId="122" xfId="0" applyFont="1" applyFill="1" applyBorder="1" applyAlignment="1">
      <alignment horizontal="center" vertical="center"/>
    </xf>
    <xf numFmtId="0" fontId="25" fillId="0" borderId="140" xfId="0" applyNumberFormat="1" applyFont="1" applyBorder="1" applyAlignment="1">
      <alignment vertical="center"/>
    </xf>
    <xf numFmtId="0" fontId="25" fillId="0" borderId="139" xfId="43" applyNumberFormat="1" applyFont="1" applyBorder="1" applyAlignment="1" applyProtection="1">
      <alignment vertical="center"/>
    </xf>
    <xf numFmtId="174" fontId="25" fillId="0" borderId="139" xfId="0" applyNumberFormat="1" applyFont="1" applyBorder="1" applyAlignment="1">
      <alignment vertical="center"/>
    </xf>
    <xf numFmtId="174" fontId="31" fillId="0" borderId="139" xfId="0" applyNumberFormat="1" applyFont="1" applyBorder="1" applyAlignment="1">
      <alignment vertical="center"/>
    </xf>
    <xf numFmtId="0" fontId="25" fillId="40" borderId="141" xfId="0" applyFont="1" applyFill="1" applyBorder="1" applyAlignment="1">
      <alignment horizontal="center" vertical="center" wrapText="1"/>
    </xf>
    <xf numFmtId="0" fontId="25" fillId="40" borderId="142" xfId="0" applyFont="1" applyFill="1" applyBorder="1" applyAlignment="1">
      <alignment horizontal="center" vertical="center" wrapText="1"/>
    </xf>
    <xf numFmtId="0" fontId="31" fillId="40" borderId="142" xfId="0" applyFont="1" applyFill="1" applyBorder="1" applyAlignment="1">
      <alignment horizontal="center" vertical="center" wrapText="1"/>
    </xf>
    <xf numFmtId="175" fontId="25" fillId="0" borderId="122" xfId="43" applyNumberFormat="1" applyFont="1" applyBorder="1" applyAlignment="1" applyProtection="1">
      <alignment vertical="center"/>
    </xf>
    <xf numFmtId="175" fontId="31" fillId="40" borderId="122" xfId="0" applyNumberFormat="1" applyFont="1" applyFill="1" applyBorder="1" applyAlignment="1">
      <alignment vertical="center" wrapText="1"/>
    </xf>
    <xf numFmtId="0" fontId="26" fillId="0" borderId="0" xfId="0" applyNumberFormat="1" applyFont="1" applyFill="1" applyBorder="1" applyAlignment="1">
      <alignment vertical="center"/>
    </xf>
    <xf numFmtId="0" fontId="26" fillId="0" borderId="0" xfId="0" applyFont="1" applyFill="1" applyBorder="1" applyAlignment="1">
      <alignment vertical="center" wrapText="1"/>
    </xf>
    <xf numFmtId="0" fontId="25" fillId="0" borderId="0" xfId="0" applyFont="1" applyAlignment="1"/>
    <xf numFmtId="0" fontId="25" fillId="25" borderId="143" xfId="0" applyFont="1" applyFill="1" applyBorder="1"/>
    <xf numFmtId="175" fontId="25" fillId="0" borderId="143" xfId="0" applyNumberFormat="1" applyFont="1" applyBorder="1"/>
    <xf numFmtId="0" fontId="25" fillId="25" borderId="144" xfId="0" applyFont="1" applyFill="1" applyBorder="1"/>
    <xf numFmtId="175" fontId="25" fillId="0" borderId="144" xfId="0" applyNumberFormat="1" applyFont="1" applyBorder="1"/>
    <xf numFmtId="178" fontId="31" fillId="0" borderId="0" xfId="0" applyNumberFormat="1" applyFont="1" applyFill="1" applyBorder="1" applyAlignment="1">
      <alignment horizontal="right" vertical="center"/>
    </xf>
    <xf numFmtId="0" fontId="25" fillId="40" borderId="138" xfId="0" applyFont="1" applyFill="1" applyBorder="1" applyAlignment="1">
      <alignment horizontal="center" vertical="center" wrapText="1"/>
    </xf>
    <xf numFmtId="174" fontId="25" fillId="0" borderId="138" xfId="0" applyNumberFormat="1" applyFont="1" applyBorder="1" applyAlignment="1">
      <alignment vertical="center"/>
    </xf>
    <xf numFmtId="178" fontId="25" fillId="40" borderId="138" xfId="0" applyNumberFormat="1" applyFont="1" applyFill="1" applyBorder="1" applyAlignment="1">
      <alignment horizontal="right" vertical="center"/>
    </xf>
    <xf numFmtId="0" fontId="25" fillId="0" borderId="123" xfId="0" applyNumberFormat="1" applyFont="1" applyBorder="1" applyAlignment="1">
      <alignment vertical="center"/>
    </xf>
    <xf numFmtId="0" fontId="31" fillId="40" borderId="123" xfId="0" applyFont="1" applyFill="1" applyBorder="1" applyAlignment="1">
      <alignment horizontal="center" vertical="center"/>
    </xf>
    <xf numFmtId="0" fontId="25" fillId="41" borderId="123" xfId="0" applyFont="1" applyFill="1" applyBorder="1" applyAlignment="1">
      <alignment horizontal="center" vertical="center" wrapText="1"/>
    </xf>
    <xf numFmtId="174" fontId="25" fillId="41" borderId="123" xfId="0" applyNumberFormat="1" applyFont="1" applyFill="1" applyBorder="1" applyAlignment="1">
      <alignment vertical="center"/>
    </xf>
    <xf numFmtId="178" fontId="31" fillId="41" borderId="123" xfId="0" applyNumberFormat="1" applyFont="1" applyFill="1" applyBorder="1" applyAlignment="1">
      <alignment horizontal="right" vertical="center"/>
    </xf>
    <xf numFmtId="3" fontId="31" fillId="0" borderId="0" xfId="0" applyNumberFormat="1" applyFont="1" applyFill="1" applyBorder="1" applyAlignment="1">
      <alignment horizontal="center" vertical="center"/>
    </xf>
    <xf numFmtId="178" fontId="31" fillId="41" borderId="138" xfId="0" applyNumberFormat="1" applyFont="1" applyFill="1" applyBorder="1" applyAlignment="1">
      <alignment vertical="center"/>
    </xf>
    <xf numFmtId="0" fontId="25" fillId="41" borderId="138" xfId="0" applyFont="1" applyFill="1" applyBorder="1" applyAlignment="1">
      <alignment horizontal="center" vertical="center" wrapText="1"/>
    </xf>
    <xf numFmtId="0" fontId="31" fillId="41" borderId="138" xfId="43" applyNumberFormat="1" applyFont="1" applyFill="1" applyBorder="1" applyAlignment="1" applyProtection="1">
      <alignment vertical="center"/>
    </xf>
    <xf numFmtId="0" fontId="31" fillId="0" borderId="0" xfId="43" applyNumberFormat="1" applyFont="1" applyFill="1" applyBorder="1" applyAlignment="1" applyProtection="1">
      <alignment vertical="center"/>
    </xf>
    <xf numFmtId="178" fontId="31" fillId="0" borderId="0" xfId="0" applyNumberFormat="1" applyFont="1" applyFill="1" applyBorder="1" applyAlignment="1">
      <alignment vertical="center"/>
    </xf>
    <xf numFmtId="174" fontId="31" fillId="41" borderId="123" xfId="43" applyNumberFormat="1" applyFont="1" applyFill="1" applyBorder="1" applyAlignment="1" applyProtection="1">
      <alignment vertical="center"/>
    </xf>
    <xf numFmtId="178" fontId="31" fillId="41" borderId="123" xfId="0" applyNumberFormat="1" applyFont="1" applyFill="1" applyBorder="1" applyAlignment="1">
      <alignment vertical="center"/>
    </xf>
    <xf numFmtId="174" fontId="31" fillId="0" borderId="0" xfId="0" applyNumberFormat="1" applyFont="1" applyFill="1" applyBorder="1" applyAlignment="1">
      <alignment vertical="center"/>
    </xf>
    <xf numFmtId="174" fontId="31" fillId="41" borderId="123" xfId="0" applyNumberFormat="1" applyFont="1" applyFill="1" applyBorder="1" applyAlignment="1">
      <alignment vertical="center"/>
    </xf>
    <xf numFmtId="0" fontId="31" fillId="25" borderId="143" xfId="0" applyFont="1" applyFill="1" applyBorder="1" applyAlignment="1">
      <alignment horizontal="right"/>
    </xf>
    <xf numFmtId="175" fontId="25" fillId="0" borderId="143" xfId="0" applyNumberFormat="1" applyFont="1" applyBorder="1" applyAlignment="1"/>
    <xf numFmtId="175" fontId="31" fillId="0" borderId="143" xfId="0" applyNumberFormat="1" applyFont="1" applyBorder="1"/>
    <xf numFmtId="0" fontId="26" fillId="0" borderId="0" xfId="0" applyFont="1" applyFill="1" applyBorder="1" applyAlignment="1"/>
    <xf numFmtId="0" fontId="26" fillId="24" borderId="47" xfId="0" applyFont="1" applyFill="1" applyBorder="1" applyAlignment="1">
      <alignment horizontal="center"/>
    </xf>
    <xf numFmtId="174" fontId="42" fillId="0" borderId="128" xfId="0" applyNumberFormat="1" applyFont="1" applyBorder="1" applyAlignment="1" applyProtection="1">
      <alignment vertical="center"/>
      <protection locked="0"/>
    </xf>
    <xf numFmtId="0" fontId="24" fillId="0" borderId="0" xfId="0" applyNumberFormat="1" applyFont="1" applyFill="1" applyBorder="1" applyAlignment="1" applyProtection="1">
      <alignment horizontal="center" vertical="center" wrapText="1"/>
    </xf>
    <xf numFmtId="3" fontId="18" fillId="35" borderId="34" xfId="0" applyNumberFormat="1" applyFont="1" applyFill="1" applyBorder="1" applyAlignment="1" applyProtection="1">
      <alignment vertical="center" wrapText="1"/>
      <protection locked="0"/>
    </xf>
    <xf numFmtId="3" fontId="18" fillId="35" borderId="34" xfId="0" quotePrefix="1" applyNumberFormat="1" applyFont="1" applyFill="1" applyBorder="1" applyAlignment="1" applyProtection="1">
      <alignment horizontal="center" vertical="center" wrapText="1"/>
      <protection locked="0"/>
    </xf>
    <xf numFmtId="0" fontId="25" fillId="25" borderId="143" xfId="0" applyFont="1" applyFill="1" applyBorder="1" applyProtection="1">
      <protection locked="0"/>
    </xf>
    <xf numFmtId="175" fontId="25" fillId="0" borderId="143" xfId="0" applyNumberFormat="1" applyFont="1" applyBorder="1" applyProtection="1">
      <protection locked="0"/>
    </xf>
    <xf numFmtId="0" fontId="23" fillId="0" borderId="0" xfId="0" applyFont="1" applyBorder="1" applyAlignment="1" applyProtection="1">
      <alignment horizontal="center" vertical="center"/>
      <protection locked="0"/>
    </xf>
    <xf numFmtId="0" fontId="23" fillId="0" borderId="0" xfId="0" applyFont="1" applyBorder="1" applyAlignment="1" applyProtection="1">
      <alignment horizontal="center" vertical="center"/>
    </xf>
    <xf numFmtId="0" fontId="24" fillId="0" borderId="0" xfId="0" applyNumberFormat="1" applyFont="1" applyFill="1" applyBorder="1" applyAlignment="1" applyProtection="1">
      <alignment horizontal="center" vertical="center" wrapText="1"/>
      <protection locked="0"/>
    </xf>
    <xf numFmtId="168" fontId="18" fillId="0" borderId="0" xfId="0" applyNumberFormat="1" applyFont="1" applyFill="1" applyBorder="1" applyAlignment="1" applyProtection="1">
      <alignment vertical="center" wrapText="1"/>
      <protection locked="0"/>
    </xf>
    <xf numFmtId="0" fontId="60" fillId="0" borderId="0" xfId="0" applyFont="1" applyBorder="1" applyAlignment="1" applyProtection="1">
      <alignment horizontal="center" vertical="center"/>
      <protection locked="0"/>
    </xf>
    <xf numFmtId="0" fontId="24" fillId="0" borderId="0" xfId="0" applyNumberFormat="1" applyFont="1" applyFill="1" applyBorder="1" applyAlignment="1" applyProtection="1">
      <alignment horizontal="center" vertical="center" wrapText="1"/>
      <protection locked="0"/>
    </xf>
    <xf numFmtId="0" fontId="23" fillId="0" borderId="0" xfId="0" applyFont="1" applyBorder="1" applyAlignment="1" applyProtection="1">
      <alignment horizontal="center" vertical="center"/>
      <protection locked="0"/>
    </xf>
    <xf numFmtId="0" fontId="49" fillId="0" borderId="0" xfId="0" applyFont="1" applyBorder="1" applyAlignment="1" applyProtection="1">
      <alignment horizontal="center" vertical="center"/>
    </xf>
    <xf numFmtId="0" fontId="61" fillId="0" borderId="0" xfId="0" applyFont="1" applyBorder="1" applyAlignment="1" applyProtection="1">
      <alignment horizontal="right" vertical="center"/>
    </xf>
    <xf numFmtId="0" fontId="61" fillId="0" borderId="151" xfId="0" applyFont="1" applyBorder="1" applyAlignment="1" applyProtection="1">
      <alignment horizontal="right" vertical="center"/>
    </xf>
    <xf numFmtId="0" fontId="61" fillId="0" borderId="147" xfId="0" applyFont="1" applyBorder="1" applyAlignment="1" applyProtection="1">
      <alignment horizontal="right" vertical="center"/>
    </xf>
    <xf numFmtId="176" fontId="63" fillId="0" borderId="154" xfId="0" applyNumberFormat="1" applyFont="1" applyBorder="1" applyAlignment="1" applyProtection="1">
      <alignment vertical="center"/>
    </xf>
    <xf numFmtId="176" fontId="63" fillId="0" borderId="155" xfId="0" applyNumberFormat="1" applyFont="1" applyBorder="1" applyAlignment="1" applyProtection="1">
      <alignment vertical="center"/>
    </xf>
    <xf numFmtId="0" fontId="64" fillId="0" borderId="154" xfId="0" applyFont="1" applyBorder="1" applyAlignment="1" applyProtection="1">
      <protection locked="0"/>
    </xf>
    <xf numFmtId="10" fontId="64" fillId="0" borderId="154" xfId="0" applyNumberFormat="1" applyFont="1" applyBorder="1" applyAlignment="1" applyProtection="1">
      <protection locked="0"/>
    </xf>
    <xf numFmtId="0" fontId="64" fillId="0" borderId="164" xfId="0" applyFont="1" applyBorder="1" applyAlignment="1" applyProtection="1">
      <protection locked="0"/>
    </xf>
    <xf numFmtId="169" fontId="64" fillId="0" borderId="164" xfId="0" applyNumberFormat="1" applyFont="1" applyBorder="1" applyAlignment="1" applyProtection="1">
      <protection locked="0"/>
    </xf>
    <xf numFmtId="164" fontId="64" fillId="0" borderId="164" xfId="0" applyNumberFormat="1" applyFont="1" applyBorder="1" applyAlignment="1" applyProtection="1">
      <protection locked="0"/>
    </xf>
    <xf numFmtId="173" fontId="64" fillId="0" borderId="164" xfId="0" applyNumberFormat="1" applyFont="1" applyBorder="1" applyAlignment="1" applyProtection="1">
      <protection locked="0"/>
    </xf>
    <xf numFmtId="0" fontId="64" fillId="0" borderId="155" xfId="0" applyFont="1" applyBorder="1" applyAlignment="1" applyProtection="1">
      <protection locked="0"/>
    </xf>
    <xf numFmtId="168" fontId="63" fillId="0" borderId="0" xfId="0" applyNumberFormat="1" applyFont="1" applyBorder="1" applyAlignment="1" applyProtection="1">
      <alignment vertical="center"/>
      <protection locked="0"/>
    </xf>
    <xf numFmtId="0" fontId="63" fillId="0" borderId="0" xfId="0" applyFont="1" applyBorder="1" applyAlignment="1" applyProtection="1">
      <alignment vertical="center"/>
      <protection locked="0"/>
    </xf>
    <xf numFmtId="0" fontId="24" fillId="0" borderId="0" xfId="0" applyNumberFormat="1" applyFont="1" applyFill="1" applyBorder="1" applyAlignment="1" applyProtection="1">
      <alignment horizontal="center" vertical="center" wrapText="1"/>
      <protection locked="0"/>
    </xf>
    <xf numFmtId="0" fontId="49" fillId="0" borderId="0" xfId="0" applyFont="1" applyBorder="1" applyAlignment="1" applyProtection="1">
      <alignment horizontal="center" vertical="center"/>
    </xf>
    <xf numFmtId="0" fontId="23" fillId="0" borderId="0" xfId="0" applyFont="1" applyBorder="1" applyAlignment="1" applyProtection="1">
      <alignment horizontal="center" vertical="center"/>
      <protection locked="0"/>
    </xf>
    <xf numFmtId="168" fontId="63" fillId="0" borderId="0" xfId="0" applyNumberFormat="1" applyFont="1" applyBorder="1" applyAlignment="1" applyProtection="1">
      <alignment vertical="center"/>
      <protection locked="0"/>
    </xf>
    <xf numFmtId="0" fontId="63" fillId="0" borderId="0" xfId="0" applyFont="1" applyBorder="1" applyAlignment="1" applyProtection="1">
      <alignment vertical="center"/>
      <protection locked="0"/>
    </xf>
    <xf numFmtId="0" fontId="64" fillId="0" borderId="164" xfId="0" applyFont="1" applyBorder="1" applyAlignment="1" applyProtection="1">
      <protection locked="0"/>
    </xf>
    <xf numFmtId="0" fontId="64" fillId="0" borderId="155" xfId="0" applyFont="1" applyBorder="1" applyAlignment="1" applyProtection="1">
      <protection locked="0"/>
    </xf>
    <xf numFmtId="0" fontId="64" fillId="0" borderId="154" xfId="0" applyFont="1" applyBorder="1" applyAlignment="1" applyProtection="1">
      <protection locked="0"/>
    </xf>
    <xf numFmtId="0" fontId="61" fillId="0" borderId="0" xfId="0" applyFont="1" applyBorder="1" applyAlignment="1" applyProtection="1">
      <alignment horizontal="right" vertical="center"/>
    </xf>
    <xf numFmtId="0" fontId="61" fillId="0" borderId="151" xfId="0" applyFont="1" applyBorder="1" applyAlignment="1" applyProtection="1">
      <alignment horizontal="right" vertical="center"/>
    </xf>
    <xf numFmtId="0" fontId="61" fillId="0" borderId="147" xfId="0" applyFont="1" applyBorder="1" applyAlignment="1" applyProtection="1">
      <alignment horizontal="right" vertical="center"/>
    </xf>
    <xf numFmtId="0" fontId="25" fillId="0" borderId="0" xfId="0" applyFont="1" applyFill="1" applyBorder="1" applyProtection="1">
      <protection locked="0"/>
    </xf>
    <xf numFmtId="175" fontId="25" fillId="0" borderId="0" xfId="0" applyNumberFormat="1" applyFont="1" applyFill="1" applyBorder="1" applyProtection="1">
      <protection locked="0"/>
    </xf>
    <xf numFmtId="0" fontId="31" fillId="0" borderId="0" xfId="0" applyFont="1" applyFill="1" applyBorder="1" applyAlignment="1">
      <alignment horizontal="right"/>
    </xf>
    <xf numFmtId="175" fontId="25" fillId="0" borderId="0" xfId="0" applyNumberFormat="1" applyFont="1" applyFill="1" applyBorder="1"/>
    <xf numFmtId="174" fontId="42" fillId="0" borderId="128" xfId="0" applyNumberFormat="1" applyFont="1" applyBorder="1" applyAlignment="1" applyProtection="1">
      <alignment vertical="center"/>
      <protection locked="0"/>
    </xf>
    <xf numFmtId="0" fontId="20" fillId="26" borderId="10" xfId="0" applyNumberFormat="1" applyFont="1" applyFill="1" applyBorder="1" applyAlignment="1" applyProtection="1">
      <alignment horizontal="center" vertical="center" wrapText="1"/>
    </xf>
    <xf numFmtId="0" fontId="24" fillId="26" borderId="11" xfId="0" applyNumberFormat="1" applyFont="1" applyFill="1" applyBorder="1" applyAlignment="1" applyProtection="1">
      <alignment horizontal="center" vertical="center" wrapText="1"/>
    </xf>
    <xf numFmtId="0" fontId="24" fillId="26" borderId="10" xfId="0" applyNumberFormat="1" applyFont="1" applyFill="1" applyBorder="1" applyAlignment="1" applyProtection="1">
      <alignment horizontal="center" vertical="center" wrapText="1"/>
    </xf>
    <xf numFmtId="168" fontId="18" fillId="0" borderId="11" xfId="0" applyNumberFormat="1" applyFont="1" applyFill="1" applyBorder="1" applyAlignment="1" applyProtection="1">
      <alignment vertical="center" wrapText="1"/>
    </xf>
    <xf numFmtId="0" fontId="18" fillId="0" borderId="10" xfId="0" applyNumberFormat="1" applyFont="1" applyFill="1" applyBorder="1" applyAlignment="1" applyProtection="1">
      <alignment vertical="center" wrapText="1"/>
      <protection locked="0"/>
    </xf>
    <xf numFmtId="0" fontId="18" fillId="0" borderId="10" xfId="0" applyNumberFormat="1" applyFont="1" applyFill="1" applyBorder="1" applyAlignment="1" applyProtection="1">
      <alignment vertical="center" wrapText="1"/>
    </xf>
    <xf numFmtId="168" fontId="18" fillId="0" borderId="29" xfId="0" applyNumberFormat="1" applyFont="1" applyFill="1" applyBorder="1" applyAlignment="1" applyProtection="1">
      <alignment vertical="center" wrapText="1"/>
    </xf>
    <xf numFmtId="42" fontId="18" fillId="0" borderId="10" xfId="0" applyNumberFormat="1" applyFont="1" applyFill="1" applyBorder="1" applyAlignment="1" applyProtection="1">
      <alignment horizontal="center" vertical="center" wrapText="1"/>
    </xf>
    <xf numFmtId="2" fontId="42" fillId="0" borderId="0" xfId="0" applyNumberFormat="1" applyFont="1" applyAlignment="1" applyProtection="1">
      <alignment vertical="center"/>
    </xf>
    <xf numFmtId="173" fontId="18" fillId="0" borderId="10" xfId="0" applyNumberFormat="1" applyFont="1" applyFill="1" applyBorder="1" applyAlignment="1" applyProtection="1">
      <alignment vertical="center" wrapText="1"/>
      <protection locked="0"/>
    </xf>
    <xf numFmtId="0" fontId="18" fillId="0" borderId="0" xfId="0" applyNumberFormat="1" applyFont="1" applyFill="1" applyAlignment="1" applyProtection="1">
      <alignment horizontal="left" vertical="center" wrapText="1"/>
    </xf>
    <xf numFmtId="0" fontId="24" fillId="26" borderId="10" xfId="0" applyNumberFormat="1" applyFont="1" applyFill="1" applyBorder="1" applyAlignment="1" applyProtection="1">
      <alignment horizontal="center" vertical="center" wrapText="1"/>
    </xf>
    <xf numFmtId="0" fontId="20" fillId="26" borderId="10" xfId="0" applyNumberFormat="1" applyFont="1" applyFill="1" applyBorder="1" applyAlignment="1" applyProtection="1">
      <alignment horizontal="center" vertical="center" wrapText="1"/>
    </xf>
    <xf numFmtId="0" fontId="24" fillId="26" borderId="11" xfId="0" applyNumberFormat="1" applyFont="1" applyFill="1" applyBorder="1" applyAlignment="1" applyProtection="1">
      <alignment horizontal="center" vertical="center" wrapText="1"/>
    </xf>
    <xf numFmtId="0" fontId="19" fillId="0" borderId="76" xfId="0" applyNumberFormat="1" applyFont="1" applyFill="1" applyBorder="1" applyAlignment="1" applyProtection="1">
      <alignment horizontal="center" vertical="center" textRotation="90" wrapText="1"/>
    </xf>
    <xf numFmtId="0" fontId="19" fillId="0" borderId="77" xfId="0" applyNumberFormat="1" applyFont="1" applyFill="1" applyBorder="1" applyAlignment="1" applyProtection="1">
      <alignment horizontal="center" vertical="center" textRotation="90" wrapText="1"/>
    </xf>
    <xf numFmtId="0" fontId="19" fillId="0" borderId="78" xfId="0" applyNumberFormat="1" applyFont="1" applyFill="1" applyBorder="1" applyAlignment="1" applyProtection="1">
      <alignment horizontal="center" vertical="center" textRotation="90" wrapText="1"/>
    </xf>
    <xf numFmtId="3" fontId="18" fillId="35" borderId="33" xfId="0" applyNumberFormat="1" applyFont="1" applyFill="1" applyBorder="1" applyAlignment="1" applyProtection="1">
      <alignment horizontal="center" vertical="center" wrapText="1"/>
      <protection locked="0"/>
    </xf>
    <xf numFmtId="0" fontId="18" fillId="35" borderId="34" xfId="0" applyFont="1" applyFill="1" applyBorder="1" applyAlignment="1" applyProtection="1">
      <alignment horizontal="center" vertical="center" wrapText="1"/>
      <protection locked="0"/>
    </xf>
    <xf numFmtId="0" fontId="18" fillId="35" borderId="33" xfId="0" applyFont="1" applyFill="1" applyBorder="1" applyAlignment="1" applyProtection="1">
      <alignment horizontal="center" vertical="center" wrapText="1"/>
    </xf>
    <xf numFmtId="0" fontId="18" fillId="35" borderId="34" xfId="0" applyFont="1" applyFill="1" applyBorder="1" applyAlignment="1" applyProtection="1">
      <alignment horizontal="center" vertical="center" wrapText="1"/>
    </xf>
    <xf numFmtId="6" fontId="18" fillId="35" borderId="33" xfId="0" applyNumberFormat="1" applyFont="1" applyFill="1" applyBorder="1" applyAlignment="1" applyProtection="1">
      <alignment horizontal="center" vertical="center" wrapText="1"/>
      <protection locked="0"/>
    </xf>
    <xf numFmtId="6" fontId="18" fillId="35" borderId="34" xfId="0" applyNumberFormat="1" applyFont="1" applyFill="1" applyBorder="1" applyAlignment="1" applyProtection="1">
      <alignment horizontal="center" vertical="center" wrapText="1"/>
      <protection locked="0"/>
    </xf>
    <xf numFmtId="6" fontId="18" fillId="35" borderId="35" xfId="0" applyNumberFormat="1" applyFont="1" applyFill="1" applyBorder="1" applyAlignment="1" applyProtection="1">
      <alignment horizontal="center" vertical="center" wrapText="1"/>
      <protection locked="0"/>
    </xf>
    <xf numFmtId="0" fontId="18" fillId="35" borderId="45" xfId="0" applyFont="1" applyFill="1" applyBorder="1" applyAlignment="1" applyProtection="1">
      <alignment horizontal="center" vertical="center" wrapText="1"/>
    </xf>
    <xf numFmtId="0" fontId="18" fillId="35" borderId="46" xfId="0" applyFont="1" applyFill="1" applyBorder="1" applyAlignment="1" applyProtection="1">
      <alignment horizontal="center" vertical="center" wrapText="1"/>
    </xf>
    <xf numFmtId="42" fontId="18" fillId="35" borderId="45" xfId="0" applyNumberFormat="1" applyFont="1" applyFill="1" applyBorder="1" applyAlignment="1" applyProtection="1">
      <alignment horizontal="center" vertical="center" wrapText="1"/>
      <protection locked="0"/>
    </xf>
    <xf numFmtId="42" fontId="18" fillId="35" borderId="46" xfId="0" applyNumberFormat="1" applyFont="1" applyFill="1" applyBorder="1" applyAlignment="1" applyProtection="1">
      <alignment horizontal="center" vertical="center" wrapText="1"/>
      <protection locked="0"/>
    </xf>
    <xf numFmtId="0" fontId="19" fillId="35" borderId="79" xfId="0" applyFont="1" applyFill="1" applyBorder="1" applyAlignment="1" applyProtection="1">
      <alignment horizontal="center" vertical="center" textRotation="90" wrapText="1"/>
    </xf>
    <xf numFmtId="0" fontId="19" fillId="35" borderId="80" xfId="0" applyFont="1" applyFill="1" applyBorder="1" applyAlignment="1" applyProtection="1">
      <alignment horizontal="center" vertical="center" textRotation="90" wrapText="1"/>
    </xf>
    <xf numFmtId="0" fontId="19" fillId="35" borderId="81" xfId="0" applyFont="1" applyFill="1" applyBorder="1" applyAlignment="1" applyProtection="1">
      <alignment horizontal="center" vertical="center" textRotation="90" wrapText="1"/>
    </xf>
    <xf numFmtId="0" fontId="19" fillId="0" borderId="46" xfId="0" applyNumberFormat="1" applyFont="1" applyFill="1" applyBorder="1" applyAlignment="1" applyProtection="1">
      <alignment horizontal="center" vertical="center" wrapText="1"/>
    </xf>
    <xf numFmtId="42" fontId="18" fillId="0" borderId="45" xfId="0" applyNumberFormat="1" applyFont="1" applyFill="1" applyBorder="1" applyAlignment="1" applyProtection="1">
      <alignment horizontal="center" vertical="center" wrapText="1"/>
      <protection locked="0"/>
    </xf>
    <xf numFmtId="42" fontId="18" fillId="0" borderId="46" xfId="0" applyNumberFormat="1" applyFont="1" applyFill="1" applyBorder="1" applyAlignment="1" applyProtection="1">
      <alignment horizontal="center" vertical="center" wrapText="1"/>
      <protection locked="0"/>
    </xf>
    <xf numFmtId="0" fontId="18" fillId="0" borderId="45" xfId="0" applyNumberFormat="1" applyFont="1" applyFill="1" applyBorder="1" applyAlignment="1" applyProtection="1">
      <alignment horizontal="center" vertical="center" wrapText="1"/>
    </xf>
    <xf numFmtId="0" fontId="18" fillId="0" borderId="46" xfId="0" applyNumberFormat="1" applyFont="1" applyFill="1" applyBorder="1" applyAlignment="1" applyProtection="1">
      <alignment horizontal="center" vertical="center" wrapText="1"/>
    </xf>
    <xf numFmtId="3" fontId="18" fillId="35" borderId="33" xfId="0" applyNumberFormat="1" applyFont="1" applyFill="1" applyBorder="1" applyAlignment="1" applyProtection="1">
      <alignment horizontal="center" vertical="center"/>
      <protection locked="0"/>
    </xf>
    <xf numFmtId="0" fontId="18" fillId="35" borderId="34" xfId="0" applyFont="1" applyFill="1" applyBorder="1" applyAlignment="1" applyProtection="1">
      <alignment horizontal="center" vertical="center"/>
      <protection locked="0"/>
    </xf>
    <xf numFmtId="0" fontId="18" fillId="35" borderId="33" xfId="0" applyFont="1" applyFill="1" applyBorder="1" applyAlignment="1" applyProtection="1">
      <alignment vertical="center"/>
      <protection locked="0"/>
    </xf>
    <xf numFmtId="0" fontId="18" fillId="35" borderId="35" xfId="0" applyFont="1" applyFill="1" applyBorder="1" applyAlignment="1" applyProtection="1">
      <alignment vertical="center"/>
      <protection locked="0"/>
    </xf>
    <xf numFmtId="0" fontId="18" fillId="35" borderId="33" xfId="0" applyFont="1" applyFill="1" applyBorder="1" applyAlignment="1" applyProtection="1">
      <alignment horizontal="left" vertical="center" wrapText="1"/>
      <protection locked="0"/>
    </xf>
    <xf numFmtId="0" fontId="18" fillId="35" borderId="35" xfId="0" applyFont="1" applyFill="1" applyBorder="1" applyAlignment="1" applyProtection="1">
      <alignment horizontal="left" vertical="center" wrapText="1"/>
      <protection locked="0"/>
    </xf>
    <xf numFmtId="174" fontId="42" fillId="0" borderId="128" xfId="0" applyNumberFormat="1" applyFont="1" applyBorder="1" applyAlignment="1" applyProtection="1">
      <alignment horizontal="right" vertical="center"/>
      <protection locked="0"/>
    </xf>
    <xf numFmtId="10" fontId="42" fillId="0" borderId="134" xfId="0" applyNumberFormat="1" applyFont="1" applyFill="1" applyBorder="1" applyAlignment="1" applyProtection="1">
      <alignment horizontal="center" vertical="center"/>
      <protection locked="0"/>
    </xf>
    <xf numFmtId="0" fontId="54" fillId="0" borderId="128" xfId="0" applyNumberFormat="1" applyFont="1" applyFill="1" applyBorder="1" applyAlignment="1" applyProtection="1">
      <alignment horizontal="center" vertical="center"/>
      <protection locked="0"/>
    </xf>
    <xf numFmtId="14" fontId="42" fillId="0" borderId="128" xfId="0" applyNumberFormat="1" applyFont="1" applyBorder="1" applyAlignment="1" applyProtection="1">
      <alignment horizontal="center" vertical="center"/>
      <protection locked="0"/>
    </xf>
    <xf numFmtId="0" fontId="42" fillId="0" borderId="128" xfId="0" applyNumberFormat="1" applyFont="1" applyBorder="1" applyAlignment="1" applyProtection="1">
      <alignment horizontal="center" vertical="center"/>
      <protection locked="0"/>
    </xf>
    <xf numFmtId="0" fontId="57" fillId="0" borderId="128" xfId="0" applyNumberFormat="1" applyFont="1" applyBorder="1" applyAlignment="1" applyProtection="1">
      <alignment horizontal="left" vertical="center"/>
      <protection locked="0"/>
    </xf>
    <xf numFmtId="0" fontId="42" fillId="0" borderId="134" xfId="0" applyNumberFormat="1" applyFont="1" applyBorder="1" applyAlignment="1" applyProtection="1">
      <alignment horizontal="center" vertical="center"/>
      <protection locked="0"/>
    </xf>
    <xf numFmtId="174" fontId="42" fillId="0" borderId="128" xfId="0" applyNumberFormat="1" applyFont="1" applyBorder="1" applyAlignment="1" applyProtection="1">
      <alignment vertical="center"/>
      <protection locked="0"/>
    </xf>
    <xf numFmtId="175" fontId="42" fillId="0" borderId="128" xfId="0" applyNumberFormat="1" applyFont="1" applyBorder="1" applyAlignment="1" applyProtection="1">
      <alignment horizontal="center" vertical="center"/>
      <protection locked="0"/>
    </xf>
    <xf numFmtId="0" fontId="54" fillId="25" borderId="128" xfId="0" applyNumberFormat="1" applyFont="1" applyFill="1" applyBorder="1" applyAlignment="1" applyProtection="1">
      <alignment vertical="center"/>
    </xf>
    <xf numFmtId="14" fontId="42" fillId="0" borderId="134" xfId="0" applyNumberFormat="1" applyFont="1" applyBorder="1" applyAlignment="1" applyProtection="1">
      <alignment horizontal="center" vertical="center"/>
      <protection locked="0"/>
    </xf>
    <xf numFmtId="10" fontId="42" fillId="0" borderId="130" xfId="0" applyNumberFormat="1" applyFont="1" applyFill="1" applyBorder="1" applyAlignment="1" applyProtection="1">
      <alignment horizontal="center" vertical="center"/>
      <protection locked="0"/>
    </xf>
    <xf numFmtId="10" fontId="42" fillId="0" borderId="131" xfId="0" applyNumberFormat="1" applyFont="1" applyFill="1" applyBorder="1" applyAlignment="1" applyProtection="1">
      <alignment horizontal="center" vertical="center"/>
      <protection locked="0"/>
    </xf>
    <xf numFmtId="10" fontId="42" fillId="0" borderId="132" xfId="0" applyNumberFormat="1" applyFont="1" applyFill="1" applyBorder="1" applyAlignment="1" applyProtection="1">
      <alignment horizontal="center" vertical="center"/>
      <protection locked="0"/>
    </xf>
    <xf numFmtId="0" fontId="54" fillId="25" borderId="0" xfId="0" applyNumberFormat="1" applyFont="1" applyFill="1" applyBorder="1" applyAlignment="1" applyProtection="1">
      <alignment vertical="center"/>
    </xf>
    <xf numFmtId="14" fontId="42" fillId="0" borderId="130" xfId="0" applyNumberFormat="1" applyFont="1" applyBorder="1" applyAlignment="1" applyProtection="1">
      <alignment horizontal="center" vertical="center"/>
      <protection locked="0"/>
    </xf>
    <xf numFmtId="14" fontId="42" fillId="0" borderId="132" xfId="0" applyNumberFormat="1" applyFont="1" applyBorder="1" applyAlignment="1" applyProtection="1">
      <alignment horizontal="center" vertical="center"/>
      <protection locked="0"/>
    </xf>
    <xf numFmtId="2" fontId="52" fillId="25" borderId="128" xfId="0" applyNumberFormat="1" applyFont="1" applyFill="1" applyBorder="1" applyAlignment="1" applyProtection="1">
      <alignment horizontal="center" vertical="center" wrapText="1"/>
    </xf>
    <xf numFmtId="2" fontId="52" fillId="25" borderId="133" xfId="0" applyNumberFormat="1" applyFont="1" applyFill="1" applyBorder="1" applyAlignment="1" applyProtection="1">
      <alignment horizontal="center" vertical="center" wrapText="1"/>
    </xf>
    <xf numFmtId="0" fontId="54" fillId="25" borderId="134" xfId="0" applyNumberFormat="1" applyFont="1" applyFill="1" applyBorder="1" applyAlignment="1" applyProtection="1">
      <alignment vertical="center"/>
    </xf>
    <xf numFmtId="174" fontId="42" fillId="0" borderId="134" xfId="0" applyNumberFormat="1" applyFont="1" applyBorder="1" applyAlignment="1" applyProtection="1">
      <alignment horizontal="right" vertical="center"/>
      <protection locked="0"/>
    </xf>
    <xf numFmtId="0" fontId="31" fillId="25" borderId="128" xfId="0" applyNumberFormat="1" applyFont="1" applyFill="1" applyBorder="1" applyAlignment="1" applyProtection="1">
      <alignment horizontal="center" vertical="center"/>
      <protection locked="0"/>
    </xf>
    <xf numFmtId="0" fontId="31" fillId="25" borderId="128" xfId="0" applyNumberFormat="1" applyFont="1" applyFill="1" applyBorder="1" applyAlignment="1" applyProtection="1">
      <alignment horizontal="center" vertical="center"/>
    </xf>
    <xf numFmtId="0" fontId="26" fillId="24" borderId="135" xfId="0" applyNumberFormat="1" applyFont="1" applyFill="1" applyBorder="1" applyAlignment="1" applyProtection="1">
      <alignment horizontal="center" vertical="center"/>
    </xf>
    <xf numFmtId="0" fontId="26" fillId="24" borderId="136" xfId="0" applyNumberFormat="1" applyFont="1" applyFill="1" applyBorder="1" applyAlignment="1" applyProtection="1">
      <alignment horizontal="center" vertical="center"/>
    </xf>
    <xf numFmtId="0" fontId="26" fillId="24" borderId="137" xfId="0" applyNumberFormat="1" applyFont="1" applyFill="1" applyBorder="1" applyAlignment="1" applyProtection="1">
      <alignment horizontal="center" vertical="center"/>
    </xf>
    <xf numFmtId="0" fontId="42" fillId="0" borderId="134" xfId="0" applyNumberFormat="1" applyFont="1" applyFill="1" applyBorder="1" applyAlignment="1" applyProtection="1">
      <alignment horizontal="center" vertical="center"/>
      <protection locked="0"/>
    </xf>
    <xf numFmtId="0" fontId="42" fillId="0" borderId="130" xfId="0" applyNumberFormat="1" applyFont="1" applyBorder="1" applyAlignment="1" applyProtection="1">
      <alignment horizontal="center" vertical="center"/>
      <protection locked="0"/>
    </xf>
    <xf numFmtId="0" fontId="42" fillId="0" borderId="132" xfId="0" applyNumberFormat="1" applyFont="1" applyBorder="1" applyAlignment="1" applyProtection="1">
      <alignment horizontal="center" vertical="center"/>
      <protection locked="0"/>
    </xf>
    <xf numFmtId="0" fontId="57" fillId="0" borderId="134" xfId="0" applyNumberFormat="1" applyFont="1" applyBorder="1" applyAlignment="1" applyProtection="1">
      <alignment horizontal="left" vertical="center"/>
      <protection locked="0"/>
    </xf>
    <xf numFmtId="0" fontId="57" fillId="0" borderId="130" xfId="0" applyNumberFormat="1" applyFont="1" applyBorder="1" applyAlignment="1" applyProtection="1">
      <alignment horizontal="left" vertical="center"/>
      <protection locked="0"/>
    </xf>
    <xf numFmtId="0" fontId="57" fillId="0" borderId="131" xfId="0" applyNumberFormat="1" applyFont="1" applyBorder="1" applyAlignment="1" applyProtection="1">
      <alignment horizontal="left" vertical="center"/>
      <protection locked="0"/>
    </xf>
    <xf numFmtId="0" fontId="57" fillId="0" borderId="132" xfId="0" applyNumberFormat="1" applyFont="1" applyBorder="1" applyAlignment="1" applyProtection="1">
      <alignment horizontal="left" vertical="center"/>
      <protection locked="0"/>
    </xf>
    <xf numFmtId="175" fontId="42" fillId="0" borderId="130" xfId="0" applyNumberFormat="1" applyFont="1" applyBorder="1" applyAlignment="1" applyProtection="1">
      <alignment horizontal="center" vertical="center"/>
      <protection locked="0"/>
    </xf>
    <xf numFmtId="175" fontId="42" fillId="0" borderId="132" xfId="0" applyNumberFormat="1" applyFont="1" applyBorder="1" applyAlignment="1" applyProtection="1">
      <alignment horizontal="center" vertical="center"/>
      <protection locked="0"/>
    </xf>
    <xf numFmtId="174" fontId="42" fillId="0" borderId="134" xfId="0" applyNumberFormat="1" applyFont="1" applyBorder="1" applyAlignment="1" applyProtection="1">
      <alignment horizontal="center" vertical="center"/>
      <protection locked="0"/>
    </xf>
    <xf numFmtId="174" fontId="42" fillId="0" borderId="130" xfId="0" applyNumberFormat="1" applyFont="1" applyBorder="1" applyAlignment="1" applyProtection="1">
      <alignment horizontal="center" vertical="center"/>
      <protection locked="0"/>
    </xf>
    <xf numFmtId="174" fontId="42" fillId="0" borderId="132" xfId="0" applyNumberFormat="1" applyFont="1" applyBorder="1" applyAlignment="1" applyProtection="1">
      <alignment horizontal="center" vertical="center"/>
      <protection locked="0"/>
    </xf>
    <xf numFmtId="174" fontId="42" fillId="0" borderId="130" xfId="0" applyNumberFormat="1" applyFont="1" applyBorder="1" applyAlignment="1" applyProtection="1">
      <alignment horizontal="right" vertical="center"/>
      <protection locked="0"/>
    </xf>
    <xf numFmtId="174" fontId="42" fillId="0" borderId="132" xfId="0" applyNumberFormat="1" applyFont="1" applyBorder="1" applyAlignment="1" applyProtection="1">
      <alignment horizontal="right" vertical="center"/>
      <protection locked="0"/>
    </xf>
    <xf numFmtId="175" fontId="42" fillId="0" borderId="134" xfId="0" applyNumberFormat="1" applyFont="1" applyBorder="1" applyAlignment="1" applyProtection="1">
      <alignment horizontal="center" vertical="center"/>
      <protection locked="0"/>
    </xf>
    <xf numFmtId="0" fontId="31" fillId="0" borderId="41" xfId="0" applyNumberFormat="1" applyFont="1" applyFill="1" applyBorder="1" applyAlignment="1" applyProtection="1">
      <alignment horizontal="left" vertical="center"/>
    </xf>
    <xf numFmtId="0" fontId="58" fillId="0" borderId="41" xfId="43" applyFont="1" applyFill="1" applyBorder="1" applyAlignment="1" applyProtection="1">
      <alignment horizontal="left" vertical="center" wrapText="1"/>
    </xf>
    <xf numFmtId="10" fontId="58" fillId="0" borderId="41" xfId="43" applyNumberFormat="1" applyFont="1" applyFill="1" applyBorder="1" applyAlignment="1" applyProtection="1">
      <alignment horizontal="left" vertical="center" wrapText="1"/>
    </xf>
    <xf numFmtId="0" fontId="58" fillId="0" borderId="41" xfId="43" applyNumberFormat="1" applyFont="1" applyBorder="1" applyAlignment="1" applyProtection="1">
      <alignment horizontal="left" vertical="center"/>
    </xf>
    <xf numFmtId="0" fontId="52" fillId="0" borderId="0" xfId="0" applyNumberFormat="1" applyFont="1" applyAlignment="1" applyProtection="1">
      <alignment horizontal="center" vertical="center"/>
    </xf>
    <xf numFmtId="0" fontId="42" fillId="0" borderId="0" xfId="0" applyNumberFormat="1" applyFont="1" applyAlignment="1" applyProtection="1">
      <alignment horizontal="center" vertical="center"/>
    </xf>
    <xf numFmtId="0" fontId="31" fillId="0" borderId="41" xfId="0" applyNumberFormat="1" applyFont="1" applyFill="1" applyBorder="1" applyAlignment="1" applyProtection="1">
      <alignment horizontal="center" vertical="center"/>
      <protection locked="0"/>
    </xf>
    <xf numFmtId="46" fontId="31" fillId="0" borderId="41" xfId="0" applyNumberFormat="1" applyFont="1" applyFill="1" applyBorder="1" applyAlignment="1" applyProtection="1">
      <alignment horizontal="center" vertical="center"/>
      <protection locked="0"/>
    </xf>
    <xf numFmtId="0" fontId="19" fillId="35" borderId="33" xfId="0" applyFont="1" applyFill="1" applyBorder="1" applyAlignment="1" applyProtection="1">
      <alignment horizontal="center" vertical="center" wrapText="1"/>
    </xf>
    <xf numFmtId="0" fontId="19" fillId="35" borderId="34" xfId="0" applyFont="1" applyFill="1" applyBorder="1" applyAlignment="1" applyProtection="1">
      <alignment horizontal="center" vertical="center" wrapText="1"/>
    </xf>
    <xf numFmtId="174" fontId="42" fillId="0" borderId="134" xfId="0" applyNumberFormat="1" applyFont="1" applyBorder="1" applyAlignment="1" applyProtection="1">
      <alignment vertical="center"/>
      <protection locked="0"/>
    </xf>
    <xf numFmtId="4" fontId="18" fillId="0" borderId="41" xfId="0" applyNumberFormat="1" applyFont="1" applyFill="1" applyBorder="1" applyAlignment="1" applyProtection="1">
      <alignment vertical="center"/>
      <protection locked="0"/>
    </xf>
    <xf numFmtId="0" fontId="19" fillId="35" borderId="35" xfId="0" applyFont="1" applyFill="1" applyBorder="1" applyAlignment="1" applyProtection="1">
      <alignment horizontal="center" vertical="center" wrapText="1"/>
    </xf>
    <xf numFmtId="0" fontId="72" fillId="0" borderId="0" xfId="43" applyNumberFormat="1" applyFont="1" applyAlignment="1" applyProtection="1">
      <alignment horizontal="center" vertical="center"/>
    </xf>
    <xf numFmtId="4" fontId="18" fillId="0" borderId="45" xfId="0" applyNumberFormat="1" applyFont="1" applyFill="1" applyBorder="1" applyAlignment="1" applyProtection="1">
      <alignment vertical="center"/>
      <protection locked="0"/>
    </xf>
    <xf numFmtId="4" fontId="18" fillId="0" borderId="42" xfId="0" applyNumberFormat="1" applyFont="1" applyFill="1" applyBorder="1" applyAlignment="1" applyProtection="1">
      <alignment vertical="center"/>
      <protection locked="0"/>
    </xf>
    <xf numFmtId="10" fontId="31" fillId="0" borderId="61" xfId="0" applyNumberFormat="1" applyFont="1" applyFill="1" applyBorder="1" applyAlignment="1" applyProtection="1">
      <alignment horizontal="center" vertical="center" wrapText="1"/>
    </xf>
    <xf numFmtId="10" fontId="31" fillId="0" borderId="58" xfId="0" applyNumberFormat="1" applyFont="1" applyFill="1" applyBorder="1" applyAlignment="1" applyProtection="1">
      <alignment horizontal="center" vertical="center" wrapText="1"/>
    </xf>
    <xf numFmtId="10" fontId="31" fillId="0" borderId="59" xfId="0" applyNumberFormat="1" applyFont="1" applyFill="1" applyBorder="1" applyAlignment="1" applyProtection="1">
      <alignment horizontal="center" vertical="center" wrapText="1"/>
    </xf>
    <xf numFmtId="10" fontId="31" fillId="0" borderId="62" xfId="0" applyNumberFormat="1" applyFont="1" applyFill="1" applyBorder="1" applyAlignment="1" applyProtection="1">
      <alignment horizontal="center" vertical="center" wrapText="1"/>
    </xf>
    <xf numFmtId="10" fontId="31" fillId="0" borderId="0" xfId="0" applyNumberFormat="1" applyFont="1" applyFill="1" applyBorder="1" applyAlignment="1" applyProtection="1">
      <alignment horizontal="center" vertical="center" wrapText="1"/>
    </xf>
    <xf numFmtId="10" fontId="31" fillId="0" borderId="63" xfId="0" applyNumberFormat="1" applyFont="1" applyFill="1" applyBorder="1" applyAlignment="1" applyProtection="1">
      <alignment horizontal="center" vertical="center" wrapText="1"/>
    </xf>
    <xf numFmtId="10" fontId="31" fillId="0" borderId="64" xfId="0" applyNumberFormat="1" applyFont="1" applyFill="1" applyBorder="1" applyAlignment="1" applyProtection="1">
      <alignment horizontal="center" vertical="center" wrapText="1"/>
    </xf>
    <xf numFmtId="10" fontId="31" fillId="0" borderId="43" xfId="0" applyNumberFormat="1" applyFont="1" applyFill="1" applyBorder="1" applyAlignment="1" applyProtection="1">
      <alignment horizontal="center" vertical="center" wrapText="1"/>
    </xf>
    <xf numFmtId="10" fontId="31" fillId="0" borderId="44" xfId="0" applyNumberFormat="1" applyFont="1" applyFill="1" applyBorder="1" applyAlignment="1" applyProtection="1">
      <alignment horizontal="center" vertical="center" wrapText="1"/>
    </xf>
    <xf numFmtId="0" fontId="54" fillId="25" borderId="133" xfId="0" applyNumberFormat="1" applyFont="1" applyFill="1" applyBorder="1" applyAlignment="1" applyProtection="1">
      <alignment vertical="center"/>
    </xf>
    <xf numFmtId="0" fontId="26" fillId="24" borderId="119" xfId="0" applyNumberFormat="1" applyFont="1" applyFill="1" applyBorder="1" applyAlignment="1" applyProtection="1">
      <alignment horizontal="center" vertical="center"/>
    </xf>
    <xf numFmtId="0" fontId="26" fillId="24" borderId="120" xfId="0" applyNumberFormat="1" applyFont="1" applyFill="1" applyBorder="1" applyAlignment="1" applyProtection="1">
      <alignment horizontal="center" vertical="center"/>
    </xf>
    <xf numFmtId="0" fontId="18" fillId="35" borderId="35" xfId="0" applyFont="1" applyFill="1" applyBorder="1" applyAlignment="1" applyProtection="1">
      <alignment horizontal="center" vertical="center" wrapText="1"/>
    </xf>
    <xf numFmtId="168" fontId="19" fillId="0" borderId="79" xfId="0" applyNumberFormat="1" applyFont="1" applyFill="1" applyBorder="1" applyAlignment="1" applyProtection="1">
      <alignment horizontal="center" vertical="center" textRotation="90" wrapText="1"/>
    </xf>
    <xf numFmtId="168" fontId="19" fillId="0" borderId="80" xfId="0" applyNumberFormat="1" applyFont="1" applyFill="1" applyBorder="1" applyAlignment="1" applyProtection="1">
      <alignment horizontal="center" vertical="center" textRotation="90" wrapText="1"/>
    </xf>
    <xf numFmtId="168" fontId="19" fillId="0" borderId="81" xfId="0" applyNumberFormat="1" applyFont="1" applyFill="1" applyBorder="1" applyAlignment="1" applyProtection="1">
      <alignment horizontal="center" vertical="center" textRotation="90" wrapText="1"/>
    </xf>
    <xf numFmtId="0" fontId="19" fillId="35" borderId="60" xfId="0" applyFont="1" applyFill="1" applyBorder="1" applyAlignment="1" applyProtection="1">
      <alignment horizontal="center" vertical="center" wrapText="1"/>
    </xf>
    <xf numFmtId="0" fontId="18" fillId="35" borderId="33" xfId="0" applyFont="1" applyFill="1" applyBorder="1" applyAlignment="1" applyProtection="1">
      <alignment horizontal="center" vertical="center"/>
      <protection locked="0"/>
    </xf>
    <xf numFmtId="14" fontId="42" fillId="0" borderId="133" xfId="0" applyNumberFormat="1" applyFont="1" applyBorder="1" applyAlignment="1" applyProtection="1">
      <alignment horizontal="center" vertical="center"/>
      <protection locked="0"/>
    </xf>
    <xf numFmtId="0" fontId="26" fillId="24" borderId="120" xfId="0" applyNumberFormat="1" applyFont="1" applyFill="1" applyBorder="1" applyAlignment="1" applyProtection="1">
      <alignment horizontal="center" vertical="center"/>
      <protection locked="0"/>
    </xf>
    <xf numFmtId="0" fontId="26" fillId="24" borderId="121" xfId="0" applyNumberFormat="1" applyFont="1" applyFill="1" applyBorder="1" applyAlignment="1" applyProtection="1">
      <alignment horizontal="center" vertical="center"/>
      <protection locked="0"/>
    </xf>
    <xf numFmtId="0" fontId="54" fillId="0" borderId="130" xfId="0" applyNumberFormat="1" applyFont="1" applyFill="1" applyBorder="1" applyAlignment="1" applyProtection="1">
      <alignment horizontal="center" vertical="center"/>
      <protection locked="0"/>
    </xf>
    <xf numFmtId="0" fontId="54" fillId="0" borderId="132" xfId="0" applyNumberFormat="1" applyFont="1" applyFill="1" applyBorder="1" applyAlignment="1" applyProtection="1">
      <alignment horizontal="center" vertical="center"/>
      <protection locked="0"/>
    </xf>
    <xf numFmtId="0" fontId="19" fillId="35" borderId="61" xfId="0" applyFont="1" applyFill="1" applyBorder="1" applyAlignment="1" applyProtection="1">
      <alignment horizontal="center" vertical="center" wrapText="1"/>
      <protection locked="0"/>
    </xf>
    <xf numFmtId="0" fontId="19" fillId="35" borderId="59" xfId="0" applyFont="1" applyFill="1" applyBorder="1" applyAlignment="1" applyProtection="1">
      <alignment horizontal="center" vertical="center" wrapText="1"/>
      <protection locked="0"/>
    </xf>
    <xf numFmtId="0" fontId="19" fillId="35" borderId="62" xfId="0" applyFont="1" applyFill="1" applyBorder="1" applyAlignment="1" applyProtection="1">
      <alignment horizontal="center" vertical="center" wrapText="1"/>
      <protection locked="0"/>
    </xf>
    <xf numFmtId="0" fontId="19" fillId="35" borderId="63" xfId="0" applyFont="1" applyFill="1" applyBorder="1" applyAlignment="1" applyProtection="1">
      <alignment horizontal="center" vertical="center" wrapText="1"/>
      <protection locked="0"/>
    </xf>
    <xf numFmtId="0" fontId="19" fillId="35" borderId="64" xfId="0" applyFont="1" applyFill="1" applyBorder="1" applyAlignment="1" applyProtection="1">
      <alignment horizontal="center" vertical="center" wrapText="1"/>
      <protection locked="0"/>
    </xf>
    <xf numFmtId="0" fontId="19" fillId="35" borderId="44" xfId="0" applyFont="1" applyFill="1" applyBorder="1" applyAlignment="1" applyProtection="1">
      <alignment horizontal="center" vertical="center" wrapText="1"/>
      <protection locked="0"/>
    </xf>
    <xf numFmtId="0" fontId="19" fillId="0" borderId="76" xfId="0" applyFont="1" applyFill="1" applyBorder="1" applyAlignment="1" applyProtection="1">
      <alignment horizontal="center" vertical="center" textRotation="90" wrapText="1"/>
    </xf>
    <xf numFmtId="0" fontId="19" fillId="0" borderId="77" xfId="0" applyFont="1" applyFill="1" applyBorder="1" applyAlignment="1" applyProtection="1">
      <alignment horizontal="center" vertical="center" textRotation="90" wrapText="1"/>
    </xf>
    <xf numFmtId="0" fontId="19" fillId="0" borderId="78" xfId="0" applyFont="1" applyFill="1" applyBorder="1" applyAlignment="1" applyProtection="1">
      <alignment horizontal="center" vertical="center" textRotation="90" wrapText="1"/>
    </xf>
    <xf numFmtId="0" fontId="18" fillId="35" borderId="42" xfId="0" applyFont="1" applyFill="1" applyBorder="1" applyAlignment="1" applyProtection="1">
      <alignment horizontal="center" vertical="center" wrapText="1"/>
    </xf>
    <xf numFmtId="0" fontId="18" fillId="35" borderId="41" xfId="0" applyFont="1" applyFill="1" applyBorder="1" applyAlignment="1" applyProtection="1">
      <alignment horizontal="center" vertical="center" wrapText="1"/>
    </xf>
    <xf numFmtId="0" fontId="31" fillId="0" borderId="46" xfId="0" applyNumberFormat="1" applyFont="1" applyFill="1" applyBorder="1" applyAlignment="1" applyProtection="1">
      <alignment horizontal="center" vertical="center"/>
    </xf>
    <xf numFmtId="0" fontId="31" fillId="0" borderId="42" xfId="0" applyNumberFormat="1" applyFont="1" applyFill="1" applyBorder="1" applyAlignment="1" applyProtection="1">
      <alignment horizontal="center" vertical="center"/>
    </xf>
    <xf numFmtId="0" fontId="43" fillId="35" borderId="58" xfId="0" applyFont="1" applyFill="1" applyBorder="1" applyAlignment="1" applyProtection="1">
      <alignment horizontal="center" vertical="center" wrapText="1"/>
    </xf>
    <xf numFmtId="0" fontId="43" fillId="35" borderId="59" xfId="0" applyFont="1" applyFill="1" applyBorder="1" applyAlignment="1" applyProtection="1">
      <alignment horizontal="center" vertical="center" wrapText="1"/>
    </xf>
    <xf numFmtId="0" fontId="43" fillId="35" borderId="43" xfId="0" applyFont="1" applyFill="1" applyBorder="1" applyAlignment="1" applyProtection="1">
      <alignment horizontal="center" vertical="center" wrapText="1"/>
    </xf>
    <xf numFmtId="0" fontId="43" fillId="35" borderId="44" xfId="0" applyFont="1" applyFill="1" applyBorder="1" applyAlignment="1" applyProtection="1">
      <alignment horizontal="center" vertical="center" wrapText="1"/>
    </xf>
    <xf numFmtId="0" fontId="43" fillId="35" borderId="45" xfId="0" applyFont="1" applyFill="1" applyBorder="1" applyAlignment="1" applyProtection="1">
      <alignment horizontal="center" vertical="center" wrapText="1"/>
    </xf>
    <xf numFmtId="0" fontId="43" fillId="35" borderId="46" xfId="0" applyFont="1" applyFill="1" applyBorder="1" applyAlignment="1" applyProtection="1">
      <alignment horizontal="center" vertical="center" wrapText="1"/>
    </xf>
    <xf numFmtId="0" fontId="43" fillId="35" borderId="42" xfId="0" applyFont="1" applyFill="1" applyBorder="1" applyAlignment="1" applyProtection="1">
      <alignment horizontal="center" vertical="center" wrapText="1"/>
    </xf>
    <xf numFmtId="0" fontId="43" fillId="35" borderId="41" xfId="0" applyFont="1" applyFill="1" applyBorder="1" applyAlignment="1" applyProtection="1">
      <alignment horizontal="center" vertical="center" wrapText="1"/>
    </xf>
    <xf numFmtId="0" fontId="59" fillId="0" borderId="76" xfId="43" applyNumberFormat="1" applyFont="1" applyFill="1" applyBorder="1" applyAlignment="1" applyProtection="1">
      <alignment horizontal="center" vertical="center" textRotation="90" wrapText="1"/>
    </xf>
    <xf numFmtId="0" fontId="59" fillId="0" borderId="77" xfId="43" applyNumberFormat="1" applyFont="1" applyFill="1" applyBorder="1" applyAlignment="1" applyProtection="1">
      <alignment horizontal="center" vertical="center" textRotation="90" wrapText="1"/>
    </xf>
    <xf numFmtId="0" fontId="59" fillId="0" borderId="78" xfId="43" applyNumberFormat="1" applyFont="1" applyFill="1" applyBorder="1" applyAlignment="1" applyProtection="1">
      <alignment horizontal="center" vertical="center" textRotation="90" wrapText="1"/>
    </xf>
    <xf numFmtId="174" fontId="42" fillId="39" borderId="69" xfId="0" applyNumberFormat="1" applyFont="1" applyFill="1" applyBorder="1" applyAlignment="1" applyProtection="1">
      <alignment horizontal="center" vertical="center"/>
      <protection locked="0"/>
    </xf>
    <xf numFmtId="174" fontId="42" fillId="39" borderId="70" xfId="0" applyNumberFormat="1" applyFont="1" applyFill="1" applyBorder="1" applyAlignment="1" applyProtection="1">
      <alignment horizontal="center" vertical="center"/>
      <protection locked="0"/>
    </xf>
    <xf numFmtId="174" fontId="42" fillId="38" borderId="57" xfId="0" applyNumberFormat="1" applyFont="1" applyFill="1" applyBorder="1" applyAlignment="1" applyProtection="1">
      <alignment horizontal="center" vertical="center"/>
      <protection locked="0"/>
    </xf>
    <xf numFmtId="174" fontId="42" fillId="38" borderId="71" xfId="0" applyNumberFormat="1" applyFont="1" applyFill="1" applyBorder="1" applyAlignment="1" applyProtection="1">
      <alignment horizontal="center" vertical="center"/>
      <protection locked="0"/>
    </xf>
    <xf numFmtId="174" fontId="42" fillId="38" borderId="67" xfId="0" applyNumberFormat="1" applyFont="1" applyFill="1" applyBorder="1" applyAlignment="1" applyProtection="1">
      <alignment horizontal="center" vertical="center"/>
      <protection locked="0"/>
    </xf>
    <xf numFmtId="174" fontId="42" fillId="38" borderId="73" xfId="0" applyNumberFormat="1" applyFont="1" applyFill="1" applyBorder="1" applyAlignment="1" applyProtection="1">
      <alignment horizontal="center" vertical="center"/>
      <protection locked="0"/>
    </xf>
    <xf numFmtId="174" fontId="42" fillId="38" borderId="68" xfId="0" applyNumberFormat="1" applyFont="1" applyFill="1" applyBorder="1" applyAlignment="1" applyProtection="1">
      <alignment horizontal="center" vertical="center"/>
      <protection locked="0"/>
    </xf>
    <xf numFmtId="0" fontId="56" fillId="37" borderId="65" xfId="0" applyFont="1" applyFill="1" applyBorder="1" applyAlignment="1" applyProtection="1">
      <alignment horizontal="center" vertical="center"/>
    </xf>
    <xf numFmtId="0" fontId="56" fillId="37" borderId="66" xfId="0" applyFont="1" applyFill="1" applyBorder="1" applyAlignment="1" applyProtection="1">
      <alignment horizontal="center" vertical="center"/>
    </xf>
    <xf numFmtId="174" fontId="42" fillId="38" borderId="69" xfId="0" applyNumberFormat="1" applyFont="1" applyFill="1" applyBorder="1" applyAlignment="1" applyProtection="1">
      <alignment horizontal="center" vertical="center"/>
      <protection locked="0"/>
    </xf>
    <xf numFmtId="174" fontId="42" fillId="38" borderId="70" xfId="0" applyNumberFormat="1" applyFont="1" applyFill="1" applyBorder="1" applyAlignment="1" applyProtection="1">
      <alignment horizontal="center" vertical="center"/>
      <protection locked="0"/>
    </xf>
    <xf numFmtId="0" fontId="53" fillId="31" borderId="0" xfId="0" applyNumberFormat="1" applyFont="1" applyFill="1" applyAlignment="1" applyProtection="1">
      <alignment horizontal="center" vertical="center"/>
    </xf>
    <xf numFmtId="0" fontId="56" fillId="37" borderId="72" xfId="0" applyFont="1" applyFill="1" applyBorder="1" applyAlignment="1" applyProtection="1">
      <alignment horizontal="center" vertical="center"/>
    </xf>
    <xf numFmtId="0" fontId="53" fillId="31" borderId="23" xfId="0" applyNumberFormat="1" applyFont="1" applyFill="1" applyBorder="1" applyAlignment="1" applyProtection="1">
      <alignment horizontal="center" vertical="center" wrapText="1"/>
    </xf>
    <xf numFmtId="0" fontId="53" fillId="31" borderId="54" xfId="0" applyNumberFormat="1" applyFont="1" applyFill="1" applyBorder="1" applyAlignment="1" applyProtection="1">
      <alignment horizontal="center" vertical="center" wrapText="1"/>
    </xf>
    <xf numFmtId="0" fontId="53" fillId="31" borderId="21" xfId="0" applyNumberFormat="1" applyFont="1" applyFill="1" applyBorder="1" applyAlignment="1" applyProtection="1">
      <alignment horizontal="center" vertical="center" wrapText="1"/>
    </xf>
    <xf numFmtId="0" fontId="53" fillId="31" borderId="0" xfId="0" applyNumberFormat="1" applyFont="1" applyFill="1" applyBorder="1" applyAlignment="1" applyProtection="1">
      <alignment horizontal="center" vertical="center" wrapText="1"/>
    </xf>
    <xf numFmtId="0" fontId="53" fillId="31" borderId="24" xfId="0" applyNumberFormat="1" applyFont="1" applyFill="1" applyBorder="1" applyAlignment="1" applyProtection="1">
      <alignment horizontal="center" vertical="center" wrapText="1"/>
    </xf>
    <xf numFmtId="0" fontId="53" fillId="31" borderId="20" xfId="0" applyNumberFormat="1" applyFont="1" applyFill="1" applyBorder="1" applyAlignment="1" applyProtection="1">
      <alignment horizontal="center" vertical="center" wrapText="1"/>
    </xf>
    <xf numFmtId="0" fontId="42" fillId="0" borderId="26" xfId="0" applyNumberFormat="1" applyFont="1" applyBorder="1" applyAlignment="1" applyProtection="1">
      <alignment horizontal="center" vertical="center"/>
      <protection locked="0"/>
    </xf>
    <xf numFmtId="0" fontId="42" fillId="0" borderId="30" xfId="0" applyNumberFormat="1" applyFont="1" applyBorder="1" applyAlignment="1" applyProtection="1">
      <alignment horizontal="center" vertical="center"/>
      <protection locked="0"/>
    </xf>
    <xf numFmtId="0" fontId="42" fillId="0" borderId="29" xfId="0" applyNumberFormat="1" applyFont="1" applyBorder="1" applyAlignment="1" applyProtection="1">
      <alignment horizontal="center" vertical="center"/>
      <protection locked="0"/>
    </xf>
    <xf numFmtId="0" fontId="42" fillId="0" borderId="26" xfId="0" applyNumberFormat="1" applyFont="1" applyFill="1" applyBorder="1" applyAlignment="1" applyProtection="1">
      <alignment horizontal="right" vertical="center"/>
    </xf>
    <xf numFmtId="0" fontId="42" fillId="0" borderId="30" xfId="0" applyNumberFormat="1" applyFont="1" applyFill="1" applyBorder="1" applyAlignment="1" applyProtection="1">
      <alignment horizontal="right" vertical="center"/>
    </xf>
    <xf numFmtId="0" fontId="42" fillId="0" borderId="29" xfId="0" applyNumberFormat="1" applyFont="1" applyFill="1" applyBorder="1" applyAlignment="1" applyProtection="1">
      <alignment horizontal="right" vertical="center"/>
    </xf>
    <xf numFmtId="174" fontId="42" fillId="39" borderId="74" xfId="0" applyNumberFormat="1" applyFont="1" applyFill="1" applyBorder="1" applyAlignment="1" applyProtection="1">
      <alignment horizontal="center" vertical="center"/>
      <protection locked="0"/>
    </xf>
    <xf numFmtId="174" fontId="42" fillId="38" borderId="74" xfId="0" applyNumberFormat="1" applyFont="1" applyFill="1" applyBorder="1" applyAlignment="1" applyProtection="1">
      <alignment horizontal="center" vertical="center"/>
      <protection locked="0"/>
    </xf>
    <xf numFmtId="174" fontId="42" fillId="38" borderId="75" xfId="0" applyNumberFormat="1" applyFont="1" applyFill="1" applyBorder="1" applyAlignment="1" applyProtection="1">
      <alignment horizontal="center" vertical="center"/>
      <protection locked="0"/>
    </xf>
    <xf numFmtId="42" fontId="18" fillId="35" borderId="45" xfId="0" applyNumberFormat="1" applyFont="1" applyFill="1" applyBorder="1" applyAlignment="1" applyProtection="1">
      <alignment horizontal="center" vertical="center"/>
      <protection locked="0"/>
    </xf>
    <xf numFmtId="42" fontId="18" fillId="35" borderId="46" xfId="0" applyNumberFormat="1" applyFont="1" applyFill="1" applyBorder="1" applyAlignment="1" applyProtection="1">
      <alignment horizontal="center" vertical="center"/>
      <protection locked="0"/>
    </xf>
    <xf numFmtId="42" fontId="18" fillId="35" borderId="42" xfId="0" applyNumberFormat="1" applyFont="1" applyFill="1" applyBorder="1" applyAlignment="1" applyProtection="1">
      <alignment horizontal="center" vertical="center"/>
      <protection locked="0"/>
    </xf>
    <xf numFmtId="0" fontId="35" fillId="0" borderId="0" xfId="0" applyNumberFormat="1" applyFont="1" applyAlignment="1" applyProtection="1">
      <alignment horizontal="center" vertical="center"/>
    </xf>
    <xf numFmtId="0" fontId="42" fillId="0" borderId="52" xfId="0" applyNumberFormat="1" applyFont="1" applyBorder="1" applyAlignment="1" applyProtection="1">
      <alignment horizontal="center" vertical="center" wrapText="1"/>
    </xf>
    <xf numFmtId="0" fontId="42" fillId="0" borderId="51" xfId="0" applyNumberFormat="1" applyFont="1" applyBorder="1" applyAlignment="1" applyProtection="1">
      <alignment horizontal="center" vertical="center" wrapText="1"/>
    </xf>
    <xf numFmtId="0" fontId="42" fillId="0" borderId="53" xfId="0" applyNumberFormat="1" applyFont="1" applyBorder="1" applyAlignment="1" applyProtection="1">
      <alignment horizontal="center" vertical="center" wrapText="1"/>
    </xf>
    <xf numFmtId="0" fontId="42" fillId="0" borderId="93" xfId="0" applyNumberFormat="1" applyFont="1" applyBorder="1" applyAlignment="1" applyProtection="1">
      <alignment horizontal="center" vertical="center" wrapText="1"/>
    </xf>
    <xf numFmtId="0" fontId="42" fillId="0" borderId="0" xfId="0" applyNumberFormat="1" applyFont="1" applyBorder="1" applyAlignment="1" applyProtection="1">
      <alignment horizontal="center" vertical="center" wrapText="1"/>
    </xf>
    <xf numFmtId="0" fontId="42" fillId="0" borderId="94" xfId="0" applyNumberFormat="1" applyFont="1" applyBorder="1" applyAlignment="1" applyProtection="1">
      <alignment horizontal="center" vertical="center" wrapText="1"/>
    </xf>
    <xf numFmtId="0" fontId="42" fillId="0" borderId="95" xfId="0" applyNumberFormat="1" applyFont="1" applyBorder="1" applyAlignment="1" applyProtection="1">
      <alignment horizontal="center" vertical="center" wrapText="1"/>
    </xf>
    <xf numFmtId="0" fontId="42" fillId="0" borderId="96" xfId="0" applyNumberFormat="1" applyFont="1" applyBorder="1" applyAlignment="1" applyProtection="1">
      <alignment horizontal="center" vertical="center" wrapText="1"/>
    </xf>
    <xf numFmtId="0" fontId="42" fillId="0" borderId="97" xfId="0" applyNumberFormat="1" applyFont="1" applyBorder="1" applyAlignment="1" applyProtection="1">
      <alignment horizontal="center" vertical="center" wrapText="1"/>
    </xf>
    <xf numFmtId="0" fontId="42" fillId="0" borderId="98" xfId="0" applyNumberFormat="1" applyFont="1" applyFill="1" applyBorder="1" applyAlignment="1" applyProtection="1">
      <alignment horizontal="left" vertical="center"/>
    </xf>
    <xf numFmtId="0" fontId="42" fillId="0" borderId="99" xfId="0" applyNumberFormat="1" applyFont="1" applyFill="1" applyBorder="1" applyAlignment="1" applyProtection="1">
      <alignment horizontal="left" vertical="center"/>
    </xf>
    <xf numFmtId="0" fontId="42" fillId="0" borderId="100" xfId="0" applyNumberFormat="1" applyFont="1" applyFill="1" applyBorder="1" applyAlignment="1" applyProtection="1">
      <alignment horizontal="left" vertical="center"/>
    </xf>
    <xf numFmtId="0" fontId="52" fillId="0" borderId="119" xfId="0" applyNumberFormat="1" applyFont="1" applyBorder="1" applyAlignment="1" applyProtection="1">
      <alignment horizontal="center" vertical="center"/>
    </xf>
    <xf numFmtId="0" fontId="52" fillId="0" borderId="120" xfId="0" applyNumberFormat="1" applyFont="1" applyBorder="1" applyAlignment="1" applyProtection="1">
      <alignment horizontal="center" vertical="center"/>
    </xf>
    <xf numFmtId="0" fontId="52" fillId="0" borderId="121" xfId="0" applyNumberFormat="1" applyFont="1" applyBorder="1" applyAlignment="1" applyProtection="1">
      <alignment horizontal="center" vertical="center"/>
    </xf>
    <xf numFmtId="0" fontId="70" fillId="0" borderId="52" xfId="0" applyNumberFormat="1" applyFont="1" applyBorder="1" applyAlignment="1" applyProtection="1">
      <alignment vertical="center" wrapText="1"/>
    </xf>
    <xf numFmtId="0" fontId="70" fillId="0" borderId="51" xfId="0" applyNumberFormat="1" applyFont="1" applyBorder="1" applyAlignment="1" applyProtection="1">
      <alignment vertical="center" wrapText="1"/>
    </xf>
    <xf numFmtId="0" fontId="70" fillId="0" borderId="53" xfId="0" applyNumberFormat="1" applyFont="1" applyBorder="1" applyAlignment="1" applyProtection="1">
      <alignment vertical="center" wrapText="1"/>
    </xf>
    <xf numFmtId="0" fontId="70" fillId="0" borderId="93" xfId="0" applyNumberFormat="1" applyFont="1" applyBorder="1" applyAlignment="1" applyProtection="1">
      <alignment vertical="center" wrapText="1"/>
    </xf>
    <xf numFmtId="0" fontId="70" fillId="0" borderId="0" xfId="0" applyNumberFormat="1" applyFont="1" applyBorder="1" applyAlignment="1" applyProtection="1">
      <alignment vertical="center" wrapText="1"/>
    </xf>
    <xf numFmtId="0" fontId="70" fillId="0" borderId="94" xfId="0" applyNumberFormat="1" applyFont="1" applyBorder="1" applyAlignment="1" applyProtection="1">
      <alignment vertical="center" wrapText="1"/>
    </xf>
    <xf numFmtId="0" fontId="42" fillId="0" borderId="93" xfId="0" applyNumberFormat="1" applyFont="1" applyBorder="1" applyAlignment="1" applyProtection="1">
      <alignment vertical="center" wrapText="1"/>
    </xf>
    <xf numFmtId="0" fontId="42" fillId="0" borderId="0" xfId="0" applyNumberFormat="1" applyFont="1" applyBorder="1" applyAlignment="1" applyProtection="1">
      <alignment vertical="center" wrapText="1"/>
    </xf>
    <xf numFmtId="0" fontId="42" fillId="0" borderId="94" xfId="0" applyNumberFormat="1" applyFont="1" applyBorder="1" applyAlignment="1" applyProtection="1">
      <alignment vertical="center" wrapText="1"/>
    </xf>
    <xf numFmtId="0" fontId="42" fillId="0" borderId="52" xfId="0" applyNumberFormat="1" applyFont="1" applyBorder="1" applyAlignment="1" applyProtection="1">
      <alignment vertical="center" wrapText="1"/>
    </xf>
    <xf numFmtId="0" fontId="42" fillId="0" borderId="51" xfId="0" applyNumberFormat="1" applyFont="1" applyBorder="1" applyAlignment="1" applyProtection="1">
      <alignment vertical="center" wrapText="1"/>
    </xf>
    <xf numFmtId="0" fontId="42" fillId="0" borderId="53" xfId="0" applyNumberFormat="1" applyFont="1" applyBorder="1" applyAlignment="1" applyProtection="1">
      <alignment vertical="center" wrapText="1"/>
    </xf>
    <xf numFmtId="0" fontId="42" fillId="0" borderId="95" xfId="0" applyNumberFormat="1" applyFont="1" applyBorder="1" applyAlignment="1" applyProtection="1">
      <alignment vertical="center" wrapText="1"/>
    </xf>
    <xf numFmtId="0" fontId="42" fillId="0" borderId="96" xfId="0" applyNumberFormat="1" applyFont="1" applyBorder="1" applyAlignment="1" applyProtection="1">
      <alignment vertical="center" wrapText="1"/>
    </xf>
    <xf numFmtId="0" fontId="42" fillId="0" borderId="97" xfId="0" applyNumberFormat="1" applyFont="1" applyBorder="1" applyAlignment="1" applyProtection="1">
      <alignment vertical="center" wrapText="1"/>
    </xf>
    <xf numFmtId="14" fontId="42" fillId="0" borderId="104" xfId="0" applyNumberFormat="1" applyFont="1" applyFill="1" applyBorder="1" applyAlignment="1" applyProtection="1">
      <alignment horizontal="center" vertical="center"/>
    </xf>
    <xf numFmtId="14" fontId="42" fillId="0" borderId="102" xfId="0" applyNumberFormat="1" applyFont="1" applyFill="1" applyBorder="1" applyAlignment="1" applyProtection="1">
      <alignment horizontal="center" vertical="center"/>
    </xf>
    <xf numFmtId="14" fontId="42" fillId="0" borderId="105" xfId="0" applyNumberFormat="1" applyFont="1" applyFill="1" applyBorder="1" applyAlignment="1" applyProtection="1">
      <alignment horizontal="center" vertical="center"/>
    </xf>
    <xf numFmtId="0" fontId="42" fillId="0" borderId="104" xfId="0" applyNumberFormat="1" applyFont="1" applyFill="1" applyBorder="1" applyAlignment="1" applyProtection="1">
      <alignment horizontal="center" vertical="center"/>
    </xf>
    <xf numFmtId="0" fontId="42" fillId="0" borderId="102" xfId="0" applyNumberFormat="1" applyFont="1" applyFill="1" applyBorder="1" applyAlignment="1" applyProtection="1">
      <alignment horizontal="center" vertical="center"/>
    </xf>
    <xf numFmtId="0" fontId="42" fillId="0" borderId="105" xfId="0" applyNumberFormat="1" applyFont="1" applyFill="1" applyBorder="1" applyAlignment="1" applyProtection="1">
      <alignment horizontal="center" vertical="center"/>
    </xf>
    <xf numFmtId="0" fontId="44" fillId="35" borderId="39" xfId="0" applyFont="1" applyFill="1" applyBorder="1" applyAlignment="1" applyProtection="1">
      <alignment horizontal="center" vertical="center" wrapText="1"/>
    </xf>
    <xf numFmtId="0" fontId="44" fillId="35" borderId="40" xfId="0" applyFont="1" applyFill="1" applyBorder="1" applyAlignment="1" applyProtection="1">
      <alignment horizontal="center" vertical="center" wrapText="1"/>
    </xf>
    <xf numFmtId="0" fontId="44" fillId="35" borderId="37" xfId="0" applyFont="1" applyFill="1" applyBorder="1" applyAlignment="1" applyProtection="1">
      <alignment horizontal="center" vertical="center" wrapText="1"/>
    </xf>
    <xf numFmtId="0" fontId="44" fillId="35" borderId="38" xfId="0" applyFont="1" applyFill="1" applyBorder="1" applyAlignment="1" applyProtection="1">
      <alignment horizontal="center" vertical="center" wrapText="1"/>
    </xf>
    <xf numFmtId="0" fontId="44" fillId="35" borderId="32" xfId="0" applyFont="1" applyFill="1" applyBorder="1" applyAlignment="1" applyProtection="1">
      <alignment horizontal="center" vertical="center" wrapText="1"/>
    </xf>
    <xf numFmtId="0" fontId="43" fillId="35" borderId="32" xfId="0" applyFont="1" applyFill="1" applyBorder="1" applyAlignment="1" applyProtection="1">
      <alignment horizontal="center" vertical="center" wrapText="1"/>
    </xf>
    <xf numFmtId="0" fontId="52" fillId="0" borderId="52" xfId="0" applyNumberFormat="1" applyFont="1" applyBorder="1" applyAlignment="1" applyProtection="1">
      <alignment horizontal="center" vertical="center"/>
    </xf>
    <xf numFmtId="0" fontId="52" fillId="0" borderId="51" xfId="0" applyNumberFormat="1" applyFont="1" applyBorder="1" applyAlignment="1" applyProtection="1">
      <alignment horizontal="center" vertical="center"/>
    </xf>
    <xf numFmtId="172" fontId="51" fillId="35" borderId="45" xfId="0" applyNumberFormat="1" applyFont="1" applyFill="1" applyBorder="1" applyAlignment="1" applyProtection="1">
      <alignment horizontal="center" vertical="center"/>
    </xf>
    <xf numFmtId="172" fontId="51" fillId="35" borderId="46" xfId="0" applyNumberFormat="1" applyFont="1" applyFill="1" applyBorder="1" applyAlignment="1" applyProtection="1">
      <alignment horizontal="center" vertical="center"/>
    </xf>
    <xf numFmtId="172" fontId="51" fillId="35" borderId="42" xfId="0" applyNumberFormat="1" applyFont="1" applyFill="1" applyBorder="1" applyAlignment="1" applyProtection="1">
      <alignment horizontal="center" vertical="center"/>
    </xf>
    <xf numFmtId="0" fontId="75" fillId="0" borderId="106" xfId="43" applyNumberFormat="1" applyFont="1" applyFill="1" applyBorder="1" applyAlignment="1" applyProtection="1">
      <alignment horizontal="center" vertical="center"/>
      <protection locked="0"/>
    </xf>
    <xf numFmtId="0" fontId="75" fillId="0" borderId="99" xfId="43" applyNumberFormat="1" applyFont="1" applyFill="1" applyBorder="1" applyAlignment="1" applyProtection="1">
      <alignment horizontal="center" vertical="center"/>
      <protection locked="0"/>
    </xf>
    <xf numFmtId="0" fontId="75" fillId="0" borderId="107" xfId="43" applyNumberFormat="1" applyFont="1" applyFill="1" applyBorder="1" applyAlignment="1" applyProtection="1">
      <alignment horizontal="center" vertical="center"/>
      <protection locked="0"/>
    </xf>
    <xf numFmtId="0" fontId="69" fillId="0" borderId="52" xfId="0" applyNumberFormat="1" applyFont="1" applyBorder="1" applyAlignment="1" applyProtection="1">
      <alignment horizontal="center" vertical="center" wrapText="1"/>
    </xf>
    <xf numFmtId="0" fontId="69" fillId="0" borderId="51" xfId="0" applyNumberFormat="1" applyFont="1" applyBorder="1" applyAlignment="1" applyProtection="1">
      <alignment horizontal="center" vertical="center" wrapText="1"/>
    </xf>
    <xf numFmtId="0" fontId="69" fillId="0" borderId="53" xfId="0" applyNumberFormat="1" applyFont="1" applyBorder="1" applyAlignment="1" applyProtection="1">
      <alignment horizontal="center" vertical="center" wrapText="1"/>
    </xf>
    <xf numFmtId="0" fontId="69" fillId="0" borderId="93" xfId="0" applyNumberFormat="1" applyFont="1" applyBorder="1" applyAlignment="1" applyProtection="1">
      <alignment horizontal="center" vertical="center" wrapText="1"/>
    </xf>
    <xf numFmtId="0" fontId="69" fillId="0" borderId="0" xfId="0" applyNumberFormat="1" applyFont="1" applyBorder="1" applyAlignment="1" applyProtection="1">
      <alignment horizontal="center" vertical="center" wrapText="1"/>
    </xf>
    <xf numFmtId="0" fontId="69" fillId="0" borderId="94" xfId="0" applyNumberFormat="1" applyFont="1" applyBorder="1" applyAlignment="1" applyProtection="1">
      <alignment horizontal="center" vertical="center" wrapText="1"/>
    </xf>
    <xf numFmtId="0" fontId="69" fillId="0" borderId="95" xfId="0" applyNumberFormat="1" applyFont="1" applyBorder="1" applyAlignment="1" applyProtection="1">
      <alignment horizontal="center" vertical="center" wrapText="1"/>
    </xf>
    <xf numFmtId="0" fontId="69" fillId="0" borderId="96" xfId="0" applyNumberFormat="1" applyFont="1" applyBorder="1" applyAlignment="1" applyProtection="1">
      <alignment horizontal="center" vertical="center" wrapText="1"/>
    </xf>
    <xf numFmtId="0" fontId="69" fillId="0" borderId="97" xfId="0" applyNumberFormat="1" applyFont="1" applyBorder="1" applyAlignment="1" applyProtection="1">
      <alignment horizontal="center" vertical="center" wrapText="1"/>
    </xf>
    <xf numFmtId="0" fontId="19" fillId="0" borderId="46" xfId="0" applyFont="1" applyBorder="1" applyAlignment="1" applyProtection="1">
      <alignment horizontal="center" vertical="center"/>
    </xf>
    <xf numFmtId="0" fontId="19" fillId="0" borderId="42" xfId="0" applyFont="1" applyBorder="1" applyAlignment="1" applyProtection="1">
      <alignment horizontal="center" vertical="center"/>
    </xf>
    <xf numFmtId="0" fontId="18" fillId="0" borderId="41" xfId="0" applyFont="1" applyFill="1" applyBorder="1" applyAlignment="1" applyProtection="1">
      <alignment horizontal="center" vertical="center" wrapText="1"/>
    </xf>
    <xf numFmtId="0" fontId="42" fillId="0" borderId="101" xfId="0" applyNumberFormat="1" applyFont="1" applyFill="1" applyBorder="1" applyAlignment="1" applyProtection="1">
      <alignment horizontal="left" vertical="center"/>
    </xf>
    <xf numFmtId="0" fontId="42" fillId="0" borderId="102" xfId="0" applyNumberFormat="1" applyFont="1" applyFill="1" applyBorder="1" applyAlignment="1" applyProtection="1">
      <alignment horizontal="left" vertical="center"/>
    </xf>
    <xf numFmtId="0" fontId="42" fillId="0" borderId="103" xfId="0" applyNumberFormat="1" applyFont="1" applyFill="1" applyBorder="1" applyAlignment="1" applyProtection="1">
      <alignment horizontal="left" vertical="center"/>
    </xf>
    <xf numFmtId="0" fontId="32" fillId="0" borderId="104" xfId="43" applyNumberFormat="1" applyFont="1" applyFill="1" applyBorder="1" applyAlignment="1" applyProtection="1">
      <alignment horizontal="center" vertical="center"/>
    </xf>
    <xf numFmtId="0" fontId="68" fillId="0" borderId="102" xfId="43" applyNumberFormat="1" applyFont="1" applyFill="1" applyBorder="1" applyAlignment="1" applyProtection="1">
      <alignment horizontal="center" vertical="center"/>
    </xf>
    <xf numFmtId="0" fontId="68" fillId="0" borderId="105" xfId="43" applyNumberFormat="1" applyFont="1" applyFill="1" applyBorder="1" applyAlignment="1" applyProtection="1">
      <alignment horizontal="center" vertical="center"/>
    </xf>
    <xf numFmtId="0" fontId="42" fillId="0" borderId="112" xfId="0" applyNumberFormat="1" applyFont="1" applyFill="1" applyBorder="1" applyAlignment="1" applyProtection="1">
      <alignment horizontal="center" vertical="center" wrapText="1"/>
    </xf>
    <xf numFmtId="0" fontId="42" fillId="0" borderId="109" xfId="0" applyNumberFormat="1" applyFont="1" applyFill="1" applyBorder="1" applyAlignment="1" applyProtection="1">
      <alignment horizontal="center" vertical="center" wrapText="1"/>
    </xf>
    <xf numFmtId="0" fontId="42" fillId="0" borderId="113" xfId="0" applyNumberFormat="1" applyFont="1" applyFill="1" applyBorder="1" applyAlignment="1" applyProtection="1">
      <alignment horizontal="center" vertical="center" wrapText="1"/>
    </xf>
    <xf numFmtId="0" fontId="42" fillId="0" borderId="114" xfId="0" applyNumberFormat="1" applyFont="1" applyFill="1" applyBorder="1" applyAlignment="1" applyProtection="1">
      <alignment horizontal="center" vertical="center" wrapText="1"/>
    </xf>
    <xf numFmtId="0" fontId="42" fillId="0" borderId="96" xfId="0" applyNumberFormat="1" applyFont="1" applyFill="1" applyBorder="1" applyAlignment="1" applyProtection="1">
      <alignment horizontal="center" vertical="center" wrapText="1"/>
    </xf>
    <xf numFmtId="0" fontId="42" fillId="0" borderId="97" xfId="0" applyNumberFormat="1" applyFont="1" applyFill="1" applyBorder="1" applyAlignment="1" applyProtection="1">
      <alignment horizontal="center" vertical="center" wrapText="1"/>
    </xf>
    <xf numFmtId="0" fontId="32" fillId="0" borderId="102" xfId="43" applyNumberFormat="1" applyFont="1" applyFill="1" applyBorder="1" applyAlignment="1" applyProtection="1">
      <alignment horizontal="center" vertical="center"/>
    </xf>
    <xf numFmtId="0" fontId="32" fillId="0" borderId="105" xfId="43" applyNumberFormat="1" applyFont="1" applyFill="1" applyBorder="1" applyAlignment="1" applyProtection="1">
      <alignment horizontal="center" vertical="center"/>
    </xf>
    <xf numFmtId="0" fontId="42" fillId="0" borderId="108" xfId="0" applyNumberFormat="1" applyFont="1" applyFill="1" applyBorder="1" applyAlignment="1" applyProtection="1">
      <alignment horizontal="center" vertical="center"/>
    </xf>
    <xf numFmtId="0" fontId="42" fillId="0" borderId="109" xfId="0" applyNumberFormat="1" applyFont="1" applyFill="1" applyBorder="1" applyAlignment="1" applyProtection="1">
      <alignment horizontal="center" vertical="center"/>
    </xf>
    <xf numFmtId="0" fontId="42" fillId="0" borderId="110" xfId="0" applyNumberFormat="1" applyFont="1" applyFill="1" applyBorder="1" applyAlignment="1" applyProtection="1">
      <alignment horizontal="center" vertical="center"/>
    </xf>
    <xf numFmtId="0" fontId="42" fillId="0" borderId="95" xfId="0" applyNumberFormat="1" applyFont="1" applyFill="1" applyBorder="1" applyAlignment="1" applyProtection="1">
      <alignment horizontal="center" vertical="center"/>
    </xf>
    <xf numFmtId="0" fontId="42" fillId="0" borderId="96" xfId="0" applyNumberFormat="1" applyFont="1" applyFill="1" applyBorder="1" applyAlignment="1" applyProtection="1">
      <alignment horizontal="center" vertical="center"/>
    </xf>
    <xf numFmtId="0" fontId="42" fillId="0" borderId="111" xfId="0" applyNumberFormat="1" applyFont="1" applyFill="1" applyBorder="1" applyAlignment="1" applyProtection="1">
      <alignment horizontal="center" vertical="center"/>
    </xf>
    <xf numFmtId="0" fontId="42" fillId="0" borderId="52" xfId="0" applyNumberFormat="1" applyFont="1" applyFill="1" applyBorder="1" applyAlignment="1" applyProtection="1">
      <alignment horizontal="center" vertical="center"/>
    </xf>
    <xf numFmtId="0" fontId="42" fillId="0" borderId="51" xfId="0" applyNumberFormat="1" applyFont="1" applyFill="1" applyBorder="1" applyAlignment="1" applyProtection="1">
      <alignment horizontal="center" vertical="center"/>
    </xf>
    <xf numFmtId="0" fontId="42" fillId="0" borderId="118" xfId="0" applyNumberFormat="1" applyFont="1" applyFill="1" applyBorder="1" applyAlignment="1" applyProtection="1">
      <alignment horizontal="center" vertical="center"/>
    </xf>
    <xf numFmtId="0" fontId="42" fillId="0" borderId="93" xfId="0" applyNumberFormat="1" applyFont="1" applyFill="1" applyBorder="1" applyAlignment="1" applyProtection="1">
      <alignment horizontal="center" vertical="center"/>
    </xf>
    <xf numFmtId="0" fontId="42" fillId="0" borderId="0" xfId="0" applyNumberFormat="1" applyFont="1" applyFill="1" applyBorder="1" applyAlignment="1" applyProtection="1">
      <alignment horizontal="center" vertical="center"/>
    </xf>
    <xf numFmtId="0" fontId="42" fillId="0" borderId="94" xfId="0" applyNumberFormat="1" applyFont="1" applyFill="1" applyBorder="1" applyAlignment="1" applyProtection="1">
      <alignment horizontal="center" vertical="center"/>
    </xf>
    <xf numFmtId="0" fontId="42" fillId="0" borderId="97" xfId="0" applyNumberFormat="1" applyFont="1" applyFill="1" applyBorder="1" applyAlignment="1" applyProtection="1">
      <alignment horizontal="center" vertical="center"/>
    </xf>
    <xf numFmtId="0" fontId="42" fillId="0" borderId="95" xfId="0" applyNumberFormat="1" applyFont="1" applyBorder="1" applyAlignment="1" applyProtection="1">
      <alignment horizontal="center" vertical="center"/>
    </xf>
    <xf numFmtId="0" fontId="42" fillId="0" borderId="96" xfId="0" applyNumberFormat="1" applyFont="1" applyBorder="1" applyAlignment="1" applyProtection="1">
      <alignment horizontal="center" vertical="center"/>
    </xf>
    <xf numFmtId="14" fontId="42" fillId="0" borderId="96" xfId="0" applyNumberFormat="1" applyFont="1" applyBorder="1" applyAlignment="1" applyProtection="1">
      <alignment horizontal="center" vertical="center"/>
    </xf>
    <xf numFmtId="5" fontId="42" fillId="0" borderId="96" xfId="0" applyNumberFormat="1" applyFont="1" applyBorder="1" applyAlignment="1" applyProtection="1">
      <alignment horizontal="center" vertical="center"/>
    </xf>
    <xf numFmtId="0" fontId="42" fillId="0" borderId="97" xfId="0" applyNumberFormat="1" applyFont="1" applyBorder="1" applyAlignment="1" applyProtection="1">
      <alignment horizontal="center" vertical="center"/>
    </xf>
    <xf numFmtId="0" fontId="42" fillId="0" borderId="106" xfId="0" applyNumberFormat="1" applyFont="1" applyFill="1" applyBorder="1" applyAlignment="1" applyProtection="1">
      <alignment horizontal="center" vertical="center"/>
    </xf>
    <xf numFmtId="0" fontId="42" fillId="0" borderId="99" xfId="0" applyNumberFormat="1" applyFont="1" applyFill="1" applyBorder="1" applyAlignment="1" applyProtection="1">
      <alignment horizontal="center" vertical="center"/>
    </xf>
    <xf numFmtId="0" fontId="42" fillId="0" borderId="107" xfId="0" applyNumberFormat="1" applyFont="1" applyFill="1" applyBorder="1" applyAlignment="1" applyProtection="1">
      <alignment horizontal="center" vertical="center"/>
    </xf>
    <xf numFmtId="0" fontId="42" fillId="0" borderId="116" xfId="0" applyNumberFormat="1" applyFont="1" applyFill="1" applyBorder="1" applyAlignment="1" applyProtection="1">
      <alignment horizontal="center" vertical="center"/>
    </xf>
    <xf numFmtId="0" fontId="42" fillId="0" borderId="115" xfId="0" applyNumberFormat="1" applyFont="1" applyFill="1" applyBorder="1" applyAlignment="1" applyProtection="1">
      <alignment horizontal="center" vertical="center"/>
    </xf>
    <xf numFmtId="0" fontId="42" fillId="0" borderId="117" xfId="0" applyNumberFormat="1" applyFont="1" applyFill="1" applyBorder="1" applyAlignment="1" applyProtection="1">
      <alignment horizontal="center" vertical="center"/>
    </xf>
    <xf numFmtId="0" fontId="52" fillId="0" borderId="119" xfId="0" applyNumberFormat="1" applyFont="1" applyFill="1" applyBorder="1" applyAlignment="1" applyProtection="1">
      <alignment horizontal="center" vertical="center"/>
    </xf>
    <xf numFmtId="0" fontId="52" fillId="0" borderId="120" xfId="0" applyNumberFormat="1" applyFont="1" applyFill="1" applyBorder="1" applyAlignment="1" applyProtection="1">
      <alignment horizontal="center" vertical="center"/>
    </xf>
    <xf numFmtId="0" fontId="52" fillId="0" borderId="121" xfId="0" applyNumberFormat="1" applyFont="1" applyFill="1" applyBorder="1" applyAlignment="1" applyProtection="1">
      <alignment horizontal="center" vertical="center"/>
    </xf>
    <xf numFmtId="0" fontId="42" fillId="0" borderId="53" xfId="0" applyNumberFormat="1" applyFont="1" applyFill="1" applyBorder="1" applyAlignment="1" applyProtection="1">
      <alignment horizontal="center" vertical="center"/>
    </xf>
    <xf numFmtId="0" fontId="42" fillId="0" borderId="93" xfId="0" applyNumberFormat="1" applyFont="1" applyBorder="1" applyAlignment="1" applyProtection="1">
      <alignment horizontal="center" vertical="center"/>
    </xf>
    <xf numFmtId="0" fontId="42" fillId="0" borderId="0" xfId="0" applyNumberFormat="1" applyFont="1" applyBorder="1" applyAlignment="1" applyProtection="1">
      <alignment horizontal="center" vertical="center"/>
    </xf>
    <xf numFmtId="14" fontId="42" fillId="0" borderId="0" xfId="0" applyNumberFormat="1" applyFont="1" applyBorder="1" applyAlignment="1" applyProtection="1">
      <alignment horizontal="center" vertical="center"/>
    </xf>
    <xf numFmtId="174" fontId="42" fillId="0" borderId="0" xfId="0" applyNumberFormat="1" applyFont="1" applyBorder="1" applyAlignment="1" applyProtection="1">
      <alignment horizontal="center" vertical="center"/>
    </xf>
    <xf numFmtId="0" fontId="52" fillId="0" borderId="53" xfId="0" applyNumberFormat="1" applyFont="1" applyBorder="1" applyAlignment="1" applyProtection="1">
      <alignment horizontal="center" vertical="center"/>
    </xf>
    <xf numFmtId="5" fontId="42" fillId="0" borderId="0" xfId="0" applyNumberFormat="1" applyFont="1" applyBorder="1" applyAlignment="1" applyProtection="1">
      <alignment horizontal="center" vertical="center"/>
    </xf>
    <xf numFmtId="0" fontId="42" fillId="0" borderId="94" xfId="0" applyNumberFormat="1" applyFont="1" applyBorder="1" applyAlignment="1" applyProtection="1">
      <alignment horizontal="center" vertical="center"/>
    </xf>
    <xf numFmtId="174" fontId="42" fillId="0" borderId="94" xfId="0" applyNumberFormat="1" applyFont="1" applyBorder="1" applyAlignment="1" applyProtection="1">
      <alignment horizontal="center" vertical="center"/>
    </xf>
    <xf numFmtId="0" fontId="42" fillId="0" borderId="93" xfId="0" applyNumberFormat="1" applyFont="1" applyFill="1" applyBorder="1" applyAlignment="1" applyProtection="1">
      <alignment horizontal="left" vertical="center"/>
    </xf>
    <xf numFmtId="0" fontId="42" fillId="0" borderId="0" xfId="0" applyNumberFormat="1" applyFont="1" applyFill="1" applyBorder="1" applyAlignment="1" applyProtection="1">
      <alignment horizontal="left" vertical="center"/>
    </xf>
    <xf numFmtId="0" fontId="42" fillId="0" borderId="94" xfId="0" applyNumberFormat="1" applyFont="1" applyFill="1" applyBorder="1" applyAlignment="1" applyProtection="1">
      <alignment horizontal="left" vertical="center"/>
    </xf>
    <xf numFmtId="0" fontId="42" fillId="0" borderId="52" xfId="0" applyNumberFormat="1" applyFont="1" applyFill="1" applyBorder="1" applyAlignment="1" applyProtection="1">
      <alignment horizontal="left" vertical="center"/>
    </xf>
    <xf numFmtId="0" fontId="42" fillId="0" borderId="51" xfId="0" applyNumberFormat="1" applyFont="1" applyFill="1" applyBorder="1" applyAlignment="1" applyProtection="1">
      <alignment horizontal="left" vertical="center"/>
    </xf>
    <xf numFmtId="0" fontId="42" fillId="0" borderId="53" xfId="0" applyNumberFormat="1" applyFont="1" applyFill="1" applyBorder="1" applyAlignment="1" applyProtection="1">
      <alignment horizontal="left" vertical="center"/>
    </xf>
    <xf numFmtId="0" fontId="25" fillId="0" borderId="93" xfId="43" applyNumberFormat="1" applyFont="1" applyFill="1" applyBorder="1" applyAlignment="1" applyProtection="1">
      <alignment horizontal="left" vertical="center"/>
    </xf>
    <xf numFmtId="0" fontId="25" fillId="0" borderId="0" xfId="43" applyNumberFormat="1" applyFont="1" applyFill="1" applyBorder="1" applyAlignment="1" applyProtection="1">
      <alignment horizontal="left" vertical="center"/>
    </xf>
    <xf numFmtId="0" fontId="25" fillId="0" borderId="94" xfId="43" applyNumberFormat="1" applyFont="1" applyFill="1" applyBorder="1" applyAlignment="1" applyProtection="1">
      <alignment horizontal="left" vertical="center"/>
    </xf>
    <xf numFmtId="0" fontId="25" fillId="0" borderId="95" xfId="43" applyNumberFormat="1" applyFont="1" applyFill="1" applyBorder="1" applyAlignment="1" applyProtection="1">
      <alignment horizontal="left" vertical="center"/>
    </xf>
    <xf numFmtId="0" fontId="25" fillId="0" borderId="96" xfId="43" applyNumberFormat="1" applyFont="1" applyFill="1" applyBorder="1" applyAlignment="1" applyProtection="1">
      <alignment horizontal="left" vertical="center"/>
    </xf>
    <xf numFmtId="0" fontId="25" fillId="0" borderId="97" xfId="43" applyNumberFormat="1" applyFont="1" applyFill="1" applyBorder="1" applyAlignment="1" applyProtection="1">
      <alignment horizontal="left" vertical="center"/>
    </xf>
    <xf numFmtId="0" fontId="73" fillId="0" borderId="93" xfId="43" applyNumberFormat="1" applyFont="1" applyFill="1" applyBorder="1" applyAlignment="1" applyProtection="1">
      <alignment horizontal="left" vertical="center"/>
    </xf>
    <xf numFmtId="0" fontId="73" fillId="0" borderId="0" xfId="43" applyNumberFormat="1" applyFont="1" applyFill="1" applyBorder="1" applyAlignment="1" applyProtection="1">
      <alignment horizontal="left" vertical="center"/>
    </xf>
    <xf numFmtId="0" fontId="73" fillId="0" borderId="94" xfId="43" applyNumberFormat="1" applyFont="1" applyFill="1" applyBorder="1" applyAlignment="1" applyProtection="1">
      <alignment horizontal="left" vertical="center"/>
    </xf>
    <xf numFmtId="0" fontId="18" fillId="0" borderId="26" xfId="32" applyNumberFormat="1" applyFont="1" applyFill="1" applyBorder="1" applyAlignment="1" applyProtection="1">
      <alignment horizontal="right" vertical="center" wrapText="1"/>
    </xf>
    <xf numFmtId="0" fontId="18" fillId="0" borderId="30" xfId="32" applyNumberFormat="1" applyFont="1" applyFill="1" applyBorder="1" applyAlignment="1" applyProtection="1">
      <alignment horizontal="right" vertical="center" wrapText="1"/>
    </xf>
    <xf numFmtId="0" fontId="18" fillId="0" borderId="29" xfId="32" applyNumberFormat="1" applyFont="1" applyFill="1" applyBorder="1" applyAlignment="1" applyProtection="1">
      <alignment horizontal="right" vertical="center" wrapText="1"/>
    </xf>
    <xf numFmtId="0" fontId="18" fillId="0" borderId="21" xfId="32" applyNumberFormat="1" applyFont="1" applyFill="1" applyBorder="1" applyAlignment="1" applyProtection="1">
      <alignment horizontal="right" vertical="center" wrapText="1"/>
    </xf>
    <xf numFmtId="0" fontId="18" fillId="0" borderId="0" xfId="32" applyNumberFormat="1" applyFont="1" applyFill="1" applyBorder="1" applyAlignment="1" applyProtection="1">
      <alignment horizontal="right" vertical="center" wrapText="1"/>
    </xf>
    <xf numFmtId="0" fontId="19" fillId="0" borderId="26" xfId="0" applyNumberFormat="1" applyFont="1" applyFill="1" applyBorder="1" applyAlignment="1" applyProtection="1">
      <alignment horizontal="center" vertical="center" wrapText="1"/>
    </xf>
    <xf numFmtId="0" fontId="19" fillId="0" borderId="30" xfId="0" applyNumberFormat="1" applyFont="1" applyFill="1" applyBorder="1" applyAlignment="1" applyProtection="1">
      <alignment horizontal="center" vertical="center" wrapText="1"/>
    </xf>
    <xf numFmtId="0" fontId="18" fillId="0" borderId="0" xfId="0" applyFont="1" applyAlignment="1" applyProtection="1">
      <alignment horizontal="left"/>
      <protection hidden="1"/>
    </xf>
    <xf numFmtId="0" fontId="61" fillId="0" borderId="151" xfId="0" applyFont="1" applyBorder="1" applyAlignment="1" applyProtection="1">
      <alignment horizontal="center" vertical="center"/>
    </xf>
    <xf numFmtId="0" fontId="61" fillId="0" borderId="152" xfId="0" applyFont="1" applyBorder="1" applyAlignment="1" applyProtection="1">
      <alignment horizontal="center" vertical="center"/>
    </xf>
    <xf numFmtId="0" fontId="67" fillId="31" borderId="85" xfId="0" applyNumberFormat="1" applyFont="1" applyFill="1" applyBorder="1" applyAlignment="1" applyProtection="1">
      <alignment horizontal="center" vertical="center" wrapText="1"/>
      <protection locked="0"/>
    </xf>
    <xf numFmtId="0" fontId="67" fillId="31" borderId="86" xfId="0" applyNumberFormat="1" applyFont="1" applyFill="1" applyBorder="1" applyAlignment="1" applyProtection="1">
      <alignment horizontal="center" vertical="center" wrapText="1"/>
      <protection locked="0"/>
    </xf>
    <xf numFmtId="0" fontId="67" fillId="31" borderId="87" xfId="0" applyNumberFormat="1" applyFont="1" applyFill="1" applyBorder="1" applyAlignment="1" applyProtection="1">
      <alignment horizontal="center" vertical="center" wrapText="1"/>
      <protection locked="0"/>
    </xf>
    <xf numFmtId="0" fontId="67" fillId="31" borderId="88" xfId="0" applyNumberFormat="1" applyFont="1" applyFill="1" applyBorder="1" applyAlignment="1" applyProtection="1">
      <alignment horizontal="center" vertical="center" wrapText="1"/>
      <protection locked="0"/>
    </xf>
    <xf numFmtId="0" fontId="67" fillId="31" borderId="0" xfId="0" applyNumberFormat="1" applyFont="1" applyFill="1" applyBorder="1" applyAlignment="1" applyProtection="1">
      <alignment horizontal="center" vertical="center" wrapText="1"/>
      <protection locked="0"/>
    </xf>
    <xf numFmtId="0" fontId="67" fillId="31" borderId="89" xfId="0" applyNumberFormat="1" applyFont="1" applyFill="1" applyBorder="1" applyAlignment="1" applyProtection="1">
      <alignment horizontal="center" vertical="center" wrapText="1"/>
      <protection locked="0"/>
    </xf>
    <xf numFmtId="0" fontId="67" fillId="31" borderId="90" xfId="0" applyNumberFormat="1" applyFont="1" applyFill="1" applyBorder="1" applyAlignment="1" applyProtection="1">
      <alignment horizontal="center" vertical="center" wrapText="1"/>
      <protection locked="0"/>
    </xf>
    <xf numFmtId="0" fontId="67" fillId="31" borderId="91" xfId="0" applyNumberFormat="1" applyFont="1" applyFill="1" applyBorder="1" applyAlignment="1" applyProtection="1">
      <alignment horizontal="center" vertical="center" wrapText="1"/>
      <protection locked="0"/>
    </xf>
    <xf numFmtId="0" fontId="67" fillId="31" borderId="92" xfId="0" applyNumberFormat="1" applyFont="1" applyFill="1" applyBorder="1" applyAlignment="1" applyProtection="1">
      <alignment horizontal="center" vertical="center" wrapText="1"/>
      <protection locked="0"/>
    </xf>
    <xf numFmtId="0" fontId="61" fillId="0" borderId="0" xfId="0" applyFont="1" applyBorder="1" applyAlignment="1" applyProtection="1">
      <alignment horizontal="center" vertical="center"/>
    </xf>
    <xf numFmtId="0" fontId="61" fillId="0" borderId="153" xfId="0" applyFont="1" applyBorder="1" applyAlignment="1" applyProtection="1">
      <alignment horizontal="center" vertical="center"/>
    </xf>
    <xf numFmtId="0" fontId="61" fillId="0" borderId="146" xfId="0" applyFont="1" applyBorder="1" applyAlignment="1" applyProtection="1">
      <alignment horizontal="right" vertical="center"/>
    </xf>
    <xf numFmtId="0" fontId="61" fillId="0" borderId="147" xfId="0" applyFont="1" applyBorder="1" applyAlignment="1" applyProtection="1">
      <alignment horizontal="right" vertical="center"/>
    </xf>
    <xf numFmtId="0" fontId="61" fillId="0" borderId="150" xfId="0" applyFont="1" applyBorder="1" applyAlignment="1" applyProtection="1">
      <alignment horizontal="right" vertical="center"/>
    </xf>
    <xf numFmtId="0" fontId="61" fillId="0" borderId="151" xfId="0" applyFont="1" applyBorder="1" applyAlignment="1" applyProtection="1">
      <alignment horizontal="right" vertical="center"/>
    </xf>
    <xf numFmtId="0" fontId="61" fillId="0" borderId="148" xfId="0" applyFont="1" applyBorder="1" applyAlignment="1" applyProtection="1">
      <alignment horizontal="right" vertical="center"/>
    </xf>
    <xf numFmtId="0" fontId="61" fillId="0" borderId="0" xfId="0" applyFont="1" applyBorder="1" applyAlignment="1" applyProtection="1">
      <alignment horizontal="right" vertical="center"/>
    </xf>
    <xf numFmtId="168" fontId="18" fillId="0" borderId="10" xfId="0" applyNumberFormat="1" applyFont="1" applyFill="1" applyBorder="1" applyAlignment="1" applyProtection="1">
      <alignment vertical="center" wrapText="1"/>
    </xf>
    <xf numFmtId="0" fontId="18" fillId="0" borderId="10" xfId="0" applyNumberFormat="1" applyFont="1" applyFill="1" applyBorder="1" applyAlignment="1" applyProtection="1">
      <alignment horizontal="left" vertical="center" wrapText="1"/>
    </xf>
    <xf numFmtId="0" fontId="19" fillId="0" borderId="10" xfId="0" applyNumberFormat="1" applyFont="1" applyFill="1" applyBorder="1" applyAlignment="1" applyProtection="1">
      <alignment horizontal="right" vertical="center" wrapText="1"/>
    </xf>
    <xf numFmtId="168" fontId="18" fillId="0" borderId="10" xfId="0" applyNumberFormat="1" applyFont="1" applyFill="1" applyBorder="1" applyAlignment="1" applyProtection="1">
      <alignment vertical="center" wrapText="1"/>
      <protection locked="0"/>
    </xf>
    <xf numFmtId="168" fontId="19" fillId="0" borderId="26" xfId="0" applyNumberFormat="1" applyFont="1" applyFill="1" applyBorder="1" applyAlignment="1" applyProtection="1">
      <alignment horizontal="left" vertical="center" wrapText="1"/>
    </xf>
    <xf numFmtId="168" fontId="19" fillId="0" borderId="29" xfId="0" applyNumberFormat="1" applyFont="1" applyFill="1" applyBorder="1" applyAlignment="1" applyProtection="1">
      <alignment horizontal="left" vertical="center" wrapText="1"/>
    </xf>
    <xf numFmtId="0" fontId="20" fillId="26" borderId="10" xfId="0" applyNumberFormat="1" applyFont="1" applyFill="1" applyBorder="1" applyAlignment="1" applyProtection="1">
      <alignment horizontal="center" vertical="center" wrapText="1"/>
    </xf>
    <xf numFmtId="42" fontId="18" fillId="0" borderId="26" xfId="0" applyNumberFormat="1" applyFont="1" applyFill="1" applyBorder="1" applyAlignment="1" applyProtection="1">
      <alignment horizontal="center" vertical="center" wrapText="1"/>
    </xf>
    <xf numFmtId="42" fontId="18" fillId="0" borderId="29" xfId="0" applyNumberFormat="1" applyFont="1" applyFill="1" applyBorder="1" applyAlignment="1" applyProtection="1">
      <alignment horizontal="center" vertical="center" wrapText="1"/>
    </xf>
    <xf numFmtId="42" fontId="46" fillId="0" borderId="26" xfId="0" applyNumberFormat="1" applyFont="1" applyFill="1" applyBorder="1" applyAlignment="1" applyProtection="1">
      <alignment horizontal="center" vertical="center" wrapText="1"/>
    </xf>
    <xf numFmtId="42" fontId="46" fillId="0" borderId="29" xfId="0" applyNumberFormat="1" applyFont="1" applyFill="1" applyBorder="1" applyAlignment="1" applyProtection="1">
      <alignment horizontal="center" vertical="center" wrapText="1"/>
    </xf>
    <xf numFmtId="168" fontId="19" fillId="0" borderId="30" xfId="0" applyNumberFormat="1" applyFont="1" applyFill="1" applyBorder="1" applyAlignment="1" applyProtection="1">
      <alignment horizontal="left" vertical="center" wrapText="1"/>
    </xf>
    <xf numFmtId="10" fontId="63" fillId="0" borderId="146" xfId="0" applyNumberFormat="1" applyFont="1" applyBorder="1" applyAlignment="1" applyProtection="1">
      <alignment horizontal="left" vertical="center"/>
    </xf>
    <xf numFmtId="0" fontId="63" fillId="0" borderId="147" xfId="0" applyFont="1" applyBorder="1" applyAlignment="1" applyProtection="1">
      <alignment horizontal="left" vertical="center"/>
    </xf>
    <xf numFmtId="175" fontId="63" fillId="0" borderId="148" xfId="0" applyNumberFormat="1" applyFont="1" applyBorder="1" applyAlignment="1" applyProtection="1">
      <alignment horizontal="left" vertical="center"/>
    </xf>
    <xf numFmtId="0" fontId="63" fillId="0" borderId="0" xfId="0" applyFont="1" applyBorder="1" applyAlignment="1" applyProtection="1">
      <alignment horizontal="left" vertical="center"/>
    </xf>
    <xf numFmtId="171" fontId="63" fillId="0" borderId="148" xfId="0" applyNumberFormat="1" applyFont="1" applyBorder="1" applyAlignment="1" applyProtection="1">
      <alignment horizontal="left" vertical="center"/>
    </xf>
    <xf numFmtId="171" fontId="63" fillId="0" borderId="0" xfId="0" applyNumberFormat="1" applyFont="1" applyBorder="1" applyAlignment="1" applyProtection="1">
      <alignment horizontal="left" vertical="center"/>
    </xf>
    <xf numFmtId="0" fontId="63" fillId="0" borderId="148" xfId="0" applyFont="1" applyBorder="1" applyAlignment="1" applyProtection="1">
      <alignment horizontal="left" vertical="center"/>
    </xf>
    <xf numFmtId="174" fontId="63" fillId="0" borderId="150" xfId="0" applyNumberFormat="1" applyFont="1" applyBorder="1" applyAlignment="1" applyProtection="1">
      <alignment horizontal="left" vertical="center"/>
    </xf>
    <xf numFmtId="174" fontId="63" fillId="0" borderId="151" xfId="0" applyNumberFormat="1" applyFont="1" applyBorder="1" applyAlignment="1" applyProtection="1">
      <alignment horizontal="left" vertical="center"/>
    </xf>
    <xf numFmtId="0" fontId="65" fillId="0" borderId="157" xfId="0" applyNumberFormat="1" applyFont="1" applyFill="1" applyBorder="1" applyAlignment="1" applyProtection="1">
      <alignment horizontal="center" vertical="center" wrapText="1"/>
    </xf>
    <xf numFmtId="0" fontId="65" fillId="0" borderId="158" xfId="0" applyNumberFormat="1" applyFont="1" applyFill="1" applyBorder="1" applyAlignment="1" applyProtection="1">
      <alignment horizontal="center" vertical="center" wrapText="1"/>
    </xf>
    <xf numFmtId="0" fontId="65" fillId="0" borderId="159" xfId="0" applyNumberFormat="1" applyFont="1" applyFill="1" applyBorder="1" applyAlignment="1" applyProtection="1">
      <alignment horizontal="center" vertical="center" wrapText="1"/>
    </xf>
    <xf numFmtId="0" fontId="65" fillId="0" borderId="160" xfId="0" applyNumberFormat="1" applyFont="1" applyFill="1" applyBorder="1" applyAlignment="1" applyProtection="1">
      <alignment horizontal="center" vertical="center" wrapText="1"/>
    </xf>
    <xf numFmtId="0" fontId="65" fillId="0" borderId="10" xfId="0" applyNumberFormat="1" applyFont="1" applyFill="1" applyBorder="1" applyAlignment="1" applyProtection="1">
      <alignment horizontal="center" vertical="center" wrapText="1"/>
    </xf>
    <xf numFmtId="0" fontId="65" fillId="0" borderId="149" xfId="0" applyNumberFormat="1" applyFont="1" applyFill="1" applyBorder="1" applyAlignment="1" applyProtection="1">
      <alignment horizontal="center" vertical="center" wrapText="1"/>
    </xf>
    <xf numFmtId="0" fontId="65" fillId="0" borderId="161" xfId="0" applyNumberFormat="1" applyFont="1" applyFill="1" applyBorder="1" applyAlignment="1" applyProtection="1">
      <alignment horizontal="center" vertical="center" wrapText="1"/>
    </xf>
    <xf numFmtId="0" fontId="65" fillId="0" borderId="162" xfId="0" applyNumberFormat="1" applyFont="1" applyFill="1" applyBorder="1" applyAlignment="1" applyProtection="1">
      <alignment horizontal="center" vertical="center" wrapText="1"/>
    </xf>
    <xf numFmtId="0" fontId="65" fillId="0" borderId="163" xfId="0" applyNumberFormat="1" applyFont="1" applyFill="1" applyBorder="1" applyAlignment="1" applyProtection="1">
      <alignment horizontal="center" vertical="center" wrapText="1"/>
    </xf>
    <xf numFmtId="49" fontId="32" fillId="0" borderId="0" xfId="43" applyNumberFormat="1" applyFont="1" applyFill="1" applyBorder="1" applyAlignment="1" applyProtection="1">
      <alignment horizontal="center" vertical="center" wrapText="1"/>
    </xf>
    <xf numFmtId="0" fontId="18" fillId="0" borderId="11" xfId="0" applyNumberFormat="1" applyFont="1" applyFill="1" applyBorder="1" applyAlignment="1" applyProtection="1">
      <alignment horizontal="center" vertical="center" wrapText="1"/>
      <protection locked="0"/>
    </xf>
    <xf numFmtId="0" fontId="18" fillId="0" borderId="13" xfId="0" applyNumberFormat="1" applyFont="1" applyFill="1" applyBorder="1" applyAlignment="1" applyProtection="1">
      <alignment horizontal="center" vertical="center" wrapText="1"/>
      <protection locked="0"/>
    </xf>
    <xf numFmtId="0" fontId="21" fillId="25" borderId="10" xfId="0" applyNumberFormat="1" applyFont="1" applyFill="1" applyBorder="1" applyAlignment="1" applyProtection="1">
      <alignment horizontal="left" vertical="center" wrapText="1"/>
      <protection locked="0"/>
    </xf>
    <xf numFmtId="0" fontId="18" fillId="0" borderId="11" xfId="0" applyNumberFormat="1" applyFont="1" applyFill="1" applyBorder="1" applyAlignment="1" applyProtection="1">
      <alignment horizontal="center" vertical="center" wrapText="1"/>
    </xf>
    <xf numFmtId="0" fontId="18" fillId="0" borderId="13" xfId="0" applyNumberFormat="1" applyFont="1" applyFill="1" applyBorder="1" applyAlignment="1" applyProtection="1">
      <alignment horizontal="center" vertical="center" wrapText="1"/>
    </xf>
    <xf numFmtId="168" fontId="18" fillId="0" borderId="11" xfId="0" applyNumberFormat="1" applyFont="1" applyFill="1" applyBorder="1" applyAlignment="1" applyProtection="1">
      <alignment vertical="center" wrapText="1"/>
    </xf>
    <xf numFmtId="168" fontId="18" fillId="0" borderId="15" xfId="0" applyNumberFormat="1" applyFont="1" applyFill="1" applyBorder="1" applyAlignment="1" applyProtection="1">
      <alignment vertical="center" wrapText="1"/>
    </xf>
    <xf numFmtId="168" fontId="18" fillId="0" borderId="11" xfId="0" applyNumberFormat="1" applyFont="1" applyFill="1" applyBorder="1" applyAlignment="1" applyProtection="1">
      <alignment vertical="center" wrapText="1"/>
      <protection locked="0"/>
    </xf>
    <xf numFmtId="168" fontId="18" fillId="0" borderId="15" xfId="0" applyNumberFormat="1" applyFont="1" applyFill="1" applyBorder="1" applyAlignment="1" applyProtection="1">
      <alignment vertical="center" wrapText="1"/>
      <protection locked="0"/>
    </xf>
    <xf numFmtId="0" fontId="36" fillId="0" borderId="10" xfId="0" applyNumberFormat="1" applyFont="1" applyFill="1" applyBorder="1" applyAlignment="1" applyProtection="1">
      <alignment horizontal="center" vertical="center" wrapText="1"/>
      <protection locked="0"/>
    </xf>
    <xf numFmtId="168" fontId="19" fillId="0" borderId="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vertical="center" wrapText="1"/>
    </xf>
    <xf numFmtId="0" fontId="18" fillId="0" borderId="10" xfId="0" applyNumberFormat="1" applyFont="1" applyFill="1" applyBorder="1" applyAlignment="1" applyProtection="1">
      <alignment horizontal="center" vertical="center" wrapText="1"/>
    </xf>
    <xf numFmtId="0" fontId="24" fillId="26" borderId="11" xfId="0" applyNumberFormat="1" applyFont="1" applyFill="1" applyBorder="1" applyAlignment="1" applyProtection="1">
      <alignment horizontal="center" vertical="center" wrapText="1"/>
    </xf>
    <xf numFmtId="0" fontId="24" fillId="26" borderId="12" xfId="0" applyNumberFormat="1" applyFont="1" applyFill="1" applyBorder="1" applyAlignment="1" applyProtection="1">
      <alignment horizontal="center" vertical="center" wrapText="1"/>
    </xf>
    <xf numFmtId="0" fontId="24" fillId="26" borderId="13" xfId="0" applyNumberFormat="1" applyFont="1" applyFill="1" applyBorder="1" applyAlignment="1" applyProtection="1">
      <alignment horizontal="center" vertical="center" wrapText="1"/>
    </xf>
    <xf numFmtId="168" fontId="24" fillId="26" borderId="23" xfId="0" applyNumberFormat="1" applyFont="1" applyFill="1" applyBorder="1" applyAlignment="1" applyProtection="1">
      <alignment horizontal="center" vertical="center" wrapText="1"/>
    </xf>
    <xf numFmtId="168" fontId="24" fillId="26" borderId="16" xfId="0" applyNumberFormat="1" applyFont="1" applyFill="1" applyBorder="1" applyAlignment="1" applyProtection="1">
      <alignment horizontal="center" vertical="center" wrapText="1"/>
    </xf>
    <xf numFmtId="0" fontId="19" fillId="0" borderId="10" xfId="0" applyNumberFormat="1" applyFont="1" applyFill="1" applyBorder="1" applyAlignment="1" applyProtection="1">
      <alignment horizontal="left" vertical="center" wrapText="1"/>
      <protection locked="0"/>
    </xf>
    <xf numFmtId="175" fontId="66" fillId="0" borderId="11" xfId="0" applyNumberFormat="1" applyFont="1" applyFill="1" applyBorder="1" applyAlignment="1" applyProtection="1">
      <alignment horizontal="left" wrapText="1"/>
    </xf>
    <xf numFmtId="0" fontId="66" fillId="0" borderId="13" xfId="0" applyNumberFormat="1" applyFont="1" applyFill="1" applyBorder="1" applyAlignment="1" applyProtection="1">
      <alignment horizontal="left" wrapText="1"/>
    </xf>
    <xf numFmtId="0" fontId="23" fillId="0" borderId="10" xfId="0" applyNumberFormat="1" applyFont="1" applyFill="1" applyBorder="1" applyAlignment="1" applyProtection="1">
      <alignment horizontal="center" vertical="center" wrapText="1"/>
      <protection locked="0"/>
    </xf>
    <xf numFmtId="168" fontId="19" fillId="0" borderId="10" xfId="0" applyNumberFormat="1" applyFont="1" applyFill="1" applyBorder="1" applyAlignment="1" applyProtection="1">
      <alignment vertical="center" wrapText="1"/>
    </xf>
    <xf numFmtId="0" fontId="66" fillId="0" borderId="11" xfId="0" applyNumberFormat="1" applyFont="1" applyFill="1" applyBorder="1" applyAlignment="1" applyProtection="1">
      <alignment horizontal="left" wrapText="1"/>
      <protection locked="0"/>
    </xf>
    <xf numFmtId="0" fontId="66" fillId="0" borderId="13" xfId="0" applyNumberFormat="1" applyFont="1" applyFill="1" applyBorder="1" applyAlignment="1" applyProtection="1">
      <alignment horizontal="left" wrapText="1"/>
      <protection locked="0"/>
    </xf>
    <xf numFmtId="0" fontId="19" fillId="0" borderId="26" xfId="0" applyNumberFormat="1" applyFont="1" applyFill="1" applyBorder="1" applyAlignment="1" applyProtection="1">
      <alignment horizontal="left" vertical="center" wrapText="1"/>
    </xf>
    <xf numFmtId="0" fontId="19" fillId="0" borderId="30" xfId="0" applyNumberFormat="1" applyFont="1" applyFill="1" applyBorder="1" applyAlignment="1" applyProtection="1">
      <alignment horizontal="left" vertical="center" wrapText="1"/>
    </xf>
    <xf numFmtId="0" fontId="19" fillId="0" borderId="29" xfId="0" applyNumberFormat="1" applyFont="1" applyFill="1" applyBorder="1" applyAlignment="1" applyProtection="1">
      <alignment horizontal="left" vertical="center" wrapText="1"/>
    </xf>
    <xf numFmtId="0" fontId="18" fillId="0" borderId="26" xfId="0" applyNumberFormat="1" applyFont="1" applyFill="1" applyBorder="1" applyAlignment="1" applyProtection="1">
      <alignment horizontal="left" vertical="center" wrapText="1"/>
    </xf>
    <xf numFmtId="0" fontId="18" fillId="0" borderId="30" xfId="0" applyNumberFormat="1" applyFont="1" applyFill="1" applyBorder="1" applyAlignment="1" applyProtection="1">
      <alignment horizontal="left" vertical="center" wrapText="1"/>
    </xf>
    <xf numFmtId="0" fontId="18" fillId="0" borderId="29" xfId="0" applyNumberFormat="1" applyFont="1" applyFill="1" applyBorder="1" applyAlignment="1" applyProtection="1">
      <alignment horizontal="left" vertical="center" wrapText="1"/>
    </xf>
    <xf numFmtId="0" fontId="18" fillId="0" borderId="10" xfId="0" applyNumberFormat="1" applyFont="1" applyFill="1" applyBorder="1" applyAlignment="1" applyProtection="1">
      <alignment horizontal="center" vertical="center" wrapText="1"/>
      <protection locked="0"/>
    </xf>
    <xf numFmtId="2" fontId="23" fillId="0" borderId="10" xfId="0" applyNumberFormat="1" applyFont="1" applyFill="1" applyBorder="1" applyAlignment="1" applyProtection="1">
      <alignment horizontal="right" vertical="center" wrapText="1"/>
      <protection locked="0"/>
    </xf>
    <xf numFmtId="0" fontId="23" fillId="0" borderId="11" xfId="0" applyNumberFormat="1" applyFont="1" applyFill="1" applyBorder="1" applyAlignment="1" applyProtection="1">
      <alignment horizontal="center" vertical="center" wrapText="1"/>
      <protection locked="0"/>
    </xf>
    <xf numFmtId="0" fontId="23" fillId="0" borderId="14" xfId="0" applyNumberFormat="1" applyFont="1" applyFill="1" applyBorder="1" applyAlignment="1" applyProtection="1">
      <alignment horizontal="center" vertical="center" wrapText="1"/>
      <protection locked="0"/>
    </xf>
    <xf numFmtId="0" fontId="23" fillId="0" borderId="15" xfId="0" applyNumberFormat="1" applyFont="1" applyFill="1" applyBorder="1" applyAlignment="1" applyProtection="1">
      <alignment horizontal="center" vertical="center" wrapText="1"/>
      <protection locked="0"/>
    </xf>
    <xf numFmtId="0" fontId="18" fillId="0" borderId="0" xfId="0" applyNumberFormat="1" applyFont="1" applyFill="1" applyAlignment="1" applyProtection="1">
      <alignment horizontal="center" vertical="center" wrapText="1"/>
    </xf>
    <xf numFmtId="0" fontId="19" fillId="33" borderId="10" xfId="0" applyNumberFormat="1" applyFont="1" applyFill="1" applyBorder="1" applyAlignment="1" applyProtection="1">
      <alignment horizontal="center" vertical="center" wrapText="1"/>
    </xf>
    <xf numFmtId="168" fontId="19" fillId="33" borderId="10" xfId="0" applyNumberFormat="1" applyFont="1" applyFill="1" applyBorder="1" applyAlignment="1" applyProtection="1">
      <alignment horizontal="center" vertical="center" wrapText="1"/>
    </xf>
    <xf numFmtId="168" fontId="18" fillId="0" borderId="10" xfId="0" applyNumberFormat="1" applyFont="1" applyFill="1" applyBorder="1" applyAlignment="1" applyProtection="1">
      <alignment horizontal="center" vertical="center" wrapText="1"/>
    </xf>
    <xf numFmtId="168" fontId="23" fillId="0" borderId="10" xfId="0" applyNumberFormat="1" applyFont="1" applyFill="1" applyBorder="1" applyAlignment="1" applyProtection="1">
      <alignment horizontal="center" vertical="center" wrapText="1"/>
    </xf>
    <xf numFmtId="0" fontId="23" fillId="0" borderId="10" xfId="0" applyNumberFormat="1" applyFont="1" applyFill="1" applyBorder="1" applyAlignment="1" applyProtection="1">
      <alignment horizontal="center" vertical="center" wrapText="1"/>
    </xf>
    <xf numFmtId="0" fontId="29" fillId="0" borderId="11" xfId="0" applyNumberFormat="1" applyFont="1" applyFill="1" applyBorder="1" applyAlignment="1" applyProtection="1">
      <alignment horizontal="left" vertical="center" wrapText="1"/>
    </xf>
    <xf numFmtId="0" fontId="29" fillId="0" borderId="14" xfId="0" applyNumberFormat="1" applyFont="1" applyFill="1" applyBorder="1" applyAlignment="1" applyProtection="1">
      <alignment horizontal="left" vertical="center" wrapText="1"/>
    </xf>
    <xf numFmtId="0" fontId="29" fillId="0" borderId="15" xfId="0" applyNumberFormat="1" applyFont="1" applyFill="1" applyBorder="1" applyAlignment="1" applyProtection="1">
      <alignment horizontal="left" vertical="center" wrapText="1"/>
    </xf>
    <xf numFmtId="168" fontId="18" fillId="0" borderId="10" xfId="0" applyNumberFormat="1" applyFont="1" applyBorder="1" applyAlignment="1" applyProtection="1">
      <alignment vertical="center"/>
    </xf>
    <xf numFmtId="0" fontId="18" fillId="0" borderId="10" xfId="0" applyFont="1" applyBorder="1" applyAlignment="1" applyProtection="1">
      <alignment vertical="center"/>
    </xf>
    <xf numFmtId="0" fontId="24" fillId="26" borderId="10" xfId="0" applyNumberFormat="1" applyFont="1" applyFill="1" applyBorder="1" applyAlignment="1" applyProtection="1">
      <alignment horizontal="center" vertical="center" wrapText="1"/>
    </xf>
    <xf numFmtId="0" fontId="24" fillId="26" borderId="14" xfId="0" applyNumberFormat="1" applyFont="1" applyFill="1" applyBorder="1" applyAlignment="1" applyProtection="1">
      <alignment horizontal="center" vertical="center" wrapText="1"/>
    </xf>
    <xf numFmtId="0" fontId="66" fillId="0" borderId="11" xfId="0" applyNumberFormat="1" applyFont="1" applyFill="1" applyBorder="1" applyAlignment="1" applyProtection="1">
      <alignment horizontal="left" wrapText="1"/>
    </xf>
    <xf numFmtId="0" fontId="19" fillId="0" borderId="26" xfId="0" applyNumberFormat="1" applyFont="1" applyFill="1" applyBorder="1" applyAlignment="1" applyProtection="1">
      <alignment vertical="center" wrapText="1"/>
    </xf>
    <xf numFmtId="0" fontId="19" fillId="0" borderId="30" xfId="0" applyNumberFormat="1" applyFont="1" applyFill="1" applyBorder="1" applyAlignment="1" applyProtection="1">
      <alignment vertical="center" wrapText="1"/>
    </xf>
    <xf numFmtId="0" fontId="19" fillId="0" borderId="29" xfId="0" applyNumberFormat="1" applyFont="1" applyFill="1" applyBorder="1" applyAlignment="1" applyProtection="1">
      <alignment vertical="center" wrapText="1"/>
    </xf>
    <xf numFmtId="0" fontId="18" fillId="0" borderId="0" xfId="0" applyNumberFormat="1" applyFont="1" applyFill="1" applyAlignment="1" applyProtection="1">
      <alignment horizontal="left" vertical="center" wrapText="1"/>
    </xf>
    <xf numFmtId="0" fontId="19" fillId="0" borderId="0" xfId="0" applyNumberFormat="1" applyFont="1" applyFill="1" applyAlignment="1" applyProtection="1">
      <alignment horizontal="left" vertical="center" wrapText="1"/>
    </xf>
    <xf numFmtId="0" fontId="23" fillId="0" borderId="26" xfId="0" applyNumberFormat="1" applyFont="1" applyFill="1" applyBorder="1" applyAlignment="1" applyProtection="1">
      <alignment horizontal="center" vertical="center" wrapText="1"/>
      <protection locked="0"/>
    </xf>
    <xf numFmtId="0" fontId="23" fillId="0" borderId="30" xfId="0" applyNumberFormat="1" applyFont="1" applyFill="1" applyBorder="1" applyAlignment="1" applyProtection="1">
      <alignment horizontal="center" vertical="center" wrapText="1"/>
      <protection locked="0"/>
    </xf>
    <xf numFmtId="0" fontId="23" fillId="0" borderId="29" xfId="0" applyNumberFormat="1" applyFont="1" applyFill="1" applyBorder="1" applyAlignment="1" applyProtection="1">
      <alignment horizontal="center" vertical="center" wrapText="1"/>
      <protection locked="0"/>
    </xf>
    <xf numFmtId="0" fontId="18" fillId="0" borderId="10" xfId="0" applyNumberFormat="1" applyFont="1" applyFill="1" applyBorder="1" applyAlignment="1" applyProtection="1">
      <alignment horizontal="left" vertical="center" wrapText="1"/>
      <protection locked="0"/>
    </xf>
    <xf numFmtId="0" fontId="24" fillId="26" borderId="15" xfId="0" applyNumberFormat="1" applyFont="1" applyFill="1" applyBorder="1" applyAlignment="1" applyProtection="1">
      <alignment horizontal="center" vertical="center" wrapText="1"/>
    </xf>
    <xf numFmtId="0" fontId="24" fillId="24" borderId="10" xfId="0" applyNumberFormat="1" applyFont="1" applyFill="1" applyBorder="1" applyAlignment="1" applyProtection="1">
      <alignment horizontal="center" vertical="center" wrapText="1"/>
    </xf>
    <xf numFmtId="0" fontId="0" fillId="0" borderId="10" xfId="0" applyBorder="1" applyAlignment="1" applyProtection="1">
      <alignment vertical="center"/>
    </xf>
    <xf numFmtId="0" fontId="29" fillId="0" borderId="11" xfId="0" applyNumberFormat="1" applyFont="1" applyFill="1" applyBorder="1" applyAlignment="1" applyProtection="1">
      <alignment horizontal="center" vertical="center" wrapText="1"/>
      <protection locked="0"/>
    </xf>
    <xf numFmtId="0" fontId="29" fillId="0" borderId="15" xfId="0" applyNumberFormat="1" applyFont="1" applyFill="1" applyBorder="1" applyAlignment="1" applyProtection="1">
      <alignment horizontal="center" vertical="center" wrapText="1"/>
      <protection locked="0"/>
    </xf>
    <xf numFmtId="0" fontId="18" fillId="0" borderId="26" xfId="0" applyNumberFormat="1" applyFont="1" applyFill="1" applyBorder="1" applyAlignment="1" applyProtection="1">
      <alignment horizontal="center" vertical="center" wrapText="1"/>
      <protection locked="0"/>
    </xf>
    <xf numFmtId="0" fontId="18" fillId="0" borderId="29" xfId="0" applyNumberFormat="1" applyFont="1" applyFill="1" applyBorder="1" applyAlignment="1" applyProtection="1">
      <alignment horizontal="center" vertical="center" wrapText="1"/>
      <protection locked="0"/>
    </xf>
    <xf numFmtId="0" fontId="18" fillId="0" borderId="26" xfId="0" applyNumberFormat="1" applyFont="1" applyFill="1" applyBorder="1" applyAlignment="1" applyProtection="1">
      <alignment horizontal="center" vertical="center" wrapText="1"/>
    </xf>
    <xf numFmtId="0" fontId="18" fillId="0" borderId="30" xfId="0" applyNumberFormat="1" applyFont="1" applyFill="1" applyBorder="1" applyAlignment="1" applyProtection="1">
      <alignment horizontal="center" vertical="center" wrapText="1"/>
    </xf>
    <xf numFmtId="0" fontId="18" fillId="0" borderId="29" xfId="0" applyNumberFormat="1" applyFont="1" applyFill="1" applyBorder="1" applyAlignment="1" applyProtection="1">
      <alignment horizontal="center" vertical="center" wrapText="1"/>
    </xf>
    <xf numFmtId="42" fontId="18" fillId="0" borderId="11" xfId="0" applyNumberFormat="1" applyFont="1" applyFill="1" applyBorder="1" applyAlignment="1" applyProtection="1">
      <alignment vertical="center" wrapText="1"/>
    </xf>
    <xf numFmtId="42" fontId="18" fillId="0" borderId="30" xfId="0" applyNumberFormat="1" applyFont="1" applyFill="1" applyBorder="1" applyAlignment="1" applyProtection="1">
      <alignment vertical="center" wrapText="1"/>
    </xf>
    <xf numFmtId="42" fontId="18" fillId="0" borderId="29" xfId="0" applyNumberFormat="1" applyFont="1" applyFill="1" applyBorder="1" applyAlignment="1" applyProtection="1">
      <alignment vertical="center" wrapText="1"/>
    </xf>
    <xf numFmtId="42" fontId="18" fillId="0" borderId="11" xfId="0" applyNumberFormat="1" applyFont="1" applyFill="1" applyBorder="1" applyAlignment="1" applyProtection="1">
      <alignment vertical="center" wrapText="1"/>
      <protection locked="0"/>
    </xf>
    <xf numFmtId="42" fontId="18" fillId="0" borderId="30" xfId="0" applyNumberFormat="1" applyFont="1" applyFill="1" applyBorder="1" applyAlignment="1" applyProtection="1">
      <alignment vertical="center" wrapText="1"/>
      <protection locked="0"/>
    </xf>
    <xf numFmtId="42" fontId="18" fillId="0" borderId="29" xfId="0" applyNumberFormat="1" applyFont="1" applyFill="1" applyBorder="1" applyAlignment="1" applyProtection="1">
      <alignment vertical="center" wrapText="1"/>
      <protection locked="0"/>
    </xf>
    <xf numFmtId="0" fontId="19" fillId="0" borderId="49" xfId="0" applyNumberFormat="1" applyFont="1" applyFill="1" applyBorder="1" applyAlignment="1" applyProtection="1">
      <alignment horizontal="left" vertical="center" wrapText="1"/>
    </xf>
    <xf numFmtId="0" fontId="19" fillId="0" borderId="25" xfId="0" applyNumberFormat="1" applyFont="1" applyFill="1" applyBorder="1" applyAlignment="1" applyProtection="1">
      <alignment horizontal="left" vertical="center" wrapText="1"/>
    </xf>
    <xf numFmtId="0" fontId="18" fillId="0" borderId="26" xfId="0" applyNumberFormat="1" applyFont="1" applyFill="1" applyBorder="1" applyAlignment="1" applyProtection="1">
      <alignment vertical="center" wrapText="1"/>
    </xf>
    <xf numFmtId="0" fontId="18" fillId="0" borderId="29" xfId="0" applyNumberFormat="1" applyFont="1" applyFill="1" applyBorder="1" applyAlignment="1" applyProtection="1">
      <alignment vertical="center" wrapText="1"/>
    </xf>
    <xf numFmtId="168" fontId="18" fillId="0" borderId="26" xfId="0" applyNumberFormat="1" applyFont="1" applyFill="1" applyBorder="1" applyAlignment="1" applyProtection="1">
      <alignment vertical="center" wrapText="1"/>
    </xf>
    <xf numFmtId="168" fontId="18" fillId="0" borderId="29" xfId="0" applyNumberFormat="1" applyFont="1" applyFill="1" applyBorder="1" applyAlignment="1" applyProtection="1">
      <alignment vertical="center" wrapText="1"/>
    </xf>
    <xf numFmtId="0" fontId="18" fillId="0" borderId="11" xfId="0" applyNumberFormat="1" applyFont="1" applyFill="1" applyBorder="1" applyAlignment="1" applyProtection="1">
      <alignment horizontal="right" vertical="center" wrapText="1"/>
    </xf>
    <xf numFmtId="0" fontId="18" fillId="0" borderId="13" xfId="0" applyNumberFormat="1" applyFont="1" applyFill="1" applyBorder="1" applyAlignment="1" applyProtection="1">
      <alignment horizontal="right" vertical="center" wrapText="1"/>
    </xf>
    <xf numFmtId="168" fontId="18" fillId="0" borderId="30" xfId="0" applyNumberFormat="1" applyFont="1" applyFill="1" applyBorder="1" applyAlignment="1" applyProtection="1">
      <alignment vertical="center" wrapText="1"/>
    </xf>
    <xf numFmtId="0" fontId="29" fillId="0" borderId="26" xfId="0" applyNumberFormat="1" applyFont="1" applyFill="1" applyBorder="1" applyAlignment="1" applyProtection="1">
      <alignment horizontal="center" vertical="center" wrapText="1"/>
      <protection locked="0"/>
    </xf>
    <xf numFmtId="0" fontId="29" fillId="0" borderId="29" xfId="0" applyNumberFormat="1" applyFont="1" applyFill="1" applyBorder="1" applyAlignment="1" applyProtection="1">
      <alignment horizontal="center" vertical="center" wrapText="1"/>
      <protection locked="0"/>
    </xf>
    <xf numFmtId="164" fontId="24" fillId="26" borderId="23" xfId="0" applyNumberFormat="1" applyFont="1" applyFill="1" applyBorder="1" applyAlignment="1" applyProtection="1">
      <alignment horizontal="center" vertical="center" wrapText="1"/>
    </xf>
    <xf numFmtId="164" fontId="24" fillId="26" borderId="16" xfId="0" applyNumberFormat="1" applyFont="1" applyFill="1" applyBorder="1" applyAlignment="1" applyProtection="1">
      <alignment horizontal="center" vertical="center" wrapText="1"/>
    </xf>
    <xf numFmtId="164" fontId="24" fillId="26" borderId="24" xfId="0" applyNumberFormat="1" applyFont="1" applyFill="1" applyBorder="1" applyAlignment="1" applyProtection="1">
      <alignment horizontal="center" vertical="center" wrapText="1"/>
    </xf>
    <xf numFmtId="164" fontId="24" fillId="26" borderId="20" xfId="0" applyNumberFormat="1" applyFont="1" applyFill="1" applyBorder="1" applyAlignment="1" applyProtection="1">
      <alignment horizontal="center" vertical="center" wrapText="1"/>
    </xf>
    <xf numFmtId="0" fontId="50" fillId="0" borderId="0" xfId="43" applyFont="1" applyAlignment="1" applyProtection="1">
      <alignment horizontal="center" vertical="center"/>
    </xf>
    <xf numFmtId="14" fontId="21" fillId="25" borderId="10" xfId="0" applyNumberFormat="1" applyFont="1" applyFill="1" applyBorder="1" applyAlignment="1" applyProtection="1">
      <alignment horizontal="left" vertical="center" wrapText="1"/>
      <protection locked="0"/>
    </xf>
    <xf numFmtId="164" fontId="24" fillId="26" borderId="11" xfId="0" applyNumberFormat="1" applyFont="1" applyFill="1" applyBorder="1" applyAlignment="1" applyProtection="1">
      <alignment horizontal="center" vertical="center" wrapText="1"/>
    </xf>
    <xf numFmtId="164" fontId="24" fillId="26" borderId="14" xfId="0" applyNumberFormat="1" applyFont="1" applyFill="1" applyBorder="1" applyAlignment="1" applyProtection="1">
      <alignment horizontal="center" vertical="center" wrapText="1"/>
    </xf>
    <xf numFmtId="164" fontId="24" fillId="26" borderId="15" xfId="0" applyNumberFormat="1" applyFont="1" applyFill="1" applyBorder="1" applyAlignment="1" applyProtection="1">
      <alignment horizontal="center" vertical="center" wrapText="1"/>
    </xf>
    <xf numFmtId="164" fontId="24" fillId="26" borderId="10" xfId="0" applyNumberFormat="1" applyFont="1" applyFill="1" applyBorder="1" applyAlignment="1" applyProtection="1">
      <alignment horizontal="center" vertical="center" wrapText="1"/>
    </xf>
    <xf numFmtId="164" fontId="39" fillId="0" borderId="0" xfId="0" applyNumberFormat="1" applyFont="1" applyFill="1" applyBorder="1" applyAlignment="1" applyProtection="1">
      <alignment horizontal="center" vertical="center" wrapText="1"/>
    </xf>
    <xf numFmtId="164" fontId="40" fillId="0" borderId="0" xfId="0" applyNumberFormat="1" applyFont="1" applyFill="1" applyBorder="1" applyAlignment="1" applyProtection="1">
      <alignment horizontal="center" vertical="center" wrapText="1"/>
    </xf>
    <xf numFmtId="0" fontId="19" fillId="0" borderId="0" xfId="0" applyFont="1" applyAlignment="1" applyProtection="1">
      <alignment horizontal="center" vertical="center"/>
    </xf>
    <xf numFmtId="168" fontId="24" fillId="26" borderId="11" xfId="0" applyNumberFormat="1" applyFont="1" applyFill="1" applyBorder="1" applyAlignment="1" applyProtection="1">
      <alignment horizontal="center" vertical="center" wrapText="1"/>
    </xf>
    <xf numFmtId="168" fontId="24" fillId="26" borderId="15" xfId="0" applyNumberFormat="1" applyFont="1" applyFill="1" applyBorder="1" applyAlignment="1" applyProtection="1">
      <alignment horizontal="center" vertical="center" wrapText="1"/>
    </xf>
    <xf numFmtId="0" fontId="24" fillId="32" borderId="26" xfId="0" applyNumberFormat="1" applyFont="1" applyFill="1" applyBorder="1" applyAlignment="1" applyProtection="1">
      <alignment horizontal="center" vertical="center" wrapText="1"/>
    </xf>
    <xf numFmtId="0" fontId="24" fillId="32" borderId="30" xfId="0" applyNumberFormat="1" applyFont="1" applyFill="1" applyBorder="1" applyAlignment="1" applyProtection="1">
      <alignment horizontal="center" vertical="center" wrapText="1"/>
    </xf>
    <xf numFmtId="0" fontId="24" fillId="32" borderId="29" xfId="0" applyNumberFormat="1" applyFont="1" applyFill="1" applyBorder="1" applyAlignment="1" applyProtection="1">
      <alignment horizontal="center" vertical="center" wrapText="1"/>
    </xf>
    <xf numFmtId="0" fontId="19" fillId="0" borderId="26" xfId="0" applyNumberFormat="1" applyFont="1" applyFill="1" applyBorder="1" applyAlignment="1" applyProtection="1">
      <alignment horizontal="right" vertical="center" wrapText="1"/>
    </xf>
    <xf numFmtId="0" fontId="19" fillId="0" borderId="30" xfId="0" applyNumberFormat="1" applyFont="1" applyFill="1" applyBorder="1" applyAlignment="1" applyProtection="1">
      <alignment horizontal="right" vertical="center" wrapText="1"/>
    </xf>
    <xf numFmtId="0" fontId="19" fillId="0" borderId="29" xfId="0" applyNumberFormat="1" applyFont="1" applyFill="1" applyBorder="1" applyAlignment="1" applyProtection="1">
      <alignment horizontal="right" vertical="center" wrapText="1"/>
    </xf>
    <xf numFmtId="46" fontId="33" fillId="0" borderId="10" xfId="0" applyNumberFormat="1" applyFont="1" applyFill="1" applyBorder="1" applyAlignment="1" applyProtection="1">
      <alignment horizontal="right" vertical="center" wrapText="1"/>
    </xf>
    <xf numFmtId="0" fontId="33" fillId="0" borderId="10" xfId="0" applyNumberFormat="1" applyFont="1" applyFill="1" applyBorder="1" applyAlignment="1" applyProtection="1">
      <alignment horizontal="right" vertical="center" wrapText="1"/>
    </xf>
    <xf numFmtId="0" fontId="66" fillId="0" borderId="26" xfId="0" applyNumberFormat="1" applyFont="1" applyFill="1" applyBorder="1" applyAlignment="1" applyProtection="1">
      <alignment horizontal="left" wrapText="1"/>
    </xf>
    <xf numFmtId="0" fontId="66" fillId="0" borderId="29" xfId="0" applyNumberFormat="1" applyFont="1" applyFill="1" applyBorder="1" applyAlignment="1" applyProtection="1">
      <alignment horizontal="left" wrapText="1"/>
    </xf>
    <xf numFmtId="0" fontId="18" fillId="0" borderId="20" xfId="0" applyNumberFormat="1" applyFont="1" applyFill="1" applyBorder="1" applyAlignment="1" applyProtection="1">
      <alignment horizontal="center" vertical="center" wrapText="1"/>
    </xf>
    <xf numFmtId="0" fontId="18" fillId="0" borderId="10" xfId="0" applyNumberFormat="1" applyFont="1" applyFill="1" applyBorder="1" applyAlignment="1" applyProtection="1">
      <alignment vertical="center" wrapText="1"/>
      <protection locked="0"/>
    </xf>
    <xf numFmtId="0" fontId="18" fillId="33" borderId="26" xfId="0" applyNumberFormat="1" applyFont="1" applyFill="1" applyBorder="1" applyAlignment="1" applyProtection="1">
      <alignment horizontal="center" vertical="center" wrapText="1"/>
    </xf>
    <xf numFmtId="0" fontId="18" fillId="33" borderId="30" xfId="0" applyNumberFormat="1" applyFont="1" applyFill="1" applyBorder="1" applyAlignment="1" applyProtection="1">
      <alignment horizontal="center" vertical="center" wrapText="1"/>
    </xf>
    <xf numFmtId="0" fontId="18" fillId="33" borderId="29" xfId="0" applyNumberFormat="1" applyFont="1" applyFill="1" applyBorder="1" applyAlignment="1" applyProtection="1">
      <alignment horizontal="center" vertical="center" wrapText="1"/>
    </xf>
    <xf numFmtId="0" fontId="18" fillId="0" borderId="11" xfId="0" applyNumberFormat="1" applyFont="1" applyFill="1" applyBorder="1" applyAlignment="1" applyProtection="1">
      <alignment horizontal="left" vertical="center" wrapText="1"/>
    </xf>
    <xf numFmtId="0" fontId="18" fillId="0" borderId="12" xfId="0" applyNumberFormat="1" applyFont="1" applyFill="1" applyBorder="1" applyAlignment="1" applyProtection="1">
      <alignment horizontal="left" vertical="center" wrapText="1"/>
    </xf>
    <xf numFmtId="0" fontId="18" fillId="0" borderId="13" xfId="0" applyNumberFormat="1" applyFont="1" applyFill="1" applyBorder="1" applyAlignment="1" applyProtection="1">
      <alignment horizontal="left" vertical="center" wrapText="1"/>
    </xf>
    <xf numFmtId="0" fontId="18" fillId="0" borderId="14" xfId="0" applyNumberFormat="1" applyFont="1" applyFill="1" applyBorder="1" applyAlignment="1" applyProtection="1">
      <alignment horizontal="left" vertical="center" wrapText="1"/>
    </xf>
    <xf numFmtId="0" fontId="18" fillId="0" borderId="15" xfId="0" applyNumberFormat="1" applyFont="1" applyFill="1" applyBorder="1" applyAlignment="1" applyProtection="1">
      <alignment horizontal="left" vertical="center" wrapText="1"/>
    </xf>
    <xf numFmtId="164" fontId="24" fillId="32" borderId="10" xfId="0" applyNumberFormat="1" applyFont="1" applyFill="1" applyBorder="1" applyAlignment="1" applyProtection="1">
      <alignment horizontal="center" vertical="center" wrapText="1"/>
    </xf>
    <xf numFmtId="0" fontId="24" fillId="32" borderId="10" xfId="0" applyNumberFormat="1" applyFont="1" applyFill="1" applyBorder="1" applyAlignment="1" applyProtection="1">
      <alignment horizontal="center" vertical="center" wrapText="1"/>
    </xf>
    <xf numFmtId="0" fontId="18" fillId="25" borderId="10" xfId="0" applyNumberFormat="1" applyFont="1" applyFill="1" applyBorder="1" applyAlignment="1" applyProtection="1">
      <alignment horizontal="left" vertical="center" wrapText="1"/>
      <protection locked="0"/>
    </xf>
    <xf numFmtId="168" fontId="19" fillId="0" borderId="10" xfId="0" applyNumberFormat="1" applyFont="1" applyFill="1" applyBorder="1" applyAlignment="1" applyProtection="1">
      <alignment horizontal="center" vertical="center" wrapText="1"/>
    </xf>
    <xf numFmtId="0" fontId="19" fillId="0" borderId="50" xfId="0" applyNumberFormat="1" applyFont="1" applyFill="1" applyBorder="1" applyAlignment="1" applyProtection="1">
      <alignment horizontal="left" vertical="center" wrapText="1"/>
    </xf>
    <xf numFmtId="0" fontId="18" fillId="0" borderId="11" xfId="0" applyNumberFormat="1" applyFont="1" applyFill="1" applyBorder="1" applyAlignment="1" applyProtection="1">
      <alignment vertical="center" wrapText="1"/>
      <protection locked="0"/>
    </xf>
    <xf numFmtId="0" fontId="18" fillId="0" borderId="13" xfId="0" applyNumberFormat="1" applyFont="1" applyFill="1" applyBorder="1" applyAlignment="1" applyProtection="1">
      <alignment vertical="center" wrapText="1"/>
      <protection locked="0"/>
    </xf>
    <xf numFmtId="0" fontId="24" fillId="26" borderId="31" xfId="0" applyNumberFormat="1" applyFont="1" applyFill="1" applyBorder="1" applyAlignment="1" applyProtection="1">
      <alignment horizontal="center" vertical="center" wrapText="1"/>
    </xf>
    <xf numFmtId="164" fontId="19" fillId="25" borderId="10" xfId="0" applyNumberFormat="1" applyFont="1" applyFill="1" applyBorder="1" applyAlignment="1" applyProtection="1">
      <alignment horizontal="center" vertical="center" wrapText="1"/>
      <protection locked="0"/>
    </xf>
    <xf numFmtId="0" fontId="20" fillId="26" borderId="10" xfId="0" applyNumberFormat="1" applyFont="1" applyFill="1" applyBorder="1" applyAlignment="1" applyProtection="1">
      <alignment horizontal="left" vertical="center" wrapText="1"/>
    </xf>
    <xf numFmtId="0" fontId="19" fillId="0" borderId="10" xfId="0" applyNumberFormat="1" applyFont="1" applyFill="1" applyBorder="1" applyAlignment="1" applyProtection="1">
      <alignment horizontal="left" vertical="center" wrapText="1"/>
    </xf>
    <xf numFmtId="168" fontId="33" fillId="0" borderId="10" xfId="0" applyNumberFormat="1" applyFont="1" applyFill="1" applyBorder="1" applyAlignment="1" applyProtection="1">
      <alignment vertical="center" wrapText="1"/>
    </xf>
    <xf numFmtId="0" fontId="29" fillId="0" borderId="10" xfId="0" applyNumberFormat="1" applyFont="1" applyFill="1" applyBorder="1" applyAlignment="1" applyProtection="1">
      <alignment horizontal="center" vertical="center" wrapText="1"/>
    </xf>
    <xf numFmtId="9" fontId="18" fillId="0" borderId="11" xfId="0" applyNumberFormat="1" applyFont="1" applyFill="1" applyBorder="1" applyAlignment="1" applyProtection="1">
      <alignment horizontal="right" vertical="center" wrapText="1"/>
    </xf>
    <xf numFmtId="0" fontId="18" fillId="0" borderId="29" xfId="0" applyNumberFormat="1" applyFont="1" applyFill="1" applyBorder="1" applyAlignment="1" applyProtection="1">
      <alignment horizontal="right" vertical="center" wrapText="1"/>
    </xf>
    <xf numFmtId="168" fontId="18" fillId="0" borderId="13" xfId="0" applyNumberFormat="1" applyFont="1" applyFill="1" applyBorder="1" applyAlignment="1" applyProtection="1">
      <alignment vertical="center" wrapText="1"/>
      <protection locked="0"/>
    </xf>
    <xf numFmtId="9" fontId="18" fillId="0" borderId="10" xfId="0" applyNumberFormat="1" applyFont="1" applyFill="1" applyBorder="1" applyAlignment="1" applyProtection="1">
      <alignment horizontal="right" vertical="center" wrapText="1"/>
    </xf>
    <xf numFmtId="0" fontId="18" fillId="0" borderId="10" xfId="0" applyNumberFormat="1" applyFont="1" applyFill="1" applyBorder="1" applyAlignment="1" applyProtection="1">
      <alignment horizontal="right" vertical="center" wrapText="1"/>
    </xf>
    <xf numFmtId="0" fontId="21" fillId="25" borderId="11" xfId="0" applyNumberFormat="1" applyFont="1" applyFill="1" applyBorder="1" applyAlignment="1" applyProtection="1">
      <alignment horizontal="left" vertical="center" wrapText="1"/>
      <protection locked="0"/>
    </xf>
    <xf numFmtId="0" fontId="21" fillId="25" borderId="14" xfId="0" applyNumberFormat="1" applyFont="1" applyFill="1" applyBorder="1" applyAlignment="1" applyProtection="1">
      <alignment horizontal="left" vertical="center" wrapText="1"/>
      <protection locked="0"/>
    </xf>
    <xf numFmtId="0" fontId="21" fillId="25" borderId="15" xfId="0" applyNumberFormat="1" applyFont="1" applyFill="1" applyBorder="1" applyAlignment="1" applyProtection="1">
      <alignment horizontal="left" vertical="center" wrapText="1"/>
      <protection locked="0"/>
    </xf>
    <xf numFmtId="164" fontId="36" fillId="0" borderId="11" xfId="0" applyNumberFormat="1" applyFont="1" applyFill="1" applyBorder="1" applyAlignment="1" applyProtection="1">
      <alignment horizontal="right" vertical="center" wrapText="1"/>
    </xf>
    <xf numFmtId="164" fontId="36" fillId="0" borderId="13" xfId="0" applyNumberFormat="1" applyFont="1" applyFill="1" applyBorder="1" applyAlignment="1" applyProtection="1">
      <alignment horizontal="right" vertical="center" wrapText="1"/>
    </xf>
    <xf numFmtId="168" fontId="19" fillId="25" borderId="10" xfId="0" applyNumberFormat="1" applyFont="1" applyFill="1" applyBorder="1" applyAlignment="1" applyProtection="1">
      <alignment horizontal="center" vertical="center" wrapText="1"/>
    </xf>
    <xf numFmtId="10" fontId="19" fillId="25" borderId="10" xfId="0" applyNumberFormat="1" applyFont="1" applyFill="1" applyBorder="1" applyAlignment="1" applyProtection="1">
      <alignment horizontal="center" vertical="center" wrapText="1"/>
    </xf>
    <xf numFmtId="0" fontId="19" fillId="25" borderId="10" xfId="0" applyNumberFormat="1" applyFont="1" applyFill="1" applyBorder="1" applyAlignment="1" applyProtection="1">
      <alignment horizontal="center" vertical="center" wrapText="1"/>
    </xf>
    <xf numFmtId="20" fontId="19" fillId="25" borderId="10" xfId="0" applyNumberFormat="1" applyFont="1" applyFill="1" applyBorder="1" applyAlignment="1" applyProtection="1">
      <alignment horizontal="center" vertical="center" wrapText="1"/>
      <protection locked="0"/>
    </xf>
    <xf numFmtId="168" fontId="33" fillId="0" borderId="11" xfId="0" applyNumberFormat="1" applyFont="1" applyFill="1" applyBorder="1" applyAlignment="1" applyProtection="1">
      <alignment vertical="center" wrapText="1"/>
    </xf>
    <xf numFmtId="168" fontId="33" fillId="0" borderId="15" xfId="0" applyNumberFormat="1" applyFont="1" applyFill="1" applyBorder="1" applyAlignment="1" applyProtection="1">
      <alignment vertical="center" wrapText="1"/>
    </xf>
    <xf numFmtId="0" fontId="19" fillId="0" borderId="11" xfId="0" applyNumberFormat="1" applyFont="1" applyFill="1" applyBorder="1" applyAlignment="1" applyProtection="1">
      <alignment horizontal="center" vertical="center" wrapText="1"/>
    </xf>
    <xf numFmtId="0" fontId="19" fillId="0" borderId="15" xfId="0" applyNumberFormat="1" applyFont="1" applyFill="1" applyBorder="1" applyAlignment="1" applyProtection="1">
      <alignment horizontal="center" vertical="center" wrapText="1"/>
    </xf>
    <xf numFmtId="0" fontId="23" fillId="0" borderId="0" xfId="0" applyFont="1" applyBorder="1" applyAlignment="1" applyProtection="1">
      <alignment horizontal="center" vertical="center"/>
      <protection locked="0"/>
    </xf>
    <xf numFmtId="0" fontId="29" fillId="0" borderId="0" xfId="0" applyFont="1" applyBorder="1" applyAlignment="1" applyProtection="1">
      <alignment horizontal="center" vertical="center"/>
      <protection locked="0"/>
    </xf>
    <xf numFmtId="14" fontId="23" fillId="0" borderId="0" xfId="0" applyNumberFormat="1" applyFont="1" applyBorder="1" applyAlignment="1" applyProtection="1">
      <alignment horizontal="center" vertical="center"/>
      <protection locked="0"/>
    </xf>
    <xf numFmtId="10" fontId="23" fillId="0" borderId="0" xfId="0" applyNumberFormat="1" applyFont="1" applyBorder="1" applyAlignment="1" applyProtection="1">
      <alignment horizontal="center" vertical="center"/>
      <protection locked="0"/>
    </xf>
    <xf numFmtId="175" fontId="23" fillId="0" borderId="0" xfId="0" applyNumberFormat="1" applyFont="1" applyBorder="1" applyAlignment="1" applyProtection="1">
      <alignment horizontal="center" vertical="center"/>
      <protection locked="0"/>
    </xf>
    <xf numFmtId="0" fontId="24" fillId="26" borderId="21" xfId="0" applyNumberFormat="1" applyFont="1" applyFill="1" applyBorder="1" applyAlignment="1" applyProtection="1">
      <alignment horizontal="center" vertical="center" wrapText="1"/>
    </xf>
    <xf numFmtId="0" fontId="24" fillId="26" borderId="0" xfId="0" applyNumberFormat="1" applyFont="1" applyFill="1" applyBorder="1" applyAlignment="1" applyProtection="1">
      <alignment horizontal="center" vertical="center" wrapText="1"/>
    </xf>
    <xf numFmtId="0" fontId="45" fillId="0" borderId="0" xfId="0" applyNumberFormat="1" applyFont="1" applyFill="1" applyBorder="1" applyAlignment="1" applyProtection="1">
      <alignment horizontal="center" vertical="center" wrapText="1"/>
    </xf>
    <xf numFmtId="43" fontId="33" fillId="25" borderId="10" xfId="0" applyNumberFormat="1" applyFont="1" applyFill="1" applyBorder="1" applyAlignment="1" applyProtection="1">
      <alignment horizontal="center" vertical="center" wrapText="1"/>
    </xf>
    <xf numFmtId="168" fontId="19" fillId="0" borderId="11" xfId="0" applyNumberFormat="1" applyFont="1" applyFill="1" applyBorder="1" applyAlignment="1" applyProtection="1">
      <alignment vertical="center" wrapText="1"/>
    </xf>
    <xf numFmtId="168" fontId="19" fillId="0" borderId="15" xfId="0" applyNumberFormat="1" applyFont="1" applyFill="1" applyBorder="1" applyAlignment="1" applyProtection="1">
      <alignment vertical="center" wrapText="1"/>
    </xf>
    <xf numFmtId="0" fontId="18" fillId="0" borderId="15" xfId="0" applyNumberFormat="1" applyFont="1" applyFill="1" applyBorder="1" applyAlignment="1" applyProtection="1">
      <alignment vertical="center" wrapText="1"/>
      <protection locked="0"/>
    </xf>
    <xf numFmtId="1" fontId="18" fillId="0" borderId="0" xfId="0" applyNumberFormat="1" applyFont="1" applyFill="1" applyAlignment="1" applyProtection="1">
      <alignment horizontal="center" vertical="center" wrapText="1"/>
    </xf>
    <xf numFmtId="168" fontId="33" fillId="0" borderId="26" xfId="0" applyNumberFormat="1" applyFont="1" applyFill="1" applyBorder="1" applyAlignment="1" applyProtection="1">
      <alignment horizontal="center" vertical="center" wrapText="1"/>
    </xf>
    <xf numFmtId="168" fontId="33" fillId="0" borderId="29" xfId="0" applyNumberFormat="1" applyFont="1" applyFill="1" applyBorder="1" applyAlignment="1" applyProtection="1">
      <alignment horizontal="center" vertical="center" wrapText="1"/>
    </xf>
    <xf numFmtId="0" fontId="19" fillId="0" borderId="11" xfId="0" applyNumberFormat="1" applyFont="1" applyFill="1" applyBorder="1" applyAlignment="1" applyProtection="1">
      <alignment horizontal="left" vertical="center" wrapText="1"/>
    </xf>
    <xf numFmtId="0" fontId="19" fillId="0" borderId="15" xfId="0" applyNumberFormat="1" applyFont="1" applyFill="1" applyBorder="1" applyAlignment="1" applyProtection="1">
      <alignment horizontal="left" vertical="center" wrapText="1"/>
    </xf>
    <xf numFmtId="168" fontId="19" fillId="0" borderId="13" xfId="0" applyNumberFormat="1" applyFont="1" applyFill="1" applyBorder="1" applyAlignment="1" applyProtection="1">
      <alignment vertical="center" wrapText="1"/>
    </xf>
    <xf numFmtId="0" fontId="18" fillId="0" borderId="30" xfId="0" applyNumberFormat="1" applyFont="1" applyFill="1" applyBorder="1" applyAlignment="1" applyProtection="1">
      <alignment vertical="center" wrapText="1"/>
    </xf>
    <xf numFmtId="168" fontId="18" fillId="0" borderId="26" xfId="0" applyNumberFormat="1" applyFont="1" applyFill="1" applyBorder="1" applyAlignment="1" applyProtection="1">
      <alignment vertical="center" wrapText="1"/>
      <protection locked="0"/>
    </xf>
    <xf numFmtId="168" fontId="18" fillId="0" borderId="29" xfId="0" applyNumberFormat="1" applyFont="1" applyFill="1" applyBorder="1" applyAlignment="1" applyProtection="1">
      <alignment vertical="center" wrapText="1"/>
      <protection locked="0"/>
    </xf>
    <xf numFmtId="42" fontId="18" fillId="0" borderId="26" xfId="0" applyNumberFormat="1" applyFont="1" applyFill="1" applyBorder="1" applyAlignment="1" applyProtection="1">
      <alignment vertical="center" wrapText="1"/>
      <protection locked="0"/>
    </xf>
    <xf numFmtId="9" fontId="18" fillId="0" borderId="26" xfId="0" applyNumberFormat="1" applyFont="1" applyFill="1" applyBorder="1" applyAlignment="1" applyProtection="1">
      <alignment vertical="center" wrapText="1"/>
      <protection locked="0"/>
    </xf>
    <xf numFmtId="9" fontId="18" fillId="0" borderId="29" xfId="0" applyNumberFormat="1" applyFont="1" applyFill="1" applyBorder="1" applyAlignment="1" applyProtection="1">
      <alignment vertical="center" wrapText="1"/>
      <protection locked="0"/>
    </xf>
    <xf numFmtId="168" fontId="18" fillId="0" borderId="26" xfId="0" applyNumberFormat="1" applyFont="1" applyFill="1" applyBorder="1" applyAlignment="1" applyProtection="1">
      <alignment horizontal="center" vertical="center" wrapText="1"/>
    </xf>
    <xf numFmtId="168" fontId="18" fillId="0" borderId="30" xfId="0" applyNumberFormat="1" applyFont="1" applyFill="1" applyBorder="1" applyAlignment="1" applyProtection="1">
      <alignment horizontal="center" vertical="center" wrapText="1"/>
    </xf>
    <xf numFmtId="168" fontId="18" fillId="0" borderId="29" xfId="0" applyNumberFormat="1" applyFont="1" applyFill="1" applyBorder="1" applyAlignment="1" applyProtection="1">
      <alignment horizontal="center" vertical="center" wrapText="1"/>
    </xf>
    <xf numFmtId="2" fontId="36" fillId="0" borderId="26" xfId="0" applyNumberFormat="1" applyFont="1" applyFill="1" applyBorder="1" applyAlignment="1" applyProtection="1">
      <alignment horizontal="center" vertical="center" wrapText="1"/>
    </xf>
    <xf numFmtId="2" fontId="36" fillId="0" borderId="29" xfId="0" applyNumberFormat="1" applyFont="1" applyFill="1" applyBorder="1" applyAlignment="1" applyProtection="1">
      <alignment horizontal="center" vertical="center" wrapText="1"/>
    </xf>
    <xf numFmtId="168" fontId="19" fillId="0" borderId="30" xfId="0" applyNumberFormat="1" applyFont="1" applyFill="1" applyBorder="1" applyAlignment="1" applyProtection="1">
      <alignment horizontal="center" vertical="center" wrapText="1"/>
    </xf>
    <xf numFmtId="168" fontId="19" fillId="0" borderId="29" xfId="0" applyNumberFormat="1" applyFont="1" applyFill="1" applyBorder="1" applyAlignment="1" applyProtection="1">
      <alignment horizontal="center" vertical="center" wrapText="1"/>
    </xf>
    <xf numFmtId="0" fontId="64" fillId="0" borderId="154" xfId="0" applyFont="1" applyBorder="1" applyAlignment="1" applyProtection="1">
      <alignment horizontal="left"/>
      <protection locked="0"/>
    </xf>
    <xf numFmtId="168" fontId="64" fillId="0" borderId="154" xfId="0" applyNumberFormat="1" applyFont="1" applyBorder="1" applyAlignment="1" applyProtection="1">
      <protection locked="0"/>
    </xf>
    <xf numFmtId="0" fontId="64" fillId="0" borderId="154" xfId="0" applyFont="1" applyBorder="1" applyAlignment="1" applyProtection="1">
      <protection locked="0"/>
    </xf>
    <xf numFmtId="0" fontId="64" fillId="0" borderId="164" xfId="0" applyFont="1" applyBorder="1" applyAlignment="1" applyProtection="1">
      <alignment horizontal="left"/>
      <protection locked="0"/>
    </xf>
    <xf numFmtId="168" fontId="64" fillId="0" borderId="164" xfId="0" applyNumberFormat="1" applyFont="1" applyBorder="1" applyAlignment="1" applyProtection="1">
      <protection locked="0"/>
    </xf>
    <xf numFmtId="0" fontId="64" fillId="0" borderId="164" xfId="0" applyFont="1" applyBorder="1" applyAlignment="1" applyProtection="1">
      <protection locked="0"/>
    </xf>
    <xf numFmtId="0" fontId="60" fillId="0" borderId="145" xfId="0" applyFont="1" applyBorder="1" applyAlignment="1" applyProtection="1">
      <alignment horizontal="center" vertical="center"/>
      <protection locked="0"/>
    </xf>
    <xf numFmtId="0" fontId="49" fillId="0" borderId="0" xfId="0" applyFont="1" applyBorder="1" applyAlignment="1" applyProtection="1">
      <alignment horizontal="center" vertical="center"/>
    </xf>
    <xf numFmtId="0" fontId="24" fillId="0" borderId="0" xfId="0" applyNumberFormat="1" applyFont="1" applyFill="1" applyBorder="1" applyAlignment="1" applyProtection="1">
      <alignment horizontal="center" vertical="center" wrapText="1"/>
      <protection locked="0"/>
    </xf>
    <xf numFmtId="0" fontId="24" fillId="26" borderId="26" xfId="0" applyNumberFormat="1" applyFont="1" applyFill="1" applyBorder="1" applyAlignment="1" applyProtection="1">
      <alignment horizontal="center" vertical="center" wrapText="1"/>
    </xf>
    <xf numFmtId="0" fontId="24" fillId="26" borderId="27" xfId="0" applyNumberFormat="1" applyFont="1" applyFill="1" applyBorder="1" applyAlignment="1" applyProtection="1">
      <alignment horizontal="center" vertical="center" wrapText="1"/>
    </xf>
    <xf numFmtId="0" fontId="24" fillId="26" borderId="28" xfId="0" applyNumberFormat="1" applyFont="1" applyFill="1" applyBorder="1" applyAlignment="1" applyProtection="1">
      <alignment horizontal="center" vertical="center" wrapText="1"/>
    </xf>
    <xf numFmtId="0" fontId="19" fillId="0" borderId="14" xfId="0" applyNumberFormat="1" applyFont="1" applyFill="1" applyBorder="1" applyAlignment="1" applyProtection="1">
      <alignment horizontal="center" vertical="center" wrapText="1"/>
    </xf>
    <xf numFmtId="0" fontId="64" fillId="0" borderId="155" xfId="0" applyFont="1" applyBorder="1" applyAlignment="1" applyProtection="1">
      <alignment horizontal="left"/>
      <protection locked="0"/>
    </xf>
    <xf numFmtId="0" fontId="64" fillId="0" borderId="155" xfId="0" applyFont="1" applyBorder="1" applyAlignment="1" applyProtection="1">
      <protection locked="0"/>
    </xf>
    <xf numFmtId="42" fontId="64" fillId="0" borderId="164" xfId="0" applyNumberFormat="1" applyFont="1" applyBorder="1" applyAlignment="1" applyProtection="1">
      <protection locked="0"/>
    </xf>
    <xf numFmtId="0" fontId="64" fillId="0" borderId="148" xfId="0" applyFont="1" applyBorder="1" applyAlignment="1" applyProtection="1">
      <alignment horizontal="left"/>
      <protection locked="0"/>
    </xf>
    <xf numFmtId="0" fontId="64" fillId="0" borderId="153" xfId="0" applyFont="1" applyBorder="1" applyAlignment="1" applyProtection="1">
      <alignment horizontal="left"/>
      <protection locked="0"/>
    </xf>
    <xf numFmtId="0" fontId="64" fillId="0" borderId="164" xfId="0" applyFont="1" applyBorder="1" applyAlignment="1" applyProtection="1">
      <alignment horizontal="center"/>
      <protection locked="0"/>
    </xf>
    <xf numFmtId="0" fontId="64" fillId="0" borderId="155" xfId="0" applyFont="1" applyBorder="1" applyAlignment="1" applyProtection="1">
      <alignment horizontal="center"/>
      <protection locked="0"/>
    </xf>
    <xf numFmtId="0" fontId="61" fillId="0" borderId="145" xfId="0" applyFont="1" applyBorder="1" applyAlignment="1" applyProtection="1">
      <alignment horizontal="center" vertical="center"/>
      <protection locked="0"/>
    </xf>
    <xf numFmtId="175" fontId="61" fillId="0" borderId="145" xfId="0" applyNumberFormat="1" applyFont="1" applyBorder="1" applyAlignment="1" applyProtection="1">
      <alignment vertical="center"/>
      <protection locked="0"/>
    </xf>
    <xf numFmtId="175" fontId="63" fillId="0" borderId="145" xfId="0" applyNumberFormat="1" applyFont="1" applyBorder="1" applyAlignment="1" applyProtection="1">
      <alignment vertical="center"/>
      <protection locked="0"/>
    </xf>
    <xf numFmtId="0" fontId="63" fillId="0" borderId="145" xfId="0" applyFont="1" applyBorder="1" applyAlignment="1" applyProtection="1">
      <alignment horizontal="right" vertical="center"/>
      <protection locked="0"/>
    </xf>
    <xf numFmtId="168" fontId="63" fillId="0" borderId="145" xfId="0" applyNumberFormat="1" applyFont="1" applyBorder="1" applyAlignment="1" applyProtection="1">
      <alignment vertical="center"/>
      <protection locked="0"/>
    </xf>
    <xf numFmtId="0" fontId="63" fillId="0" borderId="156" xfId="0" applyFont="1" applyBorder="1" applyAlignment="1" applyProtection="1">
      <alignment vertical="center"/>
      <protection locked="0"/>
    </xf>
    <xf numFmtId="0" fontId="63" fillId="0" borderId="145" xfId="0" applyFont="1" applyBorder="1" applyAlignment="1" applyProtection="1">
      <alignment horizontal="center" vertical="center"/>
      <protection locked="0"/>
    </xf>
    <xf numFmtId="168" fontId="63" fillId="0" borderId="0" xfId="0" applyNumberFormat="1" applyFont="1" applyFill="1" applyBorder="1" applyAlignment="1" applyProtection="1">
      <alignment vertical="center"/>
      <protection locked="0"/>
    </xf>
    <xf numFmtId="0" fontId="63" fillId="0" borderId="0" xfId="0" applyFont="1" applyFill="1" applyBorder="1" applyAlignment="1" applyProtection="1">
      <alignment vertical="center"/>
      <protection locked="0"/>
    </xf>
    <xf numFmtId="0" fontId="63" fillId="0" borderId="145" xfId="0" applyFont="1" applyBorder="1" applyAlignment="1" applyProtection="1">
      <alignment vertical="center"/>
      <protection locked="0"/>
    </xf>
    <xf numFmtId="174" fontId="63" fillId="0" borderId="145" xfId="0" applyNumberFormat="1" applyFont="1" applyBorder="1" applyAlignment="1" applyProtection="1">
      <alignment vertical="center"/>
      <protection locked="0"/>
    </xf>
    <xf numFmtId="0" fontId="63" fillId="0" borderId="156" xfId="0" applyFont="1" applyBorder="1" applyAlignment="1" applyProtection="1">
      <alignment horizontal="right" vertical="center"/>
      <protection locked="0"/>
    </xf>
    <xf numFmtId="168" fontId="63" fillId="0" borderId="145" xfId="0" applyNumberFormat="1" applyFont="1" applyBorder="1" applyAlignment="1" applyProtection="1">
      <alignment horizontal="right" vertical="center"/>
      <protection locked="0"/>
    </xf>
    <xf numFmtId="168" fontId="63" fillId="0" borderId="156" xfId="0" applyNumberFormat="1" applyFont="1" applyBorder="1" applyAlignment="1" applyProtection="1">
      <alignment vertical="center"/>
      <protection locked="0"/>
    </xf>
    <xf numFmtId="0" fontId="18" fillId="0" borderId="0" xfId="0" applyNumberFormat="1" applyFont="1" applyFill="1" applyAlignment="1" applyProtection="1">
      <alignment horizontal="center" vertical="center" wrapText="1"/>
      <protection locked="0"/>
    </xf>
    <xf numFmtId="0" fontId="19" fillId="0" borderId="0" xfId="0" applyNumberFormat="1" applyFont="1" applyFill="1" applyBorder="1" applyAlignment="1" applyProtection="1">
      <alignment horizontal="center" vertical="center" wrapText="1"/>
      <protection locked="0"/>
    </xf>
    <xf numFmtId="0" fontId="18" fillId="0" borderId="0" xfId="0" applyNumberFormat="1" applyFont="1" applyFill="1" applyBorder="1" applyAlignment="1" applyProtection="1">
      <alignment horizontal="center" vertical="center" wrapText="1"/>
      <protection locked="0"/>
    </xf>
    <xf numFmtId="0" fontId="19" fillId="0" borderId="82" xfId="0" applyNumberFormat="1" applyFont="1" applyFill="1" applyBorder="1" applyAlignment="1" applyProtection="1">
      <alignment horizontal="center" vertical="center" wrapText="1"/>
    </xf>
    <xf numFmtId="0" fontId="19" fillId="0" borderId="84" xfId="0" applyNumberFormat="1" applyFont="1" applyFill="1" applyBorder="1" applyAlignment="1" applyProtection="1">
      <alignment horizontal="center" vertical="center" wrapText="1"/>
    </xf>
    <xf numFmtId="0" fontId="19" fillId="0" borderId="83" xfId="0" applyNumberFormat="1" applyFont="1" applyFill="1" applyBorder="1" applyAlignment="1" applyProtection="1">
      <alignment horizontal="center" vertical="center" wrapText="1"/>
    </xf>
    <xf numFmtId="168" fontId="63" fillId="0" borderId="0" xfId="0" applyNumberFormat="1" applyFont="1" applyBorder="1" applyAlignment="1" applyProtection="1">
      <alignment vertical="center"/>
      <protection locked="0"/>
    </xf>
    <xf numFmtId="0" fontId="63" fillId="0" borderId="0" xfId="0" applyFont="1" applyBorder="1" applyAlignment="1" applyProtection="1">
      <alignment vertical="center"/>
      <protection locked="0"/>
    </xf>
    <xf numFmtId="3" fontId="31" fillId="0" borderId="0" xfId="0" applyNumberFormat="1" applyFont="1" applyFill="1" applyBorder="1" applyAlignment="1">
      <alignment horizontal="center" vertical="center"/>
    </xf>
    <xf numFmtId="0" fontId="31" fillId="40" borderId="126" xfId="0" applyFont="1" applyFill="1" applyBorder="1" applyAlignment="1">
      <alignment horizontal="center" vertical="center"/>
    </xf>
    <xf numFmtId="0" fontId="31" fillId="40" borderId="127" xfId="0" applyFont="1" applyFill="1" applyBorder="1" applyAlignment="1">
      <alignment horizontal="center" vertical="center"/>
    </xf>
    <xf numFmtId="0" fontId="31" fillId="40" borderId="124" xfId="0" applyFont="1" applyFill="1" applyBorder="1" applyAlignment="1">
      <alignment horizontal="center" vertical="center"/>
    </xf>
    <xf numFmtId="0" fontId="26" fillId="24" borderId="119" xfId="0" applyFont="1" applyFill="1" applyBorder="1" applyAlignment="1">
      <alignment horizontal="center"/>
    </xf>
    <xf numFmtId="0" fontId="26" fillId="24" borderId="121" xfId="0" applyFont="1" applyFill="1" applyBorder="1" applyAlignment="1">
      <alignment horizontal="center"/>
    </xf>
    <xf numFmtId="0" fontId="26" fillId="24" borderId="119" xfId="0" applyFont="1" applyFill="1" applyBorder="1" applyAlignment="1">
      <alignment horizontal="center" vertical="center" wrapText="1"/>
    </xf>
    <xf numFmtId="0" fontId="26" fillId="24" borderId="120" xfId="0" applyFont="1" applyFill="1" applyBorder="1" applyAlignment="1">
      <alignment horizontal="center" vertical="center" wrapText="1"/>
    </xf>
    <xf numFmtId="0" fontId="26" fillId="24" borderId="121" xfId="0" applyFont="1" applyFill="1" applyBorder="1" applyAlignment="1">
      <alignment horizontal="center" vertical="center" wrapText="1"/>
    </xf>
    <xf numFmtId="0" fontId="31" fillId="40" borderId="127" xfId="0" applyFont="1" applyFill="1" applyBorder="1" applyAlignment="1">
      <alignment horizontal="center" vertical="center" wrapText="1"/>
    </xf>
    <xf numFmtId="0" fontId="31" fillId="40" borderId="124" xfId="0" applyFont="1" applyFill="1" applyBorder="1" applyAlignment="1">
      <alignment horizontal="center" vertical="center" wrapText="1"/>
    </xf>
    <xf numFmtId="3" fontId="31" fillId="40" borderId="127" xfId="0" applyNumberFormat="1" applyFont="1" applyFill="1" applyBorder="1" applyAlignment="1">
      <alignment horizontal="center" vertical="center" wrapText="1"/>
    </xf>
    <xf numFmtId="3" fontId="31" fillId="40" borderId="124" xfId="0" applyNumberFormat="1" applyFont="1" applyFill="1" applyBorder="1" applyAlignment="1">
      <alignment horizontal="center" vertical="center" wrapText="1"/>
    </xf>
    <xf numFmtId="0" fontId="26" fillId="24" borderId="119" xfId="0" applyNumberFormat="1" applyFont="1" applyFill="1" applyBorder="1" applyAlignment="1">
      <alignment horizontal="center" vertical="center"/>
    </xf>
    <xf numFmtId="0" fontId="26" fillId="24" borderId="120" xfId="0" applyNumberFormat="1" applyFont="1" applyFill="1" applyBorder="1" applyAlignment="1">
      <alignment horizontal="center" vertical="center"/>
    </xf>
    <xf numFmtId="0" fontId="26" fillId="24" borderId="121" xfId="0" applyNumberFormat="1" applyFont="1" applyFill="1" applyBorder="1" applyAlignment="1">
      <alignment horizontal="center" vertical="center"/>
    </xf>
  </cellXfs>
  <cellStyles count="45">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a" xfId="19" builtinId="26" customBuiltin="1"/>
    <cellStyle name="Cálculo" xfId="20" builtinId="22" customBuiltin="1"/>
    <cellStyle name="Celda de comprobación" xfId="21" builtinId="23" customBuiltin="1"/>
    <cellStyle name="Celda vinculada" xfId="22" builtinId="24" customBuiltin="1"/>
    <cellStyle name="Encabezado 1" xfId="39"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Hipervínculo" xfId="43" builtinId="8"/>
    <cellStyle name="Incorrecto" xfId="31" builtinId="27" customBuiltin="1"/>
    <cellStyle name="Millares" xfId="44" builtinId="3"/>
    <cellStyle name="Moneda" xfId="32" builtinId="4"/>
    <cellStyle name="Neutral" xfId="33" builtinId="28" customBuiltin="1"/>
    <cellStyle name="Normal" xfId="0" builtinId="0"/>
    <cellStyle name="Notas" xfId="34" builtinId="10" customBuiltin="1"/>
    <cellStyle name="Salida" xfId="35" builtinId="21" customBuiltin="1"/>
    <cellStyle name="Texto de advertencia" xfId="36" builtinId="11" customBuiltin="1"/>
    <cellStyle name="Texto explicativo" xfId="37" builtinId="53" customBuiltin="1"/>
    <cellStyle name="Título" xfId="38" builtinId="15" customBuiltin="1"/>
    <cellStyle name="Título 2" xfId="40" builtinId="17" customBuiltin="1"/>
    <cellStyle name="Título 3" xfId="41" builtinId="18" customBuiltin="1"/>
    <cellStyle name="Total" xfId="42" builtinId="25" customBuiltin="1"/>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1A1A1A"/>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apoyoti.com/" TargetMode="External"/><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_rels/drawing11.xml.rels><?xml version="1.0" encoding="UTF-8" standalone="yes"?>
<Relationships xmlns="http://schemas.openxmlformats.org/package/2006/relationships"><Relationship Id="rId1" Type="http://schemas.openxmlformats.org/officeDocument/2006/relationships/image" Target="../media/image1.gif"/></Relationships>
</file>

<file path=xl/drawings/_rels/drawing12.xml.rels><?xml version="1.0" encoding="UTF-8" standalone="yes"?>
<Relationships xmlns="http://schemas.openxmlformats.org/package/2006/relationships"><Relationship Id="rId1" Type="http://schemas.openxmlformats.org/officeDocument/2006/relationships/image" Target="../media/image1.gif"/></Relationships>
</file>

<file path=xl/drawings/_rels/drawing13.xml.rels><?xml version="1.0" encoding="UTF-8" standalone="yes"?>
<Relationships xmlns="http://schemas.openxmlformats.org/package/2006/relationships"><Relationship Id="rId1" Type="http://schemas.openxmlformats.org/officeDocument/2006/relationships/image" Target="../media/image1.gif"/></Relationships>
</file>

<file path=xl/drawings/_rels/drawing14.xml.rels><?xml version="1.0" encoding="UTF-8" standalone="yes"?>
<Relationships xmlns="http://schemas.openxmlformats.org/package/2006/relationships"><Relationship Id="rId1" Type="http://schemas.openxmlformats.org/officeDocument/2006/relationships/image" Target="../media/image1.gif"/></Relationships>
</file>

<file path=xl/drawings/_rels/drawing15.xml.rels><?xml version="1.0" encoding="UTF-8" standalone="yes"?>
<Relationships xmlns="http://schemas.openxmlformats.org/package/2006/relationships"><Relationship Id="rId1" Type="http://schemas.openxmlformats.org/officeDocument/2006/relationships/image" Target="../media/image1.gif"/></Relationships>
</file>

<file path=xl/drawings/_rels/drawing16.xml.rels><?xml version="1.0" encoding="UTF-8" standalone="yes"?>
<Relationships xmlns="http://schemas.openxmlformats.org/package/2006/relationships"><Relationship Id="rId1" Type="http://schemas.openxmlformats.org/officeDocument/2006/relationships/image" Target="../media/image1.gif"/></Relationships>
</file>

<file path=xl/drawings/_rels/drawing17.xml.rels><?xml version="1.0" encoding="UTF-8" standalone="yes"?>
<Relationships xmlns="http://schemas.openxmlformats.org/package/2006/relationships"><Relationship Id="rId1" Type="http://schemas.openxmlformats.org/officeDocument/2006/relationships/image" Target="../media/image1.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gif"/></Relationships>
</file>

<file path=xl/drawings/_rels/drawing19.xml.rels><?xml version="1.0" encoding="UTF-8" standalone="yes"?>
<Relationships xmlns="http://schemas.openxmlformats.org/package/2006/relationships"><Relationship Id="rId1" Type="http://schemas.openxmlformats.org/officeDocument/2006/relationships/image" Target="../media/image1.gif"/></Relationships>
</file>

<file path=xl/drawings/_rels/drawing20.xml.rels><?xml version="1.0" encoding="UTF-8" standalone="yes"?>
<Relationships xmlns="http://schemas.openxmlformats.org/package/2006/relationships"><Relationship Id="rId1" Type="http://schemas.openxmlformats.org/officeDocument/2006/relationships/image" Target="../media/image1.gif"/></Relationships>
</file>

<file path=xl/drawings/_rels/drawing2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2.xml.rels><?xml version="1.0" encoding="UTF-8" standalone="yes"?>
<Relationships xmlns="http://schemas.openxmlformats.org/package/2006/relationships"><Relationship Id="rId1" Type="http://schemas.openxmlformats.org/officeDocument/2006/relationships/image" Target="../media/image1.gif"/></Relationships>
</file>

<file path=xl/drawings/_rels/drawing23.xml.rels><?xml version="1.0" encoding="UTF-8" standalone="yes"?>
<Relationships xmlns="http://schemas.openxmlformats.org/package/2006/relationships"><Relationship Id="rId1" Type="http://schemas.openxmlformats.org/officeDocument/2006/relationships/image" Target="../media/image1.gif"/></Relationships>
</file>

<file path=xl/drawings/_rels/drawing24.xml.rels><?xml version="1.0" encoding="UTF-8" standalone="yes"?>
<Relationships xmlns="http://schemas.openxmlformats.org/package/2006/relationships"><Relationship Id="rId1" Type="http://schemas.openxmlformats.org/officeDocument/2006/relationships/image" Target="../media/image1.gif"/></Relationships>
</file>

<file path=xl/drawings/_rels/drawing25.xml.rels><?xml version="1.0" encoding="UTF-8" standalone="yes"?>
<Relationships xmlns="http://schemas.openxmlformats.org/package/2006/relationships"><Relationship Id="rId1" Type="http://schemas.openxmlformats.org/officeDocument/2006/relationships/image" Target="../media/image1.gif"/></Relationships>
</file>

<file path=xl/drawings/_rels/drawing26.xml.rels><?xml version="1.0" encoding="UTF-8" standalone="yes"?>
<Relationships xmlns="http://schemas.openxmlformats.org/package/2006/relationships"><Relationship Id="rId1" Type="http://schemas.openxmlformats.org/officeDocument/2006/relationships/image" Target="../media/image1.gif"/></Relationships>
</file>

<file path=xl/drawings/_rels/drawing27.xml.rels><?xml version="1.0" encoding="UTF-8" standalone="yes"?>
<Relationships xmlns="http://schemas.openxmlformats.org/package/2006/relationships"><Relationship Id="rId1" Type="http://schemas.openxmlformats.org/officeDocument/2006/relationships/image" Target="../media/image1.gif"/></Relationships>
</file>

<file path=xl/drawings/_rels/drawing28.xml.rels><?xml version="1.0" encoding="UTF-8" standalone="yes"?>
<Relationships xmlns="http://schemas.openxmlformats.org/package/2006/relationships"><Relationship Id="rId1" Type="http://schemas.openxmlformats.org/officeDocument/2006/relationships/image" Target="../media/image1.gif"/></Relationships>
</file>

<file path=xl/drawings/_rels/drawing29.xml.rels><?xml version="1.0" encoding="UTF-8" standalone="yes"?>
<Relationships xmlns="http://schemas.openxmlformats.org/package/2006/relationships"><Relationship Id="rId1" Type="http://schemas.openxmlformats.org/officeDocument/2006/relationships/image" Target="../media/image1.gif"/></Relationships>
</file>

<file path=xl/drawings/_rels/drawing30.xml.rels><?xml version="1.0" encoding="UTF-8" standalone="yes"?>
<Relationships xmlns="http://schemas.openxmlformats.org/package/2006/relationships"><Relationship Id="rId1" Type="http://schemas.openxmlformats.org/officeDocument/2006/relationships/image" Target="../media/image1.gif"/></Relationships>
</file>

<file path=xl/drawings/_rels/drawing3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oneCellAnchor>
    <xdr:from>
      <xdr:col>4</xdr:col>
      <xdr:colOff>0</xdr:colOff>
      <xdr:row>45</xdr:row>
      <xdr:rowOff>0</xdr:rowOff>
    </xdr:from>
    <xdr:ext cx="66675" cy="95250"/>
    <xdr:pic>
      <xdr:nvPicPr>
        <xdr:cNvPr id="4"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1771650" y="5029200"/>
          <a:ext cx="66675" cy="95250"/>
        </a:xfrm>
        <a:prstGeom prst="rect">
          <a:avLst/>
        </a:prstGeom>
        <a:noFill/>
      </xdr:spPr>
    </xdr:pic>
    <xdr:clientData/>
  </xdr:oneCellAnchor>
  <xdr:twoCellAnchor editAs="oneCell">
    <xdr:from>
      <xdr:col>4</xdr:col>
      <xdr:colOff>0</xdr:colOff>
      <xdr:row>45</xdr:row>
      <xdr:rowOff>0</xdr:rowOff>
    </xdr:from>
    <xdr:to>
      <xdr:col>4</xdr:col>
      <xdr:colOff>66675</xdr:colOff>
      <xdr:row>45</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219325" y="19002375"/>
          <a:ext cx="66675" cy="95250"/>
        </a:xfrm>
        <a:prstGeom prst="rect">
          <a:avLst/>
        </a:prstGeom>
        <a:noFill/>
      </xdr:spPr>
    </xdr:pic>
    <xdr:clientData/>
  </xdr:twoCellAnchor>
  <xdr:oneCellAnchor>
    <xdr:from>
      <xdr:col>4</xdr:col>
      <xdr:colOff>0</xdr:colOff>
      <xdr:row>44</xdr:row>
      <xdr:rowOff>0</xdr:rowOff>
    </xdr:from>
    <xdr:ext cx="66675" cy="95250"/>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1790700" y="5191125"/>
          <a:ext cx="66675" cy="95250"/>
        </a:xfrm>
        <a:prstGeom prst="rect">
          <a:avLst/>
        </a:prstGeom>
        <a:noFill/>
      </xdr:spPr>
    </xdr:pic>
    <xdr:clientData/>
  </xdr:oneCellAnchor>
  <xdr:oneCellAnchor>
    <xdr:from>
      <xdr:col>13</xdr:col>
      <xdr:colOff>0</xdr:colOff>
      <xdr:row>44</xdr:row>
      <xdr:rowOff>0</xdr:rowOff>
    </xdr:from>
    <xdr:ext cx="66675" cy="95250"/>
    <xdr:pic>
      <xdr:nvPicPr>
        <xdr:cNvPr id="14"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1819275" y="5029200"/>
          <a:ext cx="66675" cy="95250"/>
        </a:xfrm>
        <a:prstGeom prst="rect">
          <a:avLst/>
        </a:prstGeom>
        <a:noFill/>
      </xdr:spPr>
    </xdr:pic>
    <xdr:clientData/>
  </xdr:oneCellAnchor>
  <xdr:oneCellAnchor>
    <xdr:from>
      <xdr:col>13</xdr:col>
      <xdr:colOff>0</xdr:colOff>
      <xdr:row>44</xdr:row>
      <xdr:rowOff>0</xdr:rowOff>
    </xdr:from>
    <xdr:ext cx="66675" cy="95250"/>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1819275" y="5029200"/>
          <a:ext cx="66675" cy="95250"/>
        </a:xfrm>
        <a:prstGeom prst="rect">
          <a:avLst/>
        </a:prstGeom>
        <a:noFill/>
      </xdr:spPr>
    </xdr:pic>
    <xdr:clientData/>
  </xdr:oneCellAnchor>
  <xdr:twoCellAnchor editAs="oneCell">
    <xdr:from>
      <xdr:col>1</xdr:col>
      <xdr:colOff>0</xdr:colOff>
      <xdr:row>73</xdr:row>
      <xdr:rowOff>142875</xdr:rowOff>
    </xdr:from>
    <xdr:to>
      <xdr:col>7</xdr:col>
      <xdr:colOff>95250</xdr:colOff>
      <xdr:row>79</xdr:row>
      <xdr:rowOff>95250</xdr:rowOff>
    </xdr:to>
    <xdr:pic>
      <xdr:nvPicPr>
        <xdr:cNvPr id="3" name="Imagen 2">
          <a:hlinkClick xmlns:r="http://schemas.openxmlformats.org/officeDocument/2006/relationships" r:id="rId2"/>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71475" y="11401425"/>
          <a:ext cx="2857500"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019425" y="3038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8467725" y="1714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4" name="3 CuadroTexto"/>
        <xdr:cNvSpPr txBox="1"/>
      </xdr:nvSpPr>
      <xdr:spPr>
        <a:xfrm>
          <a:off x="3019425" y="3038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7"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8" name="17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9" name="18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0" name="19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7" name="16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7" name="16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7" name="16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0.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2.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3.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5.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6.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8.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0.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1.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2.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3.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4.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5.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6.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12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1" name="1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4" name="13 CuadroTexto"/>
        <xdr:cNvSpPr txBox="1"/>
      </xdr:nvSpPr>
      <xdr:spPr>
        <a:xfrm>
          <a:off x="3800475" y="266509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7.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3"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15 CuadroTexto"/>
        <xdr:cNvSpPr txBox="1"/>
      </xdr:nvSpPr>
      <xdr:spPr>
        <a:xfrm>
          <a:off x="3800475" y="270414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7"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8" name="17 CuadroTexto"/>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0"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24" name="3 CuadroTexto"/>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6"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7"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8"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0"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1" name="30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8.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3"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8"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9"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17" name="16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20" name="19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3"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4"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5"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6" name="25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27" name="26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8"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29"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30"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1"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2"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3"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4" name="3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29.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3"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8"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9"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4"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25" name="24 CuadroTexto"/>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7"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8"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9"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0"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31" name="3 CuadroTexto"/>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3"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4"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5"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7"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8" name="37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39" name="38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0"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1"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2"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3" name="42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4" name="4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5"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6"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7"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8"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9"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0"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1" name="50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30.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3"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8"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9"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4"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25" name="24 CuadroTexto"/>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7"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8"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9"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0"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31" name="3 CuadroTexto"/>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3"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4"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5"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7"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8" name="37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39" name="38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0"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1"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2"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3" name="42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4" name="4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5"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6"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7"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8"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9"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0"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1" name="50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drawings/drawing31.xml><?xml version="1.0" encoding="utf-8"?>
<xdr:wsDr xmlns:xdr="http://schemas.openxmlformats.org/drawingml/2006/spreadsheetDrawing" xmlns:a="http://schemas.openxmlformats.org/drawingml/2006/main">
  <xdr:oneCellAnchor>
    <xdr:from>
      <xdr:col>8</xdr:col>
      <xdr:colOff>47625</xdr:colOff>
      <xdr:row>138</xdr:row>
      <xdr:rowOff>0</xdr:rowOff>
    </xdr:from>
    <xdr:ext cx="77782" cy="226766"/>
    <xdr:sp macro="" textlink="">
      <xdr:nvSpPr>
        <xdr:cNvPr id="2" name="1 CuadroTexto"/>
        <xdr:cNvSpPr txBox="1"/>
      </xdr:nvSpPr>
      <xdr:spPr>
        <a:xfrm>
          <a:off x="3800475" y="164973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4"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7"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9"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0" name="3 CuadroTexto"/>
        <xdr:cNvSpPr txBox="1"/>
      </xdr:nvSpPr>
      <xdr:spPr>
        <a:xfrm>
          <a:off x="3800475" y="265176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13" name="3 CuadroTexto"/>
        <xdr:cNvSpPr txBox="1"/>
      </xdr:nvSpPr>
      <xdr:spPr>
        <a:xfrm>
          <a:off x="3800475" y="263556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5"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6"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18"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19"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1"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230850"/>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2"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4"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25" name="24 CuadroTexto"/>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7"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28"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29"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0"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203</xdr:row>
      <xdr:rowOff>0</xdr:rowOff>
    </xdr:from>
    <xdr:ext cx="77782" cy="226766"/>
    <xdr:sp macro="" textlink="">
      <xdr:nvSpPr>
        <xdr:cNvPr id="31" name="3 CuadroTexto"/>
        <xdr:cNvSpPr txBox="1"/>
      </xdr:nvSpPr>
      <xdr:spPr>
        <a:xfrm>
          <a:off x="3800475" y="2687955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2"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3"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4"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5"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twoCellAnchor editAs="oneCell">
    <xdr:from>
      <xdr:col>6</xdr:col>
      <xdr:colOff>0</xdr:colOff>
      <xdr:row>151</xdr:row>
      <xdr:rowOff>0</xdr:rowOff>
    </xdr:from>
    <xdr:to>
      <xdr:col>6</xdr:col>
      <xdr:colOff>66675</xdr:colOff>
      <xdr:row>151</xdr:row>
      <xdr:rowOff>95250</xdr:rowOff>
    </xdr:to>
    <xdr:pic>
      <xdr:nvPicPr>
        <xdr:cNvPr id="36" name="Picture 22" descr="http://imagestmc.masterbase.com/2010/Previred/2010.06.08/trans.gif"/>
        <xdr:cNvPicPr>
          <a:picLocks noChangeAspect="1" noChangeArrowheads="1"/>
        </xdr:cNvPicPr>
      </xdr:nvPicPr>
      <xdr:blipFill>
        <a:blip xmlns:r="http://schemas.openxmlformats.org/officeDocument/2006/relationships" r:embed="rId1" cstate="print"/>
        <a:srcRect/>
        <a:stretch>
          <a:fillRect/>
        </a:stretch>
      </xdr:blipFill>
      <xdr:spPr bwMode="auto">
        <a:xfrm>
          <a:off x="2752725" y="18754725"/>
          <a:ext cx="66675" cy="95250"/>
        </a:xfrm>
        <a:prstGeom prst="rect">
          <a:avLst/>
        </a:prstGeom>
        <a:noFill/>
      </xdr:spPr>
    </xdr:pic>
    <xdr:clientData/>
  </xdr:twoCellAnchor>
  <xdr:oneCellAnchor>
    <xdr:from>
      <xdr:col>8</xdr:col>
      <xdr:colOff>47625</xdr:colOff>
      <xdr:row>204</xdr:row>
      <xdr:rowOff>0</xdr:rowOff>
    </xdr:from>
    <xdr:ext cx="77782" cy="226766"/>
    <xdr:sp macro="" textlink="">
      <xdr:nvSpPr>
        <xdr:cNvPr id="37" name="3 CuadroTexto"/>
        <xdr:cNvSpPr txBox="1"/>
      </xdr:nvSpPr>
      <xdr:spPr>
        <a:xfrm>
          <a:off x="3800475" y="27012900"/>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38" name="37 CuadroTexto"/>
        <xdr:cNvSpPr txBox="1"/>
      </xdr:nvSpPr>
      <xdr:spPr>
        <a:xfrm>
          <a:off x="3800475" y="281082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39" name="38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0"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1"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2"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3" name="42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4" name="4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5"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6"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203</xdr:row>
      <xdr:rowOff>0</xdr:rowOff>
    </xdr:from>
    <xdr:ext cx="77782" cy="226766"/>
    <xdr:sp macro="" textlink="">
      <xdr:nvSpPr>
        <xdr:cNvPr id="47" name="3 CuadroTexto"/>
        <xdr:cNvSpPr txBox="1"/>
      </xdr:nvSpPr>
      <xdr:spPr>
        <a:xfrm>
          <a:off x="3800475" y="2648902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8"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49"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0" name="3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oneCellAnchor>
    <xdr:from>
      <xdr:col>8</xdr:col>
      <xdr:colOff>47625</xdr:colOff>
      <xdr:row>204</xdr:row>
      <xdr:rowOff>0</xdr:rowOff>
    </xdr:from>
    <xdr:ext cx="77782" cy="226766"/>
    <xdr:sp macro="" textlink="">
      <xdr:nvSpPr>
        <xdr:cNvPr id="51" name="50 CuadroTexto"/>
        <xdr:cNvSpPr txBox="1"/>
      </xdr:nvSpPr>
      <xdr:spPr>
        <a:xfrm>
          <a:off x="3800475" y="26622375"/>
          <a:ext cx="77782" cy="226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CL"/>
        </a:p>
      </xdr:txBody>
    </xdr:sp>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sii.cl/pagina/valores/utm/utm2013.htm" TargetMode="External"/><Relationship Id="rId13" Type="http://schemas.openxmlformats.org/officeDocument/2006/relationships/hyperlink" Target="http://www.apoyoti.com/" TargetMode="External"/><Relationship Id="rId18" Type="http://schemas.openxmlformats.org/officeDocument/2006/relationships/drawing" Target="../drawings/drawing1.xml"/><Relationship Id="rId3" Type="http://schemas.openxmlformats.org/officeDocument/2006/relationships/hyperlink" Target="http://www.spensiones.cl/portal/institucional/578/w3-propertyvalue-6438.html" TargetMode="External"/><Relationship Id="rId7" Type="http://schemas.openxmlformats.org/officeDocument/2006/relationships/hyperlink" Target="http://valoruf.cl/" TargetMode="External"/><Relationship Id="rId12" Type="http://schemas.openxmlformats.org/officeDocument/2006/relationships/hyperlink" Target="http://db.tt/hhepk7UT" TargetMode="External"/><Relationship Id="rId17" Type="http://schemas.openxmlformats.org/officeDocument/2006/relationships/printerSettings" Target="../printerSettings/printerSettings3.bin"/><Relationship Id="rId2" Type="http://schemas.openxmlformats.org/officeDocument/2006/relationships/printerSettings" Target="../printerSettings/printerSettings2.bin"/><Relationship Id="rId16" Type="http://schemas.openxmlformats.org/officeDocument/2006/relationships/hyperlink" Target="http://www.apoyoti.com/" TargetMode="External"/><Relationship Id="rId20" Type="http://schemas.openxmlformats.org/officeDocument/2006/relationships/comments" Target="../comments1.xml"/><Relationship Id="rId1" Type="http://schemas.openxmlformats.org/officeDocument/2006/relationships/printerSettings" Target="../printerSettings/printerSettings1.bin"/><Relationship Id="rId6" Type="http://schemas.openxmlformats.org/officeDocument/2006/relationships/hyperlink" Target="http://www.sii.cl/pagina/valores/utm/utm2013.htm" TargetMode="External"/><Relationship Id="rId11" Type="http://schemas.openxmlformats.org/officeDocument/2006/relationships/hyperlink" Target="http://db.tt/hhepk7UT%20%3c-----%20LUEGO%20DE%20REGISTRARSE,%20NO%20SE%20OLVIDEN%20INSTALARLO%20Y%20PROBARLO." TargetMode="External"/><Relationship Id="rId5" Type="http://schemas.openxmlformats.org/officeDocument/2006/relationships/hyperlink" Target="http://encina.ine.cl/calculadoraipc/" TargetMode="External"/><Relationship Id="rId15" Type="http://schemas.openxmlformats.org/officeDocument/2006/relationships/hyperlink" Target="http://chile.contadorauditor.com/xn/detail/6184021:Comment:205640" TargetMode="External"/><Relationship Id="rId10" Type="http://schemas.openxmlformats.org/officeDocument/2006/relationships/hyperlink" Target="http://creativecommons.org/licenses/by-nd/3.0/deed.es" TargetMode="External"/><Relationship Id="rId19" Type="http://schemas.openxmlformats.org/officeDocument/2006/relationships/vmlDrawing" Target="../drawings/vmlDrawing1.vml"/><Relationship Id="rId4" Type="http://schemas.openxmlformats.org/officeDocument/2006/relationships/hyperlink" Target="http://encina.ine.cl/calculadoraipc/" TargetMode="External"/><Relationship Id="rId9" Type="http://schemas.openxmlformats.org/officeDocument/2006/relationships/hyperlink" Target="http://www.sii.cl/pagina/valores/dolar/dolar2013.htm" TargetMode="External"/><Relationship Id="rId14" Type="http://schemas.openxmlformats.org/officeDocument/2006/relationships/hyperlink" Target="http://www.apoyoti.com/donacion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6.bin"/><Relationship Id="rId7" Type="http://schemas.openxmlformats.org/officeDocument/2006/relationships/hyperlink" Target="http://www.apoyoti.com/" TargetMode="Externa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6" Type="http://schemas.openxmlformats.org/officeDocument/2006/relationships/hyperlink" Target="http://www.apoyoti.com/" TargetMode="External"/><Relationship Id="rId11" Type="http://schemas.openxmlformats.org/officeDocument/2006/relationships/comments" Target="../comments2.xml"/><Relationship Id="rId5" Type="http://schemas.openxmlformats.org/officeDocument/2006/relationships/hyperlink" Target="http://www.aimbox.net/" TargetMode="External"/><Relationship Id="rId10" Type="http://schemas.openxmlformats.org/officeDocument/2006/relationships/vmlDrawing" Target="../drawings/vmlDrawing2.vml"/><Relationship Id="rId4" Type="http://schemas.openxmlformats.org/officeDocument/2006/relationships/printerSettings" Target="../printerSettings/printerSettings7.bin"/><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hyperlink" Target="http://www.aimbox.net/" TargetMode="External"/><Relationship Id="rId7" Type="http://schemas.openxmlformats.org/officeDocument/2006/relationships/drawing" Target="../drawings/drawing3.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1.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3.xml"/></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hyperlink" Target="http://www.aimbox.net/" TargetMode="External"/><Relationship Id="rId7" Type="http://schemas.openxmlformats.org/officeDocument/2006/relationships/drawing" Target="../drawings/drawing4.xml"/><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4.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4.xm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5.vml"/><Relationship Id="rId3" Type="http://schemas.openxmlformats.org/officeDocument/2006/relationships/hyperlink" Target="http://www.aimbox.net/" TargetMode="External"/><Relationship Id="rId7" Type="http://schemas.openxmlformats.org/officeDocument/2006/relationships/drawing" Target="../drawings/drawing5.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6" Type="http://schemas.openxmlformats.org/officeDocument/2006/relationships/printerSettings" Target="../printerSettings/printerSettings17.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5.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www.aimbox.net/" TargetMode="External"/><Relationship Id="rId7" Type="http://schemas.openxmlformats.org/officeDocument/2006/relationships/drawing" Target="../drawings/drawing6.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6" Type="http://schemas.openxmlformats.org/officeDocument/2006/relationships/printerSettings" Target="../printerSettings/printerSettings20.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6.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7.vml"/><Relationship Id="rId3" Type="http://schemas.openxmlformats.org/officeDocument/2006/relationships/hyperlink" Target="http://www.aimbox.net/" TargetMode="External"/><Relationship Id="rId7" Type="http://schemas.openxmlformats.org/officeDocument/2006/relationships/drawing" Target="../drawings/drawing7.xm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3.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7.xml"/></Relationships>
</file>

<file path=xl/worksheets/_rels/sheet8.xml.rels><?xml version="1.0" encoding="UTF-8" standalone="yes"?>
<Relationships xmlns="http://schemas.openxmlformats.org/package/2006/relationships"><Relationship Id="rId8" Type="http://schemas.openxmlformats.org/officeDocument/2006/relationships/vmlDrawing" Target="../drawings/vmlDrawing8.vml"/><Relationship Id="rId3" Type="http://schemas.openxmlformats.org/officeDocument/2006/relationships/hyperlink" Target="http://www.aimbox.net/" TargetMode="External"/><Relationship Id="rId7" Type="http://schemas.openxmlformats.org/officeDocument/2006/relationships/drawing" Target="../drawings/drawing8.xml"/><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6" Type="http://schemas.openxmlformats.org/officeDocument/2006/relationships/printerSettings" Target="../printerSettings/printerSettings26.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8.xml"/></Relationships>
</file>

<file path=xl/worksheets/_rels/sheet9.xml.rels><?xml version="1.0" encoding="UTF-8" standalone="yes"?>
<Relationships xmlns="http://schemas.openxmlformats.org/package/2006/relationships"><Relationship Id="rId8" Type="http://schemas.openxmlformats.org/officeDocument/2006/relationships/vmlDrawing" Target="../drawings/vmlDrawing9.vml"/><Relationship Id="rId3" Type="http://schemas.openxmlformats.org/officeDocument/2006/relationships/hyperlink" Target="http://www.aimbox.net/" TargetMode="External"/><Relationship Id="rId7" Type="http://schemas.openxmlformats.org/officeDocument/2006/relationships/drawing" Target="../drawings/drawing9.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6" Type="http://schemas.openxmlformats.org/officeDocument/2006/relationships/printerSettings" Target="../printerSettings/printerSettings29.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8" Type="http://schemas.openxmlformats.org/officeDocument/2006/relationships/vmlDrawing" Target="../drawings/vmlDrawing10.vml"/><Relationship Id="rId3" Type="http://schemas.openxmlformats.org/officeDocument/2006/relationships/hyperlink" Target="http://www.aimbox.net/" TargetMode="External"/><Relationship Id="rId7" Type="http://schemas.openxmlformats.org/officeDocument/2006/relationships/drawing" Target="../drawings/drawing10.xml"/><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 Id="rId6" Type="http://schemas.openxmlformats.org/officeDocument/2006/relationships/printerSettings" Target="../printerSettings/printerSettings32.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8" Type="http://schemas.openxmlformats.org/officeDocument/2006/relationships/vmlDrawing" Target="../drawings/vmlDrawing11.vml"/><Relationship Id="rId3" Type="http://schemas.openxmlformats.org/officeDocument/2006/relationships/hyperlink" Target="http://www.aimbox.net/" TargetMode="External"/><Relationship Id="rId7" Type="http://schemas.openxmlformats.org/officeDocument/2006/relationships/drawing" Target="../drawings/drawing11.xm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6" Type="http://schemas.openxmlformats.org/officeDocument/2006/relationships/printerSettings" Target="../printerSettings/printerSettings35.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8" Type="http://schemas.openxmlformats.org/officeDocument/2006/relationships/vmlDrawing" Target="../drawings/vmlDrawing12.vml"/><Relationship Id="rId3" Type="http://schemas.openxmlformats.org/officeDocument/2006/relationships/hyperlink" Target="http://www.aimbox.net/" TargetMode="External"/><Relationship Id="rId7" Type="http://schemas.openxmlformats.org/officeDocument/2006/relationships/drawing" Target="../drawings/drawing12.xml"/><Relationship Id="rId2" Type="http://schemas.openxmlformats.org/officeDocument/2006/relationships/printerSettings" Target="../printerSettings/printerSettings37.bin"/><Relationship Id="rId1" Type="http://schemas.openxmlformats.org/officeDocument/2006/relationships/printerSettings" Target="../printerSettings/printerSettings36.bin"/><Relationship Id="rId6" Type="http://schemas.openxmlformats.org/officeDocument/2006/relationships/printerSettings" Target="../printerSettings/printerSettings38.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2.xml"/></Relationships>
</file>

<file path=xl/worksheets/_rels/sheet13.xml.rels><?xml version="1.0" encoding="UTF-8" standalone="yes"?>
<Relationships xmlns="http://schemas.openxmlformats.org/package/2006/relationships"><Relationship Id="rId8" Type="http://schemas.openxmlformats.org/officeDocument/2006/relationships/vmlDrawing" Target="../drawings/vmlDrawing13.vml"/><Relationship Id="rId3" Type="http://schemas.openxmlformats.org/officeDocument/2006/relationships/hyperlink" Target="http://www.aimbox.net/" TargetMode="External"/><Relationship Id="rId7" Type="http://schemas.openxmlformats.org/officeDocument/2006/relationships/drawing" Target="../drawings/drawing13.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openxmlformats.org/officeDocument/2006/relationships/printerSettings" Target="../printerSettings/printerSettings41.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8" Type="http://schemas.openxmlformats.org/officeDocument/2006/relationships/vmlDrawing" Target="../drawings/vmlDrawing14.vml"/><Relationship Id="rId3" Type="http://schemas.openxmlformats.org/officeDocument/2006/relationships/hyperlink" Target="http://www.aimbox.net/" TargetMode="External"/><Relationship Id="rId7" Type="http://schemas.openxmlformats.org/officeDocument/2006/relationships/drawing" Target="../drawings/drawing14.xml"/><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 Id="rId6" Type="http://schemas.openxmlformats.org/officeDocument/2006/relationships/printerSettings" Target="../printerSettings/printerSettings44.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4.xml"/></Relationships>
</file>

<file path=xl/worksheets/_rels/sheet15.xml.rels><?xml version="1.0" encoding="UTF-8" standalone="yes"?>
<Relationships xmlns="http://schemas.openxmlformats.org/package/2006/relationships"><Relationship Id="rId8" Type="http://schemas.openxmlformats.org/officeDocument/2006/relationships/vmlDrawing" Target="../drawings/vmlDrawing15.vml"/><Relationship Id="rId3" Type="http://schemas.openxmlformats.org/officeDocument/2006/relationships/hyperlink" Target="http://www.aimbox.net/" TargetMode="External"/><Relationship Id="rId7" Type="http://schemas.openxmlformats.org/officeDocument/2006/relationships/drawing" Target="../drawings/drawing15.xml"/><Relationship Id="rId2" Type="http://schemas.openxmlformats.org/officeDocument/2006/relationships/printerSettings" Target="../printerSettings/printerSettings46.bin"/><Relationship Id="rId1" Type="http://schemas.openxmlformats.org/officeDocument/2006/relationships/printerSettings" Target="../printerSettings/printerSettings45.bin"/><Relationship Id="rId6" Type="http://schemas.openxmlformats.org/officeDocument/2006/relationships/printerSettings" Target="../printerSettings/printerSettings47.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5.xml"/></Relationships>
</file>

<file path=xl/worksheets/_rels/sheet16.xml.rels><?xml version="1.0" encoding="UTF-8" standalone="yes"?>
<Relationships xmlns="http://schemas.openxmlformats.org/package/2006/relationships"><Relationship Id="rId8" Type="http://schemas.openxmlformats.org/officeDocument/2006/relationships/vmlDrawing" Target="../drawings/vmlDrawing16.vml"/><Relationship Id="rId3" Type="http://schemas.openxmlformats.org/officeDocument/2006/relationships/hyperlink" Target="http://www.aimbox.net/" TargetMode="External"/><Relationship Id="rId7" Type="http://schemas.openxmlformats.org/officeDocument/2006/relationships/drawing" Target="../drawings/drawing16.xml"/><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 Id="rId6" Type="http://schemas.openxmlformats.org/officeDocument/2006/relationships/printerSettings" Target="../printerSettings/printerSettings50.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6.xml"/></Relationships>
</file>

<file path=xl/worksheets/_rels/sheet17.xml.rels><?xml version="1.0" encoding="UTF-8" standalone="yes"?>
<Relationships xmlns="http://schemas.openxmlformats.org/package/2006/relationships"><Relationship Id="rId8" Type="http://schemas.openxmlformats.org/officeDocument/2006/relationships/vmlDrawing" Target="../drawings/vmlDrawing17.vml"/><Relationship Id="rId3" Type="http://schemas.openxmlformats.org/officeDocument/2006/relationships/hyperlink" Target="http://www.aimbox.net/" TargetMode="External"/><Relationship Id="rId7" Type="http://schemas.openxmlformats.org/officeDocument/2006/relationships/drawing" Target="../drawings/drawing17.xml"/><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6" Type="http://schemas.openxmlformats.org/officeDocument/2006/relationships/printerSettings" Target="../printerSettings/printerSettings53.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7.xml"/></Relationships>
</file>

<file path=xl/worksheets/_rels/sheet18.xml.rels><?xml version="1.0" encoding="UTF-8" standalone="yes"?>
<Relationships xmlns="http://schemas.openxmlformats.org/package/2006/relationships"><Relationship Id="rId8" Type="http://schemas.openxmlformats.org/officeDocument/2006/relationships/vmlDrawing" Target="../drawings/vmlDrawing18.vml"/><Relationship Id="rId3" Type="http://schemas.openxmlformats.org/officeDocument/2006/relationships/hyperlink" Target="http://www.aimbox.net/" TargetMode="External"/><Relationship Id="rId7" Type="http://schemas.openxmlformats.org/officeDocument/2006/relationships/drawing" Target="../drawings/drawing18.xml"/><Relationship Id="rId2" Type="http://schemas.openxmlformats.org/officeDocument/2006/relationships/printerSettings" Target="../printerSettings/printerSettings55.bin"/><Relationship Id="rId1" Type="http://schemas.openxmlformats.org/officeDocument/2006/relationships/printerSettings" Target="../printerSettings/printerSettings54.bin"/><Relationship Id="rId6" Type="http://schemas.openxmlformats.org/officeDocument/2006/relationships/printerSettings" Target="../printerSettings/printerSettings56.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8.xml"/></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19.vml"/><Relationship Id="rId3" Type="http://schemas.openxmlformats.org/officeDocument/2006/relationships/hyperlink" Target="http://www.aimbox.net/" TargetMode="External"/><Relationship Id="rId7" Type="http://schemas.openxmlformats.org/officeDocument/2006/relationships/drawing" Target="../drawings/drawing19.xml"/><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6" Type="http://schemas.openxmlformats.org/officeDocument/2006/relationships/printerSettings" Target="../printerSettings/printerSettings59.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19.xml"/></Relationships>
</file>

<file path=xl/worksheets/_rels/sheet20.xml.rels><?xml version="1.0" encoding="UTF-8" standalone="yes"?>
<Relationships xmlns="http://schemas.openxmlformats.org/package/2006/relationships"><Relationship Id="rId8" Type="http://schemas.openxmlformats.org/officeDocument/2006/relationships/vmlDrawing" Target="../drawings/vmlDrawing20.vml"/><Relationship Id="rId3" Type="http://schemas.openxmlformats.org/officeDocument/2006/relationships/hyperlink" Target="http://www.aimbox.net/" TargetMode="External"/><Relationship Id="rId7" Type="http://schemas.openxmlformats.org/officeDocument/2006/relationships/drawing" Target="../drawings/drawing20.xml"/><Relationship Id="rId2" Type="http://schemas.openxmlformats.org/officeDocument/2006/relationships/printerSettings" Target="../printerSettings/printerSettings61.bin"/><Relationship Id="rId1" Type="http://schemas.openxmlformats.org/officeDocument/2006/relationships/printerSettings" Target="../printerSettings/printerSettings60.bin"/><Relationship Id="rId6" Type="http://schemas.openxmlformats.org/officeDocument/2006/relationships/printerSettings" Target="../printerSettings/printerSettings62.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0.xml"/></Relationships>
</file>

<file path=xl/worksheets/_rels/sheet21.xml.rels><?xml version="1.0" encoding="UTF-8" standalone="yes"?>
<Relationships xmlns="http://schemas.openxmlformats.org/package/2006/relationships"><Relationship Id="rId8" Type="http://schemas.openxmlformats.org/officeDocument/2006/relationships/vmlDrawing" Target="../drawings/vmlDrawing21.vml"/><Relationship Id="rId3" Type="http://schemas.openxmlformats.org/officeDocument/2006/relationships/hyperlink" Target="http://www.aimbox.net/" TargetMode="External"/><Relationship Id="rId7" Type="http://schemas.openxmlformats.org/officeDocument/2006/relationships/drawing" Target="../drawings/drawing21.xml"/><Relationship Id="rId2" Type="http://schemas.openxmlformats.org/officeDocument/2006/relationships/printerSettings" Target="../printerSettings/printerSettings64.bin"/><Relationship Id="rId1" Type="http://schemas.openxmlformats.org/officeDocument/2006/relationships/printerSettings" Target="../printerSettings/printerSettings63.bin"/><Relationship Id="rId6" Type="http://schemas.openxmlformats.org/officeDocument/2006/relationships/printerSettings" Target="../printerSettings/printerSettings65.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1.xml"/></Relationships>
</file>

<file path=xl/worksheets/_rels/sheet22.xml.rels><?xml version="1.0" encoding="UTF-8" standalone="yes"?>
<Relationships xmlns="http://schemas.openxmlformats.org/package/2006/relationships"><Relationship Id="rId8" Type="http://schemas.openxmlformats.org/officeDocument/2006/relationships/vmlDrawing" Target="../drawings/vmlDrawing22.vml"/><Relationship Id="rId3" Type="http://schemas.openxmlformats.org/officeDocument/2006/relationships/hyperlink" Target="http://www.aimbox.net/" TargetMode="External"/><Relationship Id="rId7" Type="http://schemas.openxmlformats.org/officeDocument/2006/relationships/drawing" Target="../drawings/drawing22.xml"/><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6" Type="http://schemas.openxmlformats.org/officeDocument/2006/relationships/printerSettings" Target="../printerSettings/printerSettings68.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2.xml"/></Relationships>
</file>

<file path=xl/worksheets/_rels/sheet23.xml.rels><?xml version="1.0" encoding="UTF-8" standalone="yes"?>
<Relationships xmlns="http://schemas.openxmlformats.org/package/2006/relationships"><Relationship Id="rId8" Type="http://schemas.openxmlformats.org/officeDocument/2006/relationships/vmlDrawing" Target="../drawings/vmlDrawing23.vml"/><Relationship Id="rId3" Type="http://schemas.openxmlformats.org/officeDocument/2006/relationships/hyperlink" Target="http://www.aimbox.net/" TargetMode="External"/><Relationship Id="rId7" Type="http://schemas.openxmlformats.org/officeDocument/2006/relationships/drawing" Target="../drawings/drawing23.xml"/><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6" Type="http://schemas.openxmlformats.org/officeDocument/2006/relationships/printerSettings" Target="../printerSettings/printerSettings71.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3.xml"/></Relationships>
</file>

<file path=xl/worksheets/_rels/sheet24.xml.rels><?xml version="1.0" encoding="UTF-8" standalone="yes"?>
<Relationships xmlns="http://schemas.openxmlformats.org/package/2006/relationships"><Relationship Id="rId8" Type="http://schemas.openxmlformats.org/officeDocument/2006/relationships/vmlDrawing" Target="../drawings/vmlDrawing24.vml"/><Relationship Id="rId3" Type="http://schemas.openxmlformats.org/officeDocument/2006/relationships/hyperlink" Target="http://www.aimbox.net/" TargetMode="External"/><Relationship Id="rId7" Type="http://schemas.openxmlformats.org/officeDocument/2006/relationships/drawing" Target="../drawings/drawing24.xml"/><Relationship Id="rId2" Type="http://schemas.openxmlformats.org/officeDocument/2006/relationships/printerSettings" Target="../printerSettings/printerSettings73.bin"/><Relationship Id="rId1" Type="http://schemas.openxmlformats.org/officeDocument/2006/relationships/printerSettings" Target="../printerSettings/printerSettings72.bin"/><Relationship Id="rId6" Type="http://schemas.openxmlformats.org/officeDocument/2006/relationships/printerSettings" Target="../printerSettings/printerSettings74.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4.xml"/></Relationships>
</file>

<file path=xl/worksheets/_rels/sheet25.xml.rels><?xml version="1.0" encoding="UTF-8" standalone="yes"?>
<Relationships xmlns="http://schemas.openxmlformats.org/package/2006/relationships"><Relationship Id="rId8" Type="http://schemas.openxmlformats.org/officeDocument/2006/relationships/vmlDrawing" Target="../drawings/vmlDrawing25.vml"/><Relationship Id="rId3" Type="http://schemas.openxmlformats.org/officeDocument/2006/relationships/hyperlink" Target="http://www.aimbox.net/" TargetMode="External"/><Relationship Id="rId7" Type="http://schemas.openxmlformats.org/officeDocument/2006/relationships/drawing" Target="../drawings/drawing25.xml"/><Relationship Id="rId2" Type="http://schemas.openxmlformats.org/officeDocument/2006/relationships/printerSettings" Target="../printerSettings/printerSettings76.bin"/><Relationship Id="rId1" Type="http://schemas.openxmlformats.org/officeDocument/2006/relationships/printerSettings" Target="../printerSettings/printerSettings75.bin"/><Relationship Id="rId6" Type="http://schemas.openxmlformats.org/officeDocument/2006/relationships/printerSettings" Target="../printerSettings/printerSettings77.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5.xml"/></Relationships>
</file>

<file path=xl/worksheets/_rels/sheet26.xml.rels><?xml version="1.0" encoding="UTF-8" standalone="yes"?>
<Relationships xmlns="http://schemas.openxmlformats.org/package/2006/relationships"><Relationship Id="rId8" Type="http://schemas.openxmlformats.org/officeDocument/2006/relationships/vmlDrawing" Target="../drawings/vmlDrawing26.vml"/><Relationship Id="rId3" Type="http://schemas.openxmlformats.org/officeDocument/2006/relationships/hyperlink" Target="http://www.aimbox.net/" TargetMode="External"/><Relationship Id="rId7" Type="http://schemas.openxmlformats.org/officeDocument/2006/relationships/drawing" Target="../drawings/drawing26.xml"/><Relationship Id="rId2" Type="http://schemas.openxmlformats.org/officeDocument/2006/relationships/printerSettings" Target="../printerSettings/printerSettings79.bin"/><Relationship Id="rId1" Type="http://schemas.openxmlformats.org/officeDocument/2006/relationships/printerSettings" Target="../printerSettings/printerSettings78.bin"/><Relationship Id="rId6" Type="http://schemas.openxmlformats.org/officeDocument/2006/relationships/printerSettings" Target="../printerSettings/printerSettings80.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6.xml"/></Relationships>
</file>

<file path=xl/worksheets/_rels/sheet27.xml.rels><?xml version="1.0" encoding="UTF-8" standalone="yes"?>
<Relationships xmlns="http://schemas.openxmlformats.org/package/2006/relationships"><Relationship Id="rId8" Type="http://schemas.openxmlformats.org/officeDocument/2006/relationships/vmlDrawing" Target="../drawings/vmlDrawing27.vml"/><Relationship Id="rId3" Type="http://schemas.openxmlformats.org/officeDocument/2006/relationships/hyperlink" Target="http://www.aimbox.net/" TargetMode="External"/><Relationship Id="rId7" Type="http://schemas.openxmlformats.org/officeDocument/2006/relationships/drawing" Target="../drawings/drawing27.xml"/><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3.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8" Type="http://schemas.openxmlformats.org/officeDocument/2006/relationships/vmlDrawing" Target="../drawings/vmlDrawing28.vml"/><Relationship Id="rId3" Type="http://schemas.openxmlformats.org/officeDocument/2006/relationships/hyperlink" Target="http://www.aimbox.net/" TargetMode="External"/><Relationship Id="rId7" Type="http://schemas.openxmlformats.org/officeDocument/2006/relationships/drawing" Target="../drawings/drawing28.xml"/><Relationship Id="rId2" Type="http://schemas.openxmlformats.org/officeDocument/2006/relationships/printerSettings" Target="../printerSettings/printerSettings85.bin"/><Relationship Id="rId1" Type="http://schemas.openxmlformats.org/officeDocument/2006/relationships/printerSettings" Target="../printerSettings/printerSettings84.bin"/><Relationship Id="rId6" Type="http://schemas.openxmlformats.org/officeDocument/2006/relationships/printerSettings" Target="../printerSettings/printerSettings86.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8" Type="http://schemas.openxmlformats.org/officeDocument/2006/relationships/vmlDrawing" Target="../drawings/vmlDrawing29.vml"/><Relationship Id="rId3" Type="http://schemas.openxmlformats.org/officeDocument/2006/relationships/hyperlink" Target="http://www.aimbox.net/" TargetMode="External"/><Relationship Id="rId7" Type="http://schemas.openxmlformats.org/officeDocument/2006/relationships/drawing" Target="../drawings/drawing29.xml"/><Relationship Id="rId2" Type="http://schemas.openxmlformats.org/officeDocument/2006/relationships/printerSettings" Target="../printerSettings/printerSettings88.bin"/><Relationship Id="rId1" Type="http://schemas.openxmlformats.org/officeDocument/2006/relationships/printerSettings" Target="../printerSettings/printerSettings87.bin"/><Relationship Id="rId6" Type="http://schemas.openxmlformats.org/officeDocument/2006/relationships/printerSettings" Target="../printerSettings/printerSettings89.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29.xml"/></Relationships>
</file>

<file path=xl/worksheets/_rels/sheet30.xml.rels><?xml version="1.0" encoding="UTF-8" standalone="yes"?>
<Relationships xmlns="http://schemas.openxmlformats.org/package/2006/relationships"><Relationship Id="rId8" Type="http://schemas.openxmlformats.org/officeDocument/2006/relationships/vmlDrawing" Target="../drawings/vmlDrawing30.vml"/><Relationship Id="rId3" Type="http://schemas.openxmlformats.org/officeDocument/2006/relationships/hyperlink" Target="http://www.aimbox.net/" TargetMode="External"/><Relationship Id="rId7" Type="http://schemas.openxmlformats.org/officeDocument/2006/relationships/drawing" Target="../drawings/drawing30.xml"/><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6" Type="http://schemas.openxmlformats.org/officeDocument/2006/relationships/printerSettings" Target="../printerSettings/printerSettings92.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30.xml"/></Relationships>
</file>

<file path=xl/worksheets/_rels/sheet31.xml.rels><?xml version="1.0" encoding="UTF-8" standalone="yes"?>
<Relationships xmlns="http://schemas.openxmlformats.org/package/2006/relationships"><Relationship Id="rId8" Type="http://schemas.openxmlformats.org/officeDocument/2006/relationships/vmlDrawing" Target="../drawings/vmlDrawing31.vml"/><Relationship Id="rId3" Type="http://schemas.openxmlformats.org/officeDocument/2006/relationships/hyperlink" Target="http://www.aimbox.net/" TargetMode="External"/><Relationship Id="rId7" Type="http://schemas.openxmlformats.org/officeDocument/2006/relationships/drawing" Target="../drawings/drawing31.xml"/><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5.bin"/><Relationship Id="rId5" Type="http://schemas.openxmlformats.org/officeDocument/2006/relationships/hyperlink" Target="http://www.apoyoti.com/" TargetMode="External"/><Relationship Id="rId4" Type="http://schemas.openxmlformats.org/officeDocument/2006/relationships/hyperlink" Target="http://www.apoyoti.com/" TargetMode="External"/><Relationship Id="rId9" Type="http://schemas.openxmlformats.org/officeDocument/2006/relationships/comments" Target="../comments31.xm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98.bin"/><Relationship Id="rId2" Type="http://schemas.openxmlformats.org/officeDocument/2006/relationships/printerSettings" Target="../printerSettings/printerSettings97.bin"/><Relationship Id="rId1" Type="http://schemas.openxmlformats.org/officeDocument/2006/relationships/printerSettings" Target="../printerSettings/printerSettings96.bin"/></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1.bin"/><Relationship Id="rId2" Type="http://schemas.openxmlformats.org/officeDocument/2006/relationships/printerSettings" Target="../printerSettings/printerSettings100.bin"/><Relationship Id="rId1" Type="http://schemas.openxmlformats.org/officeDocument/2006/relationships/printerSettings" Target="../printerSettings/printerSettings99.bin"/><Relationship Id="rId5" Type="http://schemas.openxmlformats.org/officeDocument/2006/relationships/comments" Target="../comments32.xml"/><Relationship Id="rId4" Type="http://schemas.openxmlformats.org/officeDocument/2006/relationships/vmlDrawing" Target="../drawings/vmlDrawing3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1:AE202"/>
  <sheetViews>
    <sheetView tabSelected="1" zoomScaleNormal="100" workbookViewId="0">
      <selection activeCell="J34" sqref="J34:K34"/>
    </sheetView>
  </sheetViews>
  <sheetFormatPr baseColWidth="10" defaultRowHeight="12.75" x14ac:dyDescent="0.2"/>
  <cols>
    <col min="1" max="1" width="5.5703125" style="68" customWidth="1"/>
    <col min="2" max="2" width="6.7109375" style="68" customWidth="1"/>
    <col min="3" max="3" width="7.7109375" style="68" customWidth="1"/>
    <col min="4" max="4" width="7.28515625" style="70" customWidth="1"/>
    <col min="5" max="5" width="6.42578125" style="70" customWidth="1"/>
    <col min="6" max="6" width="6.28515625" style="70" customWidth="1"/>
    <col min="7" max="7" width="7" style="70" customWidth="1"/>
    <col min="8" max="8" width="6.28515625" style="70" customWidth="1"/>
    <col min="9" max="9" width="4.5703125" style="68" customWidth="1"/>
    <col min="10" max="10" width="6.7109375" style="68" customWidth="1"/>
    <col min="11" max="11" width="6.5703125" style="68" customWidth="1"/>
    <col min="12" max="13" width="6.28515625" style="68" customWidth="1"/>
    <col min="14" max="14" width="6.140625" style="68" customWidth="1"/>
    <col min="15" max="15" width="7.7109375" style="68" customWidth="1"/>
    <col min="16" max="17" width="5.85546875" style="68" customWidth="1"/>
    <col min="18" max="18" width="6.28515625" style="68" customWidth="1"/>
    <col min="19" max="19" width="5.85546875" style="68" customWidth="1"/>
    <col min="20" max="20" width="6.140625" style="68" customWidth="1"/>
    <col min="21" max="21" width="5.7109375" style="68" customWidth="1"/>
    <col min="22" max="22" width="4.85546875" style="68" customWidth="1"/>
    <col min="23" max="23" width="5.7109375" style="68" customWidth="1"/>
    <col min="24" max="24" width="4.28515625" style="68" customWidth="1"/>
    <col min="25" max="25" width="5.85546875" style="68" customWidth="1"/>
    <col min="26" max="26" width="5.42578125" style="68" customWidth="1"/>
    <col min="27" max="27" width="4.7109375" style="68" customWidth="1"/>
    <col min="28" max="28" width="8.85546875" style="68" customWidth="1"/>
    <col min="29" max="29" width="6.140625" style="68" customWidth="1"/>
    <col min="30" max="30" width="5.7109375" style="68" customWidth="1"/>
    <col min="31" max="31" width="14" style="68" customWidth="1"/>
    <col min="32" max="16384" width="11.42578125" style="68"/>
  </cols>
  <sheetData>
    <row r="1" spans="1:31" ht="13.5" customHeight="1" thickBot="1" x14ac:dyDescent="0.25">
      <c r="A1" s="69"/>
      <c r="B1" s="208"/>
      <c r="C1" s="399" t="s">
        <v>655</v>
      </c>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row>
    <row r="2" spans="1:31" ht="13.5" thickBot="1" x14ac:dyDescent="0.25">
      <c r="A2" s="69"/>
      <c r="B2" s="208"/>
      <c r="C2" s="400" t="s">
        <v>266</v>
      </c>
      <c r="D2" s="400"/>
      <c r="E2" s="400"/>
      <c r="F2" s="400"/>
      <c r="G2" s="400"/>
      <c r="H2" s="400"/>
      <c r="I2" s="400"/>
      <c r="J2" s="400"/>
      <c r="K2" s="400"/>
      <c r="L2" s="400"/>
      <c r="M2" s="400"/>
      <c r="N2" s="400"/>
      <c r="O2" s="400"/>
      <c r="P2" s="400"/>
      <c r="Q2" s="400"/>
      <c r="R2" s="400"/>
      <c r="S2" s="400"/>
      <c r="T2" s="400"/>
      <c r="U2" s="400"/>
      <c r="V2" s="400"/>
      <c r="W2" s="400"/>
      <c r="X2" s="400"/>
      <c r="Y2" s="400"/>
      <c r="Z2" s="400"/>
      <c r="AA2" s="400"/>
      <c r="AB2" s="400"/>
      <c r="AC2" s="400"/>
      <c r="AD2" s="400"/>
      <c r="AE2" s="400"/>
    </row>
    <row r="3" spans="1:31" ht="3" customHeight="1" thickBot="1" x14ac:dyDescent="0.25">
      <c r="A3" s="69"/>
      <c r="B3" s="208"/>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row>
    <row r="4" spans="1:31" ht="12.75" customHeight="1" thickBot="1" x14ac:dyDescent="0.25">
      <c r="A4" s="69"/>
      <c r="B4" s="208"/>
      <c r="C4" s="395" t="s">
        <v>507</v>
      </c>
      <c r="D4" s="395"/>
      <c r="E4" s="395"/>
      <c r="F4" s="395" t="s">
        <v>79</v>
      </c>
      <c r="G4" s="395"/>
      <c r="H4" s="395" t="s">
        <v>269</v>
      </c>
      <c r="I4" s="395"/>
      <c r="J4" s="395" t="s">
        <v>237</v>
      </c>
      <c r="K4" s="395"/>
      <c r="L4" s="395" t="s">
        <v>268</v>
      </c>
      <c r="M4" s="395"/>
      <c r="N4" s="395" t="s">
        <v>267</v>
      </c>
      <c r="O4" s="395"/>
      <c r="P4" s="395"/>
      <c r="Q4" s="395" t="s">
        <v>270</v>
      </c>
      <c r="R4" s="395"/>
      <c r="S4" s="395" t="s">
        <v>23</v>
      </c>
      <c r="T4" s="395"/>
      <c r="U4" s="395" t="s">
        <v>100</v>
      </c>
      <c r="V4" s="395"/>
      <c r="W4" s="395" t="s">
        <v>258</v>
      </c>
      <c r="X4" s="395"/>
      <c r="Y4" s="395" t="s">
        <v>233</v>
      </c>
      <c r="Z4" s="395"/>
      <c r="AA4" s="395" t="s">
        <v>271</v>
      </c>
      <c r="AB4" s="395"/>
      <c r="AC4" s="395" t="s">
        <v>272</v>
      </c>
      <c r="AD4" s="395"/>
      <c r="AE4" s="395" t="s">
        <v>332</v>
      </c>
    </row>
    <row r="5" spans="1:31" ht="13.5" thickBot="1" x14ac:dyDescent="0.25">
      <c r="A5" s="69"/>
      <c r="B5" s="208"/>
      <c r="C5" s="396"/>
      <c r="D5" s="396"/>
      <c r="E5" s="396"/>
      <c r="F5" s="396"/>
      <c r="G5" s="396"/>
      <c r="H5" s="396"/>
      <c r="I5" s="396"/>
      <c r="J5" s="396"/>
      <c r="K5" s="396"/>
      <c r="L5" s="396"/>
      <c r="M5" s="396"/>
      <c r="N5" s="396"/>
      <c r="O5" s="396"/>
      <c r="P5" s="396"/>
      <c r="Q5" s="396"/>
      <c r="R5" s="396"/>
      <c r="S5" s="396"/>
      <c r="T5" s="396"/>
      <c r="U5" s="396"/>
      <c r="V5" s="396"/>
      <c r="W5" s="396"/>
      <c r="X5" s="396"/>
      <c r="Y5" s="396"/>
      <c r="Z5" s="396"/>
      <c r="AA5" s="396"/>
      <c r="AB5" s="396"/>
      <c r="AC5" s="396"/>
      <c r="AD5" s="396"/>
      <c r="AE5" s="396"/>
    </row>
    <row r="6" spans="1:31" ht="13.5" thickBot="1" x14ac:dyDescent="0.25">
      <c r="A6" s="401" t="s">
        <v>473</v>
      </c>
      <c r="B6" s="402"/>
      <c r="C6" s="402"/>
      <c r="D6" s="402"/>
      <c r="E6" s="402"/>
      <c r="F6" s="402"/>
      <c r="G6" s="402"/>
      <c r="H6" s="402"/>
      <c r="I6" s="402"/>
      <c r="J6" s="402"/>
      <c r="K6" s="402"/>
      <c r="L6" s="402"/>
      <c r="M6" s="402"/>
      <c r="N6" s="402"/>
      <c r="O6" s="402"/>
      <c r="P6" s="402"/>
      <c r="Q6" s="402"/>
      <c r="R6" s="402"/>
      <c r="S6" s="402"/>
      <c r="T6" s="402"/>
      <c r="U6" s="402"/>
      <c r="V6" s="402"/>
      <c r="W6" s="402"/>
      <c r="X6" s="402"/>
      <c r="Y6" s="402"/>
      <c r="Z6" s="402"/>
      <c r="AA6" s="402"/>
      <c r="AB6" s="402"/>
      <c r="AC6" s="402"/>
      <c r="AD6" s="402"/>
      <c r="AE6" s="403"/>
    </row>
    <row r="7" spans="1:31" ht="13.5" thickBot="1" x14ac:dyDescent="0.25">
      <c r="A7" s="397" t="s">
        <v>239</v>
      </c>
      <c r="B7" s="397"/>
      <c r="C7" s="379" t="s">
        <v>543</v>
      </c>
      <c r="D7" s="379"/>
      <c r="E7" s="379"/>
      <c r="F7" s="404" t="s">
        <v>545</v>
      </c>
      <c r="G7" s="404"/>
      <c r="H7" s="388"/>
      <c r="I7" s="388"/>
      <c r="J7" s="384" t="s">
        <v>547</v>
      </c>
      <c r="K7" s="384"/>
      <c r="L7" s="388">
        <v>40787</v>
      </c>
      <c r="M7" s="388"/>
      <c r="N7" s="407" t="s">
        <v>278</v>
      </c>
      <c r="O7" s="407"/>
      <c r="P7" s="407"/>
      <c r="Q7" s="384" t="s">
        <v>647</v>
      </c>
      <c r="R7" s="384"/>
      <c r="S7" s="413">
        <v>1000000</v>
      </c>
      <c r="T7" s="413"/>
      <c r="U7" s="418" t="s">
        <v>453</v>
      </c>
      <c r="V7" s="418"/>
      <c r="W7" s="384" t="s">
        <v>630</v>
      </c>
      <c r="X7" s="384"/>
      <c r="Y7" s="398">
        <v>0</v>
      </c>
      <c r="Z7" s="398"/>
      <c r="AA7" s="398">
        <v>0</v>
      </c>
      <c r="AB7" s="398"/>
      <c r="AC7" s="398">
        <v>0</v>
      </c>
      <c r="AD7" s="398"/>
      <c r="AE7" s="250" t="s">
        <v>631</v>
      </c>
    </row>
    <row r="8" spans="1:31" ht="13.5" thickBot="1" x14ac:dyDescent="0.25">
      <c r="A8" s="387" t="s">
        <v>240</v>
      </c>
      <c r="B8" s="387"/>
      <c r="C8" s="379" t="s">
        <v>543</v>
      </c>
      <c r="D8" s="379"/>
      <c r="E8" s="379"/>
      <c r="F8" s="380" t="s">
        <v>544</v>
      </c>
      <c r="G8" s="380"/>
      <c r="H8" s="381"/>
      <c r="I8" s="381"/>
      <c r="J8" s="384" t="s">
        <v>548</v>
      </c>
      <c r="K8" s="384"/>
      <c r="L8" s="381">
        <v>41172</v>
      </c>
      <c r="M8" s="381"/>
      <c r="N8" s="383" t="s">
        <v>448</v>
      </c>
      <c r="O8" s="383"/>
      <c r="P8" s="383"/>
      <c r="Q8" s="382" t="s">
        <v>461</v>
      </c>
      <c r="R8" s="382"/>
      <c r="S8" s="413">
        <v>200000</v>
      </c>
      <c r="T8" s="413"/>
      <c r="U8" s="386" t="s">
        <v>449</v>
      </c>
      <c r="V8" s="386"/>
      <c r="W8" s="382" t="s">
        <v>450</v>
      </c>
      <c r="X8" s="382"/>
      <c r="Y8" s="378">
        <v>50000</v>
      </c>
      <c r="Z8" s="378"/>
      <c r="AA8" s="398">
        <v>74000</v>
      </c>
      <c r="AB8" s="398"/>
      <c r="AC8" s="398">
        <v>74000</v>
      </c>
      <c r="AD8" s="398"/>
      <c r="AE8" s="249" t="s">
        <v>333</v>
      </c>
    </row>
    <row r="9" spans="1:31" ht="13.5" thickBot="1" x14ac:dyDescent="0.25">
      <c r="A9" s="387" t="s">
        <v>241</v>
      </c>
      <c r="B9" s="387"/>
      <c r="C9" s="379" t="s">
        <v>543</v>
      </c>
      <c r="D9" s="379"/>
      <c r="E9" s="379"/>
      <c r="F9" s="380" t="s">
        <v>546</v>
      </c>
      <c r="G9" s="380"/>
      <c r="H9" s="381">
        <v>32381</v>
      </c>
      <c r="I9" s="381"/>
      <c r="J9" s="384" t="s">
        <v>549</v>
      </c>
      <c r="K9" s="384"/>
      <c r="L9" s="381">
        <v>40940</v>
      </c>
      <c r="M9" s="381"/>
      <c r="N9" s="383" t="s">
        <v>588</v>
      </c>
      <c r="O9" s="383"/>
      <c r="P9" s="383"/>
      <c r="Q9" s="382" t="s">
        <v>371</v>
      </c>
      <c r="R9" s="382"/>
      <c r="S9" s="413">
        <v>350000</v>
      </c>
      <c r="T9" s="413"/>
      <c r="U9" s="386" t="s">
        <v>453</v>
      </c>
      <c r="V9" s="386"/>
      <c r="W9" s="382" t="s">
        <v>392</v>
      </c>
      <c r="X9" s="382"/>
      <c r="Y9" s="378">
        <v>50000</v>
      </c>
      <c r="Z9" s="378"/>
      <c r="AA9" s="398">
        <v>74000</v>
      </c>
      <c r="AB9" s="398"/>
      <c r="AC9" s="398">
        <v>74000</v>
      </c>
      <c r="AD9" s="398"/>
      <c r="AE9" s="249" t="s">
        <v>275</v>
      </c>
    </row>
    <row r="10" spans="1:31" ht="13.5" thickBot="1" x14ac:dyDescent="0.25">
      <c r="A10" s="387" t="s">
        <v>242</v>
      </c>
      <c r="B10" s="387"/>
      <c r="C10" s="379" t="s">
        <v>543</v>
      </c>
      <c r="D10" s="379"/>
      <c r="E10" s="379"/>
      <c r="F10" s="380" t="s">
        <v>546</v>
      </c>
      <c r="G10" s="380"/>
      <c r="H10" s="381">
        <v>30212</v>
      </c>
      <c r="I10" s="381"/>
      <c r="J10" s="384" t="s">
        <v>550</v>
      </c>
      <c r="K10" s="384"/>
      <c r="L10" s="381">
        <v>40934</v>
      </c>
      <c r="M10" s="381"/>
      <c r="N10" s="383" t="s">
        <v>273</v>
      </c>
      <c r="O10" s="383"/>
      <c r="P10" s="383"/>
      <c r="Q10" s="382" t="s">
        <v>371</v>
      </c>
      <c r="R10" s="382"/>
      <c r="S10" s="413">
        <v>350000</v>
      </c>
      <c r="T10" s="413"/>
      <c r="U10" s="386" t="s">
        <v>451</v>
      </c>
      <c r="V10" s="386"/>
      <c r="W10" s="382" t="s">
        <v>392</v>
      </c>
      <c r="X10" s="382"/>
      <c r="Y10" s="378">
        <v>0</v>
      </c>
      <c r="Z10" s="378"/>
      <c r="AA10" s="398">
        <v>74000</v>
      </c>
      <c r="AB10" s="398"/>
      <c r="AC10" s="398">
        <v>74000</v>
      </c>
      <c r="AD10" s="398"/>
      <c r="AE10" s="249" t="s">
        <v>454</v>
      </c>
    </row>
    <row r="11" spans="1:31" ht="13.5" thickBot="1" x14ac:dyDescent="0.25">
      <c r="A11" s="387" t="s">
        <v>243</v>
      </c>
      <c r="B11" s="387"/>
      <c r="C11" s="379" t="s">
        <v>543</v>
      </c>
      <c r="D11" s="379"/>
      <c r="E11" s="379"/>
      <c r="F11" s="380" t="s">
        <v>546</v>
      </c>
      <c r="G11" s="380"/>
      <c r="H11" s="381">
        <v>30361</v>
      </c>
      <c r="I11" s="381"/>
      <c r="J11" s="384" t="s">
        <v>551</v>
      </c>
      <c r="K11" s="384"/>
      <c r="L11" s="381">
        <v>40940</v>
      </c>
      <c r="M11" s="381"/>
      <c r="N11" s="383" t="s">
        <v>455</v>
      </c>
      <c r="O11" s="383"/>
      <c r="P11" s="383"/>
      <c r="Q11" s="382" t="s">
        <v>371</v>
      </c>
      <c r="R11" s="382"/>
      <c r="S11" s="413">
        <v>350000</v>
      </c>
      <c r="T11" s="413"/>
      <c r="U11" s="386" t="s">
        <v>417</v>
      </c>
      <c r="V11" s="386"/>
      <c r="W11" s="382" t="s">
        <v>392</v>
      </c>
      <c r="X11" s="382"/>
      <c r="Y11" s="378">
        <v>0</v>
      </c>
      <c r="Z11" s="378"/>
      <c r="AA11" s="398">
        <v>74000</v>
      </c>
      <c r="AB11" s="398"/>
      <c r="AC11" s="398">
        <v>74000</v>
      </c>
      <c r="AD11" s="398"/>
      <c r="AE11" s="249" t="s">
        <v>454</v>
      </c>
    </row>
    <row r="12" spans="1:31" ht="13.5" thickBot="1" x14ac:dyDescent="0.25">
      <c r="A12" s="387" t="s">
        <v>244</v>
      </c>
      <c r="B12" s="387"/>
      <c r="C12" s="379" t="s">
        <v>543</v>
      </c>
      <c r="D12" s="379"/>
      <c r="E12" s="379"/>
      <c r="F12" s="380" t="s">
        <v>546</v>
      </c>
      <c r="G12" s="380"/>
      <c r="H12" s="381"/>
      <c r="I12" s="381"/>
      <c r="J12" s="384" t="s">
        <v>552</v>
      </c>
      <c r="K12" s="384"/>
      <c r="L12" s="381">
        <v>41030</v>
      </c>
      <c r="M12" s="381"/>
      <c r="N12" s="383" t="s">
        <v>273</v>
      </c>
      <c r="O12" s="383"/>
      <c r="P12" s="383"/>
      <c r="Q12" s="382" t="s">
        <v>371</v>
      </c>
      <c r="R12" s="382"/>
      <c r="S12" s="413">
        <v>350000</v>
      </c>
      <c r="T12" s="413"/>
      <c r="U12" s="386" t="s">
        <v>449</v>
      </c>
      <c r="V12" s="386"/>
      <c r="W12" s="382" t="s">
        <v>392</v>
      </c>
      <c r="X12" s="382"/>
      <c r="Y12" s="378">
        <v>0</v>
      </c>
      <c r="Z12" s="378"/>
      <c r="AA12" s="398">
        <v>74000</v>
      </c>
      <c r="AB12" s="398"/>
      <c r="AC12" s="398">
        <v>74000</v>
      </c>
      <c r="AD12" s="398"/>
      <c r="AE12" s="249" t="s">
        <v>454</v>
      </c>
    </row>
    <row r="13" spans="1:31" ht="13.5" thickBot="1" x14ac:dyDescent="0.25">
      <c r="A13" s="387" t="s">
        <v>245</v>
      </c>
      <c r="B13" s="387"/>
      <c r="C13" s="379" t="s">
        <v>543</v>
      </c>
      <c r="D13" s="379"/>
      <c r="E13" s="379"/>
      <c r="F13" s="380" t="s">
        <v>546</v>
      </c>
      <c r="G13" s="380"/>
      <c r="H13" s="381">
        <v>27906</v>
      </c>
      <c r="I13" s="381"/>
      <c r="J13" s="384" t="s">
        <v>553</v>
      </c>
      <c r="K13" s="384"/>
      <c r="L13" s="381">
        <v>40934</v>
      </c>
      <c r="M13" s="381"/>
      <c r="N13" s="383" t="s">
        <v>456</v>
      </c>
      <c r="O13" s="383"/>
      <c r="P13" s="383"/>
      <c r="Q13" s="382" t="s">
        <v>371</v>
      </c>
      <c r="R13" s="382"/>
      <c r="S13" s="413">
        <v>350000</v>
      </c>
      <c r="T13" s="413"/>
      <c r="U13" s="386" t="s">
        <v>451</v>
      </c>
      <c r="V13" s="386"/>
      <c r="W13" s="382" t="s">
        <v>392</v>
      </c>
      <c r="X13" s="382"/>
      <c r="Y13" s="378">
        <v>0</v>
      </c>
      <c r="Z13" s="378"/>
      <c r="AA13" s="398">
        <v>74000</v>
      </c>
      <c r="AB13" s="398"/>
      <c r="AC13" s="398">
        <v>74000</v>
      </c>
      <c r="AD13" s="398"/>
      <c r="AE13" s="249" t="s">
        <v>454</v>
      </c>
    </row>
    <row r="14" spans="1:31" ht="13.5" thickBot="1" x14ac:dyDescent="0.25">
      <c r="A14" s="387" t="s">
        <v>246</v>
      </c>
      <c r="B14" s="387"/>
      <c r="C14" s="379" t="s">
        <v>543</v>
      </c>
      <c r="D14" s="379"/>
      <c r="E14" s="379"/>
      <c r="F14" s="380" t="s">
        <v>546</v>
      </c>
      <c r="G14" s="380"/>
      <c r="H14" s="381">
        <v>30131</v>
      </c>
      <c r="I14" s="381"/>
      <c r="J14" s="384" t="s">
        <v>554</v>
      </c>
      <c r="K14" s="384"/>
      <c r="L14" s="381">
        <v>40725</v>
      </c>
      <c r="M14" s="381"/>
      <c r="N14" s="383" t="s">
        <v>457</v>
      </c>
      <c r="O14" s="383"/>
      <c r="P14" s="383"/>
      <c r="Q14" s="382" t="s">
        <v>371</v>
      </c>
      <c r="R14" s="382"/>
      <c r="S14" s="413">
        <v>350000</v>
      </c>
      <c r="T14" s="413"/>
      <c r="U14" s="386" t="s">
        <v>417</v>
      </c>
      <c r="V14" s="386"/>
      <c r="W14" s="382" t="s">
        <v>459</v>
      </c>
      <c r="X14" s="382"/>
      <c r="Y14" s="378">
        <v>0</v>
      </c>
      <c r="Z14" s="378"/>
      <c r="AA14" s="398">
        <v>74000</v>
      </c>
      <c r="AB14" s="398"/>
      <c r="AC14" s="398">
        <v>74000</v>
      </c>
      <c r="AD14" s="398"/>
      <c r="AE14" s="249" t="s">
        <v>333</v>
      </c>
    </row>
    <row r="15" spans="1:31" ht="13.5" thickBot="1" x14ac:dyDescent="0.25">
      <c r="A15" s="387" t="s">
        <v>247</v>
      </c>
      <c r="B15" s="387"/>
      <c r="C15" s="379" t="s">
        <v>543</v>
      </c>
      <c r="D15" s="379"/>
      <c r="E15" s="379"/>
      <c r="F15" s="380" t="s">
        <v>546</v>
      </c>
      <c r="G15" s="380"/>
      <c r="H15" s="381"/>
      <c r="I15" s="381"/>
      <c r="J15" s="384" t="s">
        <v>555</v>
      </c>
      <c r="K15" s="384"/>
      <c r="L15" s="381">
        <v>41232</v>
      </c>
      <c r="M15" s="381"/>
      <c r="N15" s="383" t="s">
        <v>588</v>
      </c>
      <c r="O15" s="383"/>
      <c r="P15" s="383"/>
      <c r="Q15" s="382" t="s">
        <v>371</v>
      </c>
      <c r="R15" s="382"/>
      <c r="S15" s="413">
        <v>350000</v>
      </c>
      <c r="T15" s="413"/>
      <c r="U15" s="386" t="s">
        <v>449</v>
      </c>
      <c r="V15" s="386"/>
      <c r="W15" s="382" t="s">
        <v>392</v>
      </c>
      <c r="X15" s="382"/>
      <c r="Y15" s="378">
        <v>0</v>
      </c>
      <c r="Z15" s="378"/>
      <c r="AA15" s="398">
        <v>74000</v>
      </c>
      <c r="AB15" s="398"/>
      <c r="AC15" s="398">
        <v>74000</v>
      </c>
      <c r="AD15" s="398"/>
      <c r="AE15" s="249" t="s">
        <v>333</v>
      </c>
    </row>
    <row r="16" spans="1:31" ht="13.5" thickBot="1" x14ac:dyDescent="0.25">
      <c r="A16" s="387" t="s">
        <v>248</v>
      </c>
      <c r="B16" s="387"/>
      <c r="C16" s="389" t="s">
        <v>543</v>
      </c>
      <c r="D16" s="390"/>
      <c r="E16" s="391"/>
      <c r="F16" s="456" t="s">
        <v>546</v>
      </c>
      <c r="G16" s="457"/>
      <c r="H16" s="393">
        <v>31374</v>
      </c>
      <c r="I16" s="394"/>
      <c r="J16" s="405" t="s">
        <v>636</v>
      </c>
      <c r="K16" s="406"/>
      <c r="L16" s="393">
        <v>41225</v>
      </c>
      <c r="M16" s="394"/>
      <c r="N16" s="408" t="s">
        <v>460</v>
      </c>
      <c r="O16" s="409"/>
      <c r="P16" s="410"/>
      <c r="Q16" s="405" t="s">
        <v>371</v>
      </c>
      <c r="R16" s="406"/>
      <c r="S16" s="414">
        <v>300000</v>
      </c>
      <c r="T16" s="415"/>
      <c r="U16" s="411" t="s">
        <v>451</v>
      </c>
      <c r="V16" s="412"/>
      <c r="W16" s="405" t="s">
        <v>392</v>
      </c>
      <c r="X16" s="406"/>
      <c r="Y16" s="416">
        <v>0</v>
      </c>
      <c r="Z16" s="417"/>
      <c r="AA16" s="416">
        <v>40000</v>
      </c>
      <c r="AB16" s="417"/>
      <c r="AC16" s="416">
        <v>54000</v>
      </c>
      <c r="AD16" s="417"/>
      <c r="AE16" s="335" t="s">
        <v>333</v>
      </c>
    </row>
    <row r="17" spans="1:31" ht="12.75" customHeight="1" thickBot="1" x14ac:dyDescent="0.25">
      <c r="A17" s="387" t="s">
        <v>249</v>
      </c>
      <c r="B17" s="387"/>
      <c r="C17" s="379" t="s">
        <v>543</v>
      </c>
      <c r="D17" s="379"/>
      <c r="E17" s="379"/>
      <c r="F17" s="456" t="s">
        <v>546</v>
      </c>
      <c r="G17" s="457"/>
      <c r="H17" s="381">
        <v>26650</v>
      </c>
      <c r="I17" s="381"/>
      <c r="J17" s="384" t="s">
        <v>556</v>
      </c>
      <c r="K17" s="384"/>
      <c r="L17" s="381">
        <v>37926</v>
      </c>
      <c r="M17" s="381"/>
      <c r="N17" s="383" t="s">
        <v>277</v>
      </c>
      <c r="O17" s="383"/>
      <c r="P17" s="383"/>
      <c r="Q17" s="382" t="s">
        <v>371</v>
      </c>
      <c r="R17" s="382"/>
      <c r="S17" s="413">
        <v>350000</v>
      </c>
      <c r="T17" s="413"/>
      <c r="U17" s="386" t="s">
        <v>449</v>
      </c>
      <c r="V17" s="386"/>
      <c r="W17" s="382" t="s">
        <v>392</v>
      </c>
      <c r="X17" s="382"/>
      <c r="Y17" s="378">
        <v>0</v>
      </c>
      <c r="Z17" s="378"/>
      <c r="AA17" s="398">
        <v>74000</v>
      </c>
      <c r="AB17" s="398"/>
      <c r="AC17" s="398">
        <v>74000</v>
      </c>
      <c r="AD17" s="398"/>
      <c r="AE17" s="249" t="s">
        <v>506</v>
      </c>
    </row>
    <row r="18" spans="1:31" ht="12.75" customHeight="1" thickBot="1" x14ac:dyDescent="0.25">
      <c r="A18" s="387" t="s">
        <v>250</v>
      </c>
      <c r="B18" s="387"/>
      <c r="C18" s="379" t="s">
        <v>543</v>
      </c>
      <c r="D18" s="379"/>
      <c r="E18" s="379"/>
      <c r="F18" s="380" t="s">
        <v>546</v>
      </c>
      <c r="G18" s="380"/>
      <c r="H18" s="381">
        <v>26466</v>
      </c>
      <c r="I18" s="381"/>
      <c r="J18" s="384" t="s">
        <v>557</v>
      </c>
      <c r="K18" s="384"/>
      <c r="L18" s="381">
        <v>41183</v>
      </c>
      <c r="M18" s="381"/>
      <c r="N18" s="383" t="s">
        <v>273</v>
      </c>
      <c r="O18" s="383"/>
      <c r="P18" s="383"/>
      <c r="Q18" s="382" t="s">
        <v>371</v>
      </c>
      <c r="R18" s="382"/>
      <c r="S18" s="413">
        <v>350000</v>
      </c>
      <c r="T18" s="413"/>
      <c r="U18" s="386" t="s">
        <v>458</v>
      </c>
      <c r="V18" s="386"/>
      <c r="W18" s="382" t="s">
        <v>392</v>
      </c>
      <c r="X18" s="382"/>
      <c r="Y18" s="378">
        <v>0</v>
      </c>
      <c r="Z18" s="378"/>
      <c r="AA18" s="398">
        <v>74000</v>
      </c>
      <c r="AB18" s="398"/>
      <c r="AC18" s="398">
        <v>74000</v>
      </c>
      <c r="AD18" s="398"/>
      <c r="AE18" s="249" t="s">
        <v>454</v>
      </c>
    </row>
    <row r="19" spans="1:31" ht="12.75" customHeight="1" thickBot="1" x14ac:dyDescent="0.25">
      <c r="A19" s="387" t="s">
        <v>251</v>
      </c>
      <c r="B19" s="387"/>
      <c r="C19" s="379" t="s">
        <v>543</v>
      </c>
      <c r="D19" s="379"/>
      <c r="E19" s="379"/>
      <c r="F19" s="380" t="s">
        <v>546</v>
      </c>
      <c r="G19" s="380"/>
      <c r="H19" s="381">
        <v>31374</v>
      </c>
      <c r="I19" s="381"/>
      <c r="J19" s="384" t="s">
        <v>558</v>
      </c>
      <c r="K19" s="384"/>
      <c r="L19" s="381">
        <v>41225</v>
      </c>
      <c r="M19" s="381"/>
      <c r="N19" s="383" t="s">
        <v>460</v>
      </c>
      <c r="O19" s="383"/>
      <c r="P19" s="383"/>
      <c r="Q19" s="382" t="s">
        <v>371</v>
      </c>
      <c r="R19" s="382"/>
      <c r="S19" s="413">
        <v>350000</v>
      </c>
      <c r="T19" s="413"/>
      <c r="U19" s="386" t="s">
        <v>451</v>
      </c>
      <c r="V19" s="386"/>
      <c r="W19" s="382" t="s">
        <v>392</v>
      </c>
      <c r="X19" s="382"/>
      <c r="Y19" s="378">
        <v>0</v>
      </c>
      <c r="Z19" s="378"/>
      <c r="AA19" s="398">
        <v>74000</v>
      </c>
      <c r="AB19" s="398"/>
      <c r="AC19" s="398">
        <v>74000</v>
      </c>
      <c r="AD19" s="398"/>
      <c r="AE19" s="249" t="s">
        <v>275</v>
      </c>
    </row>
    <row r="20" spans="1:31" ht="13.5" thickBot="1" x14ac:dyDescent="0.25">
      <c r="A20" s="387" t="s">
        <v>252</v>
      </c>
      <c r="B20" s="387"/>
      <c r="C20" s="379" t="s">
        <v>543</v>
      </c>
      <c r="D20" s="379"/>
      <c r="E20" s="379"/>
      <c r="F20" s="380" t="s">
        <v>546</v>
      </c>
      <c r="G20" s="380"/>
      <c r="H20" s="381"/>
      <c r="I20" s="381"/>
      <c r="J20" s="384" t="s">
        <v>559</v>
      </c>
      <c r="K20" s="384"/>
      <c r="L20" s="381">
        <v>41241</v>
      </c>
      <c r="M20" s="381"/>
      <c r="N20" s="383" t="s">
        <v>273</v>
      </c>
      <c r="O20" s="383"/>
      <c r="P20" s="383"/>
      <c r="Q20" s="382" t="s">
        <v>371</v>
      </c>
      <c r="R20" s="382"/>
      <c r="S20" s="413">
        <v>350000</v>
      </c>
      <c r="T20" s="413"/>
      <c r="U20" s="386" t="s">
        <v>449</v>
      </c>
      <c r="V20" s="386"/>
      <c r="W20" s="382" t="s">
        <v>392</v>
      </c>
      <c r="X20" s="382"/>
      <c r="Y20" s="378">
        <v>0</v>
      </c>
      <c r="Z20" s="378"/>
      <c r="AA20" s="398">
        <v>74000</v>
      </c>
      <c r="AB20" s="398"/>
      <c r="AC20" s="398">
        <v>74000</v>
      </c>
      <c r="AD20" s="398"/>
      <c r="AE20" s="249" t="s">
        <v>454</v>
      </c>
    </row>
    <row r="21" spans="1:31" ht="13.5" thickBot="1" x14ac:dyDescent="0.25">
      <c r="A21" s="387" t="s">
        <v>253</v>
      </c>
      <c r="B21" s="387"/>
      <c r="C21" s="379" t="s">
        <v>543</v>
      </c>
      <c r="D21" s="379"/>
      <c r="E21" s="379"/>
      <c r="F21" s="380" t="s">
        <v>546</v>
      </c>
      <c r="G21" s="380"/>
      <c r="H21" s="381"/>
      <c r="I21" s="381"/>
      <c r="J21" s="384" t="s">
        <v>560</v>
      </c>
      <c r="K21" s="384"/>
      <c r="L21" s="381">
        <v>41240</v>
      </c>
      <c r="M21" s="381"/>
      <c r="N21" s="383" t="s">
        <v>273</v>
      </c>
      <c r="O21" s="383"/>
      <c r="P21" s="383"/>
      <c r="Q21" s="382" t="s">
        <v>371</v>
      </c>
      <c r="R21" s="382"/>
      <c r="S21" s="413">
        <v>350000</v>
      </c>
      <c r="T21" s="413"/>
      <c r="U21" s="386" t="s">
        <v>449</v>
      </c>
      <c r="V21" s="386"/>
      <c r="W21" s="382" t="s">
        <v>392</v>
      </c>
      <c r="X21" s="382"/>
      <c r="Y21" s="378">
        <v>0</v>
      </c>
      <c r="Z21" s="378"/>
      <c r="AA21" s="398">
        <v>74000</v>
      </c>
      <c r="AB21" s="398"/>
      <c r="AC21" s="398">
        <v>74000</v>
      </c>
      <c r="AD21" s="398"/>
      <c r="AE21" s="249" t="s">
        <v>333</v>
      </c>
    </row>
    <row r="22" spans="1:31" ht="13.5" thickBot="1" x14ac:dyDescent="0.25">
      <c r="A22" s="387" t="s">
        <v>254</v>
      </c>
      <c r="B22" s="387"/>
      <c r="C22" s="379" t="s">
        <v>543</v>
      </c>
      <c r="D22" s="379"/>
      <c r="E22" s="379"/>
      <c r="F22" s="380" t="s">
        <v>546</v>
      </c>
      <c r="G22" s="380"/>
      <c r="H22" s="381">
        <v>31217</v>
      </c>
      <c r="I22" s="381"/>
      <c r="J22" s="384" t="s">
        <v>561</v>
      </c>
      <c r="K22" s="384"/>
      <c r="L22" s="381">
        <v>41229</v>
      </c>
      <c r="M22" s="381"/>
      <c r="N22" s="383" t="s">
        <v>589</v>
      </c>
      <c r="O22" s="383"/>
      <c r="P22" s="383"/>
      <c r="Q22" s="382" t="s">
        <v>371</v>
      </c>
      <c r="R22" s="382"/>
      <c r="S22" s="413">
        <v>350000</v>
      </c>
      <c r="T22" s="413"/>
      <c r="U22" s="386" t="s">
        <v>451</v>
      </c>
      <c r="V22" s="386"/>
      <c r="W22" s="382" t="s">
        <v>392</v>
      </c>
      <c r="X22" s="382"/>
      <c r="Y22" s="378">
        <v>0</v>
      </c>
      <c r="Z22" s="378"/>
      <c r="AA22" s="398">
        <v>74000</v>
      </c>
      <c r="AB22" s="398"/>
      <c r="AC22" s="398">
        <v>74000</v>
      </c>
      <c r="AD22" s="398"/>
      <c r="AE22" s="249" t="s">
        <v>506</v>
      </c>
    </row>
    <row r="23" spans="1:31" ht="13.5" thickBot="1" x14ac:dyDescent="0.25">
      <c r="A23" s="387" t="s">
        <v>255</v>
      </c>
      <c r="B23" s="387"/>
      <c r="C23" s="379" t="s">
        <v>543</v>
      </c>
      <c r="D23" s="379"/>
      <c r="E23" s="379"/>
      <c r="F23" s="380" t="s">
        <v>546</v>
      </c>
      <c r="G23" s="380"/>
      <c r="H23" s="381"/>
      <c r="I23" s="381"/>
      <c r="J23" s="384" t="s">
        <v>562</v>
      </c>
      <c r="K23" s="384"/>
      <c r="L23" s="381">
        <v>41233</v>
      </c>
      <c r="M23" s="381"/>
      <c r="N23" s="383" t="s">
        <v>274</v>
      </c>
      <c r="O23" s="383"/>
      <c r="P23" s="383"/>
      <c r="Q23" s="382" t="s">
        <v>371</v>
      </c>
      <c r="R23" s="382"/>
      <c r="S23" s="413">
        <v>350000</v>
      </c>
      <c r="T23" s="413"/>
      <c r="U23" s="386" t="s">
        <v>417</v>
      </c>
      <c r="V23" s="386"/>
      <c r="W23" s="382" t="s">
        <v>392</v>
      </c>
      <c r="X23" s="382"/>
      <c r="Y23" s="378">
        <v>0</v>
      </c>
      <c r="Z23" s="378"/>
      <c r="AA23" s="398">
        <v>74000</v>
      </c>
      <c r="AB23" s="398"/>
      <c r="AC23" s="398">
        <v>74000</v>
      </c>
      <c r="AD23" s="398"/>
      <c r="AE23" s="249" t="s">
        <v>590</v>
      </c>
    </row>
    <row r="24" spans="1:31" ht="13.5" thickBot="1" x14ac:dyDescent="0.25">
      <c r="A24" s="387" t="s">
        <v>256</v>
      </c>
      <c r="B24" s="387"/>
      <c r="C24" s="379" t="s">
        <v>543</v>
      </c>
      <c r="D24" s="379"/>
      <c r="E24" s="379"/>
      <c r="F24" s="380" t="s">
        <v>546</v>
      </c>
      <c r="G24" s="380"/>
      <c r="H24" s="381">
        <v>28390</v>
      </c>
      <c r="I24" s="381"/>
      <c r="J24" s="384" t="s">
        <v>563</v>
      </c>
      <c r="K24" s="384"/>
      <c r="L24" s="381">
        <v>41115</v>
      </c>
      <c r="M24" s="381"/>
      <c r="N24" s="383" t="s">
        <v>275</v>
      </c>
      <c r="O24" s="383"/>
      <c r="P24" s="383"/>
      <c r="Q24" s="382" t="s">
        <v>371</v>
      </c>
      <c r="R24" s="382"/>
      <c r="S24" s="413">
        <v>350000</v>
      </c>
      <c r="T24" s="413"/>
      <c r="U24" s="386" t="s">
        <v>451</v>
      </c>
      <c r="V24" s="386"/>
      <c r="W24" s="382" t="s">
        <v>392</v>
      </c>
      <c r="X24" s="382"/>
      <c r="Y24" s="378">
        <v>0</v>
      </c>
      <c r="Z24" s="378"/>
      <c r="AA24" s="398">
        <v>74000</v>
      </c>
      <c r="AB24" s="398"/>
      <c r="AC24" s="398">
        <v>74000</v>
      </c>
      <c r="AD24" s="398"/>
      <c r="AE24" s="292" t="s">
        <v>590</v>
      </c>
    </row>
    <row r="25" spans="1:31" ht="13.5" thickBot="1" x14ac:dyDescent="0.25">
      <c r="A25" s="387" t="s">
        <v>257</v>
      </c>
      <c r="B25" s="387"/>
      <c r="C25" s="379" t="s">
        <v>543</v>
      </c>
      <c r="D25" s="379"/>
      <c r="E25" s="379"/>
      <c r="F25" s="380" t="s">
        <v>546</v>
      </c>
      <c r="G25" s="380"/>
      <c r="H25" s="393"/>
      <c r="I25" s="394"/>
      <c r="J25" s="384" t="s">
        <v>564</v>
      </c>
      <c r="K25" s="384"/>
      <c r="L25" s="393">
        <v>41228</v>
      </c>
      <c r="M25" s="394"/>
      <c r="N25" s="408" t="s">
        <v>278</v>
      </c>
      <c r="O25" s="409"/>
      <c r="P25" s="410"/>
      <c r="Q25" s="405" t="s">
        <v>371</v>
      </c>
      <c r="R25" s="406"/>
      <c r="S25" s="413">
        <v>350000</v>
      </c>
      <c r="T25" s="413"/>
      <c r="U25" s="411" t="s">
        <v>453</v>
      </c>
      <c r="V25" s="412"/>
      <c r="W25" s="405" t="s">
        <v>392</v>
      </c>
      <c r="X25" s="406"/>
      <c r="Y25" s="416">
        <v>0</v>
      </c>
      <c r="Z25" s="417"/>
      <c r="AA25" s="398">
        <v>74000</v>
      </c>
      <c r="AB25" s="398"/>
      <c r="AC25" s="398">
        <v>74000</v>
      </c>
      <c r="AD25" s="398"/>
      <c r="AE25" s="292" t="s">
        <v>590</v>
      </c>
    </row>
    <row r="26" spans="1:31" ht="13.5" thickBot="1" x14ac:dyDescent="0.25">
      <c r="A26" s="387" t="s">
        <v>259</v>
      </c>
      <c r="B26" s="387"/>
      <c r="C26" s="379" t="s">
        <v>543</v>
      </c>
      <c r="D26" s="379"/>
      <c r="E26" s="379"/>
      <c r="F26" s="380" t="s">
        <v>546</v>
      </c>
      <c r="G26" s="380"/>
      <c r="H26" s="393"/>
      <c r="I26" s="394"/>
      <c r="J26" s="384" t="s">
        <v>565</v>
      </c>
      <c r="K26" s="384"/>
      <c r="L26" s="393">
        <v>41153</v>
      </c>
      <c r="M26" s="394"/>
      <c r="N26" s="407" t="s">
        <v>278</v>
      </c>
      <c r="O26" s="407"/>
      <c r="P26" s="407"/>
      <c r="Q26" s="405" t="s">
        <v>461</v>
      </c>
      <c r="R26" s="406"/>
      <c r="S26" s="413">
        <v>350000</v>
      </c>
      <c r="T26" s="413"/>
      <c r="U26" s="411" t="s">
        <v>453</v>
      </c>
      <c r="V26" s="412"/>
      <c r="W26" s="405" t="s">
        <v>392</v>
      </c>
      <c r="X26" s="406"/>
      <c r="Y26" s="416">
        <v>0</v>
      </c>
      <c r="Z26" s="417"/>
      <c r="AA26" s="398">
        <v>74000</v>
      </c>
      <c r="AB26" s="398"/>
      <c r="AC26" s="398">
        <v>74000</v>
      </c>
      <c r="AD26" s="398"/>
      <c r="AE26" s="292" t="s">
        <v>590</v>
      </c>
    </row>
    <row r="27" spans="1:31" ht="13.5" thickBot="1" x14ac:dyDescent="0.25">
      <c r="A27" s="387" t="s">
        <v>260</v>
      </c>
      <c r="B27" s="387"/>
      <c r="C27" s="379" t="s">
        <v>543</v>
      </c>
      <c r="D27" s="379"/>
      <c r="E27" s="379"/>
      <c r="F27" s="380" t="s">
        <v>546</v>
      </c>
      <c r="G27" s="380"/>
      <c r="H27" s="393"/>
      <c r="I27" s="394"/>
      <c r="J27" s="384" t="s">
        <v>566</v>
      </c>
      <c r="K27" s="384"/>
      <c r="L27" s="393">
        <v>41153</v>
      </c>
      <c r="M27" s="394"/>
      <c r="N27" s="383" t="s">
        <v>571</v>
      </c>
      <c r="O27" s="383"/>
      <c r="P27" s="383"/>
      <c r="Q27" s="405" t="s">
        <v>371</v>
      </c>
      <c r="R27" s="406"/>
      <c r="S27" s="413">
        <v>350000</v>
      </c>
      <c r="T27" s="413"/>
      <c r="U27" s="411" t="s">
        <v>417</v>
      </c>
      <c r="V27" s="412"/>
      <c r="W27" s="405" t="s">
        <v>392</v>
      </c>
      <c r="X27" s="406"/>
      <c r="Y27" s="416">
        <v>0</v>
      </c>
      <c r="Z27" s="417"/>
      <c r="AA27" s="398">
        <v>74000</v>
      </c>
      <c r="AB27" s="398"/>
      <c r="AC27" s="398">
        <v>74000</v>
      </c>
      <c r="AD27" s="398"/>
      <c r="AE27" s="249" t="s">
        <v>333</v>
      </c>
    </row>
    <row r="28" spans="1:31" ht="13.5" thickBot="1" x14ac:dyDescent="0.25">
      <c r="A28" s="387" t="s">
        <v>261</v>
      </c>
      <c r="B28" s="387"/>
      <c r="C28" s="379" t="s">
        <v>543</v>
      </c>
      <c r="D28" s="379"/>
      <c r="E28" s="379"/>
      <c r="F28" s="380" t="s">
        <v>546</v>
      </c>
      <c r="G28" s="380"/>
      <c r="H28" s="393"/>
      <c r="I28" s="394"/>
      <c r="J28" s="384" t="s">
        <v>567</v>
      </c>
      <c r="K28" s="384"/>
      <c r="L28" s="393">
        <v>41153</v>
      </c>
      <c r="M28" s="394"/>
      <c r="N28" s="383" t="s">
        <v>452</v>
      </c>
      <c r="O28" s="383"/>
      <c r="P28" s="383"/>
      <c r="Q28" s="405" t="s">
        <v>371</v>
      </c>
      <c r="R28" s="406"/>
      <c r="S28" s="413">
        <v>350000</v>
      </c>
      <c r="T28" s="413"/>
      <c r="U28" s="411" t="s">
        <v>577</v>
      </c>
      <c r="V28" s="412"/>
      <c r="W28" s="405" t="s">
        <v>392</v>
      </c>
      <c r="X28" s="406"/>
      <c r="Y28" s="416">
        <v>0</v>
      </c>
      <c r="Z28" s="417"/>
      <c r="AA28" s="398">
        <v>74000</v>
      </c>
      <c r="AB28" s="398"/>
      <c r="AC28" s="398">
        <v>74000</v>
      </c>
      <c r="AD28" s="398"/>
      <c r="AE28" s="249" t="s">
        <v>333</v>
      </c>
    </row>
    <row r="29" spans="1:31" ht="13.5" thickBot="1" x14ac:dyDescent="0.25">
      <c r="A29" s="387" t="s">
        <v>262</v>
      </c>
      <c r="B29" s="387"/>
      <c r="C29" s="379" t="s">
        <v>543</v>
      </c>
      <c r="D29" s="379"/>
      <c r="E29" s="379"/>
      <c r="F29" s="380" t="s">
        <v>546</v>
      </c>
      <c r="G29" s="380"/>
      <c r="H29" s="393"/>
      <c r="I29" s="394"/>
      <c r="J29" s="384" t="s">
        <v>568</v>
      </c>
      <c r="K29" s="384"/>
      <c r="L29" s="393">
        <v>41153</v>
      </c>
      <c r="M29" s="394"/>
      <c r="N29" s="383" t="s">
        <v>273</v>
      </c>
      <c r="O29" s="383"/>
      <c r="P29" s="383"/>
      <c r="Q29" s="405" t="s">
        <v>371</v>
      </c>
      <c r="R29" s="406"/>
      <c r="S29" s="413">
        <v>350000</v>
      </c>
      <c r="T29" s="413"/>
      <c r="U29" s="411" t="s">
        <v>458</v>
      </c>
      <c r="V29" s="412"/>
      <c r="W29" s="405" t="s">
        <v>392</v>
      </c>
      <c r="X29" s="406"/>
      <c r="Y29" s="416">
        <v>0</v>
      </c>
      <c r="Z29" s="417"/>
      <c r="AA29" s="398">
        <v>74000</v>
      </c>
      <c r="AB29" s="398"/>
      <c r="AC29" s="398">
        <v>74000</v>
      </c>
      <c r="AD29" s="398"/>
      <c r="AE29" s="249" t="s">
        <v>333</v>
      </c>
    </row>
    <row r="30" spans="1:31" ht="13.5" thickBot="1" x14ac:dyDescent="0.25">
      <c r="A30" s="387" t="s">
        <v>263</v>
      </c>
      <c r="B30" s="387"/>
      <c r="C30" s="379" t="s">
        <v>543</v>
      </c>
      <c r="D30" s="379"/>
      <c r="E30" s="379"/>
      <c r="F30" s="380" t="s">
        <v>546</v>
      </c>
      <c r="G30" s="380"/>
      <c r="H30" s="381"/>
      <c r="I30" s="381"/>
      <c r="J30" s="384" t="s">
        <v>569</v>
      </c>
      <c r="K30" s="384"/>
      <c r="L30" s="393">
        <v>41153</v>
      </c>
      <c r="M30" s="394"/>
      <c r="N30" s="408" t="s">
        <v>591</v>
      </c>
      <c r="O30" s="409"/>
      <c r="P30" s="410"/>
      <c r="Q30" s="405" t="s">
        <v>371</v>
      </c>
      <c r="R30" s="406"/>
      <c r="S30" s="413">
        <v>350000</v>
      </c>
      <c r="T30" s="413"/>
      <c r="U30" s="411" t="s">
        <v>458</v>
      </c>
      <c r="V30" s="412"/>
      <c r="W30" s="405" t="s">
        <v>392</v>
      </c>
      <c r="X30" s="406"/>
      <c r="Y30" s="416">
        <v>0</v>
      </c>
      <c r="Z30" s="417"/>
      <c r="AA30" s="398">
        <v>74000</v>
      </c>
      <c r="AB30" s="398"/>
      <c r="AC30" s="398">
        <v>74000</v>
      </c>
      <c r="AD30" s="398"/>
      <c r="AE30" s="249" t="s">
        <v>333</v>
      </c>
    </row>
    <row r="31" spans="1:31" ht="13.5" thickBot="1" x14ac:dyDescent="0.25">
      <c r="A31" s="444" t="s">
        <v>264</v>
      </c>
      <c r="B31" s="444"/>
      <c r="C31" s="379" t="s">
        <v>543</v>
      </c>
      <c r="D31" s="379"/>
      <c r="E31" s="379"/>
      <c r="F31" s="380" t="s">
        <v>546</v>
      </c>
      <c r="G31" s="380"/>
      <c r="H31" s="453"/>
      <c r="I31" s="453"/>
      <c r="J31" s="384" t="s">
        <v>570</v>
      </c>
      <c r="K31" s="384"/>
      <c r="L31" s="393">
        <v>41153</v>
      </c>
      <c r="M31" s="394"/>
      <c r="N31" s="408" t="s">
        <v>277</v>
      </c>
      <c r="O31" s="409"/>
      <c r="P31" s="410"/>
      <c r="Q31" s="405" t="s">
        <v>371</v>
      </c>
      <c r="R31" s="406"/>
      <c r="S31" s="413">
        <v>350000</v>
      </c>
      <c r="T31" s="413"/>
      <c r="U31" s="411" t="s">
        <v>451</v>
      </c>
      <c r="V31" s="412"/>
      <c r="W31" s="405" t="s">
        <v>392</v>
      </c>
      <c r="X31" s="406"/>
      <c r="Y31" s="416">
        <v>0</v>
      </c>
      <c r="Z31" s="417"/>
      <c r="AA31" s="398">
        <v>74000</v>
      </c>
      <c r="AB31" s="398"/>
      <c r="AC31" s="398">
        <v>74000</v>
      </c>
      <c r="AD31" s="398"/>
      <c r="AE31" s="249" t="s">
        <v>333</v>
      </c>
    </row>
    <row r="32" spans="1:31" ht="13.5" thickBot="1" x14ac:dyDescent="0.25">
      <c r="A32" s="445"/>
      <c r="B32" s="446"/>
      <c r="C32" s="454" t="s">
        <v>472</v>
      </c>
      <c r="D32" s="454"/>
      <c r="E32" s="454"/>
      <c r="F32" s="454"/>
      <c r="G32" s="454"/>
      <c r="H32" s="454"/>
      <c r="I32" s="454"/>
      <c r="J32" s="454"/>
      <c r="K32" s="454"/>
      <c r="L32" s="454"/>
      <c r="M32" s="454"/>
      <c r="N32" s="454"/>
      <c r="O32" s="454"/>
      <c r="P32" s="454"/>
      <c r="Q32" s="454"/>
      <c r="R32" s="454"/>
      <c r="S32" s="454"/>
      <c r="T32" s="454"/>
      <c r="U32" s="454"/>
      <c r="V32" s="454"/>
      <c r="W32" s="454"/>
      <c r="X32" s="454"/>
      <c r="Y32" s="454"/>
      <c r="Z32" s="454"/>
      <c r="AA32" s="454"/>
      <c r="AB32" s="454"/>
      <c r="AC32" s="454"/>
      <c r="AD32" s="454"/>
      <c r="AE32" s="455"/>
    </row>
    <row r="33" spans="1:31" ht="13.5" thickBot="1" x14ac:dyDescent="0.25">
      <c r="A33" s="392" t="s">
        <v>265</v>
      </c>
      <c r="B33" s="392"/>
      <c r="C33" s="379" t="s">
        <v>543</v>
      </c>
      <c r="D33" s="379"/>
      <c r="E33" s="379"/>
      <c r="F33" s="404" t="s">
        <v>574</v>
      </c>
      <c r="G33" s="404"/>
      <c r="H33" s="388"/>
      <c r="I33" s="388"/>
      <c r="J33" s="384"/>
      <c r="K33" s="384"/>
      <c r="L33" s="388">
        <v>40787</v>
      </c>
      <c r="M33" s="388"/>
      <c r="N33" s="407" t="s">
        <v>278</v>
      </c>
      <c r="O33" s="407"/>
      <c r="P33" s="407"/>
      <c r="Q33" s="384" t="s">
        <v>474</v>
      </c>
      <c r="R33" s="384"/>
      <c r="S33" s="429">
        <v>350000</v>
      </c>
      <c r="T33" s="429"/>
      <c r="U33" s="418" t="s">
        <v>447</v>
      </c>
      <c r="V33" s="418"/>
      <c r="W33" s="384" t="s">
        <v>475</v>
      </c>
      <c r="X33" s="384"/>
      <c r="Y33" s="398">
        <v>0</v>
      </c>
      <c r="Z33" s="398"/>
      <c r="AA33" s="398">
        <v>0</v>
      </c>
      <c r="AB33" s="398"/>
      <c r="AC33" s="398">
        <v>0</v>
      </c>
      <c r="AD33" s="398"/>
      <c r="AE33" s="229" t="s">
        <v>535</v>
      </c>
    </row>
    <row r="34" spans="1:31" ht="13.5" thickBot="1" x14ac:dyDescent="0.25">
      <c r="A34" s="392" t="s">
        <v>468</v>
      </c>
      <c r="B34" s="392"/>
      <c r="C34" s="379" t="s">
        <v>543</v>
      </c>
      <c r="D34" s="379"/>
      <c r="E34" s="379"/>
      <c r="F34" s="380" t="s">
        <v>572</v>
      </c>
      <c r="G34" s="380"/>
      <c r="H34" s="381"/>
      <c r="I34" s="381"/>
      <c r="J34" s="382"/>
      <c r="K34" s="382"/>
      <c r="L34" s="381">
        <v>41172</v>
      </c>
      <c r="M34" s="381"/>
      <c r="N34" s="383" t="s">
        <v>448</v>
      </c>
      <c r="O34" s="383"/>
      <c r="P34" s="383"/>
      <c r="Q34" s="382" t="s">
        <v>474</v>
      </c>
      <c r="R34" s="382"/>
      <c r="S34" s="385">
        <v>350000</v>
      </c>
      <c r="T34" s="385"/>
      <c r="U34" s="386" t="s">
        <v>447</v>
      </c>
      <c r="V34" s="386"/>
      <c r="W34" s="382" t="s">
        <v>475</v>
      </c>
      <c r="X34" s="382"/>
      <c r="Y34" s="378">
        <v>0</v>
      </c>
      <c r="Z34" s="378"/>
      <c r="AA34" s="378">
        <v>0</v>
      </c>
      <c r="AB34" s="378"/>
      <c r="AC34" s="378">
        <v>0</v>
      </c>
      <c r="AD34" s="378"/>
      <c r="AE34" s="207" t="s">
        <v>333</v>
      </c>
    </row>
    <row r="35" spans="1:31" ht="13.5" thickBot="1" x14ac:dyDescent="0.25">
      <c r="A35" s="392" t="s">
        <v>469</v>
      </c>
      <c r="B35" s="392"/>
      <c r="C35" s="379" t="s">
        <v>543</v>
      </c>
      <c r="D35" s="379"/>
      <c r="E35" s="379"/>
      <c r="F35" s="380" t="s">
        <v>573</v>
      </c>
      <c r="G35" s="380"/>
      <c r="H35" s="381"/>
      <c r="I35" s="381"/>
      <c r="J35" s="382"/>
      <c r="K35" s="382"/>
      <c r="L35" s="381">
        <v>41233</v>
      </c>
      <c r="M35" s="381"/>
      <c r="N35" s="383" t="s">
        <v>534</v>
      </c>
      <c r="O35" s="383"/>
      <c r="P35" s="383"/>
      <c r="Q35" s="384" t="s">
        <v>474</v>
      </c>
      <c r="R35" s="384"/>
      <c r="S35" s="385">
        <v>350000</v>
      </c>
      <c r="T35" s="385"/>
      <c r="U35" s="386" t="s">
        <v>447</v>
      </c>
      <c r="V35" s="386"/>
      <c r="W35" s="382" t="s">
        <v>475</v>
      </c>
      <c r="X35" s="382"/>
      <c r="Y35" s="378">
        <v>0</v>
      </c>
      <c r="Z35" s="378"/>
      <c r="AA35" s="378">
        <v>0</v>
      </c>
      <c r="AB35" s="378"/>
      <c r="AC35" s="378">
        <v>0</v>
      </c>
      <c r="AD35" s="378"/>
      <c r="AE35" s="207" t="s">
        <v>590</v>
      </c>
    </row>
    <row r="36" spans="1:31" ht="13.5" thickBot="1" x14ac:dyDescent="0.25">
      <c r="A36" s="392" t="s">
        <v>470</v>
      </c>
      <c r="B36" s="392"/>
      <c r="C36" s="379" t="s">
        <v>543</v>
      </c>
      <c r="D36" s="379"/>
      <c r="E36" s="379"/>
      <c r="F36" s="380" t="s">
        <v>575</v>
      </c>
      <c r="G36" s="380"/>
      <c r="H36" s="381"/>
      <c r="I36" s="381"/>
      <c r="J36" s="382"/>
      <c r="K36" s="382"/>
      <c r="L36" s="381">
        <v>41234</v>
      </c>
      <c r="M36" s="381"/>
      <c r="N36" s="383" t="s">
        <v>534</v>
      </c>
      <c r="O36" s="383"/>
      <c r="P36" s="383"/>
      <c r="Q36" s="382" t="s">
        <v>474</v>
      </c>
      <c r="R36" s="382"/>
      <c r="S36" s="385">
        <v>350000</v>
      </c>
      <c r="T36" s="385"/>
      <c r="U36" s="386" t="s">
        <v>447</v>
      </c>
      <c r="V36" s="386"/>
      <c r="W36" s="382" t="s">
        <v>475</v>
      </c>
      <c r="X36" s="382"/>
      <c r="Y36" s="378">
        <v>0</v>
      </c>
      <c r="Z36" s="378"/>
      <c r="AA36" s="378">
        <v>0</v>
      </c>
      <c r="AB36" s="378"/>
      <c r="AC36" s="378">
        <v>0</v>
      </c>
      <c r="AD36" s="378"/>
      <c r="AE36" s="207" t="s">
        <v>506</v>
      </c>
    </row>
    <row r="37" spans="1:31" ht="13.5" thickBot="1" x14ac:dyDescent="0.25">
      <c r="A37" s="392" t="s">
        <v>471</v>
      </c>
      <c r="B37" s="392"/>
      <c r="C37" s="379" t="s">
        <v>543</v>
      </c>
      <c r="D37" s="379"/>
      <c r="E37" s="379"/>
      <c r="F37" s="380" t="s">
        <v>576</v>
      </c>
      <c r="G37" s="380"/>
      <c r="H37" s="381"/>
      <c r="I37" s="381"/>
      <c r="J37" s="382"/>
      <c r="K37" s="382"/>
      <c r="L37" s="381">
        <v>41235</v>
      </c>
      <c r="M37" s="381"/>
      <c r="N37" s="383" t="s">
        <v>534</v>
      </c>
      <c r="O37" s="383"/>
      <c r="P37" s="383"/>
      <c r="Q37" s="384" t="s">
        <v>474</v>
      </c>
      <c r="R37" s="384"/>
      <c r="S37" s="385">
        <v>350000</v>
      </c>
      <c r="T37" s="385"/>
      <c r="U37" s="386" t="s">
        <v>447</v>
      </c>
      <c r="V37" s="386"/>
      <c r="W37" s="382" t="s">
        <v>475</v>
      </c>
      <c r="X37" s="382"/>
      <c r="Y37" s="378">
        <v>0</v>
      </c>
      <c r="Z37" s="378"/>
      <c r="AA37" s="378">
        <v>0</v>
      </c>
      <c r="AB37" s="378"/>
      <c r="AC37" s="378">
        <v>0</v>
      </c>
      <c r="AD37" s="378"/>
      <c r="AE37" s="207" t="s">
        <v>506</v>
      </c>
    </row>
    <row r="38" spans="1:31" x14ac:dyDescent="0.2">
      <c r="K38" s="71"/>
      <c r="L38" s="71"/>
      <c r="M38" s="72"/>
      <c r="N38" s="72"/>
      <c r="O38" s="72"/>
      <c r="P38" s="72"/>
      <c r="Q38" s="72"/>
      <c r="R38" s="73"/>
      <c r="S38" s="73"/>
      <c r="T38" s="74"/>
      <c r="U38" s="74"/>
      <c r="V38" s="74"/>
      <c r="W38" s="74"/>
      <c r="X38" s="74"/>
      <c r="Y38" s="74"/>
      <c r="Z38" s="74"/>
      <c r="AA38" s="74"/>
      <c r="AB38" s="74"/>
      <c r="AC38" s="74"/>
      <c r="AD38" s="74"/>
    </row>
    <row r="39" spans="1:31" hidden="1" x14ac:dyDescent="0.2">
      <c r="A39" s="423" t="s">
        <v>619</v>
      </c>
      <c r="B39" s="423"/>
      <c r="C39" s="423"/>
      <c r="D39" s="423"/>
      <c r="E39" s="423"/>
      <c r="F39" s="423"/>
      <c r="G39" s="423"/>
      <c r="H39" s="423"/>
      <c r="I39" s="423"/>
      <c r="J39" s="423"/>
      <c r="K39" s="423"/>
      <c r="L39" s="423"/>
      <c r="M39" s="423"/>
      <c r="N39" s="423"/>
      <c r="O39" s="423"/>
      <c r="P39" s="423"/>
      <c r="Q39" s="423"/>
      <c r="R39" s="423"/>
      <c r="S39" s="423"/>
      <c r="T39" s="423"/>
      <c r="U39" s="423"/>
      <c r="V39" s="423"/>
      <c r="W39" s="423"/>
      <c r="X39" s="423"/>
      <c r="Y39" s="423"/>
      <c r="Z39" s="423"/>
      <c r="AA39" s="423"/>
      <c r="AB39" s="423"/>
      <c r="AC39" s="423"/>
      <c r="AD39" s="423"/>
      <c r="AE39" s="423"/>
    </row>
    <row r="40" spans="1:31" hidden="1" x14ac:dyDescent="0.2">
      <c r="A40" s="424" t="s">
        <v>629</v>
      </c>
      <c r="B40" s="424"/>
      <c r="C40" s="424"/>
      <c r="D40" s="424"/>
      <c r="E40" s="424"/>
      <c r="F40" s="424"/>
      <c r="G40" s="424"/>
      <c r="H40" s="424"/>
      <c r="I40" s="424"/>
      <c r="J40" s="424"/>
      <c r="K40" s="424"/>
      <c r="L40" s="424"/>
      <c r="M40" s="424"/>
      <c r="N40" s="424"/>
      <c r="O40" s="424"/>
      <c r="P40" s="424"/>
      <c r="Q40" s="424"/>
      <c r="R40" s="424"/>
      <c r="S40" s="424"/>
      <c r="T40" s="424"/>
      <c r="U40" s="424"/>
      <c r="V40" s="424"/>
      <c r="W40" s="424"/>
      <c r="X40" s="424"/>
      <c r="Y40" s="424"/>
      <c r="Z40" s="424"/>
      <c r="AA40" s="424"/>
      <c r="AB40" s="424"/>
      <c r="AC40" s="424"/>
      <c r="AD40" s="424"/>
      <c r="AE40" s="424"/>
    </row>
    <row r="41" spans="1:31" hidden="1" x14ac:dyDescent="0.2">
      <c r="A41" s="424" t="s">
        <v>625</v>
      </c>
      <c r="B41" s="424"/>
      <c r="C41" s="424"/>
      <c r="D41" s="424"/>
      <c r="E41" s="424"/>
      <c r="F41" s="424"/>
      <c r="G41" s="424"/>
      <c r="H41" s="424"/>
      <c r="I41" s="424"/>
      <c r="J41" s="424"/>
      <c r="K41" s="424"/>
      <c r="L41" s="424"/>
      <c r="M41" s="424"/>
      <c r="N41" s="424"/>
      <c r="O41" s="424"/>
      <c r="P41" s="424"/>
      <c r="Q41" s="424"/>
      <c r="R41" s="424"/>
      <c r="S41" s="424"/>
      <c r="T41" s="424"/>
      <c r="U41" s="424"/>
      <c r="V41" s="424"/>
      <c r="W41" s="424"/>
      <c r="X41" s="424"/>
      <c r="Y41" s="424"/>
      <c r="Z41" s="424"/>
      <c r="AA41" s="424"/>
      <c r="AB41" s="424"/>
      <c r="AC41" s="424"/>
      <c r="AD41" s="424"/>
      <c r="AE41" s="424"/>
    </row>
    <row r="42" spans="1:31" hidden="1" x14ac:dyDescent="0.2">
      <c r="A42" s="424" t="s">
        <v>626</v>
      </c>
      <c r="B42" s="424"/>
      <c r="C42" s="424"/>
      <c r="D42" s="424"/>
      <c r="E42" s="424"/>
      <c r="F42" s="424"/>
      <c r="G42" s="424"/>
      <c r="H42" s="424"/>
      <c r="I42" s="424"/>
      <c r="J42" s="424"/>
      <c r="K42" s="424"/>
      <c r="L42" s="424"/>
      <c r="M42" s="424"/>
      <c r="N42" s="424"/>
      <c r="O42" s="424"/>
      <c r="P42" s="424"/>
      <c r="Q42" s="424"/>
      <c r="R42" s="424"/>
      <c r="S42" s="424"/>
      <c r="T42" s="424"/>
      <c r="U42" s="424"/>
      <c r="V42" s="424"/>
      <c r="W42" s="424"/>
      <c r="X42" s="424"/>
      <c r="Y42" s="424"/>
      <c r="Z42" s="424"/>
      <c r="AA42" s="424"/>
      <c r="AB42" s="424"/>
      <c r="AC42" s="424"/>
      <c r="AD42" s="424"/>
      <c r="AE42" s="424"/>
    </row>
    <row r="43" spans="1:31" hidden="1" x14ac:dyDescent="0.2">
      <c r="A43" s="432" t="s">
        <v>627</v>
      </c>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c r="AA43" s="432"/>
      <c r="AB43" s="432"/>
      <c r="AC43" s="432"/>
      <c r="AD43" s="432"/>
      <c r="AE43" s="432"/>
    </row>
    <row r="44" spans="1:31" ht="13.5" thickBot="1" x14ac:dyDescent="0.25">
      <c r="K44" s="71"/>
      <c r="L44" s="71"/>
      <c r="M44" s="72"/>
      <c r="N44" s="72"/>
      <c r="O44" s="72"/>
      <c r="P44" s="72"/>
      <c r="Q44" s="72"/>
      <c r="R44" s="73"/>
      <c r="S44" s="73"/>
      <c r="T44" s="74"/>
      <c r="U44" s="74"/>
      <c r="V44" s="74"/>
      <c r="W44" s="74"/>
      <c r="X44" s="74"/>
      <c r="Y44" s="74"/>
      <c r="Z44" s="74"/>
      <c r="AA44" s="74"/>
      <c r="AB44" s="74"/>
      <c r="AC44" s="74"/>
      <c r="AD44" s="74"/>
    </row>
    <row r="45" spans="1:31" ht="13.5" customHeight="1" thickBot="1" x14ac:dyDescent="0.25">
      <c r="A45" s="427" t="s">
        <v>291</v>
      </c>
      <c r="B45" s="428"/>
      <c r="C45" s="428"/>
      <c r="D45" s="428"/>
      <c r="E45" s="428"/>
      <c r="F45" s="428"/>
      <c r="G45" s="451"/>
      <c r="J45" s="427" t="s">
        <v>294</v>
      </c>
      <c r="K45" s="428"/>
      <c r="L45" s="428"/>
      <c r="M45" s="428"/>
      <c r="N45" s="428"/>
      <c r="O45" s="428"/>
      <c r="P45" s="419" t="s">
        <v>314</v>
      </c>
      <c r="Q45" s="419"/>
      <c r="R45" s="426">
        <v>7.5</v>
      </c>
      <c r="S45" s="426"/>
      <c r="T45" s="92"/>
      <c r="U45" s="504" t="s">
        <v>352</v>
      </c>
      <c r="V45" s="505"/>
      <c r="W45" s="506"/>
      <c r="X45" s="501" t="s">
        <v>578</v>
      </c>
      <c r="Y45" s="502"/>
      <c r="Z45" s="502"/>
      <c r="AA45" s="502"/>
      <c r="AB45" s="502"/>
      <c r="AC45" s="502"/>
      <c r="AD45" s="503"/>
    </row>
    <row r="46" spans="1:31" ht="12.75" customHeight="1" thickBot="1" x14ac:dyDescent="0.25">
      <c r="A46" s="427" t="s">
        <v>292</v>
      </c>
      <c r="B46" s="428"/>
      <c r="C46" s="428"/>
      <c r="D46" s="431"/>
      <c r="E46" s="427" t="s">
        <v>290</v>
      </c>
      <c r="F46" s="428"/>
      <c r="G46" s="428"/>
      <c r="H46" s="448" t="s">
        <v>119</v>
      </c>
      <c r="I46" s="58"/>
      <c r="J46" s="427" t="s">
        <v>292</v>
      </c>
      <c r="K46" s="428"/>
      <c r="L46" s="428"/>
      <c r="M46" s="428"/>
      <c r="N46" s="428"/>
      <c r="O46" s="428"/>
      <c r="P46" s="419" t="s">
        <v>304</v>
      </c>
      <c r="Q46" s="419"/>
      <c r="R46" s="425" t="s">
        <v>359</v>
      </c>
      <c r="S46" s="425"/>
      <c r="T46" s="92"/>
      <c r="U46" s="504" t="s">
        <v>353</v>
      </c>
      <c r="V46" s="505"/>
      <c r="W46" s="506"/>
      <c r="X46" s="501" t="s">
        <v>581</v>
      </c>
      <c r="Y46" s="502"/>
      <c r="Z46" s="502"/>
      <c r="AA46" s="502"/>
      <c r="AB46" s="502"/>
      <c r="AC46" s="502"/>
      <c r="AD46" s="503"/>
    </row>
    <row r="47" spans="1:31" ht="12.75" customHeight="1" thickBot="1" x14ac:dyDescent="0.25">
      <c r="A47" s="427" t="s">
        <v>100</v>
      </c>
      <c r="B47" s="431"/>
      <c r="C47" s="66" t="s">
        <v>118</v>
      </c>
      <c r="D47" s="66" t="s">
        <v>238</v>
      </c>
      <c r="E47" s="427" t="s">
        <v>100</v>
      </c>
      <c r="F47" s="431"/>
      <c r="G47" s="67" t="s">
        <v>118</v>
      </c>
      <c r="H47" s="449"/>
      <c r="I47" s="58"/>
      <c r="J47" s="427" t="s">
        <v>293</v>
      </c>
      <c r="K47" s="431"/>
      <c r="L47" s="66" t="s">
        <v>118</v>
      </c>
      <c r="M47" s="427" t="s">
        <v>293</v>
      </c>
      <c r="N47" s="431"/>
      <c r="O47" s="67" t="s">
        <v>118</v>
      </c>
      <c r="P47" s="420" t="s">
        <v>307</v>
      </c>
      <c r="Q47" s="420"/>
      <c r="R47" s="430">
        <v>22940.02</v>
      </c>
      <c r="S47" s="430"/>
      <c r="T47" s="90"/>
      <c r="U47" s="504" t="s">
        <v>354</v>
      </c>
      <c r="V47" s="505"/>
      <c r="W47" s="506"/>
      <c r="X47" s="501" t="s">
        <v>580</v>
      </c>
      <c r="Y47" s="502"/>
      <c r="Z47" s="502"/>
      <c r="AA47" s="502"/>
      <c r="AB47" s="502"/>
      <c r="AC47" s="502"/>
      <c r="AD47" s="503"/>
    </row>
    <row r="48" spans="1:31" ht="12.75" customHeight="1" thickBot="1" x14ac:dyDescent="0.25">
      <c r="A48" s="374" t="s">
        <v>360</v>
      </c>
      <c r="B48" s="375"/>
      <c r="C48" s="175">
        <v>0</v>
      </c>
      <c r="D48" s="176">
        <v>0</v>
      </c>
      <c r="E48" s="376" t="s">
        <v>289</v>
      </c>
      <c r="F48" s="377"/>
      <c r="G48" s="177">
        <v>0.127</v>
      </c>
      <c r="H48" s="449"/>
      <c r="I48" s="78"/>
      <c r="J48" s="374" t="s">
        <v>372</v>
      </c>
      <c r="K48" s="375"/>
      <c r="L48" s="175">
        <v>0</v>
      </c>
      <c r="M48" s="374" t="s">
        <v>382</v>
      </c>
      <c r="N48" s="375"/>
      <c r="O48" s="178">
        <v>7.0000000000000007E-2</v>
      </c>
      <c r="P48" s="421" t="s">
        <v>308</v>
      </c>
      <c r="Q48" s="421"/>
      <c r="R48" s="430">
        <v>40125</v>
      </c>
      <c r="S48" s="430"/>
      <c r="T48" s="90"/>
      <c r="U48" s="504" t="s">
        <v>355</v>
      </c>
      <c r="V48" s="505"/>
      <c r="W48" s="506"/>
      <c r="X48" s="501" t="s">
        <v>579</v>
      </c>
      <c r="Y48" s="502"/>
      <c r="Z48" s="502"/>
      <c r="AA48" s="502"/>
      <c r="AB48" s="502"/>
      <c r="AC48" s="502"/>
      <c r="AD48" s="503"/>
    </row>
    <row r="49" spans="1:30" ht="12.75" customHeight="1" thickBot="1" x14ac:dyDescent="0.25">
      <c r="A49" s="374" t="s">
        <v>361</v>
      </c>
      <c r="B49" s="375"/>
      <c r="C49" s="175">
        <v>0.1144</v>
      </c>
      <c r="D49" s="176">
        <v>1.26E-2</v>
      </c>
      <c r="E49" s="376" t="s">
        <v>103</v>
      </c>
      <c r="F49" s="377"/>
      <c r="G49" s="177">
        <v>0.12740000000000001</v>
      </c>
      <c r="H49" s="449"/>
      <c r="I49" s="78"/>
      <c r="J49" s="374" t="s">
        <v>373</v>
      </c>
      <c r="K49" s="375"/>
      <c r="L49" s="175">
        <v>7.0000000000000007E-2</v>
      </c>
      <c r="M49" s="374" t="s">
        <v>383</v>
      </c>
      <c r="N49" s="375"/>
      <c r="O49" s="178">
        <v>7.0000000000000007E-2</v>
      </c>
      <c r="P49" s="422" t="s">
        <v>309</v>
      </c>
      <c r="Q49" s="422"/>
      <c r="R49" s="430">
        <v>481500</v>
      </c>
      <c r="S49" s="430"/>
      <c r="U49" s="504" t="s">
        <v>358</v>
      </c>
      <c r="V49" s="505"/>
      <c r="W49" s="506"/>
      <c r="X49" s="501" t="s">
        <v>582</v>
      </c>
      <c r="Y49" s="502"/>
      <c r="Z49" s="502"/>
      <c r="AA49" s="502"/>
      <c r="AB49" s="502"/>
      <c r="AC49" s="502"/>
      <c r="AD49" s="503"/>
    </row>
    <row r="50" spans="1:30" ht="12.75" customHeight="1" thickBot="1" x14ac:dyDescent="0.25">
      <c r="A50" s="374" t="s">
        <v>362</v>
      </c>
      <c r="B50" s="375"/>
      <c r="C50" s="175">
        <v>0.1148</v>
      </c>
      <c r="D50" s="176">
        <v>1.26E-2</v>
      </c>
      <c r="E50" s="376" t="s">
        <v>101</v>
      </c>
      <c r="F50" s="377"/>
      <c r="G50" s="177">
        <v>0.12529999999999999</v>
      </c>
      <c r="H50" s="449"/>
      <c r="I50" s="37"/>
      <c r="J50" s="374" t="s">
        <v>374</v>
      </c>
      <c r="K50" s="375"/>
      <c r="L50" s="175">
        <v>7.0000000000000007E-2</v>
      </c>
      <c r="M50" s="374" t="s">
        <v>384</v>
      </c>
      <c r="N50" s="375"/>
      <c r="O50" s="178">
        <v>7.0000000000000007E-2</v>
      </c>
      <c r="P50" s="422" t="s">
        <v>306</v>
      </c>
      <c r="Q50" s="422"/>
      <c r="R50" s="430">
        <v>0</v>
      </c>
      <c r="S50" s="430"/>
      <c r="U50" s="504" t="s">
        <v>356</v>
      </c>
      <c r="V50" s="505"/>
      <c r="W50" s="506"/>
      <c r="X50" s="501" t="s">
        <v>583</v>
      </c>
      <c r="Y50" s="502"/>
      <c r="Z50" s="502"/>
      <c r="AA50" s="502"/>
      <c r="AB50" s="502"/>
      <c r="AC50" s="502"/>
      <c r="AD50" s="503"/>
    </row>
    <row r="51" spans="1:30" ht="12.75" customHeight="1" thickBot="1" x14ac:dyDescent="0.25">
      <c r="A51" s="374" t="s">
        <v>363</v>
      </c>
      <c r="B51" s="375"/>
      <c r="C51" s="175">
        <v>0.11269999999999999</v>
      </c>
      <c r="D51" s="176">
        <v>1.26E-2</v>
      </c>
      <c r="E51" s="376" t="s">
        <v>315</v>
      </c>
      <c r="F51" s="377"/>
      <c r="G51" s="177">
        <v>0.13619999999999999</v>
      </c>
      <c r="H51" s="449"/>
      <c r="I51" s="78"/>
      <c r="J51" s="374" t="s">
        <v>375</v>
      </c>
      <c r="K51" s="375"/>
      <c r="L51" s="175">
        <v>7.0000000000000007E-2</v>
      </c>
      <c r="M51" s="374" t="s">
        <v>385</v>
      </c>
      <c r="N51" s="375"/>
      <c r="O51" s="178">
        <v>7.0000000000000007E-2</v>
      </c>
      <c r="P51" s="421" t="s">
        <v>310</v>
      </c>
      <c r="Q51" s="421"/>
      <c r="R51" s="433">
        <v>1.6</v>
      </c>
      <c r="S51" s="434"/>
      <c r="T51" s="90"/>
    </row>
    <row r="52" spans="1:30" ht="12.75" customHeight="1" thickBot="1" x14ac:dyDescent="0.25">
      <c r="A52" s="374" t="s">
        <v>364</v>
      </c>
      <c r="B52" s="375"/>
      <c r="C52" s="175">
        <v>0.1236</v>
      </c>
      <c r="D52" s="176">
        <v>1.26E-2</v>
      </c>
      <c r="E52" s="376" t="s">
        <v>104</v>
      </c>
      <c r="F52" s="377"/>
      <c r="G52" s="177">
        <v>0.128</v>
      </c>
      <c r="H52" s="449"/>
      <c r="I52" s="78"/>
      <c r="J52" s="374" t="s">
        <v>376</v>
      </c>
      <c r="K52" s="375"/>
      <c r="L52" s="175">
        <v>7.0000000000000007E-2</v>
      </c>
      <c r="M52" s="374" t="s">
        <v>386</v>
      </c>
      <c r="N52" s="375"/>
      <c r="O52" s="178">
        <v>7.0000000000000007E-2</v>
      </c>
      <c r="P52" s="421" t="s">
        <v>312</v>
      </c>
      <c r="Q52" s="421"/>
      <c r="R52" s="433">
        <v>471.6</v>
      </c>
      <c r="S52" s="434"/>
      <c r="T52" s="90"/>
      <c r="X52" s="495" t="s">
        <v>276</v>
      </c>
      <c r="Y52" s="496"/>
      <c r="Z52" s="496"/>
      <c r="AA52" s="496"/>
      <c r="AB52" s="496"/>
      <c r="AC52" s="496"/>
      <c r="AD52" s="496"/>
    </row>
    <row r="53" spans="1:30" ht="12.75" customHeight="1" thickBot="1" x14ac:dyDescent="0.25">
      <c r="A53" s="374" t="s">
        <v>365</v>
      </c>
      <c r="B53" s="375"/>
      <c r="C53" s="175">
        <v>0.1154</v>
      </c>
      <c r="D53" s="176">
        <v>1.26E-2</v>
      </c>
      <c r="E53" s="376" t="s">
        <v>316</v>
      </c>
      <c r="F53" s="377"/>
      <c r="G53" s="177">
        <v>0.1203</v>
      </c>
      <c r="H53" s="449"/>
      <c r="I53" s="78"/>
      <c r="J53" s="374" t="s">
        <v>377</v>
      </c>
      <c r="K53" s="375"/>
      <c r="L53" s="175">
        <v>7.0000000000000007E-2</v>
      </c>
      <c r="M53" s="374" t="s">
        <v>387</v>
      </c>
      <c r="N53" s="375"/>
      <c r="O53" s="178">
        <v>7.0000000000000007E-2</v>
      </c>
      <c r="P53" s="435" t="s">
        <v>317</v>
      </c>
      <c r="Q53" s="436"/>
      <c r="R53" s="436"/>
      <c r="S53" s="437"/>
      <c r="T53" s="90"/>
      <c r="X53" s="497"/>
      <c r="Y53" s="498"/>
      <c r="Z53" s="498"/>
      <c r="AA53" s="498"/>
      <c r="AB53" s="498"/>
      <c r="AC53" s="498"/>
      <c r="AD53" s="498"/>
    </row>
    <row r="54" spans="1:30" ht="12.75" customHeight="1" thickBot="1" x14ac:dyDescent="0.25">
      <c r="A54" s="374" t="s">
        <v>366</v>
      </c>
      <c r="B54" s="375"/>
      <c r="C54" s="175">
        <v>0.1077</v>
      </c>
      <c r="D54" s="176">
        <v>1.26E-2</v>
      </c>
      <c r="E54" s="376" t="s">
        <v>102</v>
      </c>
      <c r="F54" s="377"/>
      <c r="G54" s="177">
        <v>0.1</v>
      </c>
      <c r="H54" s="449"/>
      <c r="I54" s="78"/>
      <c r="J54" s="374" t="s">
        <v>378</v>
      </c>
      <c r="K54" s="375"/>
      <c r="L54" s="175">
        <v>7.0000000000000007E-2</v>
      </c>
      <c r="M54" s="374" t="s">
        <v>388</v>
      </c>
      <c r="N54" s="375"/>
      <c r="O54" s="178">
        <v>7.0000000000000007E-2</v>
      </c>
      <c r="P54" s="438"/>
      <c r="Q54" s="439"/>
      <c r="R54" s="439"/>
      <c r="S54" s="440"/>
      <c r="T54" s="90"/>
      <c r="X54" s="497"/>
      <c r="Y54" s="498"/>
      <c r="Z54" s="498"/>
      <c r="AA54" s="498"/>
      <c r="AB54" s="498"/>
      <c r="AC54" s="498"/>
      <c r="AD54" s="498"/>
    </row>
    <row r="55" spans="1:30" ht="12.75" customHeight="1" thickBot="1" x14ac:dyDescent="0.25">
      <c r="A55" s="374" t="s">
        <v>367</v>
      </c>
      <c r="B55" s="375"/>
      <c r="C55" s="175">
        <v>0.1</v>
      </c>
      <c r="D55" s="176">
        <v>1.26E-2</v>
      </c>
      <c r="E55" s="376" t="s">
        <v>288</v>
      </c>
      <c r="F55" s="377"/>
      <c r="G55" s="177">
        <v>0.1</v>
      </c>
      <c r="H55" s="449"/>
      <c r="I55" s="78"/>
      <c r="J55" s="374" t="s">
        <v>379</v>
      </c>
      <c r="K55" s="375"/>
      <c r="L55" s="175">
        <v>7.0000000000000007E-2</v>
      </c>
      <c r="M55" s="374" t="s">
        <v>389</v>
      </c>
      <c r="N55" s="375"/>
      <c r="O55" s="178">
        <v>7.0000000000000007E-2</v>
      </c>
      <c r="P55" s="438"/>
      <c r="Q55" s="439"/>
      <c r="R55" s="439"/>
      <c r="S55" s="440"/>
      <c r="T55" s="90"/>
      <c r="X55" s="499"/>
      <c r="Y55" s="500"/>
      <c r="Z55" s="500"/>
      <c r="AA55" s="500"/>
      <c r="AB55" s="500"/>
      <c r="AC55" s="500"/>
      <c r="AD55" s="500"/>
    </row>
    <row r="56" spans="1:30" ht="12.75" customHeight="1" thickBot="1" x14ac:dyDescent="0.25">
      <c r="A56" s="374" t="s">
        <v>368</v>
      </c>
      <c r="B56" s="375"/>
      <c r="C56" s="175">
        <v>0.1</v>
      </c>
      <c r="D56" s="176">
        <v>1.26E-2</v>
      </c>
      <c r="E56" s="376" t="s">
        <v>288</v>
      </c>
      <c r="F56" s="377"/>
      <c r="G56" s="177">
        <v>0.1</v>
      </c>
      <c r="H56" s="449"/>
      <c r="I56" s="78"/>
      <c r="J56" s="374" t="s">
        <v>380</v>
      </c>
      <c r="K56" s="375"/>
      <c r="L56" s="175">
        <v>7.0000000000000007E-2</v>
      </c>
      <c r="M56" s="374" t="s">
        <v>390</v>
      </c>
      <c r="N56" s="375"/>
      <c r="O56" s="178">
        <v>7.0000000000000007E-2</v>
      </c>
      <c r="P56" s="438"/>
      <c r="Q56" s="439"/>
      <c r="R56" s="439"/>
      <c r="S56" s="440"/>
      <c r="T56" s="90"/>
    </row>
    <row r="57" spans="1:30" ht="12.75" customHeight="1" thickBot="1" x14ac:dyDescent="0.25">
      <c r="A57" s="374" t="s">
        <v>369</v>
      </c>
      <c r="B57" s="375"/>
      <c r="C57" s="175">
        <v>0.1</v>
      </c>
      <c r="D57" s="176">
        <v>1.26E-2</v>
      </c>
      <c r="E57" s="376" t="s">
        <v>288</v>
      </c>
      <c r="F57" s="377"/>
      <c r="G57" s="177">
        <v>0</v>
      </c>
      <c r="H57" s="450"/>
      <c r="I57" s="78"/>
      <c r="J57" s="374" t="s">
        <v>381</v>
      </c>
      <c r="K57" s="375"/>
      <c r="L57" s="175">
        <v>7.0000000000000007E-2</v>
      </c>
      <c r="M57" s="374" t="s">
        <v>391</v>
      </c>
      <c r="N57" s="375"/>
      <c r="O57" s="178">
        <v>7.0000000000000007E-2</v>
      </c>
      <c r="P57" s="441"/>
      <c r="Q57" s="442"/>
      <c r="R57" s="442"/>
      <c r="S57" s="443"/>
      <c r="T57" s="90"/>
    </row>
    <row r="58" spans="1:30" ht="12.75" customHeight="1" thickBot="1" x14ac:dyDescent="0.25">
      <c r="A58" s="32"/>
      <c r="B58" s="37"/>
      <c r="C58" s="37"/>
      <c r="D58" s="37"/>
      <c r="E58" s="37"/>
      <c r="F58" s="37"/>
      <c r="G58" s="37"/>
      <c r="H58" s="39"/>
      <c r="I58" s="37"/>
      <c r="J58" s="37"/>
      <c r="K58" s="37"/>
      <c r="L58" s="37"/>
      <c r="M58" s="37"/>
      <c r="N58" s="37"/>
      <c r="O58" s="37"/>
      <c r="P58" s="32"/>
      <c r="Q58" s="37"/>
      <c r="R58" s="37"/>
    </row>
    <row r="59" spans="1:30" ht="12.75" customHeight="1" thickBot="1" x14ac:dyDescent="0.25">
      <c r="A59" s="65" t="s">
        <v>109</v>
      </c>
      <c r="B59" s="355" t="s">
        <v>110</v>
      </c>
      <c r="C59" s="356"/>
      <c r="D59" s="447"/>
      <c r="E59" s="355" t="s">
        <v>431</v>
      </c>
      <c r="F59" s="356"/>
      <c r="G59" s="200" t="s">
        <v>432</v>
      </c>
      <c r="H59" s="448" t="s">
        <v>105</v>
      </c>
      <c r="I59" s="37"/>
      <c r="J59" s="464" t="s">
        <v>224</v>
      </c>
      <c r="K59" s="467" t="s">
        <v>295</v>
      </c>
      <c r="L59" s="468"/>
      <c r="M59" s="468"/>
      <c r="N59" s="468"/>
      <c r="O59" s="458">
        <v>4.75</v>
      </c>
      <c r="P59" s="459"/>
      <c r="Q59" s="362">
        <v>193000</v>
      </c>
      <c r="R59" s="363"/>
      <c r="S59" s="83">
        <v>1</v>
      </c>
      <c r="T59" s="81"/>
      <c r="X59" s="495" t="s">
        <v>283</v>
      </c>
      <c r="Y59" s="496"/>
      <c r="Z59" s="496"/>
      <c r="AA59" s="496"/>
      <c r="AB59" s="496"/>
      <c r="AC59" s="496"/>
      <c r="AD59" s="496"/>
    </row>
    <row r="60" spans="1:30" ht="12.75" customHeight="1" thickBot="1" x14ac:dyDescent="0.25">
      <c r="A60" s="79" t="s">
        <v>26</v>
      </c>
      <c r="B60" s="357">
        <v>7744</v>
      </c>
      <c r="C60" s="358"/>
      <c r="D60" s="359"/>
      <c r="E60" s="452">
        <v>0</v>
      </c>
      <c r="F60" s="373"/>
      <c r="G60" s="294">
        <v>202516</v>
      </c>
      <c r="H60" s="449"/>
      <c r="I60" s="37"/>
      <c r="J60" s="465"/>
      <c r="K60" s="467" t="s">
        <v>98</v>
      </c>
      <c r="L60" s="468"/>
      <c r="M60" s="468"/>
      <c r="N60" s="468"/>
      <c r="O60" s="460"/>
      <c r="P60" s="461"/>
      <c r="Q60" s="362">
        <v>144079</v>
      </c>
      <c r="R60" s="363"/>
      <c r="S60" s="83">
        <v>2</v>
      </c>
      <c r="T60" s="81"/>
      <c r="X60" s="497"/>
      <c r="Y60" s="498"/>
      <c r="Z60" s="498"/>
      <c r="AA60" s="498"/>
      <c r="AB60" s="498"/>
      <c r="AC60" s="498"/>
      <c r="AD60" s="498"/>
    </row>
    <row r="61" spans="1:30" ht="12.75" customHeight="1" thickBot="1" x14ac:dyDescent="0.25">
      <c r="A61" s="79" t="s">
        <v>96</v>
      </c>
      <c r="B61" s="357">
        <v>5221</v>
      </c>
      <c r="C61" s="358"/>
      <c r="D61" s="359"/>
      <c r="E61" s="372">
        <f>G60</f>
        <v>202516</v>
      </c>
      <c r="F61" s="373"/>
      <c r="G61" s="294">
        <v>317407</v>
      </c>
      <c r="H61" s="449"/>
      <c r="I61" s="37"/>
      <c r="J61" s="465"/>
      <c r="K61" s="467" t="s">
        <v>99</v>
      </c>
      <c r="L61" s="468"/>
      <c r="M61" s="468"/>
      <c r="N61" s="468"/>
      <c r="O61" s="462"/>
      <c r="P61" s="463"/>
      <c r="Q61" s="362">
        <v>193000</v>
      </c>
      <c r="R61" s="363"/>
      <c r="S61" s="83">
        <v>3</v>
      </c>
      <c r="T61" s="81"/>
      <c r="X61" s="497"/>
      <c r="Y61" s="498"/>
      <c r="Z61" s="498"/>
      <c r="AA61" s="498"/>
      <c r="AB61" s="498"/>
      <c r="AC61" s="498"/>
      <c r="AD61" s="498"/>
    </row>
    <row r="62" spans="1:30" ht="12.75" customHeight="1" thickBot="1" x14ac:dyDescent="0.25">
      <c r="A62" s="79" t="s">
        <v>97</v>
      </c>
      <c r="B62" s="357">
        <v>1650</v>
      </c>
      <c r="C62" s="358"/>
      <c r="D62" s="359"/>
      <c r="E62" s="353">
        <f>G61</f>
        <v>317407</v>
      </c>
      <c r="F62" s="354"/>
      <c r="G62" s="294">
        <v>495047</v>
      </c>
      <c r="H62" s="449"/>
      <c r="I62" s="37"/>
      <c r="J62" s="466"/>
      <c r="K62" s="469" t="s">
        <v>305</v>
      </c>
      <c r="L62" s="469"/>
      <c r="M62" s="469"/>
      <c r="N62" s="469"/>
      <c r="O62" s="469"/>
      <c r="P62" s="469"/>
      <c r="Q62" s="469"/>
      <c r="R62" s="469"/>
      <c r="S62" s="470"/>
      <c r="T62" s="93"/>
      <c r="X62" s="499"/>
      <c r="Y62" s="500"/>
      <c r="Z62" s="500"/>
      <c r="AA62" s="500"/>
      <c r="AB62" s="500"/>
      <c r="AC62" s="500"/>
      <c r="AD62" s="500"/>
    </row>
    <row r="63" spans="1:30" ht="12.75" customHeight="1" thickBot="1" x14ac:dyDescent="0.25">
      <c r="A63" s="79" t="s">
        <v>34</v>
      </c>
      <c r="B63" s="357">
        <v>0</v>
      </c>
      <c r="C63" s="358"/>
      <c r="D63" s="359"/>
      <c r="E63" s="353">
        <f>G62</f>
        <v>495047</v>
      </c>
      <c r="F63" s="354"/>
      <c r="G63" s="295" t="s">
        <v>433</v>
      </c>
      <c r="H63" s="450"/>
      <c r="I63" s="37"/>
    </row>
    <row r="64" spans="1:30" ht="12.75" customHeight="1" thickBot="1" x14ac:dyDescent="0.25">
      <c r="A64" s="32"/>
      <c r="B64" s="37"/>
      <c r="C64" s="37"/>
      <c r="D64" s="37"/>
      <c r="E64" s="37"/>
      <c r="F64" s="37"/>
      <c r="G64" s="37"/>
      <c r="H64" s="39"/>
      <c r="I64" s="37"/>
      <c r="J64" s="479" t="s">
        <v>225</v>
      </c>
      <c r="K64" s="471" t="s">
        <v>117</v>
      </c>
      <c r="L64" s="471"/>
      <c r="M64" s="472"/>
      <c r="N64" s="475" t="s">
        <v>112</v>
      </c>
      <c r="O64" s="476"/>
      <c r="P64" s="476"/>
      <c r="Q64" s="477"/>
      <c r="R64" s="80"/>
      <c r="T64" s="493" t="s">
        <v>301</v>
      </c>
      <c r="U64" s="493"/>
      <c r="V64" s="493"/>
      <c r="W64" s="493"/>
      <c r="X64" s="493"/>
      <c r="Y64" s="493"/>
      <c r="Z64" s="493"/>
      <c r="AA64" s="493"/>
      <c r="AB64" s="493"/>
      <c r="AC64" s="493"/>
      <c r="AD64" s="493"/>
    </row>
    <row r="65" spans="1:30" ht="12.75" customHeight="1" thickBot="1" x14ac:dyDescent="0.25">
      <c r="A65" s="360" t="s">
        <v>106</v>
      </c>
      <c r="B65" s="361"/>
      <c r="C65" s="361"/>
      <c r="D65" s="179">
        <v>50</v>
      </c>
      <c r="E65" s="362">
        <f>R47*D65</f>
        <v>1147001</v>
      </c>
      <c r="F65" s="363"/>
      <c r="G65" s="363"/>
      <c r="H65" s="364" t="s">
        <v>122</v>
      </c>
      <c r="I65" s="37"/>
      <c r="J65" s="480"/>
      <c r="K65" s="473"/>
      <c r="L65" s="473"/>
      <c r="M65" s="474"/>
      <c r="N65" s="478" t="s">
        <v>113</v>
      </c>
      <c r="O65" s="478"/>
      <c r="P65" s="475" t="s">
        <v>114</v>
      </c>
      <c r="Q65" s="477"/>
      <c r="R65" s="80"/>
      <c r="T65" s="494" t="s">
        <v>80</v>
      </c>
      <c r="U65" s="490"/>
      <c r="V65" s="489" t="s">
        <v>279</v>
      </c>
      <c r="W65" s="490"/>
      <c r="X65" s="489" t="s">
        <v>130</v>
      </c>
      <c r="Y65" s="490"/>
      <c r="Z65" s="489" t="s">
        <v>280</v>
      </c>
      <c r="AA65" s="490"/>
      <c r="AB65" s="88" t="s">
        <v>281</v>
      </c>
      <c r="AC65" s="489" t="s">
        <v>300</v>
      </c>
      <c r="AD65" s="494"/>
    </row>
    <row r="66" spans="1:30" ht="12.75" customHeight="1" thickTop="1" thickBot="1" x14ac:dyDescent="0.25">
      <c r="A66" s="360" t="s">
        <v>107</v>
      </c>
      <c r="B66" s="361"/>
      <c r="C66" s="361"/>
      <c r="D66" s="179">
        <v>600</v>
      </c>
      <c r="E66" s="362">
        <f>R47*D66</f>
        <v>13764012</v>
      </c>
      <c r="F66" s="363"/>
      <c r="G66" s="363"/>
      <c r="H66" s="365"/>
      <c r="I66" s="37"/>
      <c r="J66" s="480"/>
      <c r="K66" s="361" t="s">
        <v>296</v>
      </c>
      <c r="L66" s="361"/>
      <c r="M66" s="181">
        <v>0.04</v>
      </c>
      <c r="N66" s="182">
        <v>0.02</v>
      </c>
      <c r="O66" s="82" t="s">
        <v>298</v>
      </c>
      <c r="P66" s="182">
        <v>0.02</v>
      </c>
      <c r="Q66" s="82" t="s">
        <v>298</v>
      </c>
      <c r="R66" s="85"/>
      <c r="T66" s="487">
        <v>200000</v>
      </c>
      <c r="U66" s="488"/>
      <c r="V66" s="486">
        <v>50000</v>
      </c>
      <c r="W66" s="488"/>
      <c r="X66" s="486">
        <v>0</v>
      </c>
      <c r="Y66" s="488"/>
      <c r="Z66" s="486">
        <v>50000</v>
      </c>
      <c r="AA66" s="488"/>
      <c r="AB66" s="184">
        <v>50000</v>
      </c>
      <c r="AC66" s="486">
        <v>300000</v>
      </c>
      <c r="AD66" s="487"/>
    </row>
    <row r="67" spans="1:30" ht="12.75" customHeight="1" thickTop="1" thickBot="1" x14ac:dyDescent="0.25">
      <c r="A67" s="367" t="s">
        <v>121</v>
      </c>
      <c r="B67" s="367"/>
      <c r="C67" s="367"/>
      <c r="D67" s="367"/>
      <c r="E67" s="367"/>
      <c r="F67" s="367"/>
      <c r="G67" s="367"/>
      <c r="H67" s="365"/>
      <c r="I67" s="37"/>
      <c r="J67" s="481"/>
      <c r="K67" s="361" t="s">
        <v>297</v>
      </c>
      <c r="L67" s="361"/>
      <c r="M67" s="181">
        <v>0.02</v>
      </c>
      <c r="N67" s="182">
        <v>0.01</v>
      </c>
      <c r="O67" s="82" t="s">
        <v>298</v>
      </c>
      <c r="P67" s="182">
        <v>0.01</v>
      </c>
      <c r="Q67" s="84" t="s">
        <v>298</v>
      </c>
      <c r="R67" s="91"/>
      <c r="T67" s="507">
        <v>200000</v>
      </c>
      <c r="U67" s="483"/>
      <c r="V67" s="482">
        <v>50000</v>
      </c>
      <c r="W67" s="483"/>
      <c r="X67" s="482">
        <v>0</v>
      </c>
      <c r="Y67" s="483"/>
      <c r="Z67" s="482">
        <v>74000</v>
      </c>
      <c r="AA67" s="483"/>
      <c r="AB67" s="185">
        <v>74000</v>
      </c>
      <c r="AC67" s="486">
        <v>350000</v>
      </c>
      <c r="AD67" s="487"/>
    </row>
    <row r="68" spans="1:30" ht="12.75" customHeight="1" thickTop="1" thickBot="1" x14ac:dyDescent="0.25">
      <c r="A68" s="370" t="s">
        <v>108</v>
      </c>
      <c r="B68" s="371"/>
      <c r="C68" s="371"/>
      <c r="D68" s="180">
        <v>900</v>
      </c>
      <c r="E68" s="368">
        <f>R47*D68</f>
        <v>20646018</v>
      </c>
      <c r="F68" s="369"/>
      <c r="G68" s="369"/>
      <c r="H68" s="366"/>
      <c r="I68" s="37"/>
      <c r="R68" s="37"/>
      <c r="T68" s="507">
        <v>250000</v>
      </c>
      <c r="U68" s="483"/>
      <c r="V68" s="482">
        <v>62500</v>
      </c>
      <c r="W68" s="483"/>
      <c r="X68" s="482">
        <v>0</v>
      </c>
      <c r="Y68" s="483"/>
      <c r="Z68" s="482">
        <v>74000</v>
      </c>
      <c r="AA68" s="483"/>
      <c r="AB68" s="185">
        <v>74000</v>
      </c>
      <c r="AC68" s="486">
        <v>400000</v>
      </c>
      <c r="AD68" s="487"/>
    </row>
    <row r="69" spans="1:30" ht="12.75" customHeight="1" thickTop="1" thickBot="1" x14ac:dyDescent="0.25">
      <c r="J69" s="350" t="s">
        <v>120</v>
      </c>
      <c r="K69" s="361" t="s">
        <v>302</v>
      </c>
      <c r="L69" s="361"/>
      <c r="M69" s="361"/>
      <c r="N69" s="183">
        <v>70.3</v>
      </c>
      <c r="O69" s="510">
        <f>R47*N69</f>
        <v>1612683.406</v>
      </c>
      <c r="P69" s="511"/>
      <c r="Q69" s="512"/>
      <c r="R69" s="37"/>
      <c r="T69" s="507">
        <v>300000</v>
      </c>
      <c r="U69" s="483"/>
      <c r="V69" s="482">
        <v>75000</v>
      </c>
      <c r="W69" s="483"/>
      <c r="X69" s="482">
        <v>0</v>
      </c>
      <c r="Y69" s="483"/>
      <c r="Z69" s="482">
        <v>74000</v>
      </c>
      <c r="AA69" s="483"/>
      <c r="AB69" s="185">
        <v>74000</v>
      </c>
      <c r="AC69" s="486">
        <v>450000</v>
      </c>
      <c r="AD69" s="487"/>
    </row>
    <row r="70" spans="1:30" ht="13.5" customHeight="1" thickTop="1" thickBot="1" x14ac:dyDescent="0.25">
      <c r="A70" s="464" t="s">
        <v>223</v>
      </c>
      <c r="B70" s="550" t="s">
        <v>111</v>
      </c>
      <c r="C70" s="550"/>
      <c r="D70" s="551"/>
      <c r="E70" s="554" t="s">
        <v>112</v>
      </c>
      <c r="F70" s="554"/>
      <c r="G70" s="554"/>
      <c r="H70" s="554"/>
      <c r="J70" s="351"/>
      <c r="K70" s="361" t="s">
        <v>303</v>
      </c>
      <c r="L70" s="361"/>
      <c r="M70" s="361"/>
      <c r="N70" s="183">
        <v>60</v>
      </c>
      <c r="O70" s="510">
        <f>R47*N70</f>
        <v>1376401.2</v>
      </c>
      <c r="P70" s="511"/>
      <c r="Q70" s="512"/>
      <c r="T70" s="508">
        <v>300000</v>
      </c>
      <c r="U70" s="492"/>
      <c r="V70" s="491">
        <v>75000</v>
      </c>
      <c r="W70" s="492"/>
      <c r="X70" s="491">
        <v>60000</v>
      </c>
      <c r="Y70" s="492"/>
      <c r="Z70" s="491">
        <v>74000</v>
      </c>
      <c r="AA70" s="492"/>
      <c r="AB70" s="186">
        <v>74000</v>
      </c>
      <c r="AC70" s="486">
        <v>500000</v>
      </c>
      <c r="AD70" s="487"/>
    </row>
    <row r="71" spans="1:30" ht="13.5" customHeight="1" thickTop="1" thickBot="1" x14ac:dyDescent="0.25">
      <c r="A71" s="465"/>
      <c r="B71" s="552"/>
      <c r="C71" s="552"/>
      <c r="D71" s="553"/>
      <c r="E71" s="555" t="s">
        <v>113</v>
      </c>
      <c r="F71" s="555"/>
      <c r="G71" s="555" t="s">
        <v>114</v>
      </c>
      <c r="H71" s="555"/>
      <c r="J71" s="351"/>
      <c r="K71" s="361" t="s">
        <v>223</v>
      </c>
      <c r="L71" s="361"/>
      <c r="M71" s="361"/>
      <c r="N71" s="183">
        <v>105.4</v>
      </c>
      <c r="O71" s="510">
        <f>R47*N71</f>
        <v>2417878.108</v>
      </c>
      <c r="P71" s="511"/>
      <c r="Q71" s="512"/>
      <c r="T71" s="509">
        <v>400000</v>
      </c>
      <c r="U71" s="485"/>
      <c r="V71" s="484">
        <v>76396</v>
      </c>
      <c r="W71" s="485"/>
      <c r="X71" s="484">
        <v>80000</v>
      </c>
      <c r="Y71" s="485"/>
      <c r="Z71" s="484">
        <v>74000</v>
      </c>
      <c r="AA71" s="485"/>
      <c r="AB71" s="186">
        <v>74000</v>
      </c>
      <c r="AC71" s="486">
        <v>550000</v>
      </c>
      <c r="AD71" s="487"/>
    </row>
    <row r="72" spans="1:30" ht="13.5" customHeight="1" thickTop="1" thickBot="1" x14ac:dyDescent="0.25">
      <c r="A72" s="465"/>
      <c r="B72" s="356" t="s">
        <v>115</v>
      </c>
      <c r="C72" s="356"/>
      <c r="D72" s="447"/>
      <c r="E72" s="177">
        <v>2.4E-2</v>
      </c>
      <c r="F72" s="77" t="s">
        <v>298</v>
      </c>
      <c r="G72" s="177">
        <v>6.0000000000000001E-3</v>
      </c>
      <c r="H72" s="87" t="s">
        <v>298</v>
      </c>
      <c r="J72" s="351"/>
      <c r="K72" s="361" t="s">
        <v>313</v>
      </c>
      <c r="L72" s="361"/>
      <c r="M72" s="361"/>
      <c r="N72" s="467"/>
      <c r="O72" s="558">
        <f>N69*7%</f>
        <v>4.9210000000000003</v>
      </c>
      <c r="P72" s="559"/>
      <c r="Q72" s="560"/>
      <c r="T72" s="509">
        <v>400000</v>
      </c>
      <c r="U72" s="485"/>
      <c r="V72" s="484">
        <v>76396</v>
      </c>
      <c r="W72" s="485"/>
      <c r="X72" s="484">
        <v>80000</v>
      </c>
      <c r="Y72" s="485"/>
      <c r="Z72" s="484">
        <v>74000</v>
      </c>
      <c r="AA72" s="485"/>
      <c r="AB72" s="186">
        <v>74000</v>
      </c>
      <c r="AC72" s="486">
        <v>600000</v>
      </c>
      <c r="AD72" s="487"/>
    </row>
    <row r="73" spans="1:30" ht="14.25" thickTop="1" thickBot="1" x14ac:dyDescent="0.25">
      <c r="A73" s="466"/>
      <c r="B73" s="356" t="s">
        <v>116</v>
      </c>
      <c r="C73" s="356"/>
      <c r="D73" s="447"/>
      <c r="E73" s="177">
        <v>0.03</v>
      </c>
      <c r="F73" s="76" t="s">
        <v>299</v>
      </c>
      <c r="G73" s="177">
        <v>0</v>
      </c>
      <c r="H73" s="87" t="s">
        <v>298</v>
      </c>
      <c r="J73" s="352"/>
      <c r="K73" s="573" t="s">
        <v>311</v>
      </c>
      <c r="L73" s="573"/>
      <c r="M73" s="573"/>
      <c r="N73" s="573"/>
      <c r="O73" s="573"/>
      <c r="P73" s="573"/>
      <c r="Q73" s="574"/>
      <c r="T73" s="509">
        <v>400000</v>
      </c>
      <c r="U73" s="485"/>
      <c r="V73" s="484">
        <v>76396</v>
      </c>
      <c r="W73" s="485"/>
      <c r="X73" s="484">
        <v>80000</v>
      </c>
      <c r="Y73" s="485"/>
      <c r="Z73" s="484">
        <v>74000</v>
      </c>
      <c r="AA73" s="485"/>
      <c r="AB73" s="186">
        <v>74000</v>
      </c>
      <c r="AC73" s="486">
        <v>650000</v>
      </c>
      <c r="AD73" s="487"/>
    </row>
    <row r="74" spans="1:30" ht="13.5" thickBot="1" x14ac:dyDescent="0.25">
      <c r="J74" s="86"/>
      <c r="K74" s="575" t="s">
        <v>644</v>
      </c>
      <c r="L74" s="575"/>
      <c r="M74" s="575"/>
      <c r="N74" s="575"/>
      <c r="O74" s="575"/>
      <c r="P74" s="575" t="s">
        <v>645</v>
      </c>
      <c r="Q74" s="575"/>
      <c r="U74" s="75"/>
      <c r="V74" s="75"/>
    </row>
    <row r="75" spans="1:30" x14ac:dyDescent="0.2">
      <c r="A75" s="70"/>
      <c r="B75" s="70"/>
      <c r="C75" s="70"/>
      <c r="F75" s="68"/>
      <c r="G75" s="68"/>
      <c r="H75" s="68"/>
    </row>
    <row r="76" spans="1:30" ht="13.5" thickBot="1" x14ac:dyDescent="0.25">
      <c r="D76" s="68"/>
      <c r="E76" s="68"/>
      <c r="F76" s="68"/>
      <c r="G76" s="68"/>
      <c r="H76" s="68"/>
    </row>
    <row r="77" spans="1:30" x14ac:dyDescent="0.2">
      <c r="D77" s="68"/>
      <c r="E77" s="68"/>
      <c r="F77" s="68"/>
      <c r="G77" s="68"/>
      <c r="H77" s="68"/>
      <c r="U77" s="564" t="s">
        <v>540</v>
      </c>
      <c r="V77" s="565"/>
      <c r="W77" s="565"/>
      <c r="X77" s="565"/>
      <c r="Y77" s="565"/>
      <c r="Z77" s="565"/>
      <c r="AA77" s="565"/>
      <c r="AB77" s="565"/>
      <c r="AC77" s="565"/>
      <c r="AD77" s="566"/>
    </row>
    <row r="78" spans="1:30" x14ac:dyDescent="0.2">
      <c r="D78" s="68"/>
      <c r="E78" s="68"/>
      <c r="F78" s="68"/>
      <c r="G78" s="68"/>
      <c r="H78" s="68"/>
      <c r="U78" s="567"/>
      <c r="V78" s="568"/>
      <c r="W78" s="568"/>
      <c r="X78" s="568"/>
      <c r="Y78" s="568"/>
      <c r="Z78" s="568"/>
      <c r="AA78" s="568"/>
      <c r="AB78" s="568"/>
      <c r="AC78" s="568"/>
      <c r="AD78" s="569"/>
    </row>
    <row r="79" spans="1:30" ht="13.5" thickBot="1" x14ac:dyDescent="0.25">
      <c r="A79" s="173"/>
      <c r="B79" s="173"/>
      <c r="C79" s="173"/>
      <c r="D79" s="173"/>
      <c r="E79" s="173"/>
      <c r="F79" s="173"/>
      <c r="G79" s="173"/>
      <c r="H79" s="68"/>
      <c r="U79" s="570"/>
      <c r="V79" s="571"/>
      <c r="W79" s="571"/>
      <c r="X79" s="571"/>
      <c r="Y79" s="571"/>
      <c r="Z79" s="571"/>
      <c r="AA79" s="571"/>
      <c r="AB79" s="571"/>
      <c r="AC79" s="571"/>
      <c r="AD79" s="572"/>
    </row>
    <row r="80" spans="1:30" ht="13.5" thickBot="1" x14ac:dyDescent="0.25">
      <c r="D80" s="68"/>
      <c r="E80" s="68"/>
      <c r="F80" s="68"/>
      <c r="G80" s="68"/>
      <c r="H80" s="68"/>
    </row>
    <row r="81" spans="1:30" ht="13.5" thickBot="1" x14ac:dyDescent="0.25">
      <c r="A81" s="514" t="s">
        <v>502</v>
      </c>
      <c r="B81" s="515"/>
      <c r="C81" s="515"/>
      <c r="D81" s="515"/>
      <c r="E81" s="515"/>
      <c r="F81" s="515"/>
      <c r="G81" s="515"/>
      <c r="H81" s="515"/>
      <c r="I81" s="516"/>
      <c r="K81" s="523" t="s">
        <v>402</v>
      </c>
      <c r="L81" s="524"/>
      <c r="M81" s="525"/>
      <c r="N81" s="561" t="s">
        <v>537</v>
      </c>
      <c r="O81" s="562"/>
      <c r="P81" s="562"/>
      <c r="Q81" s="562"/>
      <c r="R81" s="562"/>
      <c r="S81" s="563"/>
      <c r="U81" s="529" t="s">
        <v>541</v>
      </c>
      <c r="V81" s="530"/>
      <c r="W81" s="530"/>
      <c r="X81" s="530"/>
      <c r="Y81" s="530"/>
      <c r="Z81" s="530"/>
      <c r="AA81" s="530"/>
      <c r="AB81" s="530"/>
      <c r="AC81" s="530"/>
      <c r="AD81" s="531"/>
    </row>
    <row r="82" spans="1:30" ht="13.5" thickBot="1" x14ac:dyDescent="0.25">
      <c r="A82" s="517"/>
      <c r="B82" s="518"/>
      <c r="C82" s="518"/>
      <c r="D82" s="518"/>
      <c r="E82" s="518"/>
      <c r="F82" s="518"/>
      <c r="G82" s="518"/>
      <c r="H82" s="518"/>
      <c r="I82" s="519"/>
      <c r="K82" s="576" t="s">
        <v>403</v>
      </c>
      <c r="L82" s="577"/>
      <c r="M82" s="578"/>
      <c r="N82" s="547" t="s">
        <v>637</v>
      </c>
      <c r="O82" s="548"/>
      <c r="P82" s="548"/>
      <c r="Q82" s="548"/>
      <c r="R82" s="548"/>
      <c r="S82" s="549"/>
      <c r="U82" s="532"/>
      <c r="V82" s="533"/>
      <c r="W82" s="533"/>
      <c r="X82" s="533"/>
      <c r="Y82" s="533"/>
      <c r="Z82" s="533"/>
      <c r="AA82" s="533"/>
      <c r="AB82" s="533"/>
      <c r="AC82" s="533"/>
      <c r="AD82" s="534"/>
    </row>
    <row r="83" spans="1:30" ht="13.5" customHeight="1" thickBot="1" x14ac:dyDescent="0.25">
      <c r="A83" s="517"/>
      <c r="B83" s="518"/>
      <c r="C83" s="518"/>
      <c r="D83" s="518"/>
      <c r="E83" s="518"/>
      <c r="F83" s="518"/>
      <c r="G83" s="518"/>
      <c r="H83" s="518"/>
      <c r="I83" s="519"/>
      <c r="K83" s="576" t="s">
        <v>404</v>
      </c>
      <c r="L83" s="577"/>
      <c r="M83" s="578"/>
      <c r="N83" s="544">
        <v>41397</v>
      </c>
      <c r="O83" s="545"/>
      <c r="P83" s="545"/>
      <c r="Q83" s="545"/>
      <c r="R83" s="545"/>
      <c r="S83" s="546"/>
      <c r="U83" s="535" t="s">
        <v>542</v>
      </c>
      <c r="V83" s="536"/>
      <c r="W83" s="536"/>
      <c r="X83" s="536"/>
      <c r="Y83" s="536"/>
      <c r="Z83" s="536"/>
      <c r="AA83" s="536"/>
      <c r="AB83" s="536"/>
      <c r="AC83" s="536"/>
      <c r="AD83" s="537"/>
    </row>
    <row r="84" spans="1:30" ht="13.5" thickBot="1" x14ac:dyDescent="0.25">
      <c r="A84" s="517" t="s">
        <v>413</v>
      </c>
      <c r="B84" s="518"/>
      <c r="C84" s="518"/>
      <c r="D84" s="518"/>
      <c r="E84" s="518"/>
      <c r="F84" s="518"/>
      <c r="G84" s="518"/>
      <c r="H84" s="518"/>
      <c r="I84" s="519"/>
      <c r="K84" s="576" t="s">
        <v>405</v>
      </c>
      <c r="L84" s="577"/>
      <c r="M84" s="578"/>
      <c r="N84" s="547" t="s">
        <v>652</v>
      </c>
      <c r="O84" s="548"/>
      <c r="P84" s="548"/>
      <c r="Q84" s="548"/>
      <c r="R84" s="548"/>
      <c r="S84" s="549"/>
      <c r="U84" s="535"/>
      <c r="V84" s="536"/>
      <c r="W84" s="536"/>
      <c r="X84" s="536"/>
      <c r="Y84" s="536"/>
      <c r="Z84" s="536"/>
      <c r="AA84" s="536"/>
      <c r="AB84" s="536"/>
      <c r="AC84" s="536"/>
      <c r="AD84" s="537"/>
    </row>
    <row r="85" spans="1:30" ht="13.5" thickBot="1" x14ac:dyDescent="0.25">
      <c r="A85" s="517"/>
      <c r="B85" s="518"/>
      <c r="C85" s="518"/>
      <c r="D85" s="518"/>
      <c r="E85" s="518"/>
      <c r="F85" s="518"/>
      <c r="G85" s="518"/>
      <c r="H85" s="518"/>
      <c r="I85" s="519"/>
      <c r="K85" s="576" t="s">
        <v>503</v>
      </c>
      <c r="L85" s="577"/>
      <c r="M85" s="578"/>
      <c r="N85" s="579" t="s">
        <v>638</v>
      </c>
      <c r="O85" s="580"/>
      <c r="P85" s="580"/>
      <c r="Q85" s="580"/>
      <c r="R85" s="580"/>
      <c r="S85" s="581"/>
      <c r="U85" s="535"/>
      <c r="V85" s="536"/>
      <c r="W85" s="536"/>
      <c r="X85" s="536"/>
      <c r="Y85" s="536"/>
      <c r="Z85" s="536"/>
      <c r="AA85" s="536"/>
      <c r="AB85" s="536"/>
      <c r="AC85" s="536"/>
      <c r="AD85" s="537"/>
    </row>
    <row r="86" spans="1:30" ht="13.5" thickBot="1" x14ac:dyDescent="0.25">
      <c r="A86" s="517"/>
      <c r="B86" s="518"/>
      <c r="C86" s="518"/>
      <c r="D86" s="518"/>
      <c r="E86" s="518"/>
      <c r="F86" s="518"/>
      <c r="G86" s="518"/>
      <c r="H86" s="518"/>
      <c r="I86" s="519"/>
      <c r="K86" s="576" t="s">
        <v>407</v>
      </c>
      <c r="L86" s="577"/>
      <c r="M86" s="578"/>
      <c r="N86" s="579" t="s">
        <v>640</v>
      </c>
      <c r="O86" s="580"/>
      <c r="P86" s="580"/>
      <c r="Q86" s="580"/>
      <c r="R86" s="580"/>
      <c r="S86" s="581"/>
      <c r="U86" s="535"/>
      <c r="V86" s="536"/>
      <c r="W86" s="536"/>
      <c r="X86" s="536"/>
      <c r="Y86" s="536"/>
      <c r="Z86" s="536"/>
      <c r="AA86" s="536"/>
      <c r="AB86" s="536"/>
      <c r="AC86" s="536"/>
      <c r="AD86" s="537"/>
    </row>
    <row r="87" spans="1:30" ht="13.5" thickBot="1" x14ac:dyDescent="0.25">
      <c r="A87" s="517" t="s">
        <v>504</v>
      </c>
      <c r="B87" s="518"/>
      <c r="C87" s="518"/>
      <c r="D87" s="518"/>
      <c r="E87" s="518"/>
      <c r="F87" s="518"/>
      <c r="G87" s="518"/>
      <c r="H87" s="518"/>
      <c r="I87" s="519"/>
      <c r="K87" s="576" t="s">
        <v>408</v>
      </c>
      <c r="L87" s="577"/>
      <c r="M87" s="578"/>
      <c r="N87" s="579" t="s">
        <v>538</v>
      </c>
      <c r="O87" s="588"/>
      <c r="P87" s="588"/>
      <c r="Q87" s="588"/>
      <c r="R87" s="588"/>
      <c r="S87" s="589"/>
      <c r="U87" s="535"/>
      <c r="V87" s="536"/>
      <c r="W87" s="536"/>
      <c r="X87" s="536"/>
      <c r="Y87" s="536"/>
      <c r="Z87" s="536"/>
      <c r="AA87" s="536"/>
      <c r="AB87" s="536"/>
      <c r="AC87" s="536"/>
      <c r="AD87" s="537"/>
    </row>
    <row r="88" spans="1:30" x14ac:dyDescent="0.2">
      <c r="A88" s="517"/>
      <c r="B88" s="518"/>
      <c r="C88" s="518"/>
      <c r="D88" s="518"/>
      <c r="E88" s="518"/>
      <c r="F88" s="518"/>
      <c r="G88" s="518"/>
      <c r="H88" s="518"/>
      <c r="I88" s="519"/>
      <c r="K88" s="590" t="s">
        <v>406</v>
      </c>
      <c r="L88" s="591"/>
      <c r="M88" s="592"/>
      <c r="N88" s="582" t="s">
        <v>409</v>
      </c>
      <c r="O88" s="583"/>
      <c r="P88" s="583"/>
      <c r="Q88" s="583"/>
      <c r="R88" s="583"/>
      <c r="S88" s="584"/>
      <c r="U88" s="529" t="s">
        <v>584</v>
      </c>
      <c r="V88" s="530"/>
      <c r="W88" s="530"/>
      <c r="X88" s="530"/>
      <c r="Y88" s="530"/>
      <c r="Z88" s="530"/>
      <c r="AA88" s="530"/>
      <c r="AB88" s="530"/>
      <c r="AC88" s="530"/>
      <c r="AD88" s="531"/>
    </row>
    <row r="89" spans="1:30" ht="13.5" thickBot="1" x14ac:dyDescent="0.25">
      <c r="A89" s="520"/>
      <c r="B89" s="521"/>
      <c r="C89" s="521"/>
      <c r="D89" s="521"/>
      <c r="E89" s="521"/>
      <c r="F89" s="521"/>
      <c r="G89" s="521"/>
      <c r="H89" s="521"/>
      <c r="I89" s="522"/>
      <c r="K89" s="593"/>
      <c r="L89" s="594"/>
      <c r="M89" s="595"/>
      <c r="N89" s="585"/>
      <c r="O89" s="586"/>
      <c r="P89" s="586"/>
      <c r="Q89" s="586"/>
      <c r="R89" s="586"/>
      <c r="S89" s="587"/>
      <c r="U89" s="532"/>
      <c r="V89" s="533"/>
      <c r="W89" s="533"/>
      <c r="X89" s="533"/>
      <c r="Y89" s="533"/>
      <c r="Z89" s="533"/>
      <c r="AA89" s="533"/>
      <c r="AB89" s="533"/>
      <c r="AC89" s="533"/>
      <c r="AD89" s="534"/>
    </row>
    <row r="90" spans="1:30" ht="13.5" customHeight="1" thickBot="1" x14ac:dyDescent="0.25">
      <c r="D90" s="68"/>
      <c r="E90" s="68"/>
      <c r="F90" s="68"/>
      <c r="G90" s="68"/>
      <c r="H90" s="68"/>
      <c r="U90" s="538" t="s">
        <v>585</v>
      </c>
      <c r="V90" s="539"/>
      <c r="W90" s="539"/>
      <c r="X90" s="539"/>
      <c r="Y90" s="539"/>
      <c r="Z90" s="539"/>
      <c r="AA90" s="539"/>
      <c r="AB90" s="539"/>
      <c r="AC90" s="539"/>
      <c r="AD90" s="540"/>
    </row>
    <row r="91" spans="1:30" ht="13.5" thickBot="1" x14ac:dyDescent="0.25">
      <c r="A91" s="526" t="s">
        <v>415</v>
      </c>
      <c r="B91" s="527"/>
      <c r="C91" s="527"/>
      <c r="D91" s="527"/>
      <c r="E91" s="527"/>
      <c r="F91" s="527"/>
      <c r="G91" s="527"/>
      <c r="H91" s="527"/>
      <c r="I91" s="528"/>
      <c r="K91" s="596" t="s">
        <v>410</v>
      </c>
      <c r="L91" s="597"/>
      <c r="M91" s="598"/>
      <c r="N91" s="608" t="s">
        <v>411</v>
      </c>
      <c r="O91" s="609"/>
      <c r="P91" s="609"/>
      <c r="Q91" s="609"/>
      <c r="R91" s="609"/>
      <c r="S91" s="610"/>
      <c r="U91" s="535"/>
      <c r="V91" s="536"/>
      <c r="W91" s="536"/>
      <c r="X91" s="536"/>
      <c r="Y91" s="536"/>
      <c r="Z91" s="536"/>
      <c r="AA91" s="536"/>
      <c r="AB91" s="536"/>
      <c r="AC91" s="536"/>
      <c r="AD91" s="537"/>
    </row>
    <row r="92" spans="1:30" ht="13.5" thickBot="1" x14ac:dyDescent="0.25">
      <c r="A92" s="556" t="s">
        <v>416</v>
      </c>
      <c r="B92" s="557"/>
      <c r="C92" s="557"/>
      <c r="D92" s="557" t="s">
        <v>594</v>
      </c>
      <c r="E92" s="557"/>
      <c r="F92" s="557" t="s">
        <v>110</v>
      </c>
      <c r="G92" s="557"/>
      <c r="H92" s="557" t="s">
        <v>595</v>
      </c>
      <c r="I92" s="622"/>
      <c r="K92" s="593"/>
      <c r="L92" s="594"/>
      <c r="M92" s="595"/>
      <c r="N92" s="611" t="s">
        <v>412</v>
      </c>
      <c r="O92" s="612"/>
      <c r="P92" s="612"/>
      <c r="Q92" s="612"/>
      <c r="R92" s="612"/>
      <c r="S92" s="613"/>
      <c r="U92" s="535"/>
      <c r="V92" s="536"/>
      <c r="W92" s="536"/>
      <c r="X92" s="536"/>
      <c r="Y92" s="536"/>
      <c r="Z92" s="536"/>
      <c r="AA92" s="536"/>
      <c r="AB92" s="536"/>
      <c r="AC92" s="536"/>
      <c r="AD92" s="537"/>
    </row>
    <row r="93" spans="1:30" ht="13.5" thickBot="1" x14ac:dyDescent="0.25">
      <c r="A93" s="618" t="s">
        <v>622</v>
      </c>
      <c r="B93" s="619"/>
      <c r="C93" s="619"/>
      <c r="D93" s="620">
        <v>41256</v>
      </c>
      <c r="E93" s="619"/>
      <c r="F93" s="621">
        <v>2000</v>
      </c>
      <c r="G93" s="621"/>
      <c r="H93" s="621" t="s">
        <v>596</v>
      </c>
      <c r="I93" s="625"/>
      <c r="K93" s="74"/>
      <c r="L93" s="74"/>
      <c r="M93" s="74"/>
      <c r="N93" s="187"/>
      <c r="O93" s="187"/>
      <c r="P93" s="187"/>
      <c r="Q93" s="187"/>
      <c r="R93" s="187"/>
      <c r="S93" s="187"/>
      <c r="U93" s="535"/>
      <c r="V93" s="536"/>
      <c r="W93" s="536"/>
      <c r="X93" s="536"/>
      <c r="Y93" s="536"/>
      <c r="Z93" s="536"/>
      <c r="AA93" s="536"/>
      <c r="AB93" s="536"/>
      <c r="AC93" s="536"/>
      <c r="AD93" s="537"/>
    </row>
    <row r="94" spans="1:30" ht="13.5" thickBot="1" x14ac:dyDescent="0.25">
      <c r="A94" s="618" t="s">
        <v>621</v>
      </c>
      <c r="B94" s="619"/>
      <c r="C94" s="619"/>
      <c r="D94" s="620">
        <v>41305</v>
      </c>
      <c r="E94" s="619"/>
      <c r="F94" s="623">
        <v>5000</v>
      </c>
      <c r="G94" s="623"/>
      <c r="H94" s="619" t="s">
        <v>596</v>
      </c>
      <c r="I94" s="624"/>
      <c r="K94" s="614" t="s">
        <v>414</v>
      </c>
      <c r="L94" s="615"/>
      <c r="M94" s="615"/>
      <c r="N94" s="615"/>
      <c r="O94" s="615"/>
      <c r="P94" s="615"/>
      <c r="Q94" s="615"/>
      <c r="R94" s="615"/>
      <c r="S94" s="616"/>
      <c r="U94" s="535"/>
      <c r="V94" s="536"/>
      <c r="W94" s="536"/>
      <c r="X94" s="536"/>
      <c r="Y94" s="536"/>
      <c r="Z94" s="536"/>
      <c r="AA94" s="536"/>
      <c r="AB94" s="536"/>
      <c r="AC94" s="536"/>
      <c r="AD94" s="537"/>
    </row>
    <row r="95" spans="1:30" ht="13.5" thickBot="1" x14ac:dyDescent="0.25">
      <c r="A95" s="603" t="s">
        <v>643</v>
      </c>
      <c r="B95" s="604"/>
      <c r="C95" s="604"/>
      <c r="D95" s="605">
        <v>41375</v>
      </c>
      <c r="E95" s="604"/>
      <c r="F95" s="606">
        <v>5000</v>
      </c>
      <c r="G95" s="606"/>
      <c r="H95" s="604" t="s">
        <v>596</v>
      </c>
      <c r="I95" s="607"/>
      <c r="K95" s="596" t="s">
        <v>623</v>
      </c>
      <c r="L95" s="597"/>
      <c r="M95" s="597"/>
      <c r="N95" s="597"/>
      <c r="O95" s="597"/>
      <c r="P95" s="597"/>
      <c r="Q95" s="597"/>
      <c r="R95" s="597"/>
      <c r="S95" s="617"/>
      <c r="U95" s="535"/>
      <c r="V95" s="536"/>
      <c r="W95" s="536"/>
      <c r="X95" s="536"/>
      <c r="Y95" s="536"/>
      <c r="Z95" s="536"/>
      <c r="AA95" s="536"/>
      <c r="AB95" s="536"/>
      <c r="AC95" s="536"/>
      <c r="AD95" s="537"/>
    </row>
    <row r="96" spans="1:30" x14ac:dyDescent="0.2">
      <c r="D96" s="68"/>
      <c r="E96" s="68"/>
      <c r="F96" s="68"/>
      <c r="G96" s="68"/>
      <c r="H96" s="44"/>
      <c r="I96" s="45"/>
      <c r="K96" s="599" t="s">
        <v>505</v>
      </c>
      <c r="L96" s="600"/>
      <c r="M96" s="600"/>
      <c r="N96" s="600"/>
      <c r="O96" s="600"/>
      <c r="P96" s="600"/>
      <c r="Q96" s="600"/>
      <c r="R96" s="600"/>
      <c r="S96" s="601"/>
      <c r="U96" s="535"/>
      <c r="V96" s="536"/>
      <c r="W96" s="536"/>
      <c r="X96" s="536"/>
      <c r="Y96" s="536"/>
      <c r="Z96" s="536"/>
      <c r="AA96" s="536"/>
      <c r="AB96" s="536"/>
      <c r="AC96" s="536"/>
      <c r="AD96" s="537"/>
    </row>
    <row r="97" spans="4:30" x14ac:dyDescent="0.2">
      <c r="D97" s="68"/>
      <c r="E97" s="68"/>
      <c r="F97" s="68"/>
      <c r="G97" s="68"/>
      <c r="H97" s="45"/>
      <c r="I97" s="45"/>
      <c r="K97" s="599" t="s">
        <v>539</v>
      </c>
      <c r="L97" s="600"/>
      <c r="M97" s="600"/>
      <c r="N97" s="600"/>
      <c r="O97" s="600"/>
      <c r="P97" s="600"/>
      <c r="Q97" s="600"/>
      <c r="R97" s="600"/>
      <c r="S97" s="601"/>
      <c r="U97" s="535"/>
      <c r="V97" s="536"/>
      <c r="W97" s="536"/>
      <c r="X97" s="536"/>
      <c r="Y97" s="536"/>
      <c r="Z97" s="536"/>
      <c r="AA97" s="536"/>
      <c r="AB97" s="536"/>
      <c r="AC97" s="536"/>
      <c r="AD97" s="537"/>
    </row>
    <row r="98" spans="4:30" ht="13.5" thickBot="1" x14ac:dyDescent="0.25">
      <c r="D98" s="68"/>
      <c r="E98" s="68"/>
      <c r="F98" s="68"/>
      <c r="G98" s="68"/>
      <c r="H98" s="45"/>
      <c r="I98" s="45"/>
      <c r="K98" s="593" t="s">
        <v>624</v>
      </c>
      <c r="L98" s="594"/>
      <c r="M98" s="594"/>
      <c r="N98" s="594"/>
      <c r="O98" s="594"/>
      <c r="P98" s="594"/>
      <c r="Q98" s="594"/>
      <c r="R98" s="594"/>
      <c r="S98" s="602"/>
      <c r="U98" s="535"/>
      <c r="V98" s="536"/>
      <c r="W98" s="536"/>
      <c r="X98" s="536"/>
      <c r="Y98" s="536"/>
      <c r="Z98" s="536"/>
      <c r="AA98" s="536"/>
      <c r="AB98" s="536"/>
      <c r="AC98" s="536"/>
      <c r="AD98" s="537"/>
    </row>
    <row r="99" spans="4:30" ht="13.5" thickBot="1" x14ac:dyDescent="0.25">
      <c r="U99" s="541"/>
      <c r="V99" s="542"/>
      <c r="W99" s="542"/>
      <c r="X99" s="542"/>
      <c r="Y99" s="542"/>
      <c r="Z99" s="542"/>
      <c r="AA99" s="542"/>
      <c r="AB99" s="542"/>
      <c r="AC99" s="542"/>
      <c r="AD99" s="543"/>
    </row>
    <row r="100" spans="4:30" ht="13.5" thickBot="1" x14ac:dyDescent="0.25">
      <c r="D100" s="68"/>
      <c r="E100" s="68"/>
      <c r="F100" s="68"/>
      <c r="G100" s="68"/>
      <c r="H100" s="68"/>
      <c r="K100" s="614" t="s">
        <v>597</v>
      </c>
      <c r="L100" s="615"/>
      <c r="M100" s="615"/>
      <c r="N100" s="615"/>
      <c r="O100" s="615"/>
      <c r="P100" s="615"/>
      <c r="Q100" s="615"/>
      <c r="R100" s="615"/>
      <c r="S100" s="616"/>
      <c r="U100" s="529" t="s">
        <v>586</v>
      </c>
      <c r="V100" s="530"/>
      <c r="W100" s="530"/>
      <c r="X100" s="530"/>
      <c r="Y100" s="530"/>
      <c r="Z100" s="530"/>
      <c r="AA100" s="530"/>
      <c r="AB100" s="530"/>
      <c r="AC100" s="530"/>
      <c r="AD100" s="531"/>
    </row>
    <row r="101" spans="4:30" ht="13.5" thickBot="1" x14ac:dyDescent="0.25">
      <c r="K101" s="629" t="s">
        <v>598</v>
      </c>
      <c r="L101" s="630"/>
      <c r="M101" s="630"/>
      <c r="N101" s="630"/>
      <c r="O101" s="630"/>
      <c r="P101" s="630"/>
      <c r="Q101" s="630"/>
      <c r="R101" s="630"/>
      <c r="S101" s="631"/>
      <c r="U101" s="532"/>
      <c r="V101" s="533"/>
      <c r="W101" s="533"/>
      <c r="X101" s="533"/>
      <c r="Y101" s="533"/>
      <c r="Z101" s="533"/>
      <c r="AA101" s="533"/>
      <c r="AB101" s="533"/>
      <c r="AC101" s="533"/>
      <c r="AD101" s="534"/>
    </row>
    <row r="102" spans="4:30" ht="12.75" customHeight="1" x14ac:dyDescent="0.2">
      <c r="K102" s="626" t="s">
        <v>599</v>
      </c>
      <c r="L102" s="627"/>
      <c r="M102" s="627"/>
      <c r="N102" s="627"/>
      <c r="O102" s="627"/>
      <c r="P102" s="627"/>
      <c r="Q102" s="627"/>
      <c r="R102" s="627"/>
      <c r="S102" s="628"/>
      <c r="U102" s="538" t="s">
        <v>587</v>
      </c>
      <c r="V102" s="539"/>
      <c r="W102" s="539"/>
      <c r="X102" s="539"/>
      <c r="Y102" s="539"/>
      <c r="Z102" s="539"/>
      <c r="AA102" s="539"/>
      <c r="AB102" s="539"/>
      <c r="AC102" s="539"/>
      <c r="AD102" s="540"/>
    </row>
    <row r="103" spans="4:30" x14ac:dyDescent="0.2">
      <c r="K103" s="626" t="s">
        <v>604</v>
      </c>
      <c r="L103" s="627"/>
      <c r="M103" s="627"/>
      <c r="N103" s="627"/>
      <c r="O103" s="627"/>
      <c r="P103" s="627"/>
      <c r="Q103" s="627"/>
      <c r="R103" s="627"/>
      <c r="S103" s="628"/>
      <c r="U103" s="535"/>
      <c r="V103" s="536"/>
      <c r="W103" s="536"/>
      <c r="X103" s="536"/>
      <c r="Y103" s="536"/>
      <c r="Z103" s="536"/>
      <c r="AA103" s="536"/>
      <c r="AB103" s="536"/>
      <c r="AC103" s="536"/>
      <c r="AD103" s="537"/>
    </row>
    <row r="104" spans="4:30" x14ac:dyDescent="0.2">
      <c r="K104" s="626" t="s">
        <v>605</v>
      </c>
      <c r="L104" s="627"/>
      <c r="M104" s="627"/>
      <c r="N104" s="627"/>
      <c r="O104" s="627"/>
      <c r="P104" s="627"/>
      <c r="Q104" s="627"/>
      <c r="R104" s="627"/>
      <c r="S104" s="628"/>
      <c r="U104" s="535"/>
      <c r="V104" s="536"/>
      <c r="W104" s="536"/>
      <c r="X104" s="536"/>
      <c r="Y104" s="536"/>
      <c r="Z104" s="536"/>
      <c r="AA104" s="536"/>
      <c r="AB104" s="536"/>
      <c r="AC104" s="536"/>
      <c r="AD104" s="537"/>
    </row>
    <row r="105" spans="4:30" x14ac:dyDescent="0.2">
      <c r="K105" s="626" t="s">
        <v>613</v>
      </c>
      <c r="L105" s="627"/>
      <c r="M105" s="627"/>
      <c r="N105" s="627"/>
      <c r="O105" s="627"/>
      <c r="P105" s="627"/>
      <c r="Q105" s="627"/>
      <c r="R105" s="627"/>
      <c r="S105" s="628"/>
      <c r="U105" s="535"/>
      <c r="V105" s="536"/>
      <c r="W105" s="536"/>
      <c r="X105" s="536"/>
      <c r="Y105" s="536"/>
      <c r="Z105" s="536"/>
      <c r="AA105" s="536"/>
      <c r="AB105" s="536"/>
      <c r="AC105" s="536"/>
      <c r="AD105" s="537"/>
    </row>
    <row r="106" spans="4:30" x14ac:dyDescent="0.2">
      <c r="K106" s="626" t="s">
        <v>614</v>
      </c>
      <c r="L106" s="627"/>
      <c r="M106" s="627"/>
      <c r="N106" s="627"/>
      <c r="O106" s="627"/>
      <c r="P106" s="627"/>
      <c r="Q106" s="627"/>
      <c r="R106" s="627"/>
      <c r="S106" s="628"/>
      <c r="U106" s="535"/>
      <c r="V106" s="536"/>
      <c r="W106" s="536"/>
      <c r="X106" s="536"/>
      <c r="Y106" s="536"/>
      <c r="Z106" s="536"/>
      <c r="AA106" s="536"/>
      <c r="AB106" s="536"/>
      <c r="AC106" s="536"/>
      <c r="AD106" s="537"/>
    </row>
    <row r="107" spans="4:30" x14ac:dyDescent="0.2">
      <c r="K107" s="626" t="s">
        <v>615</v>
      </c>
      <c r="L107" s="627"/>
      <c r="M107" s="627"/>
      <c r="N107" s="627"/>
      <c r="O107" s="627"/>
      <c r="P107" s="627"/>
      <c r="Q107" s="627"/>
      <c r="R107" s="627"/>
      <c r="S107" s="628"/>
      <c r="U107" s="535"/>
      <c r="V107" s="536"/>
      <c r="W107" s="536"/>
      <c r="X107" s="536"/>
      <c r="Y107" s="536"/>
      <c r="Z107" s="536"/>
      <c r="AA107" s="536"/>
      <c r="AB107" s="536"/>
      <c r="AC107" s="536"/>
      <c r="AD107" s="537"/>
    </row>
    <row r="108" spans="4:30" x14ac:dyDescent="0.2">
      <c r="K108" s="626" t="s">
        <v>616</v>
      </c>
      <c r="L108" s="627"/>
      <c r="M108" s="627"/>
      <c r="N108" s="627"/>
      <c r="O108" s="627"/>
      <c r="P108" s="627"/>
      <c r="Q108" s="627"/>
      <c r="R108" s="627"/>
      <c r="S108" s="628"/>
      <c r="U108" s="535"/>
      <c r="V108" s="536"/>
      <c r="W108" s="536"/>
      <c r="X108" s="536"/>
      <c r="Y108" s="536"/>
      <c r="Z108" s="536"/>
      <c r="AA108" s="536"/>
      <c r="AB108" s="536"/>
      <c r="AC108" s="536"/>
      <c r="AD108" s="537"/>
    </row>
    <row r="109" spans="4:30" x14ac:dyDescent="0.2">
      <c r="K109" s="626" t="s">
        <v>618</v>
      </c>
      <c r="L109" s="627"/>
      <c r="M109" s="627"/>
      <c r="N109" s="627"/>
      <c r="O109" s="627"/>
      <c r="P109" s="627"/>
      <c r="Q109" s="627"/>
      <c r="R109" s="627"/>
      <c r="S109" s="628"/>
      <c r="U109" s="535"/>
      <c r="V109" s="536"/>
      <c r="W109" s="536"/>
      <c r="X109" s="536"/>
      <c r="Y109" s="536"/>
      <c r="Z109" s="536"/>
      <c r="AA109" s="536"/>
      <c r="AB109" s="536"/>
      <c r="AC109" s="536"/>
      <c r="AD109" s="537"/>
    </row>
    <row r="110" spans="4:30" x14ac:dyDescent="0.2">
      <c r="K110" s="626" t="s">
        <v>620</v>
      </c>
      <c r="L110" s="627"/>
      <c r="M110" s="627"/>
      <c r="N110" s="627"/>
      <c r="O110" s="627"/>
      <c r="P110" s="627"/>
      <c r="Q110" s="627"/>
      <c r="R110" s="627"/>
      <c r="S110" s="628"/>
      <c r="U110" s="535"/>
      <c r="V110" s="536"/>
      <c r="W110" s="536"/>
      <c r="X110" s="536"/>
      <c r="Y110" s="536"/>
      <c r="Z110" s="536"/>
      <c r="AA110" s="536"/>
      <c r="AB110" s="536"/>
      <c r="AC110" s="536"/>
      <c r="AD110" s="537"/>
    </row>
    <row r="111" spans="4:30" x14ac:dyDescent="0.2">
      <c r="K111" s="626" t="s">
        <v>628</v>
      </c>
      <c r="L111" s="627"/>
      <c r="M111" s="627"/>
      <c r="N111" s="627"/>
      <c r="O111" s="627"/>
      <c r="P111" s="627"/>
      <c r="Q111" s="627"/>
      <c r="R111" s="627"/>
      <c r="S111" s="628"/>
      <c r="U111" s="535"/>
      <c r="V111" s="536"/>
      <c r="W111" s="536"/>
      <c r="X111" s="536"/>
      <c r="Y111" s="536"/>
      <c r="Z111" s="536"/>
      <c r="AA111" s="536"/>
      <c r="AB111" s="536"/>
      <c r="AC111" s="536"/>
      <c r="AD111" s="537"/>
    </row>
    <row r="112" spans="4:30" x14ac:dyDescent="0.2">
      <c r="K112" s="626" t="s">
        <v>634</v>
      </c>
      <c r="L112" s="627"/>
      <c r="M112" s="627"/>
      <c r="N112" s="627"/>
      <c r="O112" s="627"/>
      <c r="P112" s="627"/>
      <c r="Q112" s="627"/>
      <c r="R112" s="627"/>
      <c r="S112" s="628"/>
      <c r="U112" s="535"/>
      <c r="V112" s="536"/>
      <c r="W112" s="536"/>
      <c r="X112" s="536"/>
      <c r="Y112" s="536"/>
      <c r="Z112" s="536"/>
      <c r="AA112" s="536"/>
      <c r="AB112" s="536"/>
      <c r="AC112" s="536"/>
      <c r="AD112" s="537"/>
    </row>
    <row r="113" spans="11:30" x14ac:dyDescent="0.2">
      <c r="K113" s="626" t="s">
        <v>632</v>
      </c>
      <c r="L113" s="627"/>
      <c r="M113" s="627"/>
      <c r="N113" s="627"/>
      <c r="O113" s="627"/>
      <c r="P113" s="627"/>
      <c r="Q113" s="627"/>
      <c r="R113" s="627"/>
      <c r="S113" s="628"/>
      <c r="U113" s="535"/>
      <c r="V113" s="536"/>
      <c r="W113" s="536"/>
      <c r="X113" s="536"/>
      <c r="Y113" s="536"/>
      <c r="Z113" s="536"/>
      <c r="AA113" s="536"/>
      <c r="AB113" s="536"/>
      <c r="AC113" s="536"/>
      <c r="AD113" s="537"/>
    </row>
    <row r="114" spans="11:30" x14ac:dyDescent="0.2">
      <c r="K114" s="626" t="s">
        <v>633</v>
      </c>
      <c r="L114" s="627"/>
      <c r="M114" s="627"/>
      <c r="N114" s="627"/>
      <c r="O114" s="627"/>
      <c r="P114" s="627"/>
      <c r="Q114" s="627"/>
      <c r="R114" s="627"/>
      <c r="S114" s="628"/>
      <c r="U114" s="535"/>
      <c r="V114" s="536"/>
      <c r="W114" s="536"/>
      <c r="X114" s="536"/>
      <c r="Y114" s="536"/>
      <c r="Z114" s="536"/>
      <c r="AA114" s="536"/>
      <c r="AB114" s="536"/>
      <c r="AC114" s="536"/>
      <c r="AD114" s="537"/>
    </row>
    <row r="115" spans="11:30" x14ac:dyDescent="0.2">
      <c r="K115" s="626" t="s">
        <v>635</v>
      </c>
      <c r="L115" s="627"/>
      <c r="M115" s="627"/>
      <c r="N115" s="627"/>
      <c r="O115" s="627"/>
      <c r="P115" s="627"/>
      <c r="Q115" s="627"/>
      <c r="R115" s="627"/>
      <c r="S115" s="628"/>
      <c r="U115" s="535"/>
      <c r="V115" s="536"/>
      <c r="W115" s="536"/>
      <c r="X115" s="536"/>
      <c r="Y115" s="536"/>
      <c r="Z115" s="536"/>
      <c r="AA115" s="536"/>
      <c r="AB115" s="536"/>
      <c r="AC115" s="536"/>
      <c r="AD115" s="537"/>
    </row>
    <row r="116" spans="11:30" x14ac:dyDescent="0.2">
      <c r="K116" s="626" t="s">
        <v>641</v>
      </c>
      <c r="L116" s="627"/>
      <c r="M116" s="627"/>
      <c r="N116" s="627"/>
      <c r="O116" s="627"/>
      <c r="P116" s="627"/>
      <c r="Q116" s="627"/>
      <c r="R116" s="627"/>
      <c r="S116" s="628"/>
      <c r="U116" s="535"/>
      <c r="V116" s="536"/>
      <c r="W116" s="536"/>
      <c r="X116" s="536"/>
      <c r="Y116" s="536"/>
      <c r="Z116" s="536"/>
      <c r="AA116" s="536"/>
      <c r="AB116" s="536"/>
      <c r="AC116" s="536"/>
      <c r="AD116" s="537"/>
    </row>
    <row r="117" spans="11:30" ht="13.5" thickBot="1" x14ac:dyDescent="0.25">
      <c r="K117" s="638" t="s">
        <v>642</v>
      </c>
      <c r="L117" s="639"/>
      <c r="M117" s="639"/>
      <c r="N117" s="639"/>
      <c r="O117" s="639"/>
      <c r="P117" s="639"/>
      <c r="Q117" s="639"/>
      <c r="R117" s="639"/>
      <c r="S117" s="640"/>
      <c r="U117" s="541"/>
      <c r="V117" s="542"/>
      <c r="W117" s="542"/>
      <c r="X117" s="542"/>
      <c r="Y117" s="542"/>
      <c r="Z117" s="542"/>
      <c r="AA117" s="542"/>
      <c r="AB117" s="542"/>
      <c r="AC117" s="542"/>
      <c r="AD117" s="543"/>
    </row>
    <row r="118" spans="11:30" x14ac:dyDescent="0.2">
      <c r="K118" s="632" t="s">
        <v>648</v>
      </c>
      <c r="L118" s="633"/>
      <c r="M118" s="633"/>
      <c r="N118" s="633"/>
      <c r="O118" s="633"/>
      <c r="P118" s="633"/>
      <c r="Q118" s="633"/>
      <c r="R118" s="633"/>
      <c r="S118" s="634"/>
    </row>
    <row r="119" spans="11:30" x14ac:dyDescent="0.2">
      <c r="K119" s="632" t="s">
        <v>649</v>
      </c>
      <c r="L119" s="633"/>
      <c r="M119" s="633"/>
      <c r="N119" s="633"/>
      <c r="O119" s="633"/>
      <c r="P119" s="633"/>
      <c r="Q119" s="633"/>
      <c r="R119" s="633"/>
      <c r="S119" s="634"/>
    </row>
    <row r="120" spans="11:30" x14ac:dyDescent="0.2">
      <c r="K120" s="632" t="s">
        <v>650</v>
      </c>
      <c r="L120" s="633"/>
      <c r="M120" s="633"/>
      <c r="N120" s="633"/>
      <c r="O120" s="633"/>
      <c r="P120" s="633"/>
      <c r="Q120" s="633"/>
      <c r="R120" s="633"/>
      <c r="S120" s="634"/>
    </row>
    <row r="121" spans="11:30" x14ac:dyDescent="0.2">
      <c r="K121" s="632" t="s">
        <v>651</v>
      </c>
      <c r="L121" s="633"/>
      <c r="M121" s="633"/>
      <c r="N121" s="633"/>
      <c r="O121" s="633"/>
      <c r="P121" s="633"/>
      <c r="Q121" s="633"/>
      <c r="R121" s="633"/>
      <c r="S121" s="634"/>
    </row>
    <row r="122" spans="11:30" x14ac:dyDescent="0.2">
      <c r="K122" s="632" t="s">
        <v>653</v>
      </c>
      <c r="L122" s="633"/>
      <c r="M122" s="633"/>
      <c r="N122" s="633"/>
      <c r="O122" s="633"/>
      <c r="P122" s="633"/>
      <c r="Q122" s="633"/>
      <c r="R122" s="633"/>
      <c r="S122" s="634"/>
    </row>
    <row r="123" spans="11:30" ht="13.5" thickBot="1" x14ac:dyDescent="0.25">
      <c r="K123" s="635" t="s">
        <v>654</v>
      </c>
      <c r="L123" s="636"/>
      <c r="M123" s="636"/>
      <c r="N123" s="636"/>
      <c r="O123" s="636"/>
      <c r="P123" s="636"/>
      <c r="Q123" s="636"/>
      <c r="R123" s="636"/>
      <c r="S123" s="637"/>
    </row>
    <row r="134" spans="1:30" hidden="1" x14ac:dyDescent="0.2">
      <c r="A134" s="513" t="s">
        <v>318</v>
      </c>
      <c r="B134" s="513"/>
      <c r="C134" s="513"/>
      <c r="D134" s="513"/>
      <c r="E134" s="513"/>
      <c r="F134" s="513"/>
      <c r="G134" s="513"/>
      <c r="H134" s="513"/>
      <c r="I134" s="513"/>
      <c r="J134" s="513"/>
      <c r="K134" s="513"/>
      <c r="L134" s="513"/>
      <c r="M134" s="513"/>
      <c r="N134" s="513"/>
      <c r="O134" s="513"/>
      <c r="P134" s="513"/>
      <c r="Q134" s="513"/>
      <c r="R134" s="513"/>
      <c r="S134" s="513"/>
      <c r="T134" s="513"/>
      <c r="U134" s="513"/>
      <c r="V134" s="513"/>
      <c r="W134" s="513"/>
      <c r="X134" s="513"/>
      <c r="Y134" s="513"/>
      <c r="Z134" s="513"/>
      <c r="AA134" s="513"/>
      <c r="AB134" s="513"/>
      <c r="AC134" s="513"/>
      <c r="AD134" s="513"/>
    </row>
    <row r="135" spans="1:30" ht="13.5" hidden="1" thickBot="1" x14ac:dyDescent="0.25">
      <c r="A135" s="89" t="str">
        <f t="shared" ref="A135:A144" si="0">UPPER(A48)</f>
        <v>1-. NO COTIZA</v>
      </c>
      <c r="B135" s="154">
        <f>C48</f>
        <v>0</v>
      </c>
      <c r="C135" s="89" t="str">
        <f t="shared" ref="C135:C144" si="1">UPPER(J48)</f>
        <v>11-. NO COTIZA</v>
      </c>
      <c r="D135" s="141">
        <f>L48</f>
        <v>0</v>
      </c>
      <c r="E135" s="89" t="str">
        <f>UPPER("1-. A plazo fijo")</f>
        <v>1-. A PLAZO FIJO</v>
      </c>
      <c r="F135" s="141">
        <f>G73</f>
        <v>0</v>
      </c>
      <c r="G135" s="89" t="str">
        <f>UPPER("Activado")</f>
        <v>ACTIVADO</v>
      </c>
      <c r="H135" s="70" t="s">
        <v>645</v>
      </c>
      <c r="L135" s="154"/>
    </row>
    <row r="136" spans="1:30" ht="13.5" hidden="1" thickBot="1" x14ac:dyDescent="0.25">
      <c r="A136" s="89" t="str">
        <f t="shared" si="0"/>
        <v xml:space="preserve">2-. CAPITAL </v>
      </c>
      <c r="B136" s="154">
        <f t="shared" ref="B136:B144" si="2">C49</f>
        <v>0.1144</v>
      </c>
      <c r="C136" s="89" t="str">
        <f t="shared" si="1"/>
        <v>12-. FONASA</v>
      </c>
      <c r="D136" s="141">
        <f t="shared" ref="D136:D144" si="3">L49</f>
        <v>7.0000000000000007E-2</v>
      </c>
      <c r="E136" s="89" t="str">
        <f>UPPER("2-. Indefinido")</f>
        <v>2-. INDEFINIDO</v>
      </c>
      <c r="F136" s="141">
        <f>G72</f>
        <v>6.0000000000000001E-3</v>
      </c>
      <c r="G136" s="89" t="str">
        <f>UPPER("Desactivado")</f>
        <v>DESACTIVADO</v>
      </c>
      <c r="H136" s="70" t="s">
        <v>646</v>
      </c>
    </row>
    <row r="137" spans="1:30" ht="13.5" hidden="1" thickBot="1" x14ac:dyDescent="0.25">
      <c r="A137" s="89" t="str">
        <f t="shared" si="0"/>
        <v>3-. CUPRUM</v>
      </c>
      <c r="B137" s="154">
        <f t="shared" si="2"/>
        <v>0.1148</v>
      </c>
      <c r="C137" s="89" t="str">
        <f t="shared" si="1"/>
        <v>13-. BANMEDICA</v>
      </c>
      <c r="D137" s="141">
        <f t="shared" si="3"/>
        <v>7.0000000000000007E-2</v>
      </c>
      <c r="E137" s="89" t="str">
        <f>UPPER("3-. Boleta")</f>
        <v>3-. BOLETA</v>
      </c>
      <c r="F137" s="141">
        <v>0</v>
      </c>
      <c r="G137" s="94"/>
    </row>
    <row r="138" spans="1:30" ht="13.5" hidden="1" thickBot="1" x14ac:dyDescent="0.25">
      <c r="A138" s="89" t="str">
        <f t="shared" si="0"/>
        <v>4-. HÁBITAT</v>
      </c>
      <c r="B138" s="154">
        <f t="shared" si="2"/>
        <v>0.11269999999999999</v>
      </c>
      <c r="C138" s="89" t="str">
        <f t="shared" si="1"/>
        <v>14-. COLMENA</v>
      </c>
      <c r="D138" s="141">
        <f t="shared" si="3"/>
        <v>7.0000000000000007E-2</v>
      </c>
      <c r="E138" s="209" t="str">
        <f>UPPER("4-. Jubilado")</f>
        <v>4-. JUBILADO</v>
      </c>
      <c r="F138" s="141">
        <v>0</v>
      </c>
      <c r="G138" s="95"/>
    </row>
    <row r="139" spans="1:30" ht="13.5" hidden="1" thickBot="1" x14ac:dyDescent="0.25">
      <c r="A139" s="89" t="str">
        <f t="shared" si="0"/>
        <v xml:space="preserve">5-. PLANVITAL </v>
      </c>
      <c r="B139" s="154">
        <f t="shared" si="2"/>
        <v>0.1236</v>
      </c>
      <c r="C139" s="89" t="str">
        <f t="shared" si="1"/>
        <v>15-. CONSALUD</v>
      </c>
      <c r="D139" s="141">
        <f t="shared" si="3"/>
        <v>7.0000000000000007E-2</v>
      </c>
      <c r="E139" s="344" t="s">
        <v>647</v>
      </c>
      <c r="F139" s="141">
        <v>0</v>
      </c>
    </row>
    <row r="140" spans="1:30" ht="13.5" hidden="1" thickBot="1" x14ac:dyDescent="0.25">
      <c r="A140" s="89" t="str">
        <f t="shared" si="0"/>
        <v>6-. PRÓVIDA</v>
      </c>
      <c r="B140" s="154">
        <f t="shared" si="2"/>
        <v>0.1154</v>
      </c>
      <c r="C140" s="89" t="str">
        <f t="shared" si="1"/>
        <v>16-. CRUZ BLANCA</v>
      </c>
      <c r="D140" s="141">
        <f t="shared" si="3"/>
        <v>7.0000000000000007E-2</v>
      </c>
      <c r="F140" s="141">
        <v>0.03</v>
      </c>
    </row>
    <row r="141" spans="1:30" ht="13.5" hidden="1" thickBot="1" x14ac:dyDescent="0.25">
      <c r="A141" s="89" t="str">
        <f t="shared" si="0"/>
        <v>7-. MODELO</v>
      </c>
      <c r="B141" s="154">
        <f t="shared" si="2"/>
        <v>0.1077</v>
      </c>
      <c r="C141" s="89" t="str">
        <f t="shared" si="1"/>
        <v>17-. FERROSALUD</v>
      </c>
      <c r="D141" s="141">
        <f t="shared" si="3"/>
        <v>7.0000000000000007E-2</v>
      </c>
      <c r="F141" s="141">
        <v>2.4E-2</v>
      </c>
    </row>
    <row r="142" spans="1:30" ht="13.5" hidden="1" thickBot="1" x14ac:dyDescent="0.25">
      <c r="A142" s="89" t="str">
        <f t="shared" si="0"/>
        <v>8-. OTRA AFP</v>
      </c>
      <c r="B142" s="154">
        <f t="shared" si="2"/>
        <v>0.1</v>
      </c>
      <c r="C142" s="89" t="str">
        <f t="shared" si="1"/>
        <v>18-. FUNDACIÓN</v>
      </c>
      <c r="D142" s="141">
        <f t="shared" si="3"/>
        <v>7.0000000000000007E-2</v>
      </c>
      <c r="F142" s="141">
        <v>0</v>
      </c>
    </row>
    <row r="143" spans="1:30" ht="13.5" hidden="1" thickBot="1" x14ac:dyDescent="0.25">
      <c r="A143" s="89" t="str">
        <f t="shared" si="0"/>
        <v>9-. OTRA AFP</v>
      </c>
      <c r="B143" s="154">
        <f t="shared" si="2"/>
        <v>0.1</v>
      </c>
      <c r="C143" s="89" t="str">
        <f t="shared" si="1"/>
        <v>19-. FUSAT</v>
      </c>
      <c r="D143" s="141">
        <f t="shared" si="3"/>
        <v>7.0000000000000007E-2</v>
      </c>
      <c r="F143" s="141">
        <v>0</v>
      </c>
    </row>
    <row r="144" spans="1:30" ht="13.5" hidden="1" thickBot="1" x14ac:dyDescent="0.25">
      <c r="A144" s="89" t="str">
        <f t="shared" si="0"/>
        <v>10-. OTRA AFP</v>
      </c>
      <c r="B144" s="154">
        <f t="shared" si="2"/>
        <v>0.1</v>
      </c>
      <c r="C144" s="89" t="str">
        <f t="shared" si="1"/>
        <v>20-. MASVIDA</v>
      </c>
      <c r="D144" s="141">
        <f t="shared" si="3"/>
        <v>7.0000000000000007E-2</v>
      </c>
      <c r="F144" s="141">
        <v>0.03</v>
      </c>
    </row>
    <row r="145" spans="3:4" ht="13.5" hidden="1" thickBot="1" x14ac:dyDescent="0.25">
      <c r="C145" s="89" t="str">
        <f t="shared" ref="C145:C154" si="4">UPPER(M48)</f>
        <v>21-. NORMEDICA</v>
      </c>
      <c r="D145" s="141">
        <f>O48</f>
        <v>7.0000000000000007E-2</v>
      </c>
    </row>
    <row r="146" spans="3:4" ht="13.5" hidden="1" thickBot="1" x14ac:dyDescent="0.25">
      <c r="C146" s="89" t="str">
        <f t="shared" si="4"/>
        <v>22-. SFERA</v>
      </c>
      <c r="D146" s="141">
        <f t="shared" ref="D146:D154" si="5">O49</f>
        <v>7.0000000000000007E-2</v>
      </c>
    </row>
    <row r="147" spans="3:4" ht="13.5" hidden="1" thickBot="1" x14ac:dyDescent="0.25">
      <c r="C147" s="89" t="str">
        <f t="shared" si="4"/>
        <v>23-. VIDA TRES</v>
      </c>
      <c r="D147" s="141">
        <f t="shared" si="5"/>
        <v>7.0000000000000007E-2</v>
      </c>
    </row>
    <row r="148" spans="3:4" ht="13.5" hidden="1" thickBot="1" x14ac:dyDescent="0.25">
      <c r="C148" s="89" t="str">
        <f t="shared" si="4"/>
        <v>24-. OTRA ISAPRE</v>
      </c>
      <c r="D148" s="141">
        <f t="shared" si="5"/>
        <v>7.0000000000000007E-2</v>
      </c>
    </row>
    <row r="149" spans="3:4" ht="13.5" hidden="1" thickBot="1" x14ac:dyDescent="0.25">
      <c r="C149" s="89" t="str">
        <f t="shared" si="4"/>
        <v>25-. OTRA ISAPRE</v>
      </c>
      <c r="D149" s="141">
        <f t="shared" si="5"/>
        <v>7.0000000000000007E-2</v>
      </c>
    </row>
    <row r="150" spans="3:4" ht="13.5" hidden="1" thickBot="1" x14ac:dyDescent="0.25">
      <c r="C150" s="89" t="str">
        <f t="shared" si="4"/>
        <v>26-. OTRA ISAPRE</v>
      </c>
      <c r="D150" s="141">
        <f t="shared" si="5"/>
        <v>7.0000000000000007E-2</v>
      </c>
    </row>
    <row r="151" spans="3:4" ht="13.5" hidden="1" thickBot="1" x14ac:dyDescent="0.25">
      <c r="C151" s="89" t="str">
        <f t="shared" si="4"/>
        <v>27-. OTRA ISAPRE</v>
      </c>
      <c r="D151" s="141">
        <f t="shared" si="5"/>
        <v>7.0000000000000007E-2</v>
      </c>
    </row>
    <row r="152" spans="3:4" ht="13.5" hidden="1" thickBot="1" x14ac:dyDescent="0.25">
      <c r="C152" s="89" t="str">
        <f t="shared" si="4"/>
        <v>28-. OTRA ISAPRE</v>
      </c>
      <c r="D152" s="141">
        <f t="shared" si="5"/>
        <v>7.0000000000000007E-2</v>
      </c>
    </row>
    <row r="153" spans="3:4" ht="13.5" hidden="1" thickBot="1" x14ac:dyDescent="0.25">
      <c r="C153" s="89" t="str">
        <f t="shared" si="4"/>
        <v>29-. OTRA ISAPRE</v>
      </c>
      <c r="D153" s="141">
        <f t="shared" si="5"/>
        <v>7.0000000000000007E-2</v>
      </c>
    </row>
    <row r="154" spans="3:4" ht="13.5" hidden="1" thickBot="1" x14ac:dyDescent="0.25">
      <c r="C154" s="89" t="str">
        <f t="shared" si="4"/>
        <v>30-. OTRA ISAPRE</v>
      </c>
      <c r="D154" s="141">
        <f t="shared" si="5"/>
        <v>7.0000000000000007E-2</v>
      </c>
    </row>
    <row r="168" spans="1:3" x14ac:dyDescent="0.2">
      <c r="A168" s="173"/>
      <c r="B168" s="173"/>
      <c r="C168" s="173"/>
    </row>
    <row r="169" spans="1:3" x14ac:dyDescent="0.2">
      <c r="A169" s="158"/>
      <c r="B169" s="158"/>
      <c r="C169" s="158"/>
    </row>
    <row r="170" spans="1:3" x14ac:dyDescent="0.2">
      <c r="A170" s="173"/>
      <c r="B170" s="174"/>
      <c r="C170" s="158"/>
    </row>
    <row r="171" spans="1:3" x14ac:dyDescent="0.2">
      <c r="A171" s="158"/>
      <c r="B171" s="174"/>
      <c r="C171" s="158"/>
    </row>
    <row r="172" spans="1:3" x14ac:dyDescent="0.2">
      <c r="A172" s="158"/>
      <c r="B172" s="174"/>
      <c r="C172" s="158"/>
    </row>
    <row r="173" spans="1:3" x14ac:dyDescent="0.2">
      <c r="A173" s="158"/>
      <c r="B173" s="174"/>
      <c r="C173" s="158"/>
    </row>
    <row r="174" spans="1:3" x14ac:dyDescent="0.2">
      <c r="A174" s="158"/>
      <c r="B174" s="158"/>
      <c r="C174" s="158"/>
    </row>
    <row r="175" spans="1:3" x14ac:dyDescent="0.2">
      <c r="A175" s="44"/>
      <c r="B175" s="45"/>
    </row>
    <row r="176" spans="1:3" x14ac:dyDescent="0.2">
      <c r="A176" s="45"/>
      <c r="B176" s="45"/>
    </row>
    <row r="177" spans="1:27" x14ac:dyDescent="0.2">
      <c r="A177" s="45"/>
      <c r="B177" s="45"/>
    </row>
    <row r="179" spans="1:27" x14ac:dyDescent="0.2">
      <c r="A179" s="44"/>
      <c r="B179" s="45"/>
    </row>
    <row r="180" spans="1:27" x14ac:dyDescent="0.2">
      <c r="A180" s="45"/>
      <c r="B180" s="45"/>
    </row>
    <row r="181" spans="1:27" x14ac:dyDescent="0.2">
      <c r="A181" s="45"/>
      <c r="B181" s="45"/>
    </row>
    <row r="183" spans="1:27" x14ac:dyDescent="0.2">
      <c r="A183" s="44"/>
      <c r="B183" s="45"/>
    </row>
    <row r="185" spans="1:27" x14ac:dyDescent="0.2">
      <c r="A185" s="44"/>
      <c r="B185" s="45"/>
    </row>
    <row r="186" spans="1:27" x14ac:dyDescent="0.2">
      <c r="A186" s="45"/>
      <c r="B186" s="45"/>
    </row>
    <row r="187" spans="1:27" x14ac:dyDescent="0.2">
      <c r="A187" s="45"/>
      <c r="B187" s="45"/>
    </row>
    <row r="188" spans="1:27" x14ac:dyDescent="0.2">
      <c r="W188" s="188"/>
      <c r="X188" s="188"/>
      <c r="Y188" s="188"/>
      <c r="Z188" s="188"/>
      <c r="AA188" s="188"/>
    </row>
    <row r="189" spans="1:27" x14ac:dyDescent="0.2">
      <c r="A189" s="45"/>
      <c r="B189" s="45"/>
    </row>
    <row r="190" spans="1:27" x14ac:dyDescent="0.2">
      <c r="A190" s="45"/>
      <c r="B190" s="45"/>
      <c r="D190" s="68"/>
      <c r="E190" s="68"/>
      <c r="F190" s="68"/>
    </row>
    <row r="191" spans="1:27" x14ac:dyDescent="0.2">
      <c r="A191" s="45"/>
      <c r="B191" s="45"/>
      <c r="D191" s="68"/>
      <c r="E191" s="68"/>
      <c r="F191" s="68"/>
    </row>
    <row r="192" spans="1:27" x14ac:dyDescent="0.2">
      <c r="D192" s="68"/>
      <c r="E192" s="68"/>
      <c r="F192" s="68"/>
    </row>
    <row r="193" spans="1:6" x14ac:dyDescent="0.2">
      <c r="A193" s="44"/>
      <c r="B193" s="45"/>
      <c r="D193" s="68"/>
      <c r="E193" s="68"/>
      <c r="F193" s="68"/>
    </row>
    <row r="194" spans="1:6" x14ac:dyDescent="0.2">
      <c r="A194" s="45"/>
      <c r="B194" s="45"/>
      <c r="D194" s="68"/>
      <c r="E194" s="68"/>
      <c r="F194" s="68"/>
    </row>
    <row r="195" spans="1:6" x14ac:dyDescent="0.2">
      <c r="A195" s="45"/>
      <c r="B195" s="45"/>
      <c r="D195" s="68"/>
      <c r="E195" s="68"/>
      <c r="F195" s="68"/>
    </row>
    <row r="196" spans="1:6" x14ac:dyDescent="0.2">
      <c r="A196" s="45"/>
      <c r="B196" s="45"/>
      <c r="D196" s="68"/>
      <c r="E196" s="68"/>
      <c r="F196" s="68"/>
    </row>
    <row r="197" spans="1:6" x14ac:dyDescent="0.2">
      <c r="D197" s="68"/>
      <c r="E197" s="68"/>
      <c r="F197" s="68"/>
    </row>
    <row r="198" spans="1:6" x14ac:dyDescent="0.2">
      <c r="A198" s="44"/>
      <c r="B198" s="45"/>
      <c r="D198" s="68"/>
      <c r="E198" s="68"/>
      <c r="F198" s="68"/>
    </row>
    <row r="199" spans="1:6" x14ac:dyDescent="0.2">
      <c r="A199" s="45"/>
      <c r="B199" s="45"/>
      <c r="D199" s="68"/>
      <c r="E199" s="68"/>
      <c r="F199" s="68"/>
    </row>
    <row r="200" spans="1:6" x14ac:dyDescent="0.2">
      <c r="A200" s="45"/>
      <c r="B200" s="45"/>
      <c r="D200" s="68"/>
      <c r="E200" s="68"/>
      <c r="F200" s="68"/>
    </row>
    <row r="201" spans="1:6" x14ac:dyDescent="0.2">
      <c r="D201" s="68"/>
      <c r="E201" s="68"/>
      <c r="F201" s="68"/>
    </row>
    <row r="202" spans="1:6" x14ac:dyDescent="0.2">
      <c r="A202" s="44"/>
      <c r="B202" s="45"/>
      <c r="D202" s="68"/>
      <c r="E202" s="68"/>
      <c r="F202" s="68"/>
    </row>
  </sheetData>
  <sheetProtection algorithmName="SHA-512" hashValue="QKb2Z2gCFRznR6HiBRoHmusRgCY3zZjYamdS7KViK4CnCSMLBm1HhHJdjUqlYGhf6RkpsVAfQuE9ZF/YxxDrFg==" saltValue="5YKeQ+n1LcGnnT4prERywA==" spinCount="100000" sheet="1" objects="1" scenarios="1" formatCells="0" formatColumns="0" formatRows="0" sort="0" autoFilter="0" pivotTables="0"/>
  <dataConsolidate/>
  <customSheetViews>
    <customSheetView guid="{1394C1FB-D78B-475F-959C-B8ED403A6673}" hiddenRows="1">
      <selection activeCell="C7" sqref="C7:E7"/>
      <pageMargins left="0.7" right="0.7" top="0.75" bottom="0.75" header="0.3" footer="0.3"/>
      <pageSetup orientation="portrait" horizontalDpi="300" r:id="rId1"/>
    </customSheetView>
    <customSheetView guid="{1BFFD2B6-AC36-4A58-AF65-CEA0131A94F3}" hiddenRows="1" topLeftCell="A19">
      <selection activeCell="J26" sqref="J26:K26"/>
      <pageMargins left="0.7" right="0.7" top="0.75" bottom="0.75" header="0.3" footer="0.3"/>
      <pageSetup orientation="portrait" horizontalDpi="300" verticalDpi="0" r:id="rId2"/>
    </customSheetView>
  </customSheetViews>
  <mergeCells count="701">
    <mergeCell ref="K122:S122"/>
    <mergeCell ref="K123:S123"/>
    <mergeCell ref="K111:S111"/>
    <mergeCell ref="K112:S112"/>
    <mergeCell ref="K113:S113"/>
    <mergeCell ref="K114:S114"/>
    <mergeCell ref="K115:S115"/>
    <mergeCell ref="K116:S116"/>
    <mergeCell ref="K117:S117"/>
    <mergeCell ref="K118:S118"/>
    <mergeCell ref="K119:S119"/>
    <mergeCell ref="K120:S120"/>
    <mergeCell ref="K121:S121"/>
    <mergeCell ref="K105:S105"/>
    <mergeCell ref="K106:S106"/>
    <mergeCell ref="K107:S107"/>
    <mergeCell ref="K108:S108"/>
    <mergeCell ref="K110:S110"/>
    <mergeCell ref="K109:S109"/>
    <mergeCell ref="K100:S100"/>
    <mergeCell ref="K101:S101"/>
    <mergeCell ref="K102:S102"/>
    <mergeCell ref="K103:S103"/>
    <mergeCell ref="K104:S104"/>
    <mergeCell ref="K97:S97"/>
    <mergeCell ref="K98:S98"/>
    <mergeCell ref="A95:C95"/>
    <mergeCell ref="D95:E95"/>
    <mergeCell ref="F95:G95"/>
    <mergeCell ref="H95:I95"/>
    <mergeCell ref="N91:S91"/>
    <mergeCell ref="N92:S92"/>
    <mergeCell ref="K94:S94"/>
    <mergeCell ref="K95:S95"/>
    <mergeCell ref="K96:S96"/>
    <mergeCell ref="D92:E92"/>
    <mergeCell ref="A93:C93"/>
    <mergeCell ref="D93:E93"/>
    <mergeCell ref="D94:E94"/>
    <mergeCell ref="A94:C94"/>
    <mergeCell ref="F93:G93"/>
    <mergeCell ref="F92:G92"/>
    <mergeCell ref="H92:I92"/>
    <mergeCell ref="F94:G94"/>
    <mergeCell ref="H94:I94"/>
    <mergeCell ref="H93:I93"/>
    <mergeCell ref="K86:M86"/>
    <mergeCell ref="N86:S86"/>
    <mergeCell ref="N88:S89"/>
    <mergeCell ref="K87:M87"/>
    <mergeCell ref="N87:S87"/>
    <mergeCell ref="K88:M89"/>
    <mergeCell ref="K91:M92"/>
    <mergeCell ref="X69:Y69"/>
    <mergeCell ref="X70:Y70"/>
    <mergeCell ref="X71:Y71"/>
    <mergeCell ref="K69:M69"/>
    <mergeCell ref="K82:M82"/>
    <mergeCell ref="K83:M83"/>
    <mergeCell ref="K84:M84"/>
    <mergeCell ref="K85:M85"/>
    <mergeCell ref="N85:S85"/>
    <mergeCell ref="Z70:AA70"/>
    <mergeCell ref="Z71:AA71"/>
    <mergeCell ref="K72:N72"/>
    <mergeCell ref="O72:Q72"/>
    <mergeCell ref="N81:S81"/>
    <mergeCell ref="N82:S82"/>
    <mergeCell ref="U77:AD79"/>
    <mergeCell ref="K73:Q73"/>
    <mergeCell ref="AC70:AD70"/>
    <mergeCell ref="AC71:AD71"/>
    <mergeCell ref="K74:O74"/>
    <mergeCell ref="P74:Q74"/>
    <mergeCell ref="K70:M70"/>
    <mergeCell ref="K71:M71"/>
    <mergeCell ref="A134:AD134"/>
    <mergeCell ref="A70:A73"/>
    <mergeCell ref="B73:D73"/>
    <mergeCell ref="A81:I83"/>
    <mergeCell ref="A84:I86"/>
    <mergeCell ref="A87:I89"/>
    <mergeCell ref="K81:M81"/>
    <mergeCell ref="A91:I91"/>
    <mergeCell ref="U81:AD82"/>
    <mergeCell ref="U83:AD87"/>
    <mergeCell ref="U88:AD89"/>
    <mergeCell ref="U90:AD99"/>
    <mergeCell ref="U100:AD101"/>
    <mergeCell ref="U102:AD117"/>
    <mergeCell ref="V73:W73"/>
    <mergeCell ref="AC73:AD73"/>
    <mergeCell ref="N83:S83"/>
    <mergeCell ref="N84:S84"/>
    <mergeCell ref="B70:D71"/>
    <mergeCell ref="E70:H70"/>
    <mergeCell ref="G71:H71"/>
    <mergeCell ref="E71:F71"/>
    <mergeCell ref="B72:D72"/>
    <mergeCell ref="A92:C92"/>
    <mergeCell ref="T66:U66"/>
    <mergeCell ref="T67:U67"/>
    <mergeCell ref="T68:U68"/>
    <mergeCell ref="T69:U69"/>
    <mergeCell ref="T70:U70"/>
    <mergeCell ref="T71:U71"/>
    <mergeCell ref="T73:U73"/>
    <mergeCell ref="O70:Q70"/>
    <mergeCell ref="T72:U72"/>
    <mergeCell ref="O71:Q71"/>
    <mergeCell ref="O69:Q69"/>
    <mergeCell ref="T64:AD64"/>
    <mergeCell ref="AC65:AD65"/>
    <mergeCell ref="T65:U65"/>
    <mergeCell ref="V65:W65"/>
    <mergeCell ref="X65:Y65"/>
    <mergeCell ref="X59:AD62"/>
    <mergeCell ref="X45:AD45"/>
    <mergeCell ref="X46:AD46"/>
    <mergeCell ref="X47:AD47"/>
    <mergeCell ref="X48:AD48"/>
    <mergeCell ref="U45:W45"/>
    <mergeCell ref="U46:W46"/>
    <mergeCell ref="U47:W47"/>
    <mergeCell ref="U48:W48"/>
    <mergeCell ref="U49:W49"/>
    <mergeCell ref="U50:W50"/>
    <mergeCell ref="X49:AD49"/>
    <mergeCell ref="X50:AD50"/>
    <mergeCell ref="X52:AD55"/>
    <mergeCell ref="V67:W67"/>
    <mergeCell ref="X73:Y73"/>
    <mergeCell ref="Z73:AA73"/>
    <mergeCell ref="Z67:AA67"/>
    <mergeCell ref="Z68:AA68"/>
    <mergeCell ref="AC66:AD66"/>
    <mergeCell ref="AC67:AD67"/>
    <mergeCell ref="V66:W66"/>
    <mergeCell ref="Z65:AA65"/>
    <mergeCell ref="V68:W68"/>
    <mergeCell ref="X66:Y66"/>
    <mergeCell ref="X67:Y67"/>
    <mergeCell ref="X68:Y68"/>
    <mergeCell ref="AC68:AD68"/>
    <mergeCell ref="Z66:AA66"/>
    <mergeCell ref="V72:W72"/>
    <mergeCell ref="X72:Y72"/>
    <mergeCell ref="Z72:AA72"/>
    <mergeCell ref="AC72:AD72"/>
    <mergeCell ref="V70:W70"/>
    <mergeCell ref="V71:W71"/>
    <mergeCell ref="V69:W69"/>
    <mergeCell ref="Z69:AA69"/>
    <mergeCell ref="AC69:AD69"/>
    <mergeCell ref="O59:P61"/>
    <mergeCell ref="J59:J62"/>
    <mergeCell ref="K59:N59"/>
    <mergeCell ref="K60:N60"/>
    <mergeCell ref="K61:N61"/>
    <mergeCell ref="K62:S62"/>
    <mergeCell ref="K64:M65"/>
    <mergeCell ref="Q61:R61"/>
    <mergeCell ref="N64:Q64"/>
    <mergeCell ref="Q59:R59"/>
    <mergeCell ref="Q60:R60"/>
    <mergeCell ref="N65:O65"/>
    <mergeCell ref="J64:J67"/>
    <mergeCell ref="K66:L66"/>
    <mergeCell ref="K67:L67"/>
    <mergeCell ref="P65:Q65"/>
    <mergeCell ref="U34:V34"/>
    <mergeCell ref="A35:B35"/>
    <mergeCell ref="A33:B33"/>
    <mergeCell ref="C36:E36"/>
    <mergeCell ref="F36:G36"/>
    <mergeCell ref="H36:I36"/>
    <mergeCell ref="F16:G16"/>
    <mergeCell ref="F17:G17"/>
    <mergeCell ref="H22:I22"/>
    <mergeCell ref="H18:I18"/>
    <mergeCell ref="H19:I19"/>
    <mergeCell ref="F18:G18"/>
    <mergeCell ref="F19:G19"/>
    <mergeCell ref="F20:G20"/>
    <mergeCell ref="H17:I17"/>
    <mergeCell ref="F23:G23"/>
    <mergeCell ref="F24:G24"/>
    <mergeCell ref="F25:G25"/>
    <mergeCell ref="H35:I35"/>
    <mergeCell ref="C35:E35"/>
    <mergeCell ref="J29:K29"/>
    <mergeCell ref="N31:P31"/>
    <mergeCell ref="Q30:R30"/>
    <mergeCell ref="J30:K30"/>
    <mergeCell ref="J31:K31"/>
    <mergeCell ref="C32:AE32"/>
    <mergeCell ref="F33:G33"/>
    <mergeCell ref="F31:G31"/>
    <mergeCell ref="F35:G35"/>
    <mergeCell ref="F30:G30"/>
    <mergeCell ref="C33:E33"/>
    <mergeCell ref="C29:E29"/>
    <mergeCell ref="C30:E30"/>
    <mergeCell ref="C31:E31"/>
    <mergeCell ref="Q33:R33"/>
    <mergeCell ref="W33:X33"/>
    <mergeCell ref="Y33:Z33"/>
    <mergeCell ref="Y35:Z35"/>
    <mergeCell ref="AA35:AB35"/>
    <mergeCell ref="U33:V33"/>
    <mergeCell ref="N33:P33"/>
    <mergeCell ref="L30:M30"/>
    <mergeCell ref="S31:T31"/>
    <mergeCell ref="S29:T29"/>
    <mergeCell ref="Q31:R31"/>
    <mergeCell ref="U29:V29"/>
    <mergeCell ref="U30:V30"/>
    <mergeCell ref="U31:V31"/>
    <mergeCell ref="Q28:R28"/>
    <mergeCell ref="C27:E27"/>
    <mergeCell ref="C28:E28"/>
    <mergeCell ref="F29:G29"/>
    <mergeCell ref="AC27:AD27"/>
    <mergeCell ref="AC28:AD28"/>
    <mergeCell ref="AC29:AD29"/>
    <mergeCell ref="AC30:AD30"/>
    <mergeCell ref="AC31:AD31"/>
    <mergeCell ref="AA30:AB30"/>
    <mergeCell ref="AA31:AB31"/>
    <mergeCell ref="Y28:Z28"/>
    <mergeCell ref="Y29:Z29"/>
    <mergeCell ref="Y30:Z30"/>
    <mergeCell ref="Q29:R29"/>
    <mergeCell ref="S30:T30"/>
    <mergeCell ref="H31:I31"/>
    <mergeCell ref="Y31:Z31"/>
    <mergeCell ref="J28:K28"/>
    <mergeCell ref="L28:M28"/>
    <mergeCell ref="L31:M31"/>
    <mergeCell ref="N28:P28"/>
    <mergeCell ref="N29:P29"/>
    <mergeCell ref="N30:P30"/>
    <mergeCell ref="F34:G34"/>
    <mergeCell ref="A31:B31"/>
    <mergeCell ref="A32:B32"/>
    <mergeCell ref="B59:D59"/>
    <mergeCell ref="H59:H63"/>
    <mergeCell ref="A45:G45"/>
    <mergeCell ref="A48:B48"/>
    <mergeCell ref="A49:B49"/>
    <mergeCell ref="A46:D46"/>
    <mergeCell ref="E46:G46"/>
    <mergeCell ref="E47:F47"/>
    <mergeCell ref="E48:F48"/>
    <mergeCell ref="A47:B47"/>
    <mergeCell ref="A50:B50"/>
    <mergeCell ref="A51:B51"/>
    <mergeCell ref="E50:F50"/>
    <mergeCell ref="A52:B52"/>
    <mergeCell ref="A54:B54"/>
    <mergeCell ref="E60:F60"/>
    <mergeCell ref="A55:B55"/>
    <mergeCell ref="E51:F51"/>
    <mergeCell ref="E49:F49"/>
    <mergeCell ref="H46:H57"/>
    <mergeCell ref="E57:F57"/>
    <mergeCell ref="A24:B24"/>
    <mergeCell ref="A25:B25"/>
    <mergeCell ref="A26:B26"/>
    <mergeCell ref="A27:B27"/>
    <mergeCell ref="A28:B28"/>
    <mergeCell ref="C24:E24"/>
    <mergeCell ref="C25:E25"/>
    <mergeCell ref="C26:E26"/>
    <mergeCell ref="A37:B37"/>
    <mergeCell ref="A36:B36"/>
    <mergeCell ref="C34:E34"/>
    <mergeCell ref="R50:S50"/>
    <mergeCell ref="J47:K47"/>
    <mergeCell ref="E52:F52"/>
    <mergeCell ref="M53:N53"/>
    <mergeCell ref="A43:AE43"/>
    <mergeCell ref="A42:AE42"/>
    <mergeCell ref="R52:S52"/>
    <mergeCell ref="P53:S57"/>
    <mergeCell ref="R51:S51"/>
    <mergeCell ref="P51:Q51"/>
    <mergeCell ref="J50:K50"/>
    <mergeCell ref="P52:Q52"/>
    <mergeCell ref="J52:K52"/>
    <mergeCell ref="M52:N52"/>
    <mergeCell ref="J49:K49"/>
    <mergeCell ref="P50:Q50"/>
    <mergeCell ref="R47:S47"/>
    <mergeCell ref="M48:N48"/>
    <mergeCell ref="M49:N49"/>
    <mergeCell ref="M50:N50"/>
    <mergeCell ref="R48:S48"/>
    <mergeCell ref="R49:S49"/>
    <mergeCell ref="M47:N47"/>
    <mergeCell ref="P45:Q45"/>
    <mergeCell ref="P46:Q46"/>
    <mergeCell ref="P47:Q47"/>
    <mergeCell ref="P48:Q48"/>
    <mergeCell ref="P49:Q49"/>
    <mergeCell ref="J48:K48"/>
    <mergeCell ref="A39:AE39"/>
    <mergeCell ref="A40:AE40"/>
    <mergeCell ref="A41:AE41"/>
    <mergeCell ref="AA23:AB23"/>
    <mergeCell ref="AA24:AB24"/>
    <mergeCell ref="AA25:AB25"/>
    <mergeCell ref="AA26:AB26"/>
    <mergeCell ref="J26:K26"/>
    <mergeCell ref="J27:K27"/>
    <mergeCell ref="Y36:Z36"/>
    <mergeCell ref="AA36:AB36"/>
    <mergeCell ref="R46:S46"/>
    <mergeCell ref="R45:S45"/>
    <mergeCell ref="J45:O45"/>
    <mergeCell ref="J46:O46"/>
    <mergeCell ref="S34:T34"/>
    <mergeCell ref="S33:T33"/>
    <mergeCell ref="AA37:AB37"/>
    <mergeCell ref="L29:M29"/>
    <mergeCell ref="AA27:AB27"/>
    <mergeCell ref="AA28:AB28"/>
    <mergeCell ref="AA29:AB29"/>
    <mergeCell ref="Y27:Z27"/>
    <mergeCell ref="W27:X27"/>
    <mergeCell ref="AA22:AB22"/>
    <mergeCell ref="AA17:AB17"/>
    <mergeCell ref="W28:X28"/>
    <mergeCell ref="W29:X29"/>
    <mergeCell ref="Y22:Z22"/>
    <mergeCell ref="W22:X22"/>
    <mergeCell ref="AA18:AB18"/>
    <mergeCell ref="AA19:AB19"/>
    <mergeCell ref="AA20:AB20"/>
    <mergeCell ref="AA21:AB21"/>
    <mergeCell ref="W19:X19"/>
    <mergeCell ref="W20:X20"/>
    <mergeCell ref="Y18:Z18"/>
    <mergeCell ref="Y19:Z19"/>
    <mergeCell ref="Y20:Z20"/>
    <mergeCell ref="W21:X21"/>
    <mergeCell ref="Y21:Z21"/>
    <mergeCell ref="Y17:Z17"/>
    <mergeCell ref="W18:X18"/>
    <mergeCell ref="W30:X30"/>
    <mergeCell ref="U28:V28"/>
    <mergeCell ref="W31:X31"/>
    <mergeCell ref="Y23:Z23"/>
    <mergeCell ref="Y24:Z24"/>
    <mergeCell ref="Y25:Z25"/>
    <mergeCell ref="Y26:Z26"/>
    <mergeCell ref="W26:X26"/>
    <mergeCell ref="W23:X23"/>
    <mergeCell ref="W24:X24"/>
    <mergeCell ref="W25:X25"/>
    <mergeCell ref="AC26:AD26"/>
    <mergeCell ref="AC13:AD13"/>
    <mergeCell ref="AC14:AD14"/>
    <mergeCell ref="AC15:AD15"/>
    <mergeCell ref="AC16:AD16"/>
    <mergeCell ref="AC17:AD17"/>
    <mergeCell ref="AC18:AD18"/>
    <mergeCell ref="AC19:AD19"/>
    <mergeCell ref="AC20:AD20"/>
    <mergeCell ref="AC21:AD21"/>
    <mergeCell ref="AA4:AB5"/>
    <mergeCell ref="AC7:AD7"/>
    <mergeCell ref="AC8:AD8"/>
    <mergeCell ref="AC9:AD9"/>
    <mergeCell ref="AC10:AD10"/>
    <mergeCell ref="AC22:AD22"/>
    <mergeCell ref="AC23:AD23"/>
    <mergeCell ref="AC24:AD24"/>
    <mergeCell ref="AC25:AD25"/>
    <mergeCell ref="W4:X5"/>
    <mergeCell ref="AC11:AD11"/>
    <mergeCell ref="AC12:AD12"/>
    <mergeCell ref="W7:X7"/>
    <mergeCell ref="W8:X8"/>
    <mergeCell ref="W9:X9"/>
    <mergeCell ref="W10:X10"/>
    <mergeCell ref="W16:X16"/>
    <mergeCell ref="W11:X11"/>
    <mergeCell ref="W12:X12"/>
    <mergeCell ref="AC4:AD5"/>
    <mergeCell ref="Y7:Z7"/>
    <mergeCell ref="Y8:Z8"/>
    <mergeCell ref="Y9:Z9"/>
    <mergeCell ref="Y10:Z10"/>
    <mergeCell ref="Y11:Z11"/>
    <mergeCell ref="Y12:Z12"/>
    <mergeCell ref="AA7:AB7"/>
    <mergeCell ref="AA8:AB8"/>
    <mergeCell ref="AA9:AB9"/>
    <mergeCell ref="AA10:AB10"/>
    <mergeCell ref="AA11:AB11"/>
    <mergeCell ref="AA12:AB12"/>
    <mergeCell ref="Y4:Z5"/>
    <mergeCell ref="W17:X17"/>
    <mergeCell ref="AA13:AB13"/>
    <mergeCell ref="AA14:AB14"/>
    <mergeCell ref="AA15:AB15"/>
    <mergeCell ref="AA16:AB16"/>
    <mergeCell ref="Y13:Z13"/>
    <mergeCell ref="Y14:Z14"/>
    <mergeCell ref="Y15:Z15"/>
    <mergeCell ref="W13:X13"/>
    <mergeCell ref="W14:X14"/>
    <mergeCell ref="W15:X15"/>
    <mergeCell ref="S15:T15"/>
    <mergeCell ref="S16:T16"/>
    <mergeCell ref="Y16:Z16"/>
    <mergeCell ref="S17:T17"/>
    <mergeCell ref="S18:T18"/>
    <mergeCell ref="U4:V5"/>
    <mergeCell ref="U7:V7"/>
    <mergeCell ref="U8:V8"/>
    <mergeCell ref="U9:V9"/>
    <mergeCell ref="U10:V10"/>
    <mergeCell ref="U11:V11"/>
    <mergeCell ref="U12:V12"/>
    <mergeCell ref="U13:V13"/>
    <mergeCell ref="U14:V14"/>
    <mergeCell ref="S4:T5"/>
    <mergeCell ref="S7:T7"/>
    <mergeCell ref="S8:T8"/>
    <mergeCell ref="S9:T9"/>
    <mergeCell ref="S10:T10"/>
    <mergeCell ref="S11:T11"/>
    <mergeCell ref="S12:T12"/>
    <mergeCell ref="S13:T13"/>
    <mergeCell ref="S14:T14"/>
    <mergeCell ref="U15:V15"/>
    <mergeCell ref="U16:V16"/>
    <mergeCell ref="U17:V17"/>
    <mergeCell ref="U18:V18"/>
    <mergeCell ref="S24:T24"/>
    <mergeCell ref="S25:T25"/>
    <mergeCell ref="S26:T26"/>
    <mergeCell ref="S27:T27"/>
    <mergeCell ref="S28:T28"/>
    <mergeCell ref="S19:T19"/>
    <mergeCell ref="S20:T20"/>
    <mergeCell ref="S21:T21"/>
    <mergeCell ref="S22:T22"/>
    <mergeCell ref="S23:T23"/>
    <mergeCell ref="U19:V19"/>
    <mergeCell ref="U20:V20"/>
    <mergeCell ref="U21:V21"/>
    <mergeCell ref="U22:V22"/>
    <mergeCell ref="U23:V23"/>
    <mergeCell ref="U24:V24"/>
    <mergeCell ref="U25:V25"/>
    <mergeCell ref="U26:V26"/>
    <mergeCell ref="U27:V27"/>
    <mergeCell ref="Q4:R5"/>
    <mergeCell ref="Q7:R7"/>
    <mergeCell ref="Q8:R8"/>
    <mergeCell ref="Q9:R9"/>
    <mergeCell ref="Q10:R10"/>
    <mergeCell ref="Q11:R11"/>
    <mergeCell ref="Q12:R12"/>
    <mergeCell ref="Q13:R13"/>
    <mergeCell ref="Q14:R14"/>
    <mergeCell ref="N4:P5"/>
    <mergeCell ref="N11:P11"/>
    <mergeCell ref="N16:P16"/>
    <mergeCell ref="N17:P17"/>
    <mergeCell ref="N18:P18"/>
    <mergeCell ref="N19:P19"/>
    <mergeCell ref="N20:P20"/>
    <mergeCell ref="N24:P24"/>
    <mergeCell ref="N25:P25"/>
    <mergeCell ref="N12:P12"/>
    <mergeCell ref="N13:P13"/>
    <mergeCell ref="N14:P14"/>
    <mergeCell ref="N15:P15"/>
    <mergeCell ref="N21:P21"/>
    <mergeCell ref="N22:P22"/>
    <mergeCell ref="N23:P23"/>
    <mergeCell ref="N7:P7"/>
    <mergeCell ref="N8:P8"/>
    <mergeCell ref="N9:P9"/>
    <mergeCell ref="N10:P10"/>
    <mergeCell ref="Q15:R15"/>
    <mergeCell ref="Q16:R16"/>
    <mergeCell ref="Q26:R26"/>
    <mergeCell ref="Q27:R27"/>
    <mergeCell ref="N26:P26"/>
    <mergeCell ref="N27:P27"/>
    <mergeCell ref="L25:M25"/>
    <mergeCell ref="L26:M26"/>
    <mergeCell ref="Q21:R21"/>
    <mergeCell ref="Q22:R22"/>
    <mergeCell ref="Q17:R17"/>
    <mergeCell ref="Q18:R18"/>
    <mergeCell ref="Q23:R23"/>
    <mergeCell ref="Q24:R24"/>
    <mergeCell ref="L23:M23"/>
    <mergeCell ref="L24:M24"/>
    <mergeCell ref="Q19:R19"/>
    <mergeCell ref="Q25:R25"/>
    <mergeCell ref="Q20:R20"/>
    <mergeCell ref="J22:K22"/>
    <mergeCell ref="J23:K23"/>
    <mergeCell ref="L27:M27"/>
    <mergeCell ref="L22:M22"/>
    <mergeCell ref="J24:K24"/>
    <mergeCell ref="J25:K25"/>
    <mergeCell ref="L4:M5"/>
    <mergeCell ref="L7:M7"/>
    <mergeCell ref="L8:M8"/>
    <mergeCell ref="L9:M9"/>
    <mergeCell ref="L10:M10"/>
    <mergeCell ref="L11:M11"/>
    <mergeCell ref="L12:M12"/>
    <mergeCell ref="L13:M13"/>
    <mergeCell ref="L14:M14"/>
    <mergeCell ref="J10:K10"/>
    <mergeCell ref="J11:K11"/>
    <mergeCell ref="J12:K12"/>
    <mergeCell ref="J13:K13"/>
    <mergeCell ref="J14:K14"/>
    <mergeCell ref="L18:M18"/>
    <mergeCell ref="L19:M19"/>
    <mergeCell ref="L20:M20"/>
    <mergeCell ref="L21:M21"/>
    <mergeCell ref="J15:K15"/>
    <mergeCell ref="J16:K16"/>
    <mergeCell ref="L15:M15"/>
    <mergeCell ref="L16:M16"/>
    <mergeCell ref="L17:M17"/>
    <mergeCell ref="J21:K21"/>
    <mergeCell ref="J19:K19"/>
    <mergeCell ref="J20:K20"/>
    <mergeCell ref="J17:K17"/>
    <mergeCell ref="J18:K18"/>
    <mergeCell ref="A21:B21"/>
    <mergeCell ref="H25:I25"/>
    <mergeCell ref="H26:I26"/>
    <mergeCell ref="H27:I27"/>
    <mergeCell ref="H28:I28"/>
    <mergeCell ref="A19:B19"/>
    <mergeCell ref="A20:B20"/>
    <mergeCell ref="A8:B8"/>
    <mergeCell ref="A9:B9"/>
    <mergeCell ref="H9:I9"/>
    <mergeCell ref="H10:I10"/>
    <mergeCell ref="H11:I11"/>
    <mergeCell ref="H12:I12"/>
    <mergeCell ref="H13:I13"/>
    <mergeCell ref="H20:I20"/>
    <mergeCell ref="H21:I21"/>
    <mergeCell ref="C10:E10"/>
    <mergeCell ref="C11:E11"/>
    <mergeCell ref="C12:E12"/>
    <mergeCell ref="C13:E13"/>
    <mergeCell ref="C14:E14"/>
    <mergeCell ref="F21:G21"/>
    <mergeCell ref="F22:G22"/>
    <mergeCell ref="F9:G9"/>
    <mergeCell ref="C1:AE1"/>
    <mergeCell ref="C2:AE2"/>
    <mergeCell ref="AE4:AE5"/>
    <mergeCell ref="A16:B16"/>
    <mergeCell ref="A17:B17"/>
    <mergeCell ref="A18:B18"/>
    <mergeCell ref="C7:E7"/>
    <mergeCell ref="C8:E8"/>
    <mergeCell ref="C9:E9"/>
    <mergeCell ref="C4:E5"/>
    <mergeCell ref="A6:AE6"/>
    <mergeCell ref="F11:G11"/>
    <mergeCell ref="F12:G12"/>
    <mergeCell ref="F13:G13"/>
    <mergeCell ref="F14:G14"/>
    <mergeCell ref="F15:G15"/>
    <mergeCell ref="F4:G5"/>
    <mergeCell ref="F7:G7"/>
    <mergeCell ref="F8:G8"/>
    <mergeCell ref="H8:I8"/>
    <mergeCell ref="J4:K5"/>
    <mergeCell ref="J7:K7"/>
    <mergeCell ref="J8:K8"/>
    <mergeCell ref="J9:K9"/>
    <mergeCell ref="F10:G10"/>
    <mergeCell ref="H4:I5"/>
    <mergeCell ref="H7:I7"/>
    <mergeCell ref="A7:B7"/>
    <mergeCell ref="W34:X34"/>
    <mergeCell ref="Y34:Z34"/>
    <mergeCell ref="AA34:AB34"/>
    <mergeCell ref="AC34:AD34"/>
    <mergeCell ref="AA33:AB33"/>
    <mergeCell ref="AC33:AD33"/>
    <mergeCell ref="A22:B22"/>
    <mergeCell ref="A23:B23"/>
    <mergeCell ref="C20:E20"/>
    <mergeCell ref="C21:E21"/>
    <mergeCell ref="C22:E22"/>
    <mergeCell ref="C23:E23"/>
    <mergeCell ref="A29:B29"/>
    <mergeCell ref="A30:B30"/>
    <mergeCell ref="H23:I23"/>
    <mergeCell ref="H24:I24"/>
    <mergeCell ref="H30:I30"/>
    <mergeCell ref="N34:P34"/>
    <mergeCell ref="Q34:R34"/>
    <mergeCell ref="A10:B10"/>
    <mergeCell ref="A11:B11"/>
    <mergeCell ref="A12:B12"/>
    <mergeCell ref="A13:B13"/>
    <mergeCell ref="A14:B14"/>
    <mergeCell ref="A15:B15"/>
    <mergeCell ref="H34:I34"/>
    <mergeCell ref="J34:K34"/>
    <mergeCell ref="L34:M34"/>
    <mergeCell ref="H33:I33"/>
    <mergeCell ref="J33:K33"/>
    <mergeCell ref="L33:M33"/>
    <mergeCell ref="C15:E15"/>
    <mergeCell ref="C16:E16"/>
    <mergeCell ref="C17:E17"/>
    <mergeCell ref="C18:E18"/>
    <mergeCell ref="C19:E19"/>
    <mergeCell ref="H14:I14"/>
    <mergeCell ref="H15:I15"/>
    <mergeCell ref="A34:B34"/>
    <mergeCell ref="H29:I29"/>
    <mergeCell ref="F26:G26"/>
    <mergeCell ref="F27:G27"/>
    <mergeCell ref="F28:G28"/>
    <mergeCell ref="H16:I16"/>
    <mergeCell ref="AC36:AD36"/>
    <mergeCell ref="J35:K35"/>
    <mergeCell ref="L35:M35"/>
    <mergeCell ref="N35:P35"/>
    <mergeCell ref="Q35:R35"/>
    <mergeCell ref="S35:T35"/>
    <mergeCell ref="U35:V35"/>
    <mergeCell ref="J36:K36"/>
    <mergeCell ref="L36:M36"/>
    <mergeCell ref="N36:P36"/>
    <mergeCell ref="Q36:R36"/>
    <mergeCell ref="S36:T36"/>
    <mergeCell ref="U36:V36"/>
    <mergeCell ref="W35:X35"/>
    <mergeCell ref="W36:X36"/>
    <mergeCell ref="AC35:AD35"/>
    <mergeCell ref="AC37:AD37"/>
    <mergeCell ref="C37:E37"/>
    <mergeCell ref="F37:G37"/>
    <mergeCell ref="H37:I37"/>
    <mergeCell ref="J37:K37"/>
    <mergeCell ref="L37:M37"/>
    <mergeCell ref="N37:P37"/>
    <mergeCell ref="Q37:R37"/>
    <mergeCell ref="S37:T37"/>
    <mergeCell ref="U37:V37"/>
    <mergeCell ref="W37:X37"/>
    <mergeCell ref="Y37:Z37"/>
    <mergeCell ref="J53:K53"/>
    <mergeCell ref="M51:N51"/>
    <mergeCell ref="J51:K51"/>
    <mergeCell ref="A53:B53"/>
    <mergeCell ref="A56:B56"/>
    <mergeCell ref="A57:B57"/>
    <mergeCell ref="E53:F53"/>
    <mergeCell ref="M55:N55"/>
    <mergeCell ref="M56:N56"/>
    <mergeCell ref="M57:N57"/>
    <mergeCell ref="E55:F55"/>
    <mergeCell ref="E56:F56"/>
    <mergeCell ref="E54:F54"/>
    <mergeCell ref="J57:K57"/>
    <mergeCell ref="J54:K54"/>
    <mergeCell ref="J55:K55"/>
    <mergeCell ref="M54:N54"/>
    <mergeCell ref="J56:K56"/>
    <mergeCell ref="J69:J73"/>
    <mergeCell ref="E62:F62"/>
    <mergeCell ref="E63:F63"/>
    <mergeCell ref="E59:F59"/>
    <mergeCell ref="B60:D60"/>
    <mergeCell ref="B61:D61"/>
    <mergeCell ref="A65:C65"/>
    <mergeCell ref="B63:D63"/>
    <mergeCell ref="E65:G65"/>
    <mergeCell ref="H65:H68"/>
    <mergeCell ref="A67:G67"/>
    <mergeCell ref="E68:G68"/>
    <mergeCell ref="A66:C66"/>
    <mergeCell ref="A68:C68"/>
    <mergeCell ref="B62:D62"/>
    <mergeCell ref="E66:G66"/>
    <mergeCell ref="E61:F61"/>
  </mergeCells>
  <dataValidations count="5">
    <dataValidation type="list" allowBlank="1" showInputMessage="1" showErrorMessage="1" sqref="U7:V31 U33:V37">
      <formula1>ListadoAFP</formula1>
    </dataValidation>
    <dataValidation type="list" allowBlank="1" showInputMessage="1" showErrorMessage="1" promptTitle="Listado AFP" prompt="Para la salud, podra modificar los adicionales individualmente en la hoja de cada trabajador._x000a__x000a_Los calculos consideran los topes imponibles y rebaje de impuesto unico." sqref="W33:X37 W7:X31">
      <formula1>ListadoIsapres</formula1>
    </dataValidation>
    <dataValidation type="list" allowBlank="1" showInputMessage="1" showErrorMessage="1" sqref="Q7:R31 Q33:R37">
      <formula1>TipoContrato</formula1>
    </dataValidation>
    <dataValidation type="list" allowBlank="1" showInputMessage="1" showErrorMessage="1" sqref="R46:S46">
      <formula1>BalanceoHE</formula1>
    </dataValidation>
    <dataValidation type="list" allowBlank="1" showInputMessage="1" showErrorMessage="1" sqref="P74:Q74">
      <formula1>ImpuestoUnico_OPC</formula1>
    </dataValidation>
  </dataValidations>
  <hyperlinks>
    <hyperlink ref="J64:J67" r:id="rId3" display="Cotización Trabajos Pesados"/>
    <hyperlink ref="P50:Q50" r:id="rId4" display="IPC Mensual"/>
    <hyperlink ref="P51:Q51" r:id="rId5" display="IPC Anual"/>
    <hyperlink ref="P48:Q48" r:id="rId6" display="UTM Mensual"/>
    <hyperlink ref="P47:Q47" r:id="rId7" display="UF Mensual"/>
    <hyperlink ref="P49:Q49" r:id="rId8" display="UTA Mensual"/>
    <hyperlink ref="P52:Q52" r:id="rId9" display="Prom. Dólar"/>
    <hyperlink ref="N87:S87" r:id="rId10" display="CC BY-ND 3.0"/>
    <hyperlink ref="A43" r:id="rId11"/>
    <hyperlink ref="A43:AE43" r:id="rId12" display="http://db.tt/hhepk7UT &lt;----- LUEGO DE REGISTRARSE, NO SE OLVIDEN INSTALARLO Y PROBARLO."/>
    <hyperlink ref="N85" r:id="rId13"/>
    <hyperlink ref="N86" r:id="rId14"/>
    <hyperlink ref="K117:S117" r:id="rId15" display="          Reportado por Christian en ContadorAuditor"/>
    <hyperlink ref="N81:S81" r:id="rId16" display="RemunExcel Chile"/>
  </hyperlinks>
  <pageMargins left="0.7" right="0.7" top="0.75" bottom="0.75" header="0.3" footer="0.3"/>
  <pageSetup orientation="portrait" horizontalDpi="300" r:id="rId17"/>
  <drawing r:id="rId18"/>
  <legacyDrawing r:id="rId1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AA290"/>
  <sheetViews>
    <sheetView showGridLines="0" workbookViewId="0">
      <pane ySplit="8" topLeftCell="A9" activePane="bottomLeft" state="frozen"/>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101"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0.5"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0.5" customHeight="1" x14ac:dyDescent="0.2">
      <c r="B4" s="15"/>
      <c r="C4" s="829" t="s">
        <v>22</v>
      </c>
      <c r="D4" s="829"/>
      <c r="E4" s="829"/>
      <c r="F4" s="844" t="str">
        <f>T141</f>
        <v>Nombre del Trabajador</v>
      </c>
      <c r="G4" s="845"/>
      <c r="H4" s="845"/>
      <c r="I4" s="709" t="s">
        <v>285</v>
      </c>
      <c r="J4" s="709"/>
      <c r="K4" s="709"/>
      <c r="L4" s="709"/>
      <c r="M4" s="674" t="s">
        <v>62</v>
      </c>
      <c r="N4" s="674"/>
      <c r="O4" s="674"/>
      <c r="P4" s="843">
        <f>I198</f>
        <v>833944</v>
      </c>
      <c r="Q4" s="843"/>
      <c r="R4" s="33"/>
      <c r="S4" s="112" t="s">
        <v>31</v>
      </c>
      <c r="T4" s="113" t="s">
        <v>32</v>
      </c>
      <c r="V4" s="12"/>
      <c r="W4" s="12"/>
    </row>
    <row r="5" spans="1:23" s="32" customFormat="1" ht="10.5" customHeight="1" x14ac:dyDescent="0.2">
      <c r="B5" s="15"/>
      <c r="C5" s="829" t="s">
        <v>23</v>
      </c>
      <c r="D5" s="829"/>
      <c r="E5" s="829"/>
      <c r="F5" s="843">
        <f>T148</f>
        <v>1000000</v>
      </c>
      <c r="G5" s="843"/>
      <c r="H5" s="843"/>
      <c r="I5" s="709"/>
      <c r="J5" s="709"/>
      <c r="K5" s="709"/>
      <c r="L5" s="709"/>
      <c r="M5" s="674" t="s">
        <v>17</v>
      </c>
      <c r="N5" s="674"/>
      <c r="O5" s="674"/>
      <c r="P5" s="843">
        <f>D129</f>
        <v>1076396</v>
      </c>
      <c r="Q5" s="843"/>
      <c r="R5" s="33"/>
      <c r="S5" s="114" t="s">
        <v>34</v>
      </c>
      <c r="T5" s="115" t="s">
        <v>52</v>
      </c>
      <c r="V5" s="12"/>
      <c r="W5" s="12"/>
    </row>
    <row r="6" spans="1:23" s="32" customFormat="1" ht="11.1" customHeight="1" x14ac:dyDescent="0.2">
      <c r="B6" s="15"/>
      <c r="C6" s="34"/>
      <c r="D6" s="34"/>
      <c r="E6" s="34"/>
      <c r="F6" s="96"/>
      <c r="G6" s="96"/>
      <c r="H6" s="96"/>
      <c r="I6" s="709"/>
      <c r="J6" s="709"/>
      <c r="K6" s="709"/>
      <c r="L6" s="709"/>
      <c r="M6" s="35"/>
      <c r="N6" s="35"/>
      <c r="O6" s="35"/>
      <c r="P6" s="96"/>
      <c r="Q6" s="96"/>
      <c r="R6" s="96"/>
      <c r="S6" s="116" t="s">
        <v>39</v>
      </c>
      <c r="T6" s="117" t="s">
        <v>40</v>
      </c>
      <c r="V6" s="12"/>
      <c r="W6" s="12"/>
    </row>
    <row r="7" spans="1:23" s="32" customFormat="1" ht="11.1" customHeight="1" x14ac:dyDescent="0.2">
      <c r="B7" s="15"/>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639</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97" t="s">
        <v>45</v>
      </c>
      <c r="K13" s="97" t="s">
        <v>46</v>
      </c>
      <c r="L13" s="97" t="s">
        <v>57</v>
      </c>
      <c r="M13" s="97"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5185.1851851851852</v>
      </c>
      <c r="J14" s="1">
        <f>IF(OR(B14="N",B14="D",B14="F",B14="L",B14="F2",B14="P"),IF(B14="F2",IF(H14&lt;(G$7/2),(G$7/2)-H14,0),0),IF(H14&lt;(G$7),G$7-H14,0))</f>
        <v>0</v>
      </c>
      <c r="K14" s="1">
        <f>IF(OR(B14="N",B14="D",B14="F",B14="L",B14="F2",B14="P"),(IF(B14="D",(E14-D14)+(G14-F14),IF(B14="F2",IF(H14&gt;(G$7/2),H14-(G$7/2),0),0))),IF(H14&gt;(G$7),H14-G$7,0))</f>
        <v>0</v>
      </c>
      <c r="L14" s="100"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5185.1851851851852</v>
      </c>
      <c r="J15" s="1">
        <f>IF(OR(B15="N",B15="D",B15="F",B15="L",B15="F2",B15="P"),IF(B15="F2",IF(H15&lt;(G$7/2),(G$7/2)-H15,0),0),IF(H15&lt;(G$7),G$7-H15,0))</f>
        <v>0</v>
      </c>
      <c r="K15" s="1">
        <f>IF(OR(B15="N",B15="D",B15="F",B15="L",B15="F2",B15="P"),(IF(B15="D",(E15-D15)+(G15-F15),IF(B15="F2",IF(H15&gt;(G$7/2),H15-(G$7/2),0),0))),IF(H15&gt;(G$7),H15-G$7,0))</f>
        <v>0</v>
      </c>
      <c r="L15" s="100"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5185.1851851851852</v>
      </c>
      <c r="J16" s="1">
        <f>IF(OR(B16="N",B16="D",B16="F",B16="L",B16="F2",B16="P"),IF(B16="F2",IF(H16&lt;(G$7/2),(G$7/2)-H16,0),0),IF(H16&lt;(G$7),G$7-H16,0))</f>
        <v>0</v>
      </c>
      <c r="K16" s="1">
        <f>IF(OR(B16="N",B16="D",B16="F",B16="L",B16="F2",B16="P"),(IF(B16="D",(E16-D16)+(G16-F16),IF(B16="F2",IF(H16&gt;(G$7/2),H16-(G$7/2),0),0))),IF(H16&gt;(G$7),H16-G$7,0))</f>
        <v>0</v>
      </c>
      <c r="L16" s="100"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5185.1851851851852</v>
      </c>
      <c r="J17" s="1">
        <f>IF(OR(B17="N",B17="D",B17="F",B17="L",B17="F2",B17="P"),IF(B17="F2",IF(H17&lt;(G$7/2),(G$7/2)-H17,0),0),IF(H17&lt;(G$7),G$7-H17,0))</f>
        <v>0</v>
      </c>
      <c r="K17" s="1">
        <f>IF(OR(B17="N",B17="D",B17="F",B17="L",B17="F2",B17="P"),(IF(B17="D",(E17-D17)+(G17-F17),IF(B17="F2",IF(H17&gt;(G$7/2),H17-(G$7/2),0),0))),IF(H17&gt;(G$7),H17-G$7,0))</f>
        <v>0</v>
      </c>
      <c r="L17" s="100"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5185.1851851851852</v>
      </c>
      <c r="J18" s="1">
        <f>IF(OR(B18="N",B18="D",B18="F",B18="L",B18="F2",B18="P"),IF(B18="F2",IF(H18&lt;(G$7/2),(G$7/2)-H18,0),0),IF(H18&lt;(G$7),G$7-H18,0))</f>
        <v>0</v>
      </c>
      <c r="K18" s="1">
        <f>IF(OR(B18="N",B18="D",B18="F",B18="L",B18="F2",B18="P"),(IF(B18="D",(E18-D18)+(G18-F18),IF(B18="F2",IF(H18&gt;(G$7/2),H18-(G$7/2),0),0))),IF(H18&gt;(G$7),H18-G$7,0))</f>
        <v>0</v>
      </c>
      <c r="L18" s="100"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5185.1851851851852</v>
      </c>
      <c r="J19" s="1">
        <f>IF(OR(B19="N",B19="D",B19="F",B19="L",B19="F2",B19="P"),IF(B19="F2",IF(H19&lt;(P$7/2),(P$7/2)-H19,0),0),IF(H19&lt;(P$7),P$7-H19,0))</f>
        <v>0</v>
      </c>
      <c r="K19" s="1">
        <f>IF(OR(B19="N",B19="D",B19="F",B19="L",B19="F2",B19="P"),(IF(B19="D",(E19-D19)+(G19-F19),IF(B19="F2",IF(H19&gt;(P$7/2),H19-(P$7/2),0),0))),IF(H19&gt;(P$7),H19-P$7,0))</f>
        <v>0</v>
      </c>
      <c r="L19" s="100"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7777.7</v>
      </c>
      <c r="J20" s="1">
        <f>IF(OR(B20="N",B20="D",B20="F",B20="L",B20="F2",B20="P"),IF(B20="F2",IF(H20&lt;(P$7/2),(P$7/2)-H20,0),0),IF(H20&lt;(P$7),P$7-H20,0))</f>
        <v>0</v>
      </c>
      <c r="K20" s="1">
        <f>IF(OR(B20="N",B20="D",B20="F",B20="L",B20="F2",B20="P"),(IF(B20="D",(E20-D20)+(G20-F20),IF(B20="F2",IF(H20&gt;(P$7/2),H20-(P$7/2),0),0))),IF(H20&gt;(P$7),H20-P$7,0))</f>
        <v>0</v>
      </c>
      <c r="L20" s="100"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62"/>
      <c r="U21" s="62"/>
      <c r="V21" s="62"/>
      <c r="W21" s="62"/>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62"/>
      <c r="U22" s="62"/>
      <c r="V22" s="62"/>
      <c r="W22" s="62"/>
    </row>
    <row r="23" spans="1:23" ht="11.1" customHeight="1" x14ac:dyDescent="0.2">
      <c r="A23" s="12"/>
      <c r="B23" s="12"/>
      <c r="C23" s="12"/>
      <c r="D23" s="12"/>
      <c r="E23" s="12"/>
      <c r="F23" s="12"/>
      <c r="G23" s="12"/>
      <c r="H23" s="12"/>
      <c r="I23" s="12"/>
      <c r="J23" s="12"/>
      <c r="K23" s="12"/>
      <c r="L23" s="12"/>
      <c r="M23" s="12"/>
      <c r="N23" s="12"/>
      <c r="O23" s="12"/>
      <c r="P23" s="22"/>
      <c r="Q23" s="22"/>
      <c r="R23" s="22"/>
      <c r="S23" s="22"/>
      <c r="T23" s="62"/>
      <c r="U23" s="62"/>
      <c r="V23" s="62"/>
      <c r="W23" s="62"/>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5185.1851851851852</v>
      </c>
      <c r="J24" s="1">
        <f>IF(OR(B24="N",B24="D",B24="F",B24="L",B24="F2",B24="P"),IF(B24="F2",IF(H24&lt;(G$7/2),(G$7/2)-H24,0),0),IF(H24&lt;G$7,G$7-H24,0))</f>
        <v>0</v>
      </c>
      <c r="K24" s="1">
        <f>IF(OR(B24="N",B24="D",B24="F",B24="L",B24="F2",B24="P"),(IF(B24="D",(E24-D24)+(G24-F24),IF(B24="F2",IF(H24&gt;(G$7/2),H24-(G$7/2),0),0))),IF(H24&gt;G$7,H24-G$7,0))</f>
        <v>0</v>
      </c>
      <c r="L24" s="100"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5185.1851851851852</v>
      </c>
      <c r="J25" s="1">
        <f>IF(OR(B25="N",B25="D",B25="F",B25="L",B25="F2",B25="P"),IF(B25="F2",IF(H25&lt;(G$7/2),(G$7/2)-H25,0),0),IF(H25&lt;G$7,G$7-H25,0))</f>
        <v>0</v>
      </c>
      <c r="K25" s="1">
        <f>IF(OR(B25="N",B25="D",B25="F",B25="L",B25="F2",B25="P"),(IF(B25="D",(E25-D25)+(G25-F25),IF(B25="F2",IF(H25&gt;(G$7/2),H25-(G$7/2),0),0))),IF(H25&gt;G$7,H25-G$7,0))</f>
        <v>0</v>
      </c>
      <c r="L25" s="100"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5185.1851851851852</v>
      </c>
      <c r="J26" s="1">
        <f>IF(OR(B26="N",B26="D",B26="F",B26="L",B26="F2",B26="P"),IF(B26="F2",IF(H26&lt;(G$7/2),(G$7/2)-H26,0),0),IF(H26&lt;G$7,G$7-H26,0))</f>
        <v>0</v>
      </c>
      <c r="K26" s="1">
        <f>IF(OR(B26="N",B26="D",B26="F",B26="L",B26="F2",B26="P"),(IF(B26="D",(E26-D26)+(G26-F26),IF(B26="F2",IF(H26&gt;(G$7/2),H26-(G$7/2),0),0))),IF(H26&gt;G$7,H26-G$7,0))</f>
        <v>0</v>
      </c>
      <c r="L26" s="100"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5185.1851851851852</v>
      </c>
      <c r="J27" s="1">
        <f>IF(OR(B27="N",B27="D",B27="F",B27="L",B27="F2",B27="P"),IF(B27="F2",IF(H27&lt;(G$7/2),(G$7/2)-H27,0),0),IF(H27&lt;G$7,G$7-H27,0))</f>
        <v>0</v>
      </c>
      <c r="K27" s="1">
        <f>IF(OR(B27="N",B27="D",B27="F",B27="L",B27="F2",B27="P"),(IF(B27="D",(E27-D27)+(G27-F27),IF(B27="F2",IF(H27&gt;(G$7/2),H27-(G$7/2),0),0))),IF(H27&gt;G$7,H27-G$7,0))</f>
        <v>0</v>
      </c>
      <c r="L27" s="100"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5185.1851851851852</v>
      </c>
      <c r="J28" s="1">
        <f>IF(OR(B28="N",B28="D",B28="F",B28="L",B28="F2",B28="P"),IF(B28="F2",IF(H28&lt;(G$7/2),(G$7/2)-H28,0),0),IF(H28&lt;G$7,G$7-H28,0))</f>
        <v>0</v>
      </c>
      <c r="K28" s="1">
        <f>IF(OR(B28="N",B28="D",B28="F",B28="L",B28="F2",B28="P"),(IF(B28="D",(E28-D28)+(G28-F28),IF(B28="F2",IF(H28&gt;(G$7/2),H28-(G$7/2),0),0))),IF(H28&gt;G$7,H28-G$7,0))</f>
        <v>0</v>
      </c>
      <c r="L28" s="100"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5185.1851851851852</v>
      </c>
      <c r="J29" s="1">
        <f>IF(OR(B29="N",B29="D",B29="F",B29="L",B29="F2",B29="P"),IF(B29="F2",IF(H29&lt;(P$7/2),(P$7/2)-H29,0),0),IF(H29&lt;P$7,P$7-H29,0))</f>
        <v>0</v>
      </c>
      <c r="K29" s="1">
        <f>IF(OR(B29="N",B29="D",B29="F",B29="L",B29="F2",B29="P"),(IF(B29="D",(E29-D29)+(G29-F29),IF(B29="F2",IF(H29&gt;(P$7/2),H29-(P$7/2),0),0))),IF(H29&gt;P$7,H29-P$7,0))</f>
        <v>0</v>
      </c>
      <c r="L29" s="100"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7777.7</v>
      </c>
      <c r="J30" s="1">
        <f>IF(OR(B30="N",B30="D",B30="F",B30="L",B30="F2",B30="P"),IF(B30="F2",IF(H30&lt;(P$7/2),(P$7/2)-H30,0),0),IF(H30&lt;P$7,P$7-H30,0))</f>
        <v>0</v>
      </c>
      <c r="K30" s="1">
        <f>IF(OR(B30="N",B30="D",B30="F",B30="L",B30="F2",B30="P"),(IF(B30="D",(E30-D30)+(G30-F30),IF(B30="F2",IF(H30&gt;(P$7/2),H30-(P$7/2),0),0))),IF(H30&gt;P$7,H30-P$7,0))</f>
        <v>0</v>
      </c>
      <c r="L30" s="100"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62"/>
      <c r="U31" s="62"/>
      <c r="V31" s="123"/>
      <c r="W31" s="62"/>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62"/>
      <c r="U32" s="62"/>
      <c r="V32" s="62"/>
      <c r="W32" s="62"/>
    </row>
    <row r="33" spans="1:23" ht="11.1" customHeight="1" x14ac:dyDescent="0.2">
      <c r="A33" s="12"/>
      <c r="B33" s="12"/>
      <c r="C33" s="12"/>
      <c r="D33" s="12"/>
      <c r="E33" s="12"/>
      <c r="F33" s="12"/>
      <c r="G33" s="12"/>
      <c r="H33" s="12"/>
      <c r="I33" s="12"/>
      <c r="J33" s="12"/>
      <c r="K33" s="12"/>
      <c r="L33" s="12"/>
      <c r="M33" s="12"/>
      <c r="N33" s="12"/>
      <c r="O33" s="12"/>
      <c r="P33" s="22"/>
      <c r="Q33" s="22"/>
      <c r="R33" s="22"/>
      <c r="S33" s="22"/>
      <c r="T33" s="62"/>
      <c r="U33" s="62"/>
      <c r="V33" s="62"/>
      <c r="W33" s="62"/>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5185.1851851851852</v>
      </c>
      <c r="J34" s="1">
        <f>IF(OR(B34="N",B34="D",B34="F",B34="L",B34="F2",B34="P"),IF(B34="F2",IF(H34&lt;(G$7/2),(G$7/2)-H34,0),0),IF(H34&lt;G$7,G$7-H34,0))</f>
        <v>0</v>
      </c>
      <c r="K34" s="1">
        <f>IF(OR(B34="N",B34="D",B34="F",B34="L",B34="F2",B34="P"),(IF(B34="D",(E34-D34)+(G34-F34),IF(B34="F2",IF(H34&gt;(G$7/2),H34-(G$7/2),0),0))),IF(H34&gt;G$7,H34-G$7,0))</f>
        <v>0</v>
      </c>
      <c r="L34" s="100"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5185.1851851851852</v>
      </c>
      <c r="J35" s="1">
        <f>IF(OR(B35="N",B35="D",B35="F",B35="L",B35="F2",B35="P"),IF(B35="F2",IF(H35&lt;(G$7/2),(G$7/2)-H35,0),0),IF(H35&lt;G$7,G$7-H35,0))</f>
        <v>0</v>
      </c>
      <c r="K35" s="1">
        <f>IF(OR(B35="N",B35="D",B35="F",B35="L",B35="F2",B35="P"),(IF(B35="D",(E35-D35)+(G35-F35),IF(B35="F2",IF(H35&gt;(G$7/2),H35-(G$7/2),0),0))),IF(H35&gt;G$7,H35-G$7,0))</f>
        <v>0</v>
      </c>
      <c r="L35" s="100"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5185.1851851851852</v>
      </c>
      <c r="J36" s="1">
        <f>IF(OR(B36="N",B36="D",B36="F",B36="L",B36="F2",B36="P"),IF(B36="F2",IF(H36&lt;(G$7/2),(G$7/2)-H36,0),0),IF(H36&lt;G$7,G$7-H36,0))</f>
        <v>0</v>
      </c>
      <c r="K36" s="1">
        <f>IF(OR(B36="N",B36="D",B36="F",B36="L",B36="F2",B36="P"),(IF(B36="D",(E36-D36)+(G36-F36),IF(B36="F2",IF(H36&gt;(G$7/2),H36-(G$7/2),0),0))),IF(H36&gt;G$7,H36-G$7,0))</f>
        <v>0</v>
      </c>
      <c r="L36" s="100"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5185.1851851851852</v>
      </c>
      <c r="J37" s="1">
        <f>IF(OR(B37="N",B37="D",B37="F",B37="L",B37="F2",B37="P"),IF(B37="F2",IF(H37&lt;(G$7/2),(G$7/2)-H37,0),0),IF(H37&lt;G$7,G$7-H37,0))</f>
        <v>0</v>
      </c>
      <c r="K37" s="1">
        <f>IF(OR(B37="N",B37="D",B37="F",B37="L",B37="F2",B37="P"),(IF(B37="D",(E37-D37)+(G37-F37),IF(B37="F2",IF(H37&gt;(G$7/2),H37-(G$7/2),0),0))),IF(H37&gt;G$7,H37-G$7,0))</f>
        <v>0</v>
      </c>
      <c r="L37" s="100"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5185.1851851851852</v>
      </c>
      <c r="J38" s="1">
        <f>IF(OR(B38="N",B38="D",B38="F",B38="L",B38="F2",B38="P"),IF(B38="F2",IF(H38&lt;(G$7/2),(G$7/2)-H38,0),0),IF(H38&lt;G$7,G$7-H38,0))</f>
        <v>0</v>
      </c>
      <c r="K38" s="1">
        <f>IF(OR(B38="N",B38="D",B38="F",B38="L",B38="F2",B38="P"),(IF(B38="D",(E38-D38)+(G38-F38),IF(B38="F2",IF(H38&gt;(G$7/2),H38-(G$7/2),0),0))),IF(H38&gt;G$7,H38-G$7,0))</f>
        <v>0</v>
      </c>
      <c r="L38" s="100"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5185.1851851851852</v>
      </c>
      <c r="J39" s="1">
        <f>IF(OR(B39="N",B39="D",B39="F",B39="L",B39="F2",B39="P"),IF(B39="F2",IF(H39&lt;(P$7/2),(P$7/2)-H39,0),0),IF(H39&lt;P$7,P$7-H39,0))</f>
        <v>0</v>
      </c>
      <c r="K39" s="1">
        <f>IF(OR(B39="N",B39="D",B39="F",B39="L",B39="F2",B39="P"),(IF(B39="D",(E39-D39)+(G39-F39),IF(B39="F2",IF(H39&gt;(P$7/2),H39-(P$7/2),0),0))),IF(H39&gt;P$7,H39-P$7,0))</f>
        <v>0</v>
      </c>
      <c r="L39" s="100"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7777.7</v>
      </c>
      <c r="J40" s="1">
        <f>IF(OR(B40="N",B40="D",B40="F",B40="L",B40="F2",B40="P"),IF(B40="F2",IF(H40&lt;(P$7/2),(P$7/2)-H40,0),0),IF(H40&lt;P$7,P$7-H40,0))</f>
        <v>0</v>
      </c>
      <c r="K40" s="1">
        <f>IF(OR(B40="N",B40="D",B40="F",B40="L",B40="F2",B40="P"),(IF(B40="D",(E40-D40)+(G40-F40),IF(B40="F2",IF(H40&gt;(P$7/2),H40-(P$7/2),0),0))),IF(H40&gt;P$7,H40-P$7,0))</f>
        <v>0</v>
      </c>
      <c r="L40" s="100"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62"/>
      <c r="U41" s="62"/>
      <c r="V41" s="62"/>
      <c r="W41" s="62"/>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62"/>
      <c r="U42" s="62"/>
      <c r="V42" s="62"/>
      <c r="W42" s="62"/>
    </row>
    <row r="43" spans="1:23" ht="11.1" customHeight="1" x14ac:dyDescent="0.2">
      <c r="A43" s="12"/>
      <c r="B43" s="12"/>
      <c r="C43" s="12"/>
      <c r="D43" s="12"/>
      <c r="E43" s="12"/>
      <c r="F43" s="12"/>
      <c r="G43" s="12"/>
      <c r="H43" s="12"/>
      <c r="I43" s="12"/>
      <c r="J43" s="12"/>
      <c r="K43" s="12"/>
      <c r="L43" s="12"/>
      <c r="M43" s="12"/>
      <c r="N43" s="12"/>
      <c r="O43" s="12"/>
      <c r="P43" s="22"/>
      <c r="Q43" s="22"/>
      <c r="R43" s="22"/>
      <c r="S43" s="22"/>
      <c r="T43" s="62"/>
      <c r="U43" s="62"/>
      <c r="V43" s="62"/>
      <c r="W43" s="62"/>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5185.1851851851852</v>
      </c>
      <c r="J44" s="1">
        <f>IF(OR(B44="N",B44="D",B44="F",B44="L",B44="F2",B44="P"),IF(B44="F2",IF(H44&lt;(G$7/2),(G$7/2)-H44,0),0),IF(H44&lt;G$7,G$7-H44,0))</f>
        <v>0</v>
      </c>
      <c r="K44" s="1">
        <f>IF(OR(B44="N",B44="D",B44="F",B44="L",B44="F2",B44="P"),(IF(B44="D",(E44-D44)+(G44-F44),IF(B44="F2",IF(H44&gt;(G$7/2),H44-(G$7/2),0),0))),IF(H44&gt;G$7,H44-G$7,0))</f>
        <v>0</v>
      </c>
      <c r="L44" s="100"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5185.1851851851852</v>
      </c>
      <c r="J45" s="1">
        <f>IF(OR(B45="N",B45="D",B45="F",B45="L",B45="F2",B45="P"),IF(B45="F2",IF(H45&lt;(G$7/2),(G$7/2)-H45,0),0),IF(H45&lt;G$7,G$7-H45,0))</f>
        <v>0</v>
      </c>
      <c r="K45" s="1">
        <f>IF(OR(B45="N",B45="D",B45="F",B45="L",B45="F2",B45="P"),(IF(B45="D",(E45-D45)+(G45-F45),IF(B45="F2",IF(H45&gt;(G$7/2),H45-(G$7/2),0),0))),IF(H45&gt;G$7,H45-G$7,0))</f>
        <v>0</v>
      </c>
      <c r="L45" s="100"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5185.1851851851852</v>
      </c>
      <c r="J46" s="1">
        <f>IF(OR(B46="N",B46="D",B46="F",B46="L",B46="F2",B46="P"),IF(B46="F2",IF(H46&lt;(G$7/2),(G$7/2)-H46,0),0),IF(H46&lt;G$7,G$7-H46,0))</f>
        <v>0</v>
      </c>
      <c r="K46" s="1">
        <f>IF(OR(B46="N",B46="D",B46="F",B46="L",B46="F2",B46="P"),(IF(B46="D",(E46-D46)+(G46-F46),IF(B46="F2",IF(H46&gt;(G$7/2),H46-(G$7/2),0),0))),IF(H46&gt;G$7,H46-G$7,0))</f>
        <v>0</v>
      </c>
      <c r="L46" s="100"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5185.1851851851852</v>
      </c>
      <c r="J47" s="1">
        <f>IF(OR(B47="N",B47="D",B47="F",B47="L",B47="F2",B47="P"),IF(B47="F2",IF(H47&lt;(G$7/2),(G$7/2)-H47,0),0),IF(H47&lt;G$7,G$7-H47,0))</f>
        <v>0</v>
      </c>
      <c r="K47" s="1">
        <f>IF(OR(B47="N",B47="D",B47="F",B47="L",B47="F2",B47="P"),(IF(B47="D",(E47-D47)+(G47-F47),IF(B47="F2",IF(H47&gt;(G$7/2),H47-(G$7/2),0),0))),IF(H47&gt;G$7,H47-G$7,0))</f>
        <v>0</v>
      </c>
      <c r="L47" s="100"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5185.1851851851852</v>
      </c>
      <c r="J48" s="1">
        <f>IF(OR(B48="N",B48="D",B48="F",B48="L",B48="F2",B48="P"),IF(B48="F2",IF(H48&lt;(G$7/2),(G$7/2)-H48,0),0),IF(H48&lt;G$7,G$7-H48,0))</f>
        <v>0</v>
      </c>
      <c r="K48" s="1">
        <f>IF(OR(B48="N",B48="D",B48="F",B48="L",B48="F2",B48="P"),(IF(B48="D",(E48-D48)+(G48-F48),IF(B48="F2",IF(H48&gt;(G$7/2),H48-(G$7/2),0),0))),IF(H48&gt;G$7,H48-G$7,0))</f>
        <v>0</v>
      </c>
      <c r="L48" s="100"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5185.1851851851852</v>
      </c>
      <c r="J49" s="1">
        <f>IF(OR(B49="N",B49="D",B49="F",B49="L",B49="F2",B49="P"),IF(B49="F2",IF(H49&lt;(P$7/2),(P$7/2)-H49,0),0),IF(H49&lt;P$7,P$7-H49,0))</f>
        <v>0</v>
      </c>
      <c r="K49" s="1">
        <f>IF(OR(B49="N",B49="D",B49="F",B49="L",B49="F2",B49="P"),(IF(B49="D",(E49-D49)+(G49-F49),IF(B49="F2",IF(H49&gt;(P$7/2),H49-(P$7/2),0),0))),IF(H49&gt;P$7,H49-P$7,0))</f>
        <v>0</v>
      </c>
      <c r="L49" s="100"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7777.7</v>
      </c>
      <c r="J50" s="1">
        <f>IF(OR(B50="N",B50="D",B50="F",B50="L",B50="F2",B50="P"),IF(B50="F2",IF(H50&lt;(P$7/2),(P$7/2)-H50,0),0),IF(H50&lt;P$7,P$7-H50,0))</f>
        <v>0</v>
      </c>
      <c r="K50" s="1">
        <f>IF(OR(B50="N",B50="D",B50="F",B50="L",B50="F2",B49="P"),(IF(B50="D",(E50-D50)+(G50-F50),IF(B50="F2",IF(H50&gt;(P$7/2),H50-(P$7/2),0),0))),IF(H50&gt;P$7,H50-P$7,0))</f>
        <v>0</v>
      </c>
      <c r="L50" s="100"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62"/>
      <c r="U51" s="62"/>
      <c r="V51" s="62"/>
      <c r="W51" s="62"/>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62"/>
      <c r="U52" s="62"/>
      <c r="V52" s="62"/>
      <c r="W52" s="62"/>
    </row>
    <row r="53" spans="1:23" ht="11.1" customHeight="1" x14ac:dyDescent="0.2">
      <c r="A53" s="25"/>
      <c r="B53" s="25"/>
      <c r="C53" s="25"/>
      <c r="D53" s="25"/>
      <c r="E53" s="25"/>
      <c r="F53" s="25"/>
      <c r="G53" s="25"/>
      <c r="H53" s="25"/>
      <c r="I53" s="25"/>
      <c r="J53" s="25"/>
      <c r="K53" s="25"/>
      <c r="L53" s="25"/>
      <c r="M53" s="25"/>
      <c r="N53" s="25"/>
      <c r="O53" s="25"/>
      <c r="P53" s="26"/>
      <c r="Q53" s="26"/>
      <c r="R53" s="26"/>
      <c r="S53" s="26"/>
      <c r="T53" s="62"/>
      <c r="U53" s="62"/>
      <c r="V53" s="62"/>
      <c r="W53" s="62"/>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5185.1851851851852</v>
      </c>
      <c r="J54" s="1">
        <f>IF(OR(B54="N",B54="D",B54="F",B54="L",B54="F2",B54="P"),IF(B54="F2",IF(H54&lt;(G$7/2),(G$7/2)-H54,0),0),IF(H54&lt;G$7,G$7-H54,0))</f>
        <v>0</v>
      </c>
      <c r="K54" s="1">
        <f>IF(OR(B54="N",B54="D",B54="F",B54="L",B54="F2",B54="P"),(IF(B54="D",(E54-D54)+(G54-F54),IF(B54="F2",IF(H54&gt;(G$7/2),H54-(G$7/2),0),0))),IF(H54&gt;G$7,H54-G$7,0))</f>
        <v>0</v>
      </c>
      <c r="L54" s="100"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5185.1851851851852</v>
      </c>
      <c r="J55" s="1">
        <f>IF(OR(B55="N",B55="D",B55="F",B55="L",B55="F2",B55="P"),IF(B55="F2",IF(H55&lt;(G$7/2),(G$7/2)-H55,0),0),IF(H55&lt;G$7,G$7-H55,0))</f>
        <v>0</v>
      </c>
      <c r="K55" s="1">
        <f>IF(OR(B55="N",B55="D",B55="F",B55="L",B55="F2",B55="P"),(IF(B55="D",(E55-D55)+(G55-F55),IF(B55="F2",IF(H55&gt;(G$7/2),H55-(G$7/2),0),0))),IF(H55&gt;G$7,H55-G$7,0))</f>
        <v>0</v>
      </c>
      <c r="L55" s="100"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5185.1851851851852</v>
      </c>
      <c r="J56" s="1">
        <f>IF(OR(B56="N",B56="D",B56="F",B56="L",B56="F2",B56="P"),IF(B56="F2",IF(H56&lt;(G$7/2),(G$7/2)-H56,0),0),IF(H56&lt;G$7,G$7-H56,0))</f>
        <v>0</v>
      </c>
      <c r="K56" s="1">
        <f>IF(OR(B56="N",B56="D",B56="F",B56="L",B56="F2",B56="P"),(IF(B56="D",(E56-D56)+(G56-F56),IF(B56="F2",IF(H56&gt;(G$7/2),H56-(G$7/2),0),0))),IF(H56&gt;G$7,H56-G$7,0))</f>
        <v>0</v>
      </c>
      <c r="L56" s="100"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100"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100"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100"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100"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62"/>
      <c r="U61" s="62"/>
      <c r="V61" s="62"/>
      <c r="W61" s="62"/>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62"/>
      <c r="U62" s="62"/>
      <c r="V62" s="62"/>
      <c r="W62" s="62"/>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100"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100"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100"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100"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100"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100"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100"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15"/>
      <c r="B73" s="15"/>
      <c r="C73" s="15"/>
      <c r="D73" s="15"/>
      <c r="E73" s="15"/>
      <c r="F73" s="30"/>
      <c r="G73" s="30"/>
      <c r="H73" s="30"/>
      <c r="I73" s="17"/>
      <c r="J73" s="31"/>
      <c r="K73" s="31"/>
      <c r="L73" s="31"/>
      <c r="M73" s="19"/>
      <c r="N73" s="19"/>
      <c r="O73" s="19"/>
      <c r="P73" s="19"/>
      <c r="Q73" s="19"/>
      <c r="R73" s="19"/>
      <c r="S73" s="19"/>
    </row>
    <row r="74" spans="1:23" ht="11.1" customHeight="1" x14ac:dyDescent="0.2">
      <c r="A74" s="15"/>
      <c r="B74" s="15"/>
      <c r="C74" s="15"/>
      <c r="D74" s="15"/>
      <c r="E74" s="15"/>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15"/>
      <c r="B75" s="15"/>
      <c r="C75" s="15"/>
      <c r="D75" s="15"/>
      <c r="E75" s="15"/>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15"/>
      <c r="B76" s="15"/>
      <c r="C76" s="15"/>
      <c r="D76" s="15"/>
      <c r="E76" s="15"/>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15"/>
      <c r="B77" s="15"/>
      <c r="C77" s="15"/>
      <c r="D77" s="15"/>
      <c r="E77" s="15"/>
      <c r="F77" s="795" t="s">
        <v>287</v>
      </c>
      <c r="G77" s="796"/>
      <c r="H77" s="796"/>
      <c r="I77" s="796"/>
      <c r="J77" s="796"/>
      <c r="K77" s="796"/>
      <c r="L77" s="796"/>
      <c r="M77" s="796"/>
      <c r="N77" s="19"/>
      <c r="O77" s="19"/>
      <c r="R77" s="19"/>
      <c r="S77" s="19"/>
    </row>
    <row r="78" spans="1:23" ht="11.1" customHeight="1" x14ac:dyDescent="0.2">
      <c r="A78" s="15"/>
      <c r="B78" s="15"/>
      <c r="C78" s="15"/>
      <c r="D78" s="15"/>
      <c r="E78" s="15"/>
      <c r="F78" s="795"/>
      <c r="G78" s="796"/>
      <c r="H78" s="796"/>
      <c r="I78" s="796"/>
      <c r="J78" s="796"/>
      <c r="K78" s="796"/>
      <c r="L78" s="796"/>
      <c r="M78" s="796"/>
      <c r="N78" s="19"/>
      <c r="O78" s="19"/>
      <c r="R78" s="19"/>
      <c r="S78" s="19"/>
    </row>
    <row r="79" spans="1:23" ht="11.1" customHeight="1" x14ac:dyDescent="0.2">
      <c r="A79" s="15"/>
      <c r="B79" s="15"/>
      <c r="C79" s="15"/>
      <c r="D79" s="15"/>
      <c r="E79" s="15"/>
      <c r="F79" s="795"/>
      <c r="G79" s="796"/>
      <c r="H79" s="796"/>
      <c r="I79" s="796"/>
      <c r="J79" s="796"/>
      <c r="K79" s="796"/>
      <c r="L79" s="796"/>
      <c r="M79" s="796"/>
      <c r="N79" s="19"/>
      <c r="O79" s="19"/>
      <c r="R79" s="19"/>
      <c r="S79" s="19"/>
    </row>
    <row r="80" spans="1:23" ht="11.1" customHeight="1" x14ac:dyDescent="0.2">
      <c r="A80" s="15"/>
      <c r="B80" s="15"/>
      <c r="C80" s="15"/>
      <c r="D80" s="15"/>
      <c r="E80" s="15"/>
      <c r="F80" s="794" t="s">
        <v>71</v>
      </c>
      <c r="G80" s="794"/>
      <c r="H80" s="794"/>
      <c r="I80" s="159">
        <v>0</v>
      </c>
      <c r="J80" s="18"/>
      <c r="K80" s="798" t="s">
        <v>72</v>
      </c>
      <c r="L80" s="799"/>
      <c r="M80" s="142">
        <v>0</v>
      </c>
      <c r="N80" s="19"/>
      <c r="O80" s="19"/>
      <c r="P80" s="19"/>
      <c r="Q80" s="19"/>
      <c r="R80" s="19"/>
      <c r="S80" s="19"/>
    </row>
    <row r="81" spans="1:23" ht="11.1" customHeight="1" x14ac:dyDescent="0.2">
      <c r="A81" s="15"/>
      <c r="B81" s="15"/>
      <c r="C81" s="15"/>
      <c r="D81" s="15"/>
      <c r="E81" s="15"/>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15"/>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15"/>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15"/>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15"/>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15"/>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15"/>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15"/>
      <c r="T88" s="752" t="s">
        <v>197</v>
      </c>
      <c r="U88" s="752"/>
      <c r="V88" s="752"/>
      <c r="W88" s="752"/>
    </row>
    <row r="89" spans="1:23" ht="10.5" customHeight="1" x14ac:dyDescent="0.2">
      <c r="A89" s="15"/>
      <c r="B89" s="15"/>
      <c r="C89" s="15"/>
      <c r="D89" s="15"/>
      <c r="E89" s="15"/>
      <c r="F89" s="15"/>
      <c r="G89" s="15"/>
      <c r="H89" s="15"/>
      <c r="I89" s="17"/>
      <c r="J89" s="15"/>
      <c r="K89" s="15"/>
      <c r="L89" s="15"/>
      <c r="M89" s="124"/>
      <c r="N89" s="15"/>
      <c r="O89" s="124"/>
      <c r="P89" s="15"/>
      <c r="Q89" s="15"/>
      <c r="R89" s="15"/>
      <c r="S89" s="15"/>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91"/>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91"/>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127"/>
      <c r="U96" s="127"/>
      <c r="V96" s="127"/>
      <c r="W96" s="127"/>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9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4-. HÁBITAT</v>
      </c>
      <c r="O103" s="719"/>
      <c r="P103" s="128">
        <f>LOOKUP((N103),ListadoAFP,IM!B135:B144)</f>
        <v>0.11269999999999999</v>
      </c>
      <c r="Q103" s="704">
        <f>ROUND(IF(T$145="3-. BOLETA",0,IF(D$127&gt;IM!O69,IM!O69*P103,D$127*P103)),0)</f>
        <v>121310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15-. CONSALUD</v>
      </c>
      <c r="O104" s="719"/>
      <c r="P104" s="63">
        <f>LOOKUP((N104),ListadoIsapres,IM!D135:D154)</f>
        <v>7.0000000000000007E-2</v>
      </c>
      <c r="Q104" s="704">
        <f>ROUND(IF(T$145="3-. BOLETA",0,IF(D$127&gt;IM!O69,IM!O69*P104,D$127*P104)),0)</f>
        <v>75348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5-. POR OBRA</v>
      </c>
      <c r="O105" s="719"/>
      <c r="P105" s="63">
        <f>LOOKUP((N105),TipoContrato,IM!F135:F139)</f>
        <v>0</v>
      </c>
      <c r="Q105" s="704">
        <f>ROUND(IF(T$145="3-. BOLETA",0,IF(D$127&gt;IM!O71,IM!O71*P105,D$127*P105)),0)</f>
        <v>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99" t="s">
        <v>229</v>
      </c>
      <c r="N106" s="808" t="s">
        <v>227</v>
      </c>
      <c r="O106" s="809"/>
      <c r="P106" s="147">
        <v>4.75</v>
      </c>
      <c r="Q106" s="704">
        <f>ROUND(IF(T145="3-. BOLETA",0,IF(P106=0,0,IF((P106*IM!R47)&gt;Q104,(P106*IM!R47)-Q104,0))),0)</f>
        <v>33617</v>
      </c>
      <c r="R106" s="705"/>
      <c r="S106" s="40"/>
      <c r="T106" s="129"/>
      <c r="U106" s="129"/>
      <c r="V106" s="129"/>
      <c r="W106" s="129"/>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139"/>
      <c r="U108" s="139"/>
      <c r="V108" s="139"/>
      <c r="W108" s="139"/>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139"/>
      <c r="U109" s="139"/>
      <c r="V109" s="139"/>
      <c r="W109" s="139"/>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139"/>
      <c r="U110" s="139"/>
      <c r="V110" s="139"/>
      <c r="W110" s="139"/>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230275</v>
      </c>
      <c r="Q111" s="880"/>
      <c r="R111" s="881"/>
      <c r="S111" s="40"/>
      <c r="T111" s="129"/>
      <c r="U111" s="129"/>
      <c r="V111" s="129"/>
      <c r="W111" s="129"/>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846121</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0</v>
      </c>
      <c r="E114" s="705"/>
      <c r="F114" s="720" t="s">
        <v>232</v>
      </c>
      <c r="G114" s="720"/>
      <c r="H114" s="720"/>
      <c r="I114" s="720"/>
      <c r="J114" s="12"/>
      <c r="K114" s="724" t="s">
        <v>123</v>
      </c>
      <c r="L114" s="726"/>
      <c r="M114" s="341">
        <f>IF(T$145="3-. BOLETA",0,IF((D94+E94+D97+D96)&gt;=30,0,LOOKUP((N113),H142:K149,G142:G149)))</f>
        <v>0.04</v>
      </c>
      <c r="N114" s="672" t="s">
        <v>92</v>
      </c>
      <c r="O114" s="673"/>
      <c r="P114" s="875">
        <f>ROUND(IF(T$145="3-. BOLETA",0,IF((D94+E94+D97+D96)&gt;=30,0,LOOKUP((N113),H142:K149,O142:O149))),0)</f>
        <v>21668</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12177</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01" t="s">
        <v>434</v>
      </c>
      <c r="U119" s="202"/>
      <c r="V119" s="166">
        <v>6</v>
      </c>
      <c r="W119" s="64" t="str">
        <f t="shared" si="18"/>
        <v>No Logrado</v>
      </c>
    </row>
    <row r="120" spans="1:23" ht="10.5" customHeight="1" x14ac:dyDescent="0.2">
      <c r="A120" s="670" t="s">
        <v>20</v>
      </c>
      <c r="B120" s="670"/>
      <c r="C120" s="670"/>
      <c r="D120" s="860">
        <f>ROUND(SUM(D114:E119),0)</f>
        <v>0</v>
      </c>
      <c r="E120" s="868"/>
      <c r="F120" s="754"/>
      <c r="G120" s="755"/>
      <c r="H120" s="755"/>
      <c r="I120" s="756"/>
      <c r="J120" s="12"/>
      <c r="K120" s="757" t="s">
        <v>429</v>
      </c>
      <c r="L120" s="757"/>
      <c r="M120" s="757"/>
      <c r="N120" s="825"/>
      <c r="O120" s="826"/>
      <c r="P120" s="771">
        <v>0</v>
      </c>
      <c r="Q120" s="772"/>
      <c r="R120" s="773"/>
      <c r="S120" s="15"/>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1000000</v>
      </c>
      <c r="E123" s="831"/>
      <c r="F123" s="765" t="str">
        <f>30-(D94+E94+D96+D97) &amp; " DÍAS"</f>
        <v>30 DÍAS</v>
      </c>
      <c r="G123" s="767"/>
      <c r="H123" s="832" t="s">
        <v>74</v>
      </c>
      <c r="I123" s="832"/>
      <c r="J123" s="12"/>
      <c r="K123" s="727" t="s">
        <v>319</v>
      </c>
      <c r="L123" s="728"/>
      <c r="M123" s="729"/>
      <c r="N123" s="702" t="str">
        <f>T$152</f>
        <v>4-. HÁBITAT</v>
      </c>
      <c r="O123" s="703"/>
      <c r="P123" s="140">
        <f>IF($T$145&lt;&gt;IM!$E$138,LOOKUP($N$123,IM!$A$48:$B$57,IM!$D$48:$D$57),0)</f>
        <v>1.26E-2</v>
      </c>
      <c r="Q123" s="704">
        <f>IF($D$127&lt;IM!$O$69,$D$127*$P$123,IM!$O$69*$P$123)</f>
        <v>13562.589599999999</v>
      </c>
      <c r="R123" s="705"/>
      <c r="S123" s="60"/>
      <c r="T123" s="774" t="s">
        <v>195</v>
      </c>
      <c r="U123" s="775"/>
      <c r="V123" s="166">
        <v>1</v>
      </c>
      <c r="W123" s="64" t="str">
        <f t="shared" si="18"/>
        <v>No Logrado</v>
      </c>
    </row>
    <row r="124" spans="1:23" ht="10.5" customHeight="1" x14ac:dyDescent="0.2">
      <c r="A124" s="11"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11"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41666.666666666672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5-. POR OBRA</v>
      </c>
      <c r="O126" s="767"/>
      <c r="P126" s="140">
        <f ca="1">LOOKUP(($N$126),TipoContrato,IM!$F$140:$F$143)</f>
        <v>0.03</v>
      </c>
      <c r="Q126" s="704">
        <f ca="1">IF($D$127&gt;IM!$O$71,IM!$O$71*$P$126,$D$127*$P$126)</f>
        <v>32291.879999999997</v>
      </c>
      <c r="R126" s="705"/>
      <c r="S126" s="61"/>
      <c r="T126" s="774" t="s">
        <v>215</v>
      </c>
      <c r="U126" s="775"/>
      <c r="V126" s="166">
        <v>10</v>
      </c>
      <c r="W126" s="64" t="str">
        <f t="shared" si="18"/>
        <v>Logrado</v>
      </c>
    </row>
    <row r="127" spans="1:23" ht="10.5" customHeight="1" x14ac:dyDescent="0.2">
      <c r="A127" s="849" t="s">
        <v>18</v>
      </c>
      <c r="B127" s="894"/>
      <c r="C127" s="850"/>
      <c r="D127" s="831">
        <f>ROUND((D123+D124+D126)-D125,0)</f>
        <v>1076396</v>
      </c>
      <c r="E127" s="831"/>
      <c r="F127" s="732"/>
      <c r="G127" s="733"/>
      <c r="H127" s="733"/>
      <c r="I127" s="734"/>
      <c r="J127" s="12"/>
      <c r="K127" s="669" t="s">
        <v>323</v>
      </c>
      <c r="L127" s="669"/>
      <c r="M127" s="669"/>
      <c r="N127" s="699" t="s">
        <v>324</v>
      </c>
      <c r="O127" s="700"/>
      <c r="P127" s="228">
        <v>9.4999999999999998E-3</v>
      </c>
      <c r="Q127" s="704">
        <f>ROUND(IF(T$145="3-. BOLETA",0,IF(D$127&gt;IM!$O$69,IM!$O$69*$P$127,D$127*$P$127)),0)</f>
        <v>10226</v>
      </c>
      <c r="R127" s="705"/>
      <c r="S127" s="60"/>
      <c r="T127" s="774" t="s">
        <v>327</v>
      </c>
      <c r="U127" s="775"/>
      <c r="V127" s="166">
        <v>10</v>
      </c>
      <c r="W127" s="64" t="str">
        <f t="shared" si="18"/>
        <v>Logrado</v>
      </c>
    </row>
    <row r="128" spans="1:23" ht="10.5" customHeight="1" x14ac:dyDescent="0.2">
      <c r="A128" s="104" t="s">
        <v>61</v>
      </c>
      <c r="B128" s="849" t="s">
        <v>58</v>
      </c>
      <c r="C128" s="850"/>
      <c r="D128" s="668">
        <f>ROUND((D120),0)</f>
        <v>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1076396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98" t="s">
        <v>60</v>
      </c>
      <c r="B130" s="849" t="s">
        <v>127</v>
      </c>
      <c r="C130" s="850"/>
      <c r="D130" s="744">
        <f>ROUND(Q115+P117+P118+P119+P120+P111,0)</f>
        <v>242452</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98" t="s">
        <v>60</v>
      </c>
      <c r="B131" s="849" t="s">
        <v>126</v>
      </c>
      <c r="C131" s="850"/>
      <c r="D131" s="831">
        <f>ROUND(D111,0)</f>
        <v>0</v>
      </c>
      <c r="E131" s="831"/>
      <c r="F131" s="732"/>
      <c r="G131" s="733"/>
      <c r="H131" s="733"/>
      <c r="I131" s="734"/>
      <c r="J131" s="12"/>
      <c r="K131" s="803" t="s">
        <v>325</v>
      </c>
      <c r="L131" s="804"/>
      <c r="M131" s="804"/>
      <c r="N131" s="804"/>
      <c r="O131" s="804"/>
      <c r="P131" s="805"/>
      <c r="Q131" s="860">
        <f ca="1">SUM(Q123:R130)</f>
        <v>97747.136266666668</v>
      </c>
      <c r="R131" s="861"/>
    </row>
    <row r="132" spans="1:23" ht="10.5" customHeight="1" x14ac:dyDescent="0.2">
      <c r="A132" s="749" t="s">
        <v>326</v>
      </c>
      <c r="B132" s="750"/>
      <c r="C132" s="751"/>
      <c r="D132" s="864">
        <f>(ROUND(N113,0))</f>
        <v>846121</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833944</v>
      </c>
      <c r="E133" s="831"/>
      <c r="F133" s="732"/>
      <c r="G133" s="733"/>
      <c r="H133" s="733"/>
      <c r="I133" s="734"/>
      <c r="J133" s="12"/>
      <c r="K133" s="712" t="str">
        <f>IF(T$145="3-. BOLETA","T. A PAGAR (MENOS 10% BOLETA)","TOTAL A PAGAR")</f>
        <v>TOTAL A PAGAR</v>
      </c>
      <c r="L133" s="747"/>
      <c r="M133" s="713"/>
      <c r="N133" s="713"/>
      <c r="O133" s="714"/>
      <c r="P133" s="859">
        <f>ROUND(D133,0)</f>
        <v>833944</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129"/>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111"/>
      <c r="B136" s="111"/>
      <c r="C136" s="111"/>
      <c r="D136" s="111"/>
      <c r="E136" s="111"/>
      <c r="F136" s="111"/>
      <c r="G136" s="111"/>
      <c r="H136" s="111"/>
      <c r="I136" s="111"/>
      <c r="J136" s="111"/>
      <c r="K136" s="111"/>
      <c r="L136" s="111"/>
      <c r="M136" s="111"/>
      <c r="N136" s="111"/>
      <c r="O136" s="111"/>
      <c r="P136" s="111"/>
      <c r="Q136" s="111"/>
      <c r="R136" s="111"/>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102" t="s">
        <v>89</v>
      </c>
      <c r="G141" s="103" t="s">
        <v>90</v>
      </c>
      <c r="H141" s="737" t="s">
        <v>88</v>
      </c>
      <c r="I141" s="737"/>
      <c r="J141" s="736" t="s">
        <v>89</v>
      </c>
      <c r="K141" s="736"/>
      <c r="L141" s="736" t="s">
        <v>92</v>
      </c>
      <c r="M141" s="736"/>
      <c r="N141" s="736" t="s">
        <v>93</v>
      </c>
      <c r="O141" s="736"/>
      <c r="P141" s="133"/>
      <c r="Q141" s="641" t="s">
        <v>114</v>
      </c>
      <c r="R141" s="642"/>
      <c r="S141" s="643"/>
      <c r="T141" s="171" t="str">
        <f>IM!C7</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IM!F7</f>
        <v>4.548.566-2</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IM!H7</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t="str">
        <f>IM!J7</f>
        <v>(09) 850 55 426</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UPPER(IM!Q7)</f>
        <v>5-. POR OBRA</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IM!N7</f>
        <v>Bodeguero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IM!AE7</f>
        <v>Gerencia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IM!S7</f>
        <v>1000000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IM!AC7</f>
        <v>0</v>
      </c>
      <c r="U149" s="644"/>
      <c r="V149" s="645"/>
      <c r="W149" s="645"/>
    </row>
    <row r="150" spans="4:23" x14ac:dyDescent="0.2">
      <c r="Q150" s="641" t="s">
        <v>394</v>
      </c>
      <c r="R150" s="642"/>
      <c r="S150" s="643"/>
      <c r="T150" s="167">
        <f>IM!AA7</f>
        <v>0</v>
      </c>
      <c r="U150" s="644"/>
      <c r="V150" s="645"/>
      <c r="W150" s="645"/>
    </row>
    <row r="151" spans="4:23" ht="10.5" customHeight="1" x14ac:dyDescent="0.2">
      <c r="N151" s="12"/>
      <c r="O151" s="12"/>
      <c r="P151" s="12"/>
      <c r="Q151" s="641" t="s">
        <v>395</v>
      </c>
      <c r="R151" s="642"/>
      <c r="S151" s="643"/>
      <c r="T151" s="167">
        <f>IM!Y7</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UPPER(IM!U7)</f>
        <v>4-. HÁBITAT</v>
      </c>
      <c r="U152" s="644"/>
      <c r="V152" s="645"/>
      <c r="W152" s="645"/>
    </row>
    <row r="153" spans="4:23" ht="10.5" customHeight="1" x14ac:dyDescent="0.2">
      <c r="D153" s="890"/>
      <c r="E153" s="890"/>
      <c r="F153" s="890"/>
      <c r="G153" s="890"/>
      <c r="H153" s="890"/>
      <c r="I153" s="300"/>
      <c r="J153" s="300"/>
      <c r="K153" s="300"/>
      <c r="L153" s="890"/>
      <c r="M153" s="890"/>
      <c r="N153" s="890"/>
      <c r="O153" s="890"/>
      <c r="P153" s="12"/>
      <c r="Q153" s="641" t="s">
        <v>397</v>
      </c>
      <c r="R153" s="642"/>
      <c r="S153" s="643"/>
      <c r="T153" s="168" t="str">
        <f>UPPER(IM!W7)</f>
        <v>15-. CONSALUD</v>
      </c>
      <c r="U153" s="644"/>
      <c r="V153" s="645"/>
      <c r="W153" s="645"/>
    </row>
    <row r="154" spans="4:23" ht="10.5" customHeight="1" x14ac:dyDescent="0.2">
      <c r="D154" s="890"/>
      <c r="E154" s="890"/>
      <c r="F154" s="890"/>
      <c r="G154" s="890"/>
      <c r="H154" s="890"/>
      <c r="I154" s="300"/>
      <c r="J154" s="300"/>
      <c r="K154" s="300"/>
      <c r="L154" s="890"/>
      <c r="M154" s="890"/>
      <c r="N154" s="890"/>
      <c r="O154" s="890"/>
      <c r="P154" s="12"/>
      <c r="Q154" s="641" t="s">
        <v>401</v>
      </c>
      <c r="R154" s="642"/>
      <c r="S154" s="643"/>
      <c r="T154" s="169">
        <f>IM!L7</f>
        <v>40787</v>
      </c>
      <c r="U154" s="644"/>
      <c r="V154" s="645"/>
      <c r="W154" s="645"/>
    </row>
    <row r="155" spans="4:23" x14ac:dyDescent="0.2">
      <c r="D155" s="890"/>
      <c r="E155" s="890"/>
      <c r="F155" s="890"/>
      <c r="G155" s="890"/>
      <c r="H155" s="890"/>
      <c r="I155" s="300"/>
      <c r="J155" s="300"/>
      <c r="K155" s="300"/>
      <c r="L155" s="890"/>
      <c r="M155" s="890"/>
      <c r="N155" s="890"/>
      <c r="O155" s="890"/>
    </row>
    <row r="156" spans="4:23" x14ac:dyDescent="0.2">
      <c r="D156" s="918" t="str">
        <f>IM!X45</f>
        <v>Nombre de la Empresa</v>
      </c>
      <c r="E156" s="918"/>
      <c r="F156" s="918"/>
      <c r="G156" s="918"/>
      <c r="H156" s="918"/>
      <c r="I156" s="153"/>
      <c r="J156" s="301"/>
      <c r="K156" s="153"/>
      <c r="L156" s="890"/>
      <c r="M156" s="890"/>
      <c r="N156" s="890"/>
      <c r="O156" s="890"/>
      <c r="P156" s="59"/>
      <c r="Q156" s="59"/>
    </row>
    <row r="157" spans="4:23"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298"/>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143"/>
      <c r="J164" s="143"/>
      <c r="K164" s="143"/>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08"/>
      <c r="M165" s="662" t="s">
        <v>227</v>
      </c>
      <c r="N165" s="663"/>
      <c r="O165" s="309">
        <f>IM!R47</f>
        <v>22940.02</v>
      </c>
      <c r="P165" s="136"/>
      <c r="Q165" s="136"/>
    </row>
    <row r="166" spans="4:17" ht="12.75" customHeight="1" x14ac:dyDescent="0.2">
      <c r="D166" s="666" t="s">
        <v>79</v>
      </c>
      <c r="E166" s="667"/>
      <c r="F166" s="667"/>
      <c r="G166" s="682" t="str">
        <f>T142</f>
        <v>4.548.566-2</v>
      </c>
      <c r="H166" s="683"/>
      <c r="I166" s="683"/>
      <c r="J166" s="683"/>
      <c r="K166" s="683"/>
      <c r="L166" s="306"/>
      <c r="M166" s="664" t="s">
        <v>334</v>
      </c>
      <c r="N166" s="665"/>
      <c r="O166" s="310">
        <f>IM!R48</f>
        <v>40125</v>
      </c>
      <c r="P166" s="136"/>
      <c r="Q166" s="136"/>
    </row>
    <row r="167" spans="4:17" ht="12.75" customHeight="1" x14ac:dyDescent="0.2">
      <c r="D167" s="666" t="s">
        <v>268</v>
      </c>
      <c r="E167" s="667"/>
      <c r="F167" s="667"/>
      <c r="G167" s="684">
        <f>T154</f>
        <v>40787</v>
      </c>
      <c r="H167" s="685"/>
      <c r="I167" s="685"/>
      <c r="J167" s="685"/>
      <c r="K167" s="685"/>
      <c r="L167" s="306"/>
      <c r="M167" s="660"/>
      <c r="N167" s="660"/>
      <c r="O167" s="661"/>
      <c r="P167" s="136"/>
      <c r="Q167" s="136"/>
    </row>
    <row r="168" spans="4:17" ht="12.75" customHeight="1" x14ac:dyDescent="0.2">
      <c r="D168" s="666" t="s">
        <v>270</v>
      </c>
      <c r="E168" s="667"/>
      <c r="F168" s="667"/>
      <c r="G168" s="682" t="str">
        <f>IF(T145=IM!E138,IM!E136,T145)</f>
        <v>5-. POR OBRA</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Bodeguero</v>
      </c>
      <c r="H169" s="683"/>
      <c r="I169" s="683"/>
      <c r="J169" s="683"/>
      <c r="K169" s="683"/>
      <c r="L169" s="146"/>
      <c r="M169" s="692"/>
      <c r="N169" s="693"/>
      <c r="O169" s="694"/>
      <c r="P169" s="136"/>
      <c r="Q169" s="136"/>
    </row>
    <row r="170" spans="4:17" ht="12.75" customHeight="1" x14ac:dyDescent="0.2">
      <c r="D170" s="666" t="s">
        <v>332</v>
      </c>
      <c r="E170" s="667"/>
      <c r="F170" s="667"/>
      <c r="G170" s="686" t="str">
        <f>T147</f>
        <v>Gerencia</v>
      </c>
      <c r="H170" s="683"/>
      <c r="I170" s="683"/>
      <c r="J170" s="683"/>
      <c r="K170" s="683"/>
      <c r="L170" s="146"/>
      <c r="M170" s="695"/>
      <c r="N170" s="696"/>
      <c r="O170" s="697"/>
      <c r="P170" s="136"/>
      <c r="Q170" s="136"/>
    </row>
    <row r="171" spans="4:17" ht="12.75" customHeight="1" x14ac:dyDescent="0.2">
      <c r="D171" s="664" t="s">
        <v>23</v>
      </c>
      <c r="E171" s="665"/>
      <c r="F171" s="665"/>
      <c r="G171" s="687">
        <f>T148</f>
        <v>1000000</v>
      </c>
      <c r="H171" s="688"/>
      <c r="I171" s="688"/>
      <c r="J171" s="688"/>
      <c r="K171" s="688"/>
      <c r="L171" s="307"/>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11" t="str">
        <f>F123</f>
        <v>30 DÍAS</v>
      </c>
      <c r="E174" s="882" t="s">
        <v>348</v>
      </c>
      <c r="F174" s="882"/>
      <c r="G174" s="882"/>
      <c r="H174" s="882"/>
      <c r="I174" s="883">
        <f>ROUND(D123,0)</f>
        <v>1000000</v>
      </c>
      <c r="J174" s="884"/>
      <c r="K174" s="312">
        <f>P103</f>
        <v>0.11269999999999999</v>
      </c>
      <c r="L174" s="882" t="str">
        <f>"AFP "&amp; UPPER(N103)</f>
        <v>AFP 4-. HÁBITAT</v>
      </c>
      <c r="M174" s="882"/>
      <c r="N174" s="883">
        <f>ROUND(Q103,0)</f>
        <v>121310</v>
      </c>
      <c r="O174" s="884"/>
      <c r="P174" s="136"/>
      <c r="Q174" s="136"/>
    </row>
    <row r="175" spans="4:17" ht="12.75" customHeight="1" x14ac:dyDescent="0.15">
      <c r="D175" s="313"/>
      <c r="E175" s="885" t="s">
        <v>5</v>
      </c>
      <c r="F175" s="885"/>
      <c r="G175" s="885"/>
      <c r="H175" s="885"/>
      <c r="I175" s="886">
        <f>ROUND(P94,0)</f>
        <v>76396</v>
      </c>
      <c r="J175" s="887"/>
      <c r="K175" s="314">
        <f>P104</f>
        <v>7.0000000000000007E-2</v>
      </c>
      <c r="L175" s="885" t="str">
        <f>UPPER("IPS " &amp; N104)</f>
        <v>IPS 15-. CONSALUD</v>
      </c>
      <c r="M175" s="885"/>
      <c r="N175" s="886">
        <f>ROUND(Q104,0)</f>
        <v>75348</v>
      </c>
      <c r="O175" s="887"/>
      <c r="P175" s="136"/>
      <c r="Q175" s="136"/>
    </row>
    <row r="176" spans="4:17" ht="12.75" customHeight="1" x14ac:dyDescent="0.15">
      <c r="D176" s="315">
        <f>N95</f>
        <v>0</v>
      </c>
      <c r="E176" s="885" t="s">
        <v>25</v>
      </c>
      <c r="F176" s="885"/>
      <c r="G176" s="885"/>
      <c r="H176" s="885"/>
      <c r="I176" s="886">
        <f>ROUND(P95,0)</f>
        <v>0</v>
      </c>
      <c r="J176" s="887"/>
      <c r="K176" s="316">
        <f>P106</f>
        <v>4.75</v>
      </c>
      <c r="L176" s="885" t="s">
        <v>228</v>
      </c>
      <c r="M176" s="885"/>
      <c r="N176" s="886">
        <f>ROUND(Q106,0)</f>
        <v>33617</v>
      </c>
      <c r="O176" s="887"/>
      <c r="P176" s="136"/>
      <c r="Q176" s="136"/>
    </row>
    <row r="177" spans="3:17" ht="12.75" customHeight="1" x14ac:dyDescent="0.15">
      <c r="D177" s="313"/>
      <c r="E177" s="885" t="s">
        <v>349</v>
      </c>
      <c r="F177" s="885"/>
      <c r="G177" s="885"/>
      <c r="H177" s="885"/>
      <c r="I177" s="886">
        <f>ROUND(P96,0)</f>
        <v>0</v>
      </c>
      <c r="J177" s="887"/>
      <c r="K177" s="314">
        <f>P105</f>
        <v>0</v>
      </c>
      <c r="L177" s="885" t="s">
        <v>322</v>
      </c>
      <c r="M177" s="885"/>
      <c r="N177" s="886">
        <f>ROUND(Q105,0)</f>
        <v>0</v>
      </c>
      <c r="O177" s="887"/>
      <c r="P177" s="136"/>
      <c r="Q177" s="136"/>
    </row>
    <row r="178" spans="3:17" ht="12.75" customHeight="1" x14ac:dyDescent="0.15">
      <c r="D178" s="313"/>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13"/>
      <c r="E179" s="885" t="str">
        <f>K99</f>
        <v>AGUISNALDOS</v>
      </c>
      <c r="F179" s="885"/>
      <c r="G179" s="885"/>
      <c r="H179" s="885"/>
      <c r="I179" s="886">
        <f>ROUND(P99,0)</f>
        <v>0</v>
      </c>
      <c r="J179" s="887"/>
      <c r="K179" s="314"/>
      <c r="L179" s="885" t="s">
        <v>341</v>
      </c>
      <c r="M179" s="885"/>
      <c r="N179" s="886">
        <f>ROUND(Q115,0)</f>
        <v>12177</v>
      </c>
      <c r="O179" s="887"/>
      <c r="P179" s="136"/>
      <c r="Q179" s="136"/>
    </row>
    <row r="180" spans="3:17" ht="12.75" customHeight="1" x14ac:dyDescent="0.15">
      <c r="D180" s="313"/>
      <c r="E180" s="885" t="s">
        <v>233</v>
      </c>
      <c r="F180" s="885"/>
      <c r="G180" s="885"/>
      <c r="H180" s="885"/>
      <c r="I180" s="886">
        <f>ROUND(P98,0)</f>
        <v>0</v>
      </c>
      <c r="J180" s="887"/>
      <c r="K180" s="313"/>
      <c r="L180" s="885" t="s">
        <v>340</v>
      </c>
      <c r="M180" s="885"/>
      <c r="N180" s="886">
        <f>ROUND(SUM(Q107:R109),0)</f>
        <v>0</v>
      </c>
      <c r="O180" s="887"/>
      <c r="P180" s="136"/>
      <c r="Q180" s="136"/>
    </row>
    <row r="181" spans="3:17" ht="12.75" customHeight="1" x14ac:dyDescent="0.15">
      <c r="D181" s="313"/>
      <c r="E181" s="885" t="s">
        <v>272</v>
      </c>
      <c r="F181" s="885"/>
      <c r="G181" s="885"/>
      <c r="H181" s="885"/>
      <c r="I181" s="886">
        <f t="shared" ref="I181:I185" si="19">ROUND(D114,0)</f>
        <v>0</v>
      </c>
      <c r="J181" s="887"/>
      <c r="K181" s="313"/>
      <c r="L181" s="885" t="str">
        <f>K110</f>
        <v>CCAF (CAJA COMPENSACIONES)</v>
      </c>
      <c r="M181" s="885"/>
      <c r="N181" s="897">
        <f>ROUND(Q110,0)</f>
        <v>0</v>
      </c>
      <c r="O181" s="887"/>
      <c r="P181" s="136"/>
      <c r="Q181" s="136"/>
    </row>
    <row r="182" spans="3:17" ht="12.75" customHeight="1" x14ac:dyDescent="0.15">
      <c r="D182" s="313"/>
      <c r="E182" s="885" t="s">
        <v>271</v>
      </c>
      <c r="F182" s="885"/>
      <c r="G182" s="885"/>
      <c r="H182" s="885"/>
      <c r="I182" s="886">
        <f t="shared" si="19"/>
        <v>0</v>
      </c>
      <c r="J182" s="887"/>
      <c r="K182" s="313"/>
      <c r="L182" s="885" t="str">
        <f>K117</f>
        <v>RETENCIÓN JUDICIAL</v>
      </c>
      <c r="M182" s="885"/>
      <c r="N182" s="897">
        <f>ROUND(P117,0)</f>
        <v>0</v>
      </c>
      <c r="O182" s="887"/>
      <c r="P182" s="136"/>
      <c r="Q182" s="136"/>
    </row>
    <row r="183" spans="3:17" ht="12.75" customHeight="1" x14ac:dyDescent="0.15">
      <c r="C183" s="37"/>
      <c r="D183" s="313"/>
      <c r="E183" s="885" t="str">
        <f>A116</f>
        <v>DESGASTE DE HERRAMIENTAS</v>
      </c>
      <c r="F183" s="885"/>
      <c r="G183" s="885"/>
      <c r="H183" s="885"/>
      <c r="I183" s="886">
        <f t="shared" si="19"/>
        <v>0</v>
      </c>
      <c r="J183" s="887"/>
      <c r="K183" s="313"/>
      <c r="L183" s="885" t="s">
        <v>347</v>
      </c>
      <c r="M183" s="885"/>
      <c r="N183" s="886">
        <f>ROUND(P118,0)</f>
        <v>0</v>
      </c>
      <c r="O183" s="887"/>
      <c r="P183" s="136"/>
      <c r="Q183" s="136"/>
    </row>
    <row r="184" spans="3:17" ht="12.75" customHeight="1" x14ac:dyDescent="0.15">
      <c r="C184" s="37"/>
      <c r="D184" s="313"/>
      <c r="E184" s="885" t="str">
        <f>A117</f>
        <v>VIATICO DE VIAJES</v>
      </c>
      <c r="F184" s="885"/>
      <c r="G184" s="885"/>
      <c r="H184" s="885"/>
      <c r="I184" s="886">
        <f t="shared" si="19"/>
        <v>0</v>
      </c>
      <c r="J184" s="887"/>
      <c r="K184" s="313"/>
      <c r="L184" s="885" t="str">
        <f>K119</f>
        <v>RETENCIONES LEGALES</v>
      </c>
      <c r="M184" s="885"/>
      <c r="N184" s="897">
        <f>ROUND(P119,0)</f>
        <v>0</v>
      </c>
      <c r="O184" s="887"/>
      <c r="P184" s="136"/>
      <c r="Q184" s="136"/>
    </row>
    <row r="185" spans="3:17" ht="12.75" customHeight="1" x14ac:dyDescent="0.15">
      <c r="C185" s="37"/>
      <c r="D185" s="313"/>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13"/>
      <c r="E186" s="885"/>
      <c r="F186" s="885"/>
      <c r="G186" s="885"/>
      <c r="H186" s="885"/>
      <c r="I186" s="886"/>
      <c r="J186" s="887"/>
      <c r="K186" s="313"/>
      <c r="L186" s="885" t="str">
        <f>A100</f>
        <v>QUINCENA MENSUAL</v>
      </c>
      <c r="M186" s="885"/>
      <c r="N186" s="886">
        <f>ROUND(D100,0)</f>
        <v>0</v>
      </c>
      <c r="O186" s="887"/>
      <c r="P186" s="136"/>
      <c r="Q186" s="136"/>
    </row>
    <row r="187" spans="3:17" ht="12.75" customHeight="1" x14ac:dyDescent="0.15">
      <c r="C187" s="37"/>
      <c r="D187" s="313"/>
      <c r="E187" s="885"/>
      <c r="F187" s="885"/>
      <c r="G187" s="885"/>
      <c r="H187" s="885"/>
      <c r="I187" s="887"/>
      <c r="J187" s="887"/>
      <c r="K187" s="313"/>
      <c r="L187" s="887" t="s">
        <v>430</v>
      </c>
      <c r="M187" s="887"/>
      <c r="N187" s="886">
        <f>ROUND(SUM(D101:E108,D110),0)</f>
        <v>0</v>
      </c>
      <c r="O187" s="887"/>
      <c r="P187" s="136"/>
      <c r="Q187" s="136"/>
    </row>
    <row r="188" spans="3:17" ht="12.75" customHeight="1" x14ac:dyDescent="0.15">
      <c r="C188" s="37"/>
      <c r="D188" s="313"/>
      <c r="E188" s="885"/>
      <c r="F188" s="885"/>
      <c r="G188" s="885"/>
      <c r="H188" s="885"/>
      <c r="I188" s="887"/>
      <c r="J188" s="887"/>
      <c r="K188" s="313"/>
      <c r="L188" s="898" t="str">
        <f>A109</f>
        <v>FINIQUITO</v>
      </c>
      <c r="M188" s="899"/>
      <c r="N188" s="886">
        <f>D109</f>
        <v>0</v>
      </c>
      <c r="O188" s="887"/>
      <c r="P188" s="136"/>
      <c r="Q188" s="136"/>
    </row>
    <row r="189" spans="3:17" ht="12.75" customHeight="1" x14ac:dyDescent="0.15">
      <c r="C189" s="37"/>
      <c r="D189" s="313"/>
      <c r="E189" s="885"/>
      <c r="F189" s="885"/>
      <c r="G189" s="885"/>
      <c r="H189" s="885"/>
      <c r="I189" s="887"/>
      <c r="J189" s="887"/>
      <c r="K189" s="313"/>
      <c r="L189" s="900"/>
      <c r="M189" s="900"/>
      <c r="N189" s="887"/>
      <c r="O189" s="887"/>
      <c r="P189" s="136"/>
      <c r="Q189" s="136"/>
    </row>
    <row r="190" spans="3:17" ht="12.75" customHeight="1" x14ac:dyDescent="0.15">
      <c r="C190" s="37"/>
      <c r="D190" s="313"/>
      <c r="E190" s="885"/>
      <c r="F190" s="885"/>
      <c r="G190" s="885"/>
      <c r="H190" s="885"/>
      <c r="I190" s="887"/>
      <c r="J190" s="887"/>
      <c r="K190" s="313"/>
      <c r="L190" s="900"/>
      <c r="M190" s="900"/>
      <c r="N190" s="887"/>
      <c r="O190" s="887"/>
      <c r="P190" s="136"/>
      <c r="Q190" s="136"/>
    </row>
    <row r="191" spans="3:17" ht="12.75" customHeight="1" x14ac:dyDescent="0.15">
      <c r="C191" s="37"/>
      <c r="D191" s="317"/>
      <c r="E191" s="895"/>
      <c r="F191" s="895"/>
      <c r="G191" s="895"/>
      <c r="H191" s="895"/>
      <c r="I191" s="896"/>
      <c r="J191" s="896"/>
      <c r="K191" s="317"/>
      <c r="L191" s="901"/>
      <c r="M191" s="901"/>
      <c r="N191" s="896"/>
      <c r="O191" s="896"/>
      <c r="P191" s="136"/>
      <c r="Q191" s="136"/>
    </row>
    <row r="192" spans="3:17" ht="12.75" customHeight="1" x14ac:dyDescent="0.2">
      <c r="C192" s="37"/>
      <c r="D192" s="902" t="s">
        <v>17</v>
      </c>
      <c r="E192" s="902"/>
      <c r="F192" s="902"/>
      <c r="G192" s="902"/>
      <c r="H192" s="902"/>
      <c r="I192" s="903">
        <f>ROUND(SUM(I174:J191),0)</f>
        <v>1076396</v>
      </c>
      <c r="J192" s="903"/>
      <c r="K192" s="902" t="s">
        <v>21</v>
      </c>
      <c r="L192" s="902"/>
      <c r="M192" s="902"/>
      <c r="N192" s="904">
        <f>ROUND(SUM(N174:O191),0)</f>
        <v>242452</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1076396</v>
      </c>
      <c r="J194" s="907"/>
      <c r="K194" s="905" t="s">
        <v>17</v>
      </c>
      <c r="L194" s="905"/>
      <c r="M194" s="905"/>
      <c r="N194" s="904">
        <f>ROUND(I192,0)</f>
        <v>1076396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846121</v>
      </c>
      <c r="J195" s="907"/>
      <c r="K195" s="905" t="s">
        <v>7</v>
      </c>
      <c r="L195" s="905"/>
      <c r="M195" s="905"/>
      <c r="N195" s="904">
        <f>ROUND(N174+N175+N176+N177+N178+N179+N180+N183,0)</f>
        <v>242452</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10226</v>
      </c>
      <c r="E197" s="911"/>
      <c r="F197" s="906">
        <f ca="1">ROUND(Q126,0)</f>
        <v>32292</v>
      </c>
      <c r="G197" s="911"/>
      <c r="H197" s="911"/>
      <c r="I197" s="906">
        <f>ROUND(Q123,0)</f>
        <v>13563</v>
      </c>
      <c r="J197" s="907"/>
      <c r="K197" s="905" t="s">
        <v>493</v>
      </c>
      <c r="L197" s="905"/>
      <c r="M197" s="905"/>
      <c r="N197" s="904">
        <f>ROUND(N194-N195-N196,0)</f>
        <v>833944</v>
      </c>
      <c r="O197" s="904"/>
      <c r="P197" s="136"/>
      <c r="Q197" s="136"/>
    </row>
    <row r="198" spans="3:17" ht="12.75" customHeight="1" x14ac:dyDescent="0.2">
      <c r="C198" s="37"/>
      <c r="D198" s="318"/>
      <c r="E198" s="319"/>
      <c r="F198" s="914" t="s">
        <v>509</v>
      </c>
      <c r="G198" s="914"/>
      <c r="H198" s="914"/>
      <c r="I198" s="906">
        <f>N199+N196</f>
        <v>833944</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833944</v>
      </c>
      <c r="O199" s="904"/>
      <c r="P199" s="136"/>
      <c r="Q199" s="136"/>
    </row>
    <row r="200" spans="3:17" ht="12.75" customHeight="1" x14ac:dyDescent="0.2">
      <c r="C200" s="37"/>
      <c r="D200" s="318"/>
      <c r="E200" s="319"/>
      <c r="F200" s="318"/>
      <c r="G200" s="319"/>
      <c r="H200" s="319"/>
      <c r="I200" s="318"/>
      <c r="J200" s="319"/>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OCHOCIENTOS TREINTA Y TRES MIL NOVECIENTOS CUARENTA Y CUATRO PESOS 00/100 CLP</v>
      </c>
      <c r="E202" s="920"/>
      <c r="F202" s="920"/>
      <c r="G202" s="920"/>
      <c r="H202" s="920"/>
      <c r="I202" s="920"/>
      <c r="J202" s="920"/>
      <c r="K202" s="920"/>
      <c r="L202" s="920"/>
      <c r="M202" s="920"/>
      <c r="N202" s="920"/>
      <c r="O202" s="921"/>
      <c r="P202" s="136"/>
      <c r="Q202" s="136"/>
    </row>
    <row r="203" spans="3:17" ht="12.75" customHeight="1" x14ac:dyDescent="0.2">
      <c r="C203" s="37"/>
      <c r="D203" s="151"/>
      <c r="E203" s="151"/>
      <c r="F203" s="151"/>
      <c r="G203" s="151"/>
      <c r="H203" s="151"/>
      <c r="I203" s="152"/>
      <c r="J203" s="151"/>
      <c r="K203" s="151"/>
      <c r="L203" s="151"/>
      <c r="M203" s="151"/>
      <c r="N203" s="151"/>
      <c r="O203" s="151"/>
      <c r="P203" s="136"/>
      <c r="Q203" s="136"/>
    </row>
    <row r="204" spans="3:17" ht="12" customHeight="1" x14ac:dyDescent="0.2">
      <c r="C204" s="37"/>
      <c r="D204" s="916"/>
      <c r="E204" s="916"/>
      <c r="F204" s="916"/>
      <c r="G204" s="916"/>
      <c r="H204" s="916"/>
      <c r="I204" s="916"/>
      <c r="J204" s="916"/>
      <c r="K204" s="916"/>
      <c r="L204" s="916"/>
      <c r="M204" s="916"/>
      <c r="N204" s="916"/>
      <c r="O204" s="916"/>
      <c r="P204" s="136"/>
      <c r="Q204" s="13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219"/>
      <c r="E210" s="219"/>
      <c r="F210" s="219"/>
      <c r="G210" s="219"/>
      <c r="H210" s="219"/>
      <c r="I210" s="219"/>
      <c r="J210" s="219"/>
      <c r="K210" s="219"/>
      <c r="L210" s="219"/>
      <c r="M210" s="219"/>
      <c r="N210" s="219"/>
      <c r="O210" s="153"/>
    </row>
    <row r="211" spans="3:15" x14ac:dyDescent="0.2">
      <c r="C211" s="37"/>
      <c r="D211" s="105"/>
      <c r="E211" s="105"/>
      <c r="F211" s="105"/>
      <c r="G211" s="105"/>
      <c r="H211" s="105"/>
      <c r="I211" s="105"/>
      <c r="J211" s="105"/>
      <c r="K211" s="105"/>
      <c r="L211" s="105"/>
      <c r="M211" s="105"/>
      <c r="N211" s="105"/>
      <c r="O211" s="32"/>
    </row>
    <row r="212" spans="3:15" x14ac:dyDescent="0.2">
      <c r="C212" s="37"/>
      <c r="D212" s="105"/>
      <c r="E212" s="105"/>
      <c r="F212" s="105"/>
      <c r="G212" s="105"/>
      <c r="H212" s="105"/>
      <c r="I212" s="105"/>
      <c r="J212" s="105"/>
      <c r="K212" s="105"/>
      <c r="L212" s="105"/>
      <c r="M212" s="105"/>
      <c r="N212" s="105"/>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4.548.566-2</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833944</v>
      </c>
      <c r="D228" s="648" t="str">
        <f>W231&amp;X231&amp;W232&amp;X232&amp;W233&amp;X233&amp;W234&amp;X234&amp;W235&amp;X235&amp;W236&amp;X236&amp;W237&amp;X237&amp;W238&amp;X238&amp;W239&amp;X239&amp;" "&amp;IF(W240="UN","Peso",D225)&amp;" "&amp;C231&amp;D226</f>
        <v>ochocientos treinta y tres mil novecientos cuarenta y cuatro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833944</v>
      </c>
      <c r="D229" s="48" t="str">
        <f>"SON: " &amp; UPPER(D228)</f>
        <v>SON: OCHOCIENTOS TREINTA Y TRES MIL NOVECIENTOS CUARENTA Y CUATRO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15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15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8</v>
      </c>
      <c r="L234" s="55" t="str">
        <f>TEXT(K234,"0")</f>
        <v>8</v>
      </c>
      <c r="M234" s="48"/>
      <c r="N234" s="48"/>
      <c r="O234" s="48"/>
      <c r="P234" s="48"/>
      <c r="Q234" s="48"/>
      <c r="R234" s="48"/>
      <c r="S234" s="48"/>
      <c r="T234" s="48"/>
      <c r="U234" s="48"/>
      <c r="V234" s="54">
        <f t="shared" si="20"/>
        <v>8</v>
      </c>
      <c r="W234" s="48" t="str">
        <f>IF(V234=0,"",IF(AA236=100," cien",IF(V234=1," ciento",VLOOKUP(V234,A281:C289,3,FALSE))))</f>
        <v>ochocientos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3</v>
      </c>
      <c r="L235" s="56">
        <f>VALUE(K235)</f>
        <v>3</v>
      </c>
      <c r="M235" s="157">
        <f>IF(C228&lt;=99999.99,ROUNDDOWN(C228/10000,0),0)</f>
        <v>0</v>
      </c>
      <c r="N235" s="55" t="str">
        <f>TEXT(M235,"0")</f>
        <v>0</v>
      </c>
      <c r="O235" s="48"/>
      <c r="P235" s="48"/>
      <c r="Q235" s="48"/>
      <c r="R235" s="48"/>
      <c r="S235" s="48"/>
      <c r="T235" s="48"/>
      <c r="U235" s="48"/>
      <c r="V235" s="54">
        <f t="shared" si="20"/>
        <v>3</v>
      </c>
      <c r="W235" s="48" t="str">
        <f>IF(V235=0,"",IF(V235&gt;=3,VLOOKUP(V235,A273:C279,3,FALSE),IF(V235&lt;=2,VLOOKUP(Y236,B243:C271,2,FALSE))))</f>
        <v>treinta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3</v>
      </c>
      <c r="L236" s="56">
        <f>VALUE(K236)</f>
        <v>3</v>
      </c>
      <c r="M236" s="48">
        <f>IF(M235=0,0,IF(M235&gt;=1,MID(C228,2,1),C228/1000))</f>
        <v>0</v>
      </c>
      <c r="N236" s="56">
        <f>VALUE(M236)</f>
        <v>0</v>
      </c>
      <c r="O236" s="157">
        <f>IF(C228&lt;=9999.99,ROUNDDOWN(C228/1000,0),0)</f>
        <v>0</v>
      </c>
      <c r="P236" s="55" t="str">
        <f>TEXT(O236,"0")</f>
        <v>0</v>
      </c>
      <c r="Q236" s="48"/>
      <c r="R236" s="48"/>
      <c r="S236" s="48"/>
      <c r="T236" s="48"/>
      <c r="U236" s="48"/>
      <c r="V236" s="54">
        <f t="shared" si="20"/>
        <v>3</v>
      </c>
      <c r="W236" s="48" t="str">
        <f>IF(V236=0,"",IF(Y236&lt;10,VLOOKUP(V236,B243:C251,2,FALSE),IF(Y236=21,"",IF(Y236=11,"",IF(V236=1,"un",IF(Y236&lt;=30,"",VLOOKUP(V236,B243:C251,2,FALSE)))))))</f>
        <v>tres</v>
      </c>
      <c r="X236" s="48" t="str">
        <f>IF(AA236=0,"",IF(X235=" mil ","",IF(Z236=0," mil ",IF(V236&lt;&gt;0," mil ",IF(Y236&lt;30," mil ","")))))</f>
        <v xml:space="preserve"> mil </v>
      </c>
      <c r="Y236" s="48">
        <f>+V235*10+V236</f>
        <v>33</v>
      </c>
      <c r="Z236" s="54">
        <f>+V235+V236</f>
        <v>6</v>
      </c>
      <c r="AA236" s="48">
        <f>+V234*100+V235*10+V236*1</f>
        <v>833</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9</v>
      </c>
      <c r="L237" s="56">
        <f>VALUE(K237)</f>
        <v>9</v>
      </c>
      <c r="M237" s="48">
        <f>IF(M235=0,0,IF(M236&gt;=1,MID(C228,3,1),C228/100))</f>
        <v>0</v>
      </c>
      <c r="N237" s="56">
        <f>VALUE(M237)</f>
        <v>0</v>
      </c>
      <c r="O237" s="48">
        <f>IF(O236=0,0,IF(O236&gt;=1,MID(C228,2,1),C228/100))</f>
        <v>0</v>
      </c>
      <c r="P237" s="56">
        <f>VALUE(O237)</f>
        <v>0</v>
      </c>
      <c r="Q237" s="157">
        <f>IF(C228&lt;=999.99,ROUNDDOWN(C228/100,0),0)</f>
        <v>0</v>
      </c>
      <c r="R237" s="55" t="str">
        <f>TEXT(Q237,"0")</f>
        <v>0</v>
      </c>
      <c r="S237" s="48"/>
      <c r="T237" s="48"/>
      <c r="U237" s="48"/>
      <c r="V237" s="54">
        <f t="shared" si="20"/>
        <v>9</v>
      </c>
      <c r="W237" s="48" t="str">
        <f>IF(V237=0,"",IF(Z239=100,"cien",IF(V237=1,"ciento",VLOOKUP(V237,A281:C289,3,FALSE))))</f>
        <v>novecientos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4</v>
      </c>
      <c r="L238" s="56">
        <f>VALUE(K238)</f>
        <v>4</v>
      </c>
      <c r="M238" s="48">
        <f>IF(M235=0,0,IF(M237&gt;=1,MID(C228,4,1),C228/10))</f>
        <v>0</v>
      </c>
      <c r="N238" s="56">
        <f>VALUE(M238)</f>
        <v>0</v>
      </c>
      <c r="O238" s="48">
        <f>IF(O236=0,0,IF(O237&gt;=1,MID(C228,3,1),C228/10))</f>
        <v>0</v>
      </c>
      <c r="P238" s="56">
        <f>VALUE(O238)</f>
        <v>0</v>
      </c>
      <c r="Q238" s="48">
        <f>IF(Q237=0,0,IF(Q237&lt;&gt;0,MID(C228,2,1),C228/10))</f>
        <v>0</v>
      </c>
      <c r="R238" s="56">
        <f>VALUE(Q238)</f>
        <v>0</v>
      </c>
      <c r="S238" s="157">
        <f>IF(C228&lt;=99.99,ROUNDDOWN(C228/10,0),0)</f>
        <v>0</v>
      </c>
      <c r="T238" s="55" t="str">
        <f>TEXT(S238,"0")</f>
        <v>0</v>
      </c>
      <c r="U238" s="48"/>
      <c r="V238" s="54">
        <f t="shared" si="20"/>
        <v>4</v>
      </c>
      <c r="W238" s="48" t="str">
        <f>IF(V238=0,"",IF(V238&gt;=3,VLOOKUP(V238,A273:C279,3,FALSE),IF(V238&lt;=2,VLOOKUP(Y239,B243:C271,2,FALSE))))</f>
        <v>cuarenta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4</v>
      </c>
      <c r="L239" s="56">
        <f>VALUE(K239)</f>
        <v>4</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157">
        <f>IF(C228&lt;=9.99,ROUNDDOWN(C228/1,0),0)</f>
        <v>0</v>
      </c>
      <c r="V239" s="54">
        <f t="shared" si="20"/>
        <v>4</v>
      </c>
      <c r="W239" s="48" t="str">
        <f>IF(C228&lt;1,"CERO ",IF(V239=0,"",IF(Y239&lt;10,VLOOKUP(V239,B243:C251,2,FALSE),IF(Y239&lt;=30,"",VLOOKUP(V239,B243:C251,2,FALSE)))))</f>
        <v>cuatro</v>
      </c>
      <c r="X239" s="48"/>
      <c r="Y239" s="48">
        <f>+V238*10+V239</f>
        <v>44</v>
      </c>
      <c r="Z239" s="54">
        <f>+V237*100+V238*10+V239*1</f>
        <v>944</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cuatro</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wr4FhH+Twf5eQTdFSDHUVZEaHvIy5Mm25Z9iTjNkqMoqGn/Kyh3a0Ea8ATJquYvLdp4xVF7YFQBWbQd4an93Xg==" saltValue="y6UTqFChSk77CNWuz/vlB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 guid="{51932A38-2FDA-4CAF-A902-45A701FCF27F}" showGridLines="0" hiddenRows="1">
      <pane ySplit="8" topLeftCell="A9" activePane="bottomLeft" state="frozen"/>
      <selection pane="bottomLeft" activeCell="D17" sqref="D17"/>
      <pageMargins left="0" right="0" top="0" bottom="0" header="0.51180555555555551" footer="0.51180555555555551"/>
      <printOptions horizontalCentered="1"/>
      <pageSetup firstPageNumber="0" orientation="portrait" horizontalDpi="300" verticalDpi="300" r:id="rId3"/>
      <headerFooter alignWithMargins="0"/>
    </customSheetView>
    <customSheetView guid="{A075B9BA-FD9D-4EFE-8542-5547A143B67B}" showGridLines="0" hiddenRows="1">
      <pane ySplit="8" topLeftCell="A9" activePane="bottomLeft" state="frozen"/>
      <selection pane="bottomLeft" activeCell="D17" sqref="D17"/>
      <pageMargins left="0" right="0" top="0" bottom="0" header="0.51180555555555551" footer="0.51180555555555551"/>
      <printOptions horizontalCentered="1"/>
      <pageSetup firstPageNumber="0" orientation="portrait" horizontalDpi="300" verticalDpi="300" r:id="rId4"/>
      <headerFooter alignWithMargins="0"/>
    </customSheetView>
  </customSheetViews>
  <mergeCells count="575">
    <mergeCell ref="D204:O204"/>
    <mergeCell ref="L157:O157"/>
    <mergeCell ref="L158:O158"/>
    <mergeCell ref="L159:O159"/>
    <mergeCell ref="L160:O160"/>
    <mergeCell ref="L154:O154"/>
    <mergeCell ref="L153:O153"/>
    <mergeCell ref="L164:O164"/>
    <mergeCell ref="D164:H164"/>
    <mergeCell ref="D153:H153"/>
    <mergeCell ref="D154:H154"/>
    <mergeCell ref="D155:H155"/>
    <mergeCell ref="D156:H156"/>
    <mergeCell ref="D157:H157"/>
    <mergeCell ref="D159:H159"/>
    <mergeCell ref="D160:H160"/>
    <mergeCell ref="D158:H158"/>
    <mergeCell ref="D202:O202"/>
    <mergeCell ref="K196:M196"/>
    <mergeCell ref="K199:M199"/>
    <mergeCell ref="N196:O196"/>
    <mergeCell ref="N199:O199"/>
    <mergeCell ref="D199:E199"/>
    <mergeCell ref="I199:J199"/>
    <mergeCell ref="F196:H196"/>
    <mergeCell ref="F199:H199"/>
    <mergeCell ref="D197:E197"/>
    <mergeCell ref="F197:H197"/>
    <mergeCell ref="I197:J197"/>
    <mergeCell ref="N200:O200"/>
    <mergeCell ref="K200:M200"/>
    <mergeCell ref="K197:M197"/>
    <mergeCell ref="N197:O197"/>
    <mergeCell ref="D196:E196"/>
    <mergeCell ref="I196:J196"/>
    <mergeCell ref="K198:M198"/>
    <mergeCell ref="N198:O198"/>
    <mergeCell ref="F198:H198"/>
    <mergeCell ref="I198:J198"/>
    <mergeCell ref="D192:H192"/>
    <mergeCell ref="I192:J192"/>
    <mergeCell ref="K192:M192"/>
    <mergeCell ref="N192:O192"/>
    <mergeCell ref="D194:H194"/>
    <mergeCell ref="I194:J194"/>
    <mergeCell ref="D195:H195"/>
    <mergeCell ref="I195:J195"/>
    <mergeCell ref="K194:M194"/>
    <mergeCell ref="K195:M195"/>
    <mergeCell ref="N194:O194"/>
    <mergeCell ref="N195:O195"/>
    <mergeCell ref="L187:M187"/>
    <mergeCell ref="N187:O187"/>
    <mergeCell ref="L188:M188"/>
    <mergeCell ref="N188:O188"/>
    <mergeCell ref="L189:M189"/>
    <mergeCell ref="N189:O189"/>
    <mergeCell ref="L190:M190"/>
    <mergeCell ref="N190:O190"/>
    <mergeCell ref="L191:M191"/>
    <mergeCell ref="N191:O191"/>
    <mergeCell ref="E191:H191"/>
    <mergeCell ref="I191:J191"/>
    <mergeCell ref="L176:M176"/>
    <mergeCell ref="N176:O176"/>
    <mergeCell ref="L177:M177"/>
    <mergeCell ref="N177:O177"/>
    <mergeCell ref="L178:M178"/>
    <mergeCell ref="N178:O178"/>
    <mergeCell ref="L179:M179"/>
    <mergeCell ref="N179:O179"/>
    <mergeCell ref="L180:M180"/>
    <mergeCell ref="N180:O180"/>
    <mergeCell ref="L181:M181"/>
    <mergeCell ref="N181:O181"/>
    <mergeCell ref="L182:M182"/>
    <mergeCell ref="N182:O182"/>
    <mergeCell ref="L183:M183"/>
    <mergeCell ref="N183:O183"/>
    <mergeCell ref="L184:M184"/>
    <mergeCell ref="N184:O184"/>
    <mergeCell ref="L185:M185"/>
    <mergeCell ref="N185:O185"/>
    <mergeCell ref="L186:M186"/>
    <mergeCell ref="N186:O186"/>
    <mergeCell ref="E186:H186"/>
    <mergeCell ref="I186:J186"/>
    <mergeCell ref="E187:H187"/>
    <mergeCell ref="I187:J187"/>
    <mergeCell ref="E188:H188"/>
    <mergeCell ref="I188:J188"/>
    <mergeCell ref="E189:H189"/>
    <mergeCell ref="I189:J189"/>
    <mergeCell ref="E190:H190"/>
    <mergeCell ref="I190:J190"/>
    <mergeCell ref="E181:H181"/>
    <mergeCell ref="I181:J181"/>
    <mergeCell ref="E182:H182"/>
    <mergeCell ref="I182:J182"/>
    <mergeCell ref="E183:H183"/>
    <mergeCell ref="I183:J183"/>
    <mergeCell ref="E184:H184"/>
    <mergeCell ref="I184:J184"/>
    <mergeCell ref="E185:H185"/>
    <mergeCell ref="I185:J185"/>
    <mergeCell ref="E176:H176"/>
    <mergeCell ref="I176:J176"/>
    <mergeCell ref="E177:H177"/>
    <mergeCell ref="I177:J177"/>
    <mergeCell ref="E178:H178"/>
    <mergeCell ref="I178:J178"/>
    <mergeCell ref="E179:H179"/>
    <mergeCell ref="I179:J179"/>
    <mergeCell ref="E180:H180"/>
    <mergeCell ref="I180:J180"/>
    <mergeCell ref="T107:W107"/>
    <mergeCell ref="E174:H174"/>
    <mergeCell ref="I174:J174"/>
    <mergeCell ref="N174:O174"/>
    <mergeCell ref="L174:M174"/>
    <mergeCell ref="E175:H175"/>
    <mergeCell ref="L175:M175"/>
    <mergeCell ref="I175:J175"/>
    <mergeCell ref="N175:O175"/>
    <mergeCell ref="K173:O173"/>
    <mergeCell ref="D173:J173"/>
    <mergeCell ref="D161:O163"/>
    <mergeCell ref="L156:O156"/>
    <mergeCell ref="L155:O155"/>
    <mergeCell ref="T124:U124"/>
    <mergeCell ref="T134:W134"/>
    <mergeCell ref="L144:M144"/>
    <mergeCell ref="L145:M145"/>
    <mergeCell ref="A135:R135"/>
    <mergeCell ref="A127:C127"/>
    <mergeCell ref="D127:E127"/>
    <mergeCell ref="B128:C128"/>
    <mergeCell ref="B131:C131"/>
    <mergeCell ref="A114:C114"/>
    <mergeCell ref="A107:C107"/>
    <mergeCell ref="F116:I116"/>
    <mergeCell ref="Q107:R107"/>
    <mergeCell ref="K115:L115"/>
    <mergeCell ref="K111:O111"/>
    <mergeCell ref="N107:O107"/>
    <mergeCell ref="D116:E116"/>
    <mergeCell ref="F107:I107"/>
    <mergeCell ref="F113:I113"/>
    <mergeCell ref="P114:R114"/>
    <mergeCell ref="Q113:R113"/>
    <mergeCell ref="K114:L114"/>
    <mergeCell ref="K116:R116"/>
    <mergeCell ref="F108:I108"/>
    <mergeCell ref="K108:M108"/>
    <mergeCell ref="K109:M109"/>
    <mergeCell ref="K110:M110"/>
    <mergeCell ref="N108:O108"/>
    <mergeCell ref="N109:O109"/>
    <mergeCell ref="P111:R111"/>
    <mergeCell ref="T125:U125"/>
    <mergeCell ref="T126:U126"/>
    <mergeCell ref="T127:U127"/>
    <mergeCell ref="T128:U128"/>
    <mergeCell ref="T129:U129"/>
    <mergeCell ref="T130:U130"/>
    <mergeCell ref="K125:M125"/>
    <mergeCell ref="T123:U123"/>
    <mergeCell ref="A116:C116"/>
    <mergeCell ref="B124:C124"/>
    <mergeCell ref="D120:E120"/>
    <mergeCell ref="B125:C125"/>
    <mergeCell ref="B126:C126"/>
    <mergeCell ref="N126:O126"/>
    <mergeCell ref="A119:C119"/>
    <mergeCell ref="D119:E119"/>
    <mergeCell ref="F119:I119"/>
    <mergeCell ref="K119:M119"/>
    <mergeCell ref="P119:R119"/>
    <mergeCell ref="N119:O119"/>
    <mergeCell ref="N130:O130"/>
    <mergeCell ref="T132:W132"/>
    <mergeCell ref="K126:M126"/>
    <mergeCell ref="K127:M127"/>
    <mergeCell ref="D137:O138"/>
    <mergeCell ref="P133:R133"/>
    <mergeCell ref="Q131:R131"/>
    <mergeCell ref="Q128:R128"/>
    <mergeCell ref="Q129:R129"/>
    <mergeCell ref="Q130:R130"/>
    <mergeCell ref="K128:M128"/>
    <mergeCell ref="T133:W133"/>
    <mergeCell ref="D126:E126"/>
    <mergeCell ref="D132:E132"/>
    <mergeCell ref="F132:I132"/>
    <mergeCell ref="D152:O152"/>
    <mergeCell ref="J144:K144"/>
    <mergeCell ref="J145:K145"/>
    <mergeCell ref="N141:O141"/>
    <mergeCell ref="L142:M142"/>
    <mergeCell ref="H142:I142"/>
    <mergeCell ref="H146:I146"/>
    <mergeCell ref="D144:E144"/>
    <mergeCell ref="D145:E145"/>
    <mergeCell ref="D146:E146"/>
    <mergeCell ref="H148:I148"/>
    <mergeCell ref="H149:I149"/>
    <mergeCell ref="J147:K147"/>
    <mergeCell ref="J148:K148"/>
    <mergeCell ref="J149:K149"/>
    <mergeCell ref="L149:M149"/>
    <mergeCell ref="D149:E149"/>
    <mergeCell ref="L143:M143"/>
    <mergeCell ref="J143:K143"/>
    <mergeCell ref="D143:E143"/>
    <mergeCell ref="D142:E142"/>
    <mergeCell ref="J142:K142"/>
    <mergeCell ref="D205:O205"/>
    <mergeCell ref="D206:O206"/>
    <mergeCell ref="D213:F213"/>
    <mergeCell ref="D214:F214"/>
    <mergeCell ref="D215:F215"/>
    <mergeCell ref="D216:F216"/>
    <mergeCell ref="D207:O207"/>
    <mergeCell ref="D208:O208"/>
    <mergeCell ref="M214:O214"/>
    <mergeCell ref="M215:O215"/>
    <mergeCell ref="M213:O213"/>
    <mergeCell ref="M216:O216"/>
    <mergeCell ref="A133:C133"/>
    <mergeCell ref="D133:E133"/>
    <mergeCell ref="D131:E131"/>
    <mergeCell ref="D129:E129"/>
    <mergeCell ref="K129:M129"/>
    <mergeCell ref="K130:M130"/>
    <mergeCell ref="B130:C130"/>
    <mergeCell ref="F129:I129"/>
    <mergeCell ref="F130:I130"/>
    <mergeCell ref="K131:P131"/>
    <mergeCell ref="C4:E4"/>
    <mergeCell ref="F21:G21"/>
    <mergeCell ref="F22:H22"/>
    <mergeCell ref="F31:G31"/>
    <mergeCell ref="A118:C118"/>
    <mergeCell ref="D100:E100"/>
    <mergeCell ref="D95:E95"/>
    <mergeCell ref="A85:R85"/>
    <mergeCell ref="P65:W65"/>
    <mergeCell ref="L74:M74"/>
    <mergeCell ref="F51:G51"/>
    <mergeCell ref="F61:G61"/>
    <mergeCell ref="F71:G71"/>
    <mergeCell ref="P67:W67"/>
    <mergeCell ref="P68:W68"/>
    <mergeCell ref="M4:O4"/>
    <mergeCell ref="M5:O5"/>
    <mergeCell ref="P5:Q5"/>
    <mergeCell ref="P4:Q4"/>
    <mergeCell ref="F4:H4"/>
    <mergeCell ref="F5:H5"/>
    <mergeCell ref="G7:H7"/>
    <mergeCell ref="C7:F7"/>
    <mergeCell ref="M7:O7"/>
    <mergeCell ref="P7:Q7"/>
    <mergeCell ref="C5:E5"/>
    <mergeCell ref="A123:C123"/>
    <mergeCell ref="D123:E123"/>
    <mergeCell ref="K123:M123"/>
    <mergeCell ref="H123:I123"/>
    <mergeCell ref="K120:M120"/>
    <mergeCell ref="N118:O118"/>
    <mergeCell ref="N120:O120"/>
    <mergeCell ref="D117:E117"/>
    <mergeCell ref="D118:E118"/>
    <mergeCell ref="F123:G123"/>
    <mergeCell ref="N97:O97"/>
    <mergeCell ref="A113:E113"/>
    <mergeCell ref="F114:I114"/>
    <mergeCell ref="A115:C115"/>
    <mergeCell ref="D115:E115"/>
    <mergeCell ref="A95:C95"/>
    <mergeCell ref="P14:W14"/>
    <mergeCell ref="P15:W15"/>
    <mergeCell ref="P16:W16"/>
    <mergeCell ref="P17:W17"/>
    <mergeCell ref="P18:W18"/>
    <mergeCell ref="P19:W19"/>
    <mergeCell ref="P20:W20"/>
    <mergeCell ref="P26:W26"/>
    <mergeCell ref="P24:W24"/>
    <mergeCell ref="P25:W25"/>
    <mergeCell ref="T121:U121"/>
    <mergeCell ref="T122:U122"/>
    <mergeCell ref="T117:U117"/>
    <mergeCell ref="P117:R117"/>
    <mergeCell ref="N100:R100"/>
    <mergeCell ref="T113:U113"/>
    <mergeCell ref="T116:U116"/>
    <mergeCell ref="T97:W97"/>
    <mergeCell ref="T98:W98"/>
    <mergeCell ref="T99:W99"/>
    <mergeCell ref="N117:O117"/>
    <mergeCell ref="K122:R122"/>
    <mergeCell ref="P28:W28"/>
    <mergeCell ref="P29:W29"/>
    <mergeCell ref="P30:W30"/>
    <mergeCell ref="P46:W46"/>
    <mergeCell ref="P47:W47"/>
    <mergeCell ref="P48:W48"/>
    <mergeCell ref="P49:W49"/>
    <mergeCell ref="P95:R95"/>
    <mergeCell ref="P27:W27"/>
    <mergeCell ref="F100:I100"/>
    <mergeCell ref="F101:I101"/>
    <mergeCell ref="F102:I102"/>
    <mergeCell ref="F105:I105"/>
    <mergeCell ref="F41:G41"/>
    <mergeCell ref="F32:H32"/>
    <mergeCell ref="F42:H42"/>
    <mergeCell ref="F52:H52"/>
    <mergeCell ref="F62:H62"/>
    <mergeCell ref="F72:H72"/>
    <mergeCell ref="A88:R88"/>
    <mergeCell ref="A87:R87"/>
    <mergeCell ref="P36:W36"/>
    <mergeCell ref="P37:W37"/>
    <mergeCell ref="P38:W38"/>
    <mergeCell ref="A83:R83"/>
    <mergeCell ref="N103:O103"/>
    <mergeCell ref="D105:E105"/>
    <mergeCell ref="D103:E103"/>
    <mergeCell ref="F103:I103"/>
    <mergeCell ref="F104:I104"/>
    <mergeCell ref="Q103:R103"/>
    <mergeCell ref="D102:E102"/>
    <mergeCell ref="T83:W83"/>
    <mergeCell ref="K100:M100"/>
    <mergeCell ref="N95:O95"/>
    <mergeCell ref="N106:O106"/>
    <mergeCell ref="K102:R102"/>
    <mergeCell ref="K104:M104"/>
    <mergeCell ref="K81:L81"/>
    <mergeCell ref="A90:R90"/>
    <mergeCell ref="K106:L106"/>
    <mergeCell ref="F106:I106"/>
    <mergeCell ref="A102:C102"/>
    <mergeCell ref="A106:C106"/>
    <mergeCell ref="D106:E106"/>
    <mergeCell ref="D104:E104"/>
    <mergeCell ref="T87:W87"/>
    <mergeCell ref="H95:I95"/>
    <mergeCell ref="P97:R97"/>
    <mergeCell ref="N98:O98"/>
    <mergeCell ref="K99:M99"/>
    <mergeCell ref="T95:W95"/>
    <mergeCell ref="T84:W84"/>
    <mergeCell ref="A103:C103"/>
    <mergeCell ref="A105:C105"/>
    <mergeCell ref="A104:C104"/>
    <mergeCell ref="P60:W60"/>
    <mergeCell ref="P69:W69"/>
    <mergeCell ref="P70:W70"/>
    <mergeCell ref="F81:H81"/>
    <mergeCell ref="F80:H80"/>
    <mergeCell ref="F77:M79"/>
    <mergeCell ref="P34:W34"/>
    <mergeCell ref="P35:W35"/>
    <mergeCell ref="T74:W74"/>
    <mergeCell ref="K80:L80"/>
    <mergeCell ref="N99:O99"/>
    <mergeCell ref="K97:M97"/>
    <mergeCell ref="F99:I99"/>
    <mergeCell ref="F97:G97"/>
    <mergeCell ref="K98:M98"/>
    <mergeCell ref="H97:I97"/>
    <mergeCell ref="P99:R99"/>
    <mergeCell ref="P13:W13"/>
    <mergeCell ref="P39:W39"/>
    <mergeCell ref="P40:W40"/>
    <mergeCell ref="P44:W44"/>
    <mergeCell ref="P45:W45"/>
    <mergeCell ref="H93:I93"/>
    <mergeCell ref="F74:I75"/>
    <mergeCell ref="T75:W75"/>
    <mergeCell ref="T76:W76"/>
    <mergeCell ref="P64:W64"/>
    <mergeCell ref="P50:W50"/>
    <mergeCell ref="P54:W54"/>
    <mergeCell ref="P55:W55"/>
    <mergeCell ref="P56:W56"/>
    <mergeCell ref="P57:W57"/>
    <mergeCell ref="P58:W58"/>
    <mergeCell ref="P59:W59"/>
    <mergeCell ref="A84:R84"/>
    <mergeCell ref="T90:W90"/>
    <mergeCell ref="T91:W91"/>
    <mergeCell ref="F93:G93"/>
    <mergeCell ref="D96:E96"/>
    <mergeCell ref="F96:G96"/>
    <mergeCell ref="T86:W86"/>
    <mergeCell ref="A97:C97"/>
    <mergeCell ref="D97:E97"/>
    <mergeCell ref="K96:M96"/>
    <mergeCell ref="N96:O96"/>
    <mergeCell ref="P96:R96"/>
    <mergeCell ref="H96:I96"/>
    <mergeCell ref="A99:E99"/>
    <mergeCell ref="A100:C100"/>
    <mergeCell ref="D101:E101"/>
    <mergeCell ref="Q126:R126"/>
    <mergeCell ref="Q127:R127"/>
    <mergeCell ref="A91:R91"/>
    <mergeCell ref="T88:W88"/>
    <mergeCell ref="T89:W89"/>
    <mergeCell ref="T92:W92"/>
    <mergeCell ref="K94:M94"/>
    <mergeCell ref="F94:G94"/>
    <mergeCell ref="P94:R94"/>
    <mergeCell ref="H94:I94"/>
    <mergeCell ref="N94:O94"/>
    <mergeCell ref="T93:W93"/>
    <mergeCell ref="T94:W94"/>
    <mergeCell ref="A96:C96"/>
    <mergeCell ref="P118:R118"/>
    <mergeCell ref="P120:R120"/>
    <mergeCell ref="T118:U118"/>
    <mergeCell ref="T120:U120"/>
    <mergeCell ref="K95:M95"/>
    <mergeCell ref="T100:W100"/>
    <mergeCell ref="T102:W102"/>
    <mergeCell ref="T101:W101"/>
    <mergeCell ref="T104:W104"/>
    <mergeCell ref="T105:W105"/>
    <mergeCell ref="T103:W103"/>
    <mergeCell ref="D148:E148"/>
    <mergeCell ref="J141:K141"/>
    <mergeCell ref="L141:M141"/>
    <mergeCell ref="D124:E124"/>
    <mergeCell ref="D125:E125"/>
    <mergeCell ref="F125:I125"/>
    <mergeCell ref="F126:I126"/>
    <mergeCell ref="F117:I117"/>
    <mergeCell ref="F118:I118"/>
    <mergeCell ref="F120:I120"/>
    <mergeCell ref="K124:M124"/>
    <mergeCell ref="F124:I124"/>
    <mergeCell ref="A122:E122"/>
    <mergeCell ref="K118:M118"/>
    <mergeCell ref="K117:M117"/>
    <mergeCell ref="A117:C117"/>
    <mergeCell ref="F122:I122"/>
    <mergeCell ref="D128:E128"/>
    <mergeCell ref="F127:I127"/>
    <mergeCell ref="L148:M148"/>
    <mergeCell ref="K103:M103"/>
    <mergeCell ref="D147:E147"/>
    <mergeCell ref="L146:M146"/>
    <mergeCell ref="F128:I128"/>
    <mergeCell ref="F131:I131"/>
    <mergeCell ref="F133:I133"/>
    <mergeCell ref="A134:R134"/>
    <mergeCell ref="D141:E141"/>
    <mergeCell ref="H141:I141"/>
    <mergeCell ref="F109:I109"/>
    <mergeCell ref="A110:C110"/>
    <mergeCell ref="A111:C111"/>
    <mergeCell ref="H147:I147"/>
    <mergeCell ref="J146:K146"/>
    <mergeCell ref="A129:C129"/>
    <mergeCell ref="D130:E130"/>
    <mergeCell ref="H143:I143"/>
    <mergeCell ref="H144:I144"/>
    <mergeCell ref="H145:I145"/>
    <mergeCell ref="D140:O140"/>
    <mergeCell ref="K133:O133"/>
    <mergeCell ref="L147:M147"/>
    <mergeCell ref="N104:O104"/>
    <mergeCell ref="A132:C132"/>
    <mergeCell ref="N105:O105"/>
    <mergeCell ref="Q105:R105"/>
    <mergeCell ref="Q106:R106"/>
    <mergeCell ref="D114:E114"/>
    <mergeCell ref="F115:I115"/>
    <mergeCell ref="D110:E110"/>
    <mergeCell ref="F110:I110"/>
    <mergeCell ref="D111:E111"/>
    <mergeCell ref="F111:I111"/>
    <mergeCell ref="N110:O110"/>
    <mergeCell ref="Q108:R108"/>
    <mergeCell ref="Q109:R109"/>
    <mergeCell ref="Q110:R110"/>
    <mergeCell ref="K113:M113"/>
    <mergeCell ref="K105:M105"/>
    <mergeCell ref="M168:O170"/>
    <mergeCell ref="A1:R3"/>
    <mergeCell ref="N127:O127"/>
    <mergeCell ref="N128:O128"/>
    <mergeCell ref="N129:O129"/>
    <mergeCell ref="P66:W66"/>
    <mergeCell ref="N123:O123"/>
    <mergeCell ref="N124:O124"/>
    <mergeCell ref="N125:O125"/>
    <mergeCell ref="Q123:R123"/>
    <mergeCell ref="Q124:R124"/>
    <mergeCell ref="Q125:R125"/>
    <mergeCell ref="A86:R86"/>
    <mergeCell ref="I4:L7"/>
    <mergeCell ref="F95:G95"/>
    <mergeCell ref="A94:C94"/>
    <mergeCell ref="A93:E93"/>
    <mergeCell ref="K93:R93"/>
    <mergeCell ref="L75:M75"/>
    <mergeCell ref="A108:C108"/>
    <mergeCell ref="D108:E108"/>
    <mergeCell ref="A109:C109"/>
    <mergeCell ref="D109:E109"/>
    <mergeCell ref="Q104:R104"/>
    <mergeCell ref="D168:F168"/>
    <mergeCell ref="D169:F169"/>
    <mergeCell ref="D170:F170"/>
    <mergeCell ref="D171:F171"/>
    <mergeCell ref="G165:K165"/>
    <mergeCell ref="G166:K166"/>
    <mergeCell ref="G167:K167"/>
    <mergeCell ref="G168:K168"/>
    <mergeCell ref="G169:K169"/>
    <mergeCell ref="G170:K170"/>
    <mergeCell ref="G171:K171"/>
    <mergeCell ref="B9:W11"/>
    <mergeCell ref="Q141:S141"/>
    <mergeCell ref="Q142:S142"/>
    <mergeCell ref="Q143:S143"/>
    <mergeCell ref="Q144:S144"/>
    <mergeCell ref="Q145:S145"/>
    <mergeCell ref="Q146:S146"/>
    <mergeCell ref="Q147:S147"/>
    <mergeCell ref="M167:O167"/>
    <mergeCell ref="M165:N165"/>
    <mergeCell ref="M166:N166"/>
    <mergeCell ref="D165:F165"/>
    <mergeCell ref="D166:F166"/>
    <mergeCell ref="D167:F167"/>
    <mergeCell ref="P98:R98"/>
    <mergeCell ref="A101:C101"/>
    <mergeCell ref="A120:C120"/>
    <mergeCell ref="D107:E107"/>
    <mergeCell ref="N114:O114"/>
    <mergeCell ref="K107:M107"/>
    <mergeCell ref="K112:R112"/>
    <mergeCell ref="N113:O113"/>
    <mergeCell ref="Q115:R115"/>
    <mergeCell ref="N115:P115"/>
    <mergeCell ref="Q154:S154"/>
    <mergeCell ref="U154:W154"/>
    <mergeCell ref="Q140:T140"/>
    <mergeCell ref="D228:V228"/>
    <mergeCell ref="Q148:S148"/>
    <mergeCell ref="Q149:S149"/>
    <mergeCell ref="Q150:S150"/>
    <mergeCell ref="Q151:S151"/>
    <mergeCell ref="Q152:S152"/>
    <mergeCell ref="Q153:S153"/>
    <mergeCell ref="U141:W141"/>
    <mergeCell ref="U142:W142"/>
    <mergeCell ref="U143:W143"/>
    <mergeCell ref="U144:W144"/>
    <mergeCell ref="U145:W145"/>
    <mergeCell ref="U146:W146"/>
    <mergeCell ref="U147:W147"/>
    <mergeCell ref="U148:W148"/>
    <mergeCell ref="U149:W149"/>
    <mergeCell ref="U150:W150"/>
    <mergeCell ref="U151:W151"/>
    <mergeCell ref="U152:W152"/>
    <mergeCell ref="U153:W153"/>
    <mergeCell ref="M171:O171"/>
  </mergeCells>
  <phoneticPr fontId="0" type="noConversion"/>
  <dataValidations disablePrompts="1" count="4">
    <dataValidation type="whole" showInputMessage="1" showErrorMessage="1" errorTitle="Solo numeros" error="Por favor ingrese numeros enteros entre el 1 al 10" sqref="V113:V130">
      <formula1>1</formula1>
      <formula2>10</formula2>
    </dataValidation>
    <dataValidation errorStyle="information" allowBlank="1" errorTitle="Solo numeros" error="Por favor ingrese numeros enteros entre el 1 al 10" sqref="W113:W130"/>
    <dataValidation allowBlank="1" showInputMessage="1" showErrorMessage="1" promptTitle="Seleccione una AFP" prompt="Favor seleccione una AFP, de las entregadas en la siguiente lista." sqref="N123:O123"/>
    <dataValidation allowBlank="1" showErrorMessage="1" promptTitle="Seleccione una AFP" prompt="Favor seleccione una AFP, de las entregadas en la siguiente lista." sqref="N103:O103"/>
  </dataValidations>
  <hyperlinks>
    <hyperlink ref="A1:R3" r:id="rId5" display="PLANILLA DE REMUNERACIONES EN EXCEL"/>
    <hyperlink ref="T76" r:id="rId6"/>
    <hyperlink ref="T76:W76" r:id="rId7" display="http://www.apoyoti.com"/>
  </hyperlinks>
  <printOptions horizontalCentered="1"/>
  <pageMargins left="0" right="0" top="0" bottom="0" header="0.51180555555555551" footer="0.51180555555555551"/>
  <pageSetup firstPageNumber="0" orientation="portrait" horizontalDpi="300" verticalDpi="300" r:id="rId8"/>
  <headerFooter alignWithMargins="0"/>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402562</v>
      </c>
      <c r="Q4" s="843"/>
      <c r="R4" s="33"/>
      <c r="S4" s="112" t="s">
        <v>31</v>
      </c>
      <c r="T4" s="113" t="s">
        <v>32</v>
      </c>
      <c r="V4" s="12"/>
      <c r="W4" s="12"/>
    </row>
    <row r="5" spans="1:23" s="32" customFormat="1" ht="11.1" customHeight="1" x14ac:dyDescent="0.2">
      <c r="B5" s="211"/>
      <c r="C5" s="829" t="s">
        <v>23</v>
      </c>
      <c r="D5" s="829"/>
      <c r="E5" s="829"/>
      <c r="F5" s="843">
        <f>T148</f>
        <v>200000</v>
      </c>
      <c r="G5" s="843"/>
      <c r="H5" s="843"/>
      <c r="I5" s="709"/>
      <c r="J5" s="709"/>
      <c r="K5" s="709"/>
      <c r="L5" s="709"/>
      <c r="M5" s="674" t="s">
        <v>17</v>
      </c>
      <c r="N5" s="674"/>
      <c r="O5" s="674"/>
      <c r="P5" s="843">
        <f>D129</f>
        <v>460500</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639</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1037.0370370370372</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1037.0370370370372</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1037.0370370370372</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1037.0370370370372</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1037.0370370370372</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1037.0370370370372</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1555.54</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1037.0370370370372</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1037.0370370370372</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1037.0370370370372</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1037.0370370370372</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1037.0370370370372</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1037.0370370370372</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1555.54</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1037.0370370370372</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1037.0370370370372</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1037.0370370370372</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1037.0370370370372</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1037.0370370370372</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1037.0370370370372</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1555.54</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1037.0370370370372</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1037.0370370370372</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1037.0370370370372</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1037.0370370370372</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1037.0370370370372</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1037.0370370370372</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1555.54</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1037.0370370370372</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1037.0370370370372</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1037.0370370370372</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11"/>
      <c r="B77" s="211"/>
      <c r="C77" s="211"/>
      <c r="D77" s="211"/>
      <c r="E77" s="211"/>
      <c r="F77" s="795" t="s">
        <v>287</v>
      </c>
      <c r="G77" s="796"/>
      <c r="H77" s="796"/>
      <c r="I77" s="796"/>
      <c r="J77" s="796"/>
      <c r="K77" s="796"/>
      <c r="L77" s="796"/>
      <c r="M77" s="796"/>
      <c r="N77" s="19"/>
      <c r="O77" s="19"/>
      <c r="R77" s="19"/>
      <c r="S77" s="19"/>
    </row>
    <row r="78" spans="1:23" ht="11.1" customHeight="1" x14ac:dyDescent="0.2">
      <c r="A78" s="211"/>
      <c r="B78" s="211"/>
      <c r="C78" s="211"/>
      <c r="D78" s="211"/>
      <c r="E78" s="211"/>
      <c r="F78" s="795"/>
      <c r="G78" s="796"/>
      <c r="H78" s="796"/>
      <c r="I78" s="796"/>
      <c r="J78" s="796"/>
      <c r="K78" s="796"/>
      <c r="L78" s="796"/>
      <c r="M78" s="796"/>
      <c r="N78" s="19"/>
      <c r="O78" s="19"/>
      <c r="R78" s="19"/>
      <c r="S78" s="19"/>
    </row>
    <row r="79" spans="1:23" ht="11.1" customHeight="1" x14ac:dyDescent="0.2">
      <c r="A79" s="211"/>
      <c r="B79" s="211"/>
      <c r="C79" s="211"/>
      <c r="D79" s="211"/>
      <c r="E79" s="211"/>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62500</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50000</v>
      </c>
      <c r="O98" s="738"/>
      <c r="P98" s="668">
        <f>ROUND(IF((D94+E94)&lt;0.1,N98,IF((D94+E94)&lt;0.6,(N98/4)*3,IF((D94+E94)&lt;1.1,N98/2,IF((D94+E94)&lt;1.6,N98/4,0)))),0)</f>
        <v>50000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112500</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6-. PRÓVIDA</v>
      </c>
      <c r="O103" s="719"/>
      <c r="P103" s="128">
        <f>LOOKUP((N103),ListadoAFP,IM!B135:B144)</f>
        <v>0.1154</v>
      </c>
      <c r="Q103" s="704">
        <f>ROUND(IF(T$145="3-. BOLETA",0,IF(D$127&gt;IM!O69,IM!O69*P103,D$127*P103)),0)</f>
        <v>36063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16-. CRUZ BLANCA</v>
      </c>
      <c r="O104" s="719"/>
      <c r="P104" s="63">
        <f>LOOKUP((N104),ListadoIsapres,IM!D135:D154)</f>
        <v>7.0000000000000007E-2</v>
      </c>
      <c r="Q104" s="704">
        <f>ROUND(IF(T$145="3-. BOLETA",0,IF(D$127&gt;IM!O69,IM!O69*P104,D$127*P104)),0)</f>
        <v>21875</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4-. JUBILADO</v>
      </c>
      <c r="O105" s="719"/>
      <c r="P105" s="63">
        <f>LOOKUP((N105),TipoContrato,IM!F135:F139)</f>
        <v>0</v>
      </c>
      <c r="Q105" s="704">
        <f>ROUND(IF(T$145="3-. BOLETA",0,IF(D$127&gt;IM!O71,IM!O71*P105,D$127*P105)),0)</f>
        <v>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57938</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254562</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200000</v>
      </c>
      <c r="E123" s="831"/>
      <c r="F123" s="765" t="str">
        <f>30-(D94+E94+D96+D97) &amp; " DÍAS"</f>
        <v>30 DÍAS</v>
      </c>
      <c r="G123" s="767"/>
      <c r="H123" s="832" t="s">
        <v>74</v>
      </c>
      <c r="I123" s="832"/>
      <c r="J123" s="12"/>
      <c r="K123" s="727" t="s">
        <v>319</v>
      </c>
      <c r="L123" s="728"/>
      <c r="M123" s="729"/>
      <c r="N123" s="702" t="str">
        <f>T$152</f>
        <v>6-. PRÓVIDA</v>
      </c>
      <c r="O123" s="703"/>
      <c r="P123" s="140">
        <f>IF($T$145&lt;&gt;IM!$E$138,LOOKUP($N$123,IM!$A$48:$B$57,IM!$D$48:$D$57),0)</f>
        <v>0</v>
      </c>
      <c r="Q123" s="704">
        <f>IF($D$127&lt;IM!$O$69,$D$127*$P$123,IM!$O$69*$P$123)</f>
        <v>0</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8333.3333333333339</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112500</v>
      </c>
      <c r="E126" s="668"/>
      <c r="F126" s="732"/>
      <c r="G126" s="733"/>
      <c r="H126" s="733"/>
      <c r="I126" s="734"/>
      <c r="J126" s="12"/>
      <c r="K126" s="727" t="s">
        <v>322</v>
      </c>
      <c r="L126" s="728"/>
      <c r="M126" s="729"/>
      <c r="N126" s="765" t="str">
        <f>UPPER(T$145)</f>
        <v>4-. JUBILADO</v>
      </c>
      <c r="O126" s="767"/>
      <c r="P126" s="140">
        <f ca="1">LOOKUP(($N$126),TipoContrato,IM!$F$140:$F$143)</f>
        <v>0</v>
      </c>
      <c r="Q126" s="704">
        <f ca="1">IF($D$127&gt;IM!$O$71,IM!$O$71*$P$126,$D$127*$P$126)</f>
        <v>0</v>
      </c>
      <c r="R126" s="705"/>
      <c r="S126" s="61"/>
      <c r="T126" s="774" t="s">
        <v>215</v>
      </c>
      <c r="U126" s="775"/>
      <c r="V126" s="166">
        <v>10</v>
      </c>
      <c r="W126" s="64" t="str">
        <f t="shared" si="18"/>
        <v>Logrado</v>
      </c>
    </row>
    <row r="127" spans="1:23" ht="10.5" customHeight="1" x14ac:dyDescent="0.2">
      <c r="A127" s="849" t="s">
        <v>18</v>
      </c>
      <c r="B127" s="894"/>
      <c r="C127" s="850"/>
      <c r="D127" s="831">
        <f>ROUND((D123+D124+D126)-D125,0)</f>
        <v>312500</v>
      </c>
      <c r="E127" s="831"/>
      <c r="F127" s="732"/>
      <c r="G127" s="733"/>
      <c r="H127" s="733"/>
      <c r="I127" s="734"/>
      <c r="J127" s="12"/>
      <c r="K127" s="669" t="s">
        <v>323</v>
      </c>
      <c r="L127" s="669"/>
      <c r="M127" s="669"/>
      <c r="N127" s="699" t="s">
        <v>324</v>
      </c>
      <c r="O127" s="700"/>
      <c r="P127" s="228">
        <v>9.4999999999999998E-3</v>
      </c>
      <c r="Q127" s="704">
        <f>ROUND(IF(T$145="3-. BOLETA",0,IF(D$127&gt;IM!$O$69,IM!$O$69*$P$127,D$127*$P$127)),0)</f>
        <v>2969</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460500</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57938</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11302.333333333334</v>
      </c>
      <c r="R131" s="861"/>
    </row>
    <row r="132" spans="1:23" ht="10.5" customHeight="1" x14ac:dyDescent="0.2">
      <c r="A132" s="749" t="s">
        <v>326</v>
      </c>
      <c r="B132" s="750"/>
      <c r="C132" s="751"/>
      <c r="D132" s="864">
        <f>(ROUND(N113,0))</f>
        <v>254562</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402562</v>
      </c>
      <c r="E133" s="831"/>
      <c r="F133" s="732"/>
      <c r="G133" s="733"/>
      <c r="H133" s="733"/>
      <c r="I133" s="734"/>
      <c r="J133" s="12"/>
      <c r="K133" s="712" t="str">
        <f>IF(T$145="3-. BOLETA","T. A PAGAR (MENOS 10% BOLETA)","TOTAL A PAGAR")</f>
        <v>TOTAL A PAGAR</v>
      </c>
      <c r="L133" s="747"/>
      <c r="M133" s="713"/>
      <c r="N133" s="713"/>
      <c r="O133" s="714"/>
      <c r="P133" s="859">
        <f>ROUND(D133,0)</f>
        <v>402562</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IM!C8</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IM!F8</f>
        <v>5.977.069-3</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IM!H8</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IM!J8</f>
        <v>(09) 850 55 427</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UPPER(IM!Q8)</f>
        <v>4-. JUBILADO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IM!N8</f>
        <v>Contador General</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IM!AE8</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IM!S8</f>
        <v>200000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IM!AC8</f>
        <v>74000</v>
      </c>
      <c r="U149" s="644"/>
      <c r="V149" s="645"/>
      <c r="W149" s="645"/>
    </row>
    <row r="150" spans="4:23" x14ac:dyDescent="0.2">
      <c r="Q150" s="641" t="s">
        <v>394</v>
      </c>
      <c r="R150" s="642"/>
      <c r="S150" s="643"/>
      <c r="T150" s="167">
        <f>IM!AA8</f>
        <v>74000</v>
      </c>
      <c r="U150" s="644"/>
      <c r="V150" s="645"/>
      <c r="W150" s="645"/>
    </row>
    <row r="151" spans="4:23" ht="10.5" customHeight="1" x14ac:dyDescent="0.2">
      <c r="N151" s="12"/>
      <c r="O151" s="12"/>
      <c r="P151" s="12"/>
      <c r="Q151" s="641" t="s">
        <v>395</v>
      </c>
      <c r="R151" s="642"/>
      <c r="S151" s="643"/>
      <c r="T151" s="167">
        <f>IM!Y8</f>
        <v>50000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UPPER(IM!U8)</f>
        <v>6-. PRÓVIDA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UPPER(IM!W8)</f>
        <v>16-. CRUZ BLANCA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IM!L8</f>
        <v>41172</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5.977.069-3</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41172</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Contador General</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200000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200000</v>
      </c>
      <c r="J174" s="884"/>
      <c r="K174" s="312">
        <f>P103</f>
        <v>0.1154</v>
      </c>
      <c r="L174" s="882" t="str">
        <f>"AFP "&amp; UPPER(N103)</f>
        <v>AFP 6-. PRÓVIDA</v>
      </c>
      <c r="M174" s="882"/>
      <c r="N174" s="883">
        <f>ROUND(Q103,0)</f>
        <v>36063</v>
      </c>
      <c r="O174" s="884"/>
      <c r="P174" s="136"/>
      <c r="Q174" s="136"/>
    </row>
    <row r="175" spans="4:17" ht="12.75" customHeight="1" x14ac:dyDescent="0.15">
      <c r="D175" s="325"/>
      <c r="E175" s="885" t="s">
        <v>5</v>
      </c>
      <c r="F175" s="885"/>
      <c r="G175" s="885"/>
      <c r="H175" s="885"/>
      <c r="I175" s="886">
        <f>ROUND(P94,0)</f>
        <v>62500</v>
      </c>
      <c r="J175" s="887"/>
      <c r="K175" s="314">
        <f>P104</f>
        <v>7.0000000000000007E-2</v>
      </c>
      <c r="L175" s="885" t="str">
        <f>UPPER("IPS " &amp; N104)</f>
        <v>IPS 16-. CRUZ BLANCA</v>
      </c>
      <c r="M175" s="885"/>
      <c r="N175" s="886">
        <f>ROUND(Q104,0)</f>
        <v>21875</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0</v>
      </c>
      <c r="L177" s="885" t="s">
        <v>322</v>
      </c>
      <c r="M177" s="885"/>
      <c r="N177" s="886">
        <f>ROUND(Q105,0)</f>
        <v>0</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50000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460500</v>
      </c>
      <c r="J192" s="903"/>
      <c r="K192" s="902" t="s">
        <v>21</v>
      </c>
      <c r="L192" s="902"/>
      <c r="M192" s="902"/>
      <c r="N192" s="904">
        <f>ROUND(SUM(N174:O191),0)</f>
        <v>57938</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312500</v>
      </c>
      <c r="J194" s="907"/>
      <c r="K194" s="905" t="s">
        <v>17</v>
      </c>
      <c r="L194" s="905"/>
      <c r="M194" s="905"/>
      <c r="N194" s="904">
        <f>ROUND(I192,0)</f>
        <v>460500</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254562</v>
      </c>
      <c r="J195" s="907"/>
      <c r="K195" s="905" t="s">
        <v>7</v>
      </c>
      <c r="L195" s="905"/>
      <c r="M195" s="905"/>
      <c r="N195" s="904">
        <f>ROUND(N174+N175+N176+N177+N178+N179+N180+N183,0)</f>
        <v>57938</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2969</v>
      </c>
      <c r="E197" s="911"/>
      <c r="F197" s="906">
        <f ca="1">ROUND(Q126,0)</f>
        <v>0</v>
      </c>
      <c r="G197" s="911"/>
      <c r="H197" s="911"/>
      <c r="I197" s="906">
        <f>ROUND(Q123,0)</f>
        <v>0</v>
      </c>
      <c r="J197" s="907"/>
      <c r="K197" s="905" t="s">
        <v>493</v>
      </c>
      <c r="L197" s="905"/>
      <c r="M197" s="905"/>
      <c r="N197" s="904">
        <f>ROUND(N194-N195-N196,0)</f>
        <v>402562</v>
      </c>
      <c r="O197" s="904"/>
      <c r="P197" s="136"/>
      <c r="Q197" s="136"/>
    </row>
    <row r="198" spans="3:17" ht="12.75" customHeight="1" x14ac:dyDescent="0.2">
      <c r="C198" s="37"/>
      <c r="D198" s="323"/>
      <c r="E198" s="324"/>
      <c r="F198" s="914" t="s">
        <v>509</v>
      </c>
      <c r="G198" s="914"/>
      <c r="H198" s="914"/>
      <c r="I198" s="906">
        <f>N199+N196</f>
        <v>402562</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402562</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DOS MIL QUINIENTOS SESENTA Y DOS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5.977.069-3</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402562</v>
      </c>
      <c r="D228" s="648" t="str">
        <f>W231&amp;X231&amp;W232&amp;X232&amp;W233&amp;X233&amp;W234&amp;X234&amp;W235&amp;X235&amp;W236&amp;X236&amp;W237&amp;X237&amp;W238&amp;X238&amp;W239&amp;X239&amp;" "&amp;IF(W240="UN","Peso",D225)&amp;" "&amp;C231&amp;D226</f>
        <v>cuatrocientos dos mil quinientos sesenta y dos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402562</v>
      </c>
      <c r="D229" s="48" t="str">
        <f>"SON: " &amp; UPPER(D228)</f>
        <v>SON: CUATROCIENTOS DOS MIL QUINIENTOS SESENTA Y DOS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0</v>
      </c>
      <c r="L235" s="56">
        <f>VALUE(K235)</f>
        <v>0</v>
      </c>
      <c r="M235" s="227">
        <f>IF(C228&lt;=99999.99,ROUNDDOWN(C228/10000,0),0)</f>
        <v>0</v>
      </c>
      <c r="N235" s="55" t="str">
        <f>TEXT(M235,"0")</f>
        <v>0</v>
      </c>
      <c r="O235" s="48"/>
      <c r="P235" s="48"/>
      <c r="Q235" s="48"/>
      <c r="R235" s="48"/>
      <c r="S235" s="48"/>
      <c r="T235" s="48"/>
      <c r="U235" s="48"/>
      <c r="V235" s="54">
        <f t="shared" si="20"/>
        <v>0</v>
      </c>
      <c r="W235" s="48" t="str">
        <f>IF(V235=0,"",IF(V235&gt;=3,VLOOKUP(V235,A273:C279,3,FALSE),IF(V235&lt;=2,VLOOKUP(Y236,B243:C271,2,FALSE))))</f>
        <v/>
      </c>
      <c r="X235" s="48" t="str">
        <f>IF(AA236=0,"",IF(Z236=V235," mil ",IF(Y236&gt;=30," y ","")))</f>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2</v>
      </c>
      <c r="L236" s="56">
        <f>VALUE(K236)</f>
        <v>2</v>
      </c>
      <c r="M236" s="48">
        <f>IF(M235=0,0,IF(M235&gt;=1,MID(C228,2,1),C228/1000))</f>
        <v>0</v>
      </c>
      <c r="N236" s="56">
        <f>VALUE(M236)</f>
        <v>0</v>
      </c>
      <c r="O236" s="227">
        <f>IF(C228&lt;=9999.99,ROUNDDOWN(C228/1000,0),0)</f>
        <v>0</v>
      </c>
      <c r="P236" s="55" t="str">
        <f>TEXT(O236,"0")</f>
        <v>0</v>
      </c>
      <c r="Q236" s="48"/>
      <c r="R236" s="48"/>
      <c r="S236" s="48"/>
      <c r="T236" s="48"/>
      <c r="U236" s="48"/>
      <c r="V236" s="54">
        <f t="shared" si="20"/>
        <v>2</v>
      </c>
      <c r="W236" s="48" t="str">
        <f>IF(V236=0,"",IF(Y236&lt;10,VLOOKUP(V236,B243:C251,2,FALSE),IF(Y236=21,"",IF(Y236=11,"",IF(V236=1,"un",IF(Y236&lt;=30,"",VLOOKUP(V236,B243:C251,2,FALSE)))))))</f>
        <v>dos</v>
      </c>
      <c r="X236" s="48" t="str">
        <f>IF(AA236=0,"",IF(X235=" mil ","",IF(Z236=0," mil ",IF(V236&lt;&gt;0," mil ",IF(Y236&lt;30," mil ","")))))</f>
        <v xml:space="preserve"> mil </v>
      </c>
      <c r="Y236" s="48">
        <f>+V235*10+V236</f>
        <v>2</v>
      </c>
      <c r="Z236" s="54">
        <f>+V235+V236</f>
        <v>2</v>
      </c>
      <c r="AA236" s="48">
        <f>+V234*100+V235*10+V236*1</f>
        <v>402</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5</v>
      </c>
      <c r="L237" s="56">
        <f>VALUE(K237)</f>
        <v>5</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5</v>
      </c>
      <c r="W237" s="48" t="str">
        <f>IF(V237=0,"",IF(Z239=100,"cien",IF(V237=1,"ciento",VLOOKUP(V237,A281:C289,3,FALSE))))</f>
        <v>quinientos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6</v>
      </c>
      <c r="L238" s="56">
        <f>VALUE(K238)</f>
        <v>6</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6</v>
      </c>
      <c r="W238" s="48" t="str">
        <f>IF(V238=0,"",IF(V238&gt;=3,VLOOKUP(V238,A273:C279,3,FALSE),IF(V238&lt;=2,VLOOKUP(Y239,B243:C271,2,FALSE))))</f>
        <v>sesenta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2</v>
      </c>
      <c r="W239" s="48" t="str">
        <f>IF(C228&lt;1,"CERO ",IF(V239=0,"",IF(Y239&lt;10,VLOOKUP(V239,B243:C251,2,FALSE),IF(Y239&lt;=30,"",VLOOKUP(V239,B243:C251,2,FALSE)))))</f>
        <v>dos</v>
      </c>
      <c r="X239" s="48"/>
      <c r="Y239" s="48">
        <f>+V238*10+V239</f>
        <v>62</v>
      </c>
      <c r="Z239" s="54">
        <f>+V237*100+V238*10+V239*1</f>
        <v>562</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dos</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c80KkDWasB7cOJbAHJI3OB/w5BLCk091/nkxLUKZEp6We9mzQSk6Rdpgk7TTGntVC7eBuebofJWb9MDm6Me5OA==" saltValue="jvp/clSHB8JS0/4/jyNvQ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27"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534500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624396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11"/>
      <c r="B77" s="211"/>
      <c r="C77" s="211"/>
      <c r="D77" s="211"/>
      <c r="E77" s="211"/>
      <c r="F77" s="795" t="s">
        <v>287</v>
      </c>
      <c r="G77" s="796"/>
      <c r="H77" s="796"/>
      <c r="I77" s="796"/>
      <c r="J77" s="796"/>
      <c r="K77" s="796"/>
      <c r="L77" s="796"/>
      <c r="M77" s="796"/>
      <c r="N77" s="19"/>
      <c r="O77" s="19"/>
      <c r="R77" s="19"/>
      <c r="S77" s="19"/>
    </row>
    <row r="78" spans="1:23" ht="11.1" customHeight="1" x14ac:dyDescent="0.2">
      <c r="A78" s="211"/>
      <c r="B78" s="211"/>
      <c r="C78" s="211"/>
      <c r="D78" s="211"/>
      <c r="E78" s="211"/>
      <c r="F78" s="795"/>
      <c r="G78" s="796"/>
      <c r="H78" s="796"/>
      <c r="I78" s="796"/>
      <c r="J78" s="796"/>
      <c r="K78" s="796"/>
      <c r="L78" s="796"/>
      <c r="M78" s="796"/>
      <c r="N78" s="19"/>
      <c r="O78" s="19"/>
      <c r="R78" s="19"/>
      <c r="S78" s="19"/>
    </row>
    <row r="79" spans="1:23" ht="11.1" customHeight="1" x14ac:dyDescent="0.2">
      <c r="A79" s="211"/>
      <c r="B79" s="211"/>
      <c r="C79" s="211"/>
      <c r="D79" s="211"/>
      <c r="E79" s="211"/>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50000</v>
      </c>
      <c r="O98" s="738"/>
      <c r="P98" s="668">
        <f>ROUND(IF((D94+E94)&lt;0.1,N98,IF((D94+E94)&lt;0.6,(N98/4)*3,IF((D94+E94)&lt;1.1,N98/2,IF((D94+E94)&lt;1.6,N98/4,0)))),0)</f>
        <v>50000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126396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4-. HÁBITAT</v>
      </c>
      <c r="O103" s="719"/>
      <c r="P103" s="128">
        <f>LOOKUP((N103),ListadoAFP,IM!B135:B144)</f>
        <v>0.11269999999999999</v>
      </c>
      <c r="Q103" s="704">
        <f>ROUND(IF(T$145="3-. BOLETA",0,IF(D$127&gt;IM!O69,IM!O69*P103,D$127*P103)),0)</f>
        <v>53690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33348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2858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89896</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386500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4-. HÁBITAT</v>
      </c>
      <c r="O123" s="703"/>
      <c r="P123" s="140">
        <f>IF($T$145&lt;&gt;IM!$E$138,LOOKUP($N$123,IM!$A$48:$B$57,IM!$D$48:$D$57),0)</f>
        <v>1.26E-2</v>
      </c>
      <c r="Q123" s="704">
        <f>IF($D$127&lt;IM!$O$69,$D$127*$P$123,IM!$O$69*$P$123)</f>
        <v>6002.5896000000002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126396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11433.504000000001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476396</v>
      </c>
      <c r="E127" s="831"/>
      <c r="F127" s="732"/>
      <c r="G127" s="733"/>
      <c r="H127" s="733"/>
      <c r="I127" s="734"/>
      <c r="J127" s="12"/>
      <c r="K127" s="669" t="s">
        <v>323</v>
      </c>
      <c r="L127" s="669"/>
      <c r="M127" s="669"/>
      <c r="N127" s="699" t="s">
        <v>324</v>
      </c>
      <c r="O127" s="700"/>
      <c r="P127" s="228">
        <v>9.4999999999999998E-3</v>
      </c>
      <c r="Q127" s="704">
        <f>ROUND(IF(T$145="3-. BOLETA",0,IF(D$127&gt;IM!$O$69,IM!$O$69*$P$127,D$127*$P$127)),0)</f>
        <v>4526</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624396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89896</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36545.426933333336</v>
      </c>
      <c r="R131" s="861"/>
    </row>
    <row r="132" spans="1:23" ht="10.5" customHeight="1" x14ac:dyDescent="0.2">
      <c r="A132" s="749" t="s">
        <v>326</v>
      </c>
      <c r="B132" s="750"/>
      <c r="C132" s="751"/>
      <c r="D132" s="864">
        <f>(ROUND(N113,0))</f>
        <v>386500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534500</v>
      </c>
      <c r="E133" s="831"/>
      <c r="F133" s="732"/>
      <c r="G133" s="733"/>
      <c r="H133" s="733"/>
      <c r="I133" s="734"/>
      <c r="J133" s="12"/>
      <c r="K133" s="712" t="str">
        <f>IF(T$145="3-. BOLETA","T. A PAGAR (MENOS 10% BOLETA)","TOTAL A PAGAR")</f>
        <v>TOTAL A PAGAR</v>
      </c>
      <c r="L133" s="747"/>
      <c r="M133" s="713"/>
      <c r="N133" s="713"/>
      <c r="O133" s="714"/>
      <c r="P133" s="859">
        <f>ROUND(D133,0)</f>
        <v>534500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IM!C9</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IM!F9</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IM!H9</f>
        <v>32381</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IM!J9</f>
        <v>(09) 850 55 428</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UPPER(IM!Q9)</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IM!N9</f>
        <v>Supervisor de Taller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IM!AE9</f>
        <v>Adquisiciones</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IM!S9</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IM!AC9</f>
        <v>74000</v>
      </c>
      <c r="U149" s="644"/>
      <c r="V149" s="645"/>
      <c r="W149" s="645"/>
    </row>
    <row r="150" spans="4:23" x14ac:dyDescent="0.2">
      <c r="Q150" s="641" t="s">
        <v>394</v>
      </c>
      <c r="R150" s="642"/>
      <c r="S150" s="643"/>
      <c r="T150" s="167">
        <f>IM!AA9</f>
        <v>74000</v>
      </c>
      <c r="U150" s="644"/>
      <c r="V150" s="645"/>
      <c r="W150" s="645"/>
    </row>
    <row r="151" spans="4:23" ht="10.5" customHeight="1" x14ac:dyDescent="0.2">
      <c r="N151" s="12"/>
      <c r="O151" s="12"/>
      <c r="P151" s="12"/>
      <c r="Q151" s="641" t="s">
        <v>395</v>
      </c>
      <c r="R151" s="642"/>
      <c r="S151" s="643"/>
      <c r="T151" s="167">
        <f>IM!Y9</f>
        <v>50000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UPPER(IM!U9)</f>
        <v>4-. HÁBITAT</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UPPER(IM!W9)</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IM!L9</f>
        <v>40940</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40940</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Supervisor de Taller</v>
      </c>
      <c r="H169" s="683"/>
      <c r="I169" s="683"/>
      <c r="J169" s="683"/>
      <c r="K169" s="683"/>
      <c r="L169" s="146"/>
      <c r="M169" s="692"/>
      <c r="N169" s="693"/>
      <c r="O169" s="694"/>
      <c r="P169" s="136"/>
      <c r="Q169" s="136"/>
    </row>
    <row r="170" spans="4:17" ht="12.75" customHeight="1" x14ac:dyDescent="0.2">
      <c r="D170" s="666" t="s">
        <v>332</v>
      </c>
      <c r="E170" s="667"/>
      <c r="F170" s="667"/>
      <c r="G170" s="686" t="str">
        <f>T147</f>
        <v>Adquisiciones</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0.11269999999999999</v>
      </c>
      <c r="L174" s="882" t="str">
        <f>"AFP "&amp; UPPER(N103)</f>
        <v>AFP 4-. HÁBITAT</v>
      </c>
      <c r="M174" s="882"/>
      <c r="N174" s="883">
        <f>ROUND(Q103,0)</f>
        <v>53690</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33348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2858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50000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624396</v>
      </c>
      <c r="J192" s="903"/>
      <c r="K192" s="902" t="s">
        <v>21</v>
      </c>
      <c r="L192" s="902"/>
      <c r="M192" s="902"/>
      <c r="N192" s="904">
        <f>ROUND(SUM(N174:O191),0)</f>
        <v>89896</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476396</v>
      </c>
      <c r="J194" s="907"/>
      <c r="K194" s="905" t="s">
        <v>17</v>
      </c>
      <c r="L194" s="905"/>
      <c r="M194" s="905"/>
      <c r="N194" s="904">
        <f>ROUND(I192,0)</f>
        <v>624396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386500</v>
      </c>
      <c r="J195" s="907"/>
      <c r="K195" s="905" t="s">
        <v>7</v>
      </c>
      <c r="L195" s="905"/>
      <c r="M195" s="905"/>
      <c r="N195" s="904">
        <f>ROUND(N174+N175+N176+N177+N178+N179+N180+N183,0)</f>
        <v>89896</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4526</v>
      </c>
      <c r="E197" s="911"/>
      <c r="F197" s="906">
        <f ca="1">ROUND(Q126,0)</f>
        <v>11434</v>
      </c>
      <c r="G197" s="911"/>
      <c r="H197" s="911"/>
      <c r="I197" s="906">
        <f>ROUND(Q123,0)</f>
        <v>6003</v>
      </c>
      <c r="J197" s="907"/>
      <c r="K197" s="905" t="s">
        <v>493</v>
      </c>
      <c r="L197" s="905"/>
      <c r="M197" s="905"/>
      <c r="N197" s="904">
        <f>ROUND(N194-N195-N196,0)</f>
        <v>534500</v>
      </c>
      <c r="O197" s="904"/>
      <c r="P197" s="136"/>
      <c r="Q197" s="136"/>
    </row>
    <row r="198" spans="3:17" ht="12.75" customHeight="1" x14ac:dyDescent="0.2">
      <c r="C198" s="37"/>
      <c r="D198" s="323"/>
      <c r="E198" s="324"/>
      <c r="F198" s="914" t="s">
        <v>509</v>
      </c>
      <c r="G198" s="914"/>
      <c r="H198" s="914"/>
      <c r="I198" s="906">
        <f>N199+N196</f>
        <v>534500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534500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QUINIENTOS TREINTA Y CUATRO MIL QUINIENTOS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534500</v>
      </c>
      <c r="D228" s="648" t="str">
        <f>W231&amp;X231&amp;W232&amp;X232&amp;W233&amp;X233&amp;W234&amp;X234&amp;W235&amp;X235&amp;W236&amp;X236&amp;W237&amp;X237&amp;W238&amp;X238&amp;W239&amp;X239&amp;" "&amp;IF(W240="UN","Peso",D225)&amp;" "&amp;C231&amp;D226</f>
        <v>quinientos treinta y cuatro mil quinientos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534500</v>
      </c>
      <c r="D229" s="48" t="str">
        <f>"SON: " &amp; UPPER(D228)</f>
        <v>SON: QUINIENTOS TREINTA Y CUATRO MIL QUINIENTOS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5</v>
      </c>
      <c r="L234" s="55" t="str">
        <f>TEXT(K234,"0")</f>
        <v>5</v>
      </c>
      <c r="M234" s="48"/>
      <c r="N234" s="48"/>
      <c r="O234" s="48"/>
      <c r="P234" s="48"/>
      <c r="Q234" s="48"/>
      <c r="R234" s="48"/>
      <c r="S234" s="48"/>
      <c r="T234" s="48"/>
      <c r="U234" s="48"/>
      <c r="V234" s="54">
        <f t="shared" si="20"/>
        <v>5</v>
      </c>
      <c r="W234" s="48" t="str">
        <f>IF(V234=0,"",IF(AA236=100," cien",IF(V234=1," ciento",VLOOKUP(V234,A281:C289,3,FALSE))))</f>
        <v>quinientos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3</v>
      </c>
      <c r="L235" s="56">
        <f>VALUE(K235)</f>
        <v>3</v>
      </c>
      <c r="M235" s="227">
        <f>IF(C228&lt;=99999.99,ROUNDDOWN(C228/10000,0),0)</f>
        <v>0</v>
      </c>
      <c r="N235" s="55" t="str">
        <f>TEXT(M235,"0")</f>
        <v>0</v>
      </c>
      <c r="O235" s="48"/>
      <c r="P235" s="48"/>
      <c r="Q235" s="48"/>
      <c r="R235" s="48"/>
      <c r="S235" s="48"/>
      <c r="T235" s="48"/>
      <c r="U235" s="48"/>
      <c r="V235" s="54">
        <f t="shared" si="20"/>
        <v>3</v>
      </c>
      <c r="W235" s="48" t="str">
        <f>IF(V235=0,"",IF(V235&gt;=3,VLOOKUP(V235,A273:C279,3,FALSE),IF(V235&lt;=2,VLOOKUP(Y236,B243:C271,2,FALSE))))</f>
        <v>treinta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4</v>
      </c>
      <c r="L236" s="56">
        <f>VALUE(K236)</f>
        <v>4</v>
      </c>
      <c r="M236" s="48">
        <f>IF(M235=0,0,IF(M235&gt;=1,MID(C228,2,1),C228/1000))</f>
        <v>0</v>
      </c>
      <c r="N236" s="56">
        <f>VALUE(M236)</f>
        <v>0</v>
      </c>
      <c r="O236" s="227">
        <f>IF(C228&lt;=9999.99,ROUNDDOWN(C228/1000,0),0)</f>
        <v>0</v>
      </c>
      <c r="P236" s="55" t="str">
        <f>TEXT(O236,"0")</f>
        <v>0</v>
      </c>
      <c r="Q236" s="48"/>
      <c r="R236" s="48"/>
      <c r="S236" s="48"/>
      <c r="T236" s="48"/>
      <c r="U236" s="48"/>
      <c r="V236" s="54">
        <f t="shared" si="20"/>
        <v>4</v>
      </c>
      <c r="W236" s="48" t="str">
        <f>IF(V236=0,"",IF(Y236&lt;10,VLOOKUP(V236,B243:C251,2,FALSE),IF(Y236=21,"",IF(Y236=11,"",IF(V236=1,"un",IF(Y236&lt;=30,"",VLOOKUP(V236,B243:C251,2,FALSE)))))))</f>
        <v>cuatro</v>
      </c>
      <c r="X236" s="48" t="str">
        <f>IF(AA236=0,"",IF(X235=" mil ","",IF(Z236=0," mil ",IF(V236&lt;&gt;0," mil ",IF(Y236&lt;30," mil ","")))))</f>
        <v xml:space="preserve"> mil </v>
      </c>
      <c r="Y236" s="48">
        <f>+V235*10+V236</f>
        <v>34</v>
      </c>
      <c r="Z236" s="54">
        <f>+V235+V236</f>
        <v>7</v>
      </c>
      <c r="AA236" s="48">
        <f>+V234*100+V235*10+V236*1</f>
        <v>534</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5</v>
      </c>
      <c r="L237" s="56">
        <f>VALUE(K237)</f>
        <v>5</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5</v>
      </c>
      <c r="W237" s="48" t="str">
        <f>IF(V237=0,"",IF(Z239=100,"cien",IF(V237=1,"ciento",VLOOKUP(V237,A281:C289,3,FALSE))))</f>
        <v>quinientos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0</v>
      </c>
      <c r="W238" s="48" t="str">
        <f>IF(V238=0,"",IF(V238&gt;=3,VLOOKUP(V238,A273:C279,3,FALSE),IF(V238&lt;=2,VLOOKUP(Y239,B243:C271,2,FALSE))))</f>
        <v/>
      </c>
      <c r="X238" s="48" t="str">
        <f>IF(V238=0,"",IF(V239=0,"",IF(Y239&gt;=30," y ","")))</f>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0</v>
      </c>
      <c r="W239" s="48" t="str">
        <f>IF(C228&lt;1,"CERO ",IF(V239=0,"",IF(Y239&lt;10,VLOOKUP(V239,B243:C251,2,FALSE),IF(Y239&lt;=30,"",VLOOKUP(V239,B243:C251,2,FALSE)))))</f>
        <v/>
      </c>
      <c r="X239" s="48"/>
      <c r="Y239" s="48">
        <f>+V238*10+V239</f>
        <v>0</v>
      </c>
      <c r="Z239" s="54">
        <f>+V237*100+V238*10+V239*1</f>
        <v>500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lGJhTE6w4i6Ciq5ttPBcqnhYcy6hK5+rLa9O9e5SJRKcR0CAgWQTFSbH8J7dQnsczi+cr4p7gjmNUDOzYRhAKA==" saltValue="i88ts7z+3gMR1MeakMHpg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27"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496067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7-. MODELO</v>
      </c>
      <c r="O103" s="719"/>
      <c r="P103" s="128">
        <f>LOOKUP((N103),ListadoAFP,IM!B135:B144)</f>
        <v>0.1077</v>
      </c>
      <c r="Q103" s="704">
        <f>ROUND(IF(T$145="3-. BOLETA",0,IF(D$127&gt;IM!O69,IM!O69*P103,D$127*P103)),0)</f>
        <v>45923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78329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348067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7-. MODELO</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78329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348067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496067</v>
      </c>
      <c r="E133" s="831"/>
      <c r="F133" s="732"/>
      <c r="G133" s="733"/>
      <c r="H133" s="733"/>
      <c r="I133" s="734"/>
      <c r="J133" s="12"/>
      <c r="K133" s="712" t="str">
        <f>IF(T$145="3-. BOLETA","T. A PAGAR (MENOS 10% BOLETA)","TOTAL A PAGAR")</f>
        <v>TOTAL A PAGAR</v>
      </c>
      <c r="L133" s="747"/>
      <c r="M133" s="713"/>
      <c r="N133" s="713"/>
      <c r="O133" s="714"/>
      <c r="P133" s="859">
        <f>ROUND(D133,0)</f>
        <v>496067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IM!C10</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IM!F10</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IM!H10</f>
        <v>30212</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IM!J10</f>
        <v>(09) 850 55 429</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UPPER(IM!Q10)</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IM!N10</f>
        <v>Soldador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IM!AE10</f>
        <v>Estructuraciones</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IM!S10</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IM!AC10</f>
        <v>74000</v>
      </c>
      <c r="U149" s="644"/>
      <c r="V149" s="645"/>
      <c r="W149" s="645"/>
    </row>
    <row r="150" spans="4:23" x14ac:dyDescent="0.2">
      <c r="Q150" s="641" t="s">
        <v>394</v>
      </c>
      <c r="R150" s="642"/>
      <c r="S150" s="643"/>
      <c r="T150" s="167">
        <f>IM!AA10</f>
        <v>74000</v>
      </c>
      <c r="U150" s="644"/>
      <c r="V150" s="645"/>
      <c r="W150" s="645"/>
    </row>
    <row r="151" spans="4:23" ht="10.5" customHeight="1" x14ac:dyDescent="0.2">
      <c r="N151" s="12"/>
      <c r="O151" s="12"/>
      <c r="P151" s="12"/>
      <c r="Q151" s="641" t="s">
        <v>395</v>
      </c>
      <c r="R151" s="642"/>
      <c r="S151" s="643"/>
      <c r="T151" s="167">
        <f>IM!Y10</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UPPER(IM!U10)</f>
        <v>7-. MODELO</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UPPER(IM!W10)</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IM!L10</f>
        <v>40934</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40934</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Soldador</v>
      </c>
      <c r="H169" s="683"/>
      <c r="I169" s="683"/>
      <c r="J169" s="683"/>
      <c r="K169" s="683"/>
      <c r="L169" s="146"/>
      <c r="M169" s="692"/>
      <c r="N169" s="693"/>
      <c r="O169" s="694"/>
      <c r="P169" s="136"/>
      <c r="Q169" s="136"/>
    </row>
    <row r="170" spans="4:17" ht="12.75" customHeight="1" x14ac:dyDescent="0.2">
      <c r="D170" s="666" t="s">
        <v>332</v>
      </c>
      <c r="E170" s="667"/>
      <c r="F170" s="667"/>
      <c r="G170" s="686" t="str">
        <f>T147</f>
        <v>Estructuraciones</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0.1077</v>
      </c>
      <c r="L174" s="882" t="str">
        <f>"AFP "&amp; UPPER(N103)</f>
        <v>AFP 7-. MODELO</v>
      </c>
      <c r="M174" s="882"/>
      <c r="N174" s="883">
        <f>ROUND(Q103,0)</f>
        <v>45923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78329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348067</v>
      </c>
      <c r="J195" s="907"/>
      <c r="K195" s="905" t="s">
        <v>7</v>
      </c>
      <c r="L195" s="905"/>
      <c r="M195" s="905"/>
      <c r="N195" s="904">
        <f>ROUND(N174+N175+N176+N177+N178+N179+N180+N183,0)</f>
        <v>78329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496067</v>
      </c>
      <c r="O197" s="904"/>
      <c r="P197" s="136"/>
      <c r="Q197" s="136"/>
    </row>
    <row r="198" spans="3:17" ht="12.75" customHeight="1" x14ac:dyDescent="0.2">
      <c r="C198" s="37"/>
      <c r="D198" s="323"/>
      <c r="E198" s="324"/>
      <c r="F198" s="914" t="s">
        <v>509</v>
      </c>
      <c r="G198" s="914"/>
      <c r="H198" s="914"/>
      <c r="I198" s="906">
        <f>N199+N196</f>
        <v>496067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496067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SEIS MIL SESENTA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496067</v>
      </c>
      <c r="D228" s="648" t="str">
        <f>W231&amp;X231&amp;W232&amp;X232&amp;W233&amp;X233&amp;W234&amp;X234&amp;W235&amp;X235&amp;W236&amp;X236&amp;W237&amp;X237&amp;W238&amp;X238&amp;W239&amp;X239&amp;" "&amp;IF(W240="UN","Peso",D225)&amp;" "&amp;C231&amp;D226</f>
        <v>cuatrocientos noventa y seis mil sesenta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496067</v>
      </c>
      <c r="D229" s="48" t="str">
        <f>"SON: " &amp; UPPER(D228)</f>
        <v>SON: CUATROCIENTOS NOVENTA Y SEIS MIL SESENTA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6</v>
      </c>
      <c r="L236" s="56">
        <f>VALUE(K236)</f>
        <v>6</v>
      </c>
      <c r="M236" s="48">
        <f>IF(M235=0,0,IF(M235&gt;=1,MID(C228,2,1),C228/1000))</f>
        <v>0</v>
      </c>
      <c r="N236" s="56">
        <f>VALUE(M236)</f>
        <v>0</v>
      </c>
      <c r="O236" s="227">
        <f>IF(C228&lt;=9999.99,ROUNDDOWN(C228/1000,0),0)</f>
        <v>0</v>
      </c>
      <c r="P236" s="55" t="str">
        <f>TEXT(O236,"0")</f>
        <v>0</v>
      </c>
      <c r="Q236" s="48"/>
      <c r="R236" s="48"/>
      <c r="S236" s="48"/>
      <c r="T236" s="48"/>
      <c r="U236" s="48"/>
      <c r="V236" s="54">
        <f t="shared" si="20"/>
        <v>6</v>
      </c>
      <c r="W236" s="48" t="str">
        <f>IF(V236=0,"",IF(Y236&lt;10,VLOOKUP(V236,B243:C251,2,FALSE),IF(Y236=21,"",IF(Y236=11,"",IF(V236=1,"un",IF(Y236&lt;=30,"",VLOOKUP(V236,B243:C251,2,FALSE)))))))</f>
        <v>seis</v>
      </c>
      <c r="X236" s="48" t="str">
        <f>IF(AA236=0,"",IF(X235=" mil ","",IF(Z236=0," mil ",IF(V236&lt;&gt;0," mil ",IF(Y236&lt;30," mil ","")))))</f>
        <v xml:space="preserve"> mil </v>
      </c>
      <c r="Y236" s="48">
        <f>+V235*10+V236</f>
        <v>96</v>
      </c>
      <c r="Z236" s="54">
        <f>+V235+V236</f>
        <v>15</v>
      </c>
      <c r="AA236" s="48">
        <f>+V234*100+V235*10+V236*1</f>
        <v>496</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6</v>
      </c>
      <c r="L238" s="56">
        <f>VALUE(K238)</f>
        <v>6</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6</v>
      </c>
      <c r="W238" s="48" t="str">
        <f>IF(V238=0,"",IF(V238&gt;=3,VLOOKUP(V238,A273:C279,3,FALSE),IF(V238&lt;=2,VLOOKUP(Y239,B243:C271,2,FALSE))))</f>
        <v>sesenta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67</v>
      </c>
      <c r="Z239" s="54">
        <f>+V237*100+V238*10+V239*1</f>
        <v>67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24V3rgbF55976ZBf9dj/9iSULvrnxuMZEXC9BCCUllXpWOQvnoyB4aBzGMos7KXjIZuMprkA+bYJnAILlT6xlA==" saltValue="GFxbgjEZQwAzzplImYU0r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493210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 xml:space="preserve">2-. CAPITAL </v>
      </c>
      <c r="O103" s="719"/>
      <c r="P103" s="128">
        <f>LOOKUP((N103),ListadoAFP,IM!B135:B144)</f>
        <v>0.1144</v>
      </c>
      <c r="Q103" s="704">
        <f>ROUND(IF(T$145="3-. BOLETA",0,IF(D$127&gt;IM!O69,IM!O69*P103,D$127*P103)),0)</f>
        <v>48780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81186</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345210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 xml:space="preserve">2-. CAPITAL </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81186</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345210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493210</v>
      </c>
      <c r="E133" s="831"/>
      <c r="F133" s="732"/>
      <c r="G133" s="733"/>
      <c r="H133" s="733"/>
      <c r="I133" s="734"/>
      <c r="J133" s="12"/>
      <c r="K133" s="712" t="str">
        <f>IF(T$145="3-. BOLETA","T. A PAGAR (MENOS 10% BOLETA)","TOTAL A PAGAR")</f>
        <v>TOTAL A PAGAR</v>
      </c>
      <c r="L133" s="747"/>
      <c r="M133" s="713"/>
      <c r="N133" s="713"/>
      <c r="O133" s="714"/>
      <c r="P133" s="859">
        <f>ROUND(D133,0)</f>
        <v>493210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IM!C11</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IM!F11</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IM!H11</f>
        <v>30361</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IM!J11</f>
        <v>(09) 850 55 430</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UPPER(IM!Q11)</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IM!N11</f>
        <v>Ayudante de Soldador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IM!AE11</f>
        <v>Estructuraciones</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IM!S11</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IM!AC11</f>
        <v>74000</v>
      </c>
      <c r="U149" s="644"/>
      <c r="V149" s="645"/>
      <c r="W149" s="645"/>
    </row>
    <row r="150" spans="4:23" x14ac:dyDescent="0.2">
      <c r="Q150" s="641" t="s">
        <v>394</v>
      </c>
      <c r="R150" s="642"/>
      <c r="S150" s="643"/>
      <c r="T150" s="167">
        <f>IM!AA11</f>
        <v>74000</v>
      </c>
      <c r="U150" s="644"/>
      <c r="V150" s="645"/>
      <c r="W150" s="645"/>
    </row>
    <row r="151" spans="4:23" ht="10.5" customHeight="1" x14ac:dyDescent="0.2">
      <c r="N151" s="12"/>
      <c r="O151" s="12"/>
      <c r="P151" s="12"/>
      <c r="Q151" s="641" t="s">
        <v>395</v>
      </c>
      <c r="R151" s="642"/>
      <c r="S151" s="643"/>
      <c r="T151" s="167">
        <f>IM!Y11</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UPPER(IM!U11)</f>
        <v xml:space="preserve">2-. CAPITAL </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UPPER(IM!W11)</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IM!L11</f>
        <v>40940</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40940</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Ayudante de Soldador</v>
      </c>
      <c r="H169" s="683"/>
      <c r="I169" s="683"/>
      <c r="J169" s="683"/>
      <c r="K169" s="683"/>
      <c r="L169" s="146"/>
      <c r="M169" s="692"/>
      <c r="N169" s="693"/>
      <c r="O169" s="694"/>
      <c r="P169" s="136"/>
      <c r="Q169" s="136"/>
    </row>
    <row r="170" spans="4:17" ht="12.75" customHeight="1" x14ac:dyDescent="0.2">
      <c r="D170" s="666" t="s">
        <v>332</v>
      </c>
      <c r="E170" s="667"/>
      <c r="F170" s="667"/>
      <c r="G170" s="686" t="str">
        <f>T147</f>
        <v>Estructuraciones</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0.1144</v>
      </c>
      <c r="L174" s="882" t="str">
        <f>"AFP "&amp; UPPER(N103)</f>
        <v xml:space="preserve">AFP 2-. CAPITAL </v>
      </c>
      <c r="M174" s="882"/>
      <c r="N174" s="883">
        <f>ROUND(Q103,0)</f>
        <v>48780</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81186</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345210</v>
      </c>
      <c r="J195" s="907"/>
      <c r="K195" s="905" t="s">
        <v>7</v>
      </c>
      <c r="L195" s="905"/>
      <c r="M195" s="905"/>
      <c r="N195" s="904">
        <f>ROUND(N174+N175+N176+N177+N178+N179+N180+N183,0)</f>
        <v>81186</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493210</v>
      </c>
      <c r="O197" s="904"/>
      <c r="P197" s="136"/>
      <c r="Q197" s="136"/>
    </row>
    <row r="198" spans="3:17" ht="12.75" customHeight="1" x14ac:dyDescent="0.2">
      <c r="C198" s="37"/>
      <c r="D198" s="323"/>
      <c r="E198" s="324"/>
      <c r="F198" s="914" t="s">
        <v>509</v>
      </c>
      <c r="G198" s="914"/>
      <c r="H198" s="914"/>
      <c r="I198" s="906">
        <f>N199+N196</f>
        <v>493210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493210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TRES MIL DOSCIENTOS DIEZ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493210</v>
      </c>
      <c r="D228" s="648" t="str">
        <f>W231&amp;X231&amp;W232&amp;X232&amp;W233&amp;X233&amp;W234&amp;X234&amp;W235&amp;X235&amp;W236&amp;X236&amp;W237&amp;X237&amp;W238&amp;X238&amp;W239&amp;X239&amp;" "&amp;IF(W240="UN","Peso",D225)&amp;" "&amp;C231&amp;D226</f>
        <v>cuatrocientos noventa y tres mil doscientos diez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493210</v>
      </c>
      <c r="D229" s="48" t="str">
        <f>"SON: " &amp; UPPER(D228)</f>
        <v>SON: CUATROCIENTOS NOVENTA Y TRES MIL DOSCIENTOS DIEZ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3</v>
      </c>
      <c r="L236" s="56">
        <f>VALUE(K236)</f>
        <v>3</v>
      </c>
      <c r="M236" s="48">
        <f>IF(M235=0,0,IF(M235&gt;=1,MID(C228,2,1),C228/1000))</f>
        <v>0</v>
      </c>
      <c r="N236" s="56">
        <f>VALUE(M236)</f>
        <v>0</v>
      </c>
      <c r="O236" s="227">
        <f>IF(C228&lt;=9999.99,ROUNDDOWN(C228/1000,0),0)</f>
        <v>0</v>
      </c>
      <c r="P236" s="55" t="str">
        <f>TEXT(O236,"0")</f>
        <v>0</v>
      </c>
      <c r="Q236" s="48"/>
      <c r="R236" s="48"/>
      <c r="S236" s="48"/>
      <c r="T236" s="48"/>
      <c r="U236" s="48"/>
      <c r="V236" s="54">
        <f t="shared" si="20"/>
        <v>3</v>
      </c>
      <c r="W236" s="48" t="str">
        <f>IF(V236=0,"",IF(Y236&lt;10,VLOOKUP(V236,B243:C251,2,FALSE),IF(Y236=21,"",IF(Y236=11,"",IF(V236=1,"un",IF(Y236&lt;=30,"",VLOOKUP(V236,B243:C251,2,FALSE)))))))</f>
        <v>tres</v>
      </c>
      <c r="X236" s="48" t="str">
        <f>IF(AA236=0,"",IF(X235=" mil ","",IF(Z236=0," mil ",IF(V236&lt;&gt;0," mil ",IF(Y236&lt;30," mil ","")))))</f>
        <v xml:space="preserve"> mil </v>
      </c>
      <c r="Y236" s="48">
        <f>+V235*10+V236</f>
        <v>93</v>
      </c>
      <c r="Z236" s="54">
        <f>+V235+V236</f>
        <v>12</v>
      </c>
      <c r="AA236" s="48">
        <f>+V234*100+V235*10+V236*1</f>
        <v>493</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2</v>
      </c>
      <c r="L237" s="56">
        <f>VALUE(K237)</f>
        <v>2</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2</v>
      </c>
      <c r="W237" s="48" t="str">
        <f>IF(V237=0,"",IF(Z239=100,"cien",IF(V237=1,"ciento",VLOOKUP(V237,A281:C289,3,FALSE))))</f>
        <v>doscientos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1</v>
      </c>
      <c r="W238" s="48" t="str">
        <f>IF(V238=0,"",IF(V238&gt;=3,VLOOKUP(V238,A273:C279,3,FALSE),IF(V238&lt;=2,VLOOKUP(Y239,B243:C271,2,FALSE))))</f>
        <v>diez</v>
      </c>
      <c r="X238" s="48" t="str">
        <f>IF(V238=0,"",IF(V239=0,"",IF(Y239&gt;=30," y ","")))</f>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0</v>
      </c>
      <c r="W239" s="48" t="str">
        <f>IF(C228&lt;1,"CERO ",IF(V239=0,"",IF(Y239&lt;10,VLOOKUP(V239,B243:C251,2,FALSE),IF(Y239&lt;=30,"",VLOOKUP(V239,B243:C251,2,FALSE)))))</f>
        <v/>
      </c>
      <c r="X239" s="48"/>
      <c r="Y239" s="48">
        <f>+V238*10+V239</f>
        <v>10</v>
      </c>
      <c r="Z239" s="54">
        <f>+V237*100+V238*10+V239*1</f>
        <v>210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GOdjQo4OWTYL+T30lNl2KFpo3FS707KD3HX/vVkdY2/2sIx1kxk12xG5hcYNWQxzGKE5ExHdfbI3YHVkEs4YtA==" saltValue="yhYBTIlLA58aW51Lhbyn9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492784</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6-. PRÓVIDA</v>
      </c>
      <c r="O103" s="719"/>
      <c r="P103" s="128">
        <f>LOOKUP((N103),ListadoAFP,IM!B135:B144)</f>
        <v>0.1154</v>
      </c>
      <c r="Q103" s="704">
        <f>ROUND(IF(T$145="3-. BOLETA",0,IF(D$127&gt;IM!O69,IM!O69*P103,D$127*P103)),0)</f>
        <v>49206</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81612</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344784</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6-. PRÓVIDA</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81612</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344784</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492784</v>
      </c>
      <c r="E133" s="831"/>
      <c r="F133" s="732"/>
      <c r="G133" s="733"/>
      <c r="H133" s="733"/>
      <c r="I133" s="734"/>
      <c r="J133" s="12"/>
      <c r="K133" s="712" t="str">
        <f>IF(T$145="3-. BOLETA","T. A PAGAR (MENOS 10% BOLETA)","TOTAL A PAGAR")</f>
        <v>TOTAL A PAGAR</v>
      </c>
      <c r="L133" s="747"/>
      <c r="M133" s="713"/>
      <c r="N133" s="713"/>
      <c r="O133" s="714"/>
      <c r="P133" s="859">
        <f>ROUND(D133,0)</f>
        <v>492784</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IM!C12</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IM!F12</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IM!H12</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IM!J12</f>
        <v>(09) 850 55 431</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UPPER(IM!Q12)</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IM!N12</f>
        <v>Soldador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IM!AE12</f>
        <v>Estructuraciones</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IM!S12</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IM!AC12</f>
        <v>74000</v>
      </c>
      <c r="U149" s="644"/>
      <c r="V149" s="645"/>
      <c r="W149" s="645"/>
    </row>
    <row r="150" spans="4:23" x14ac:dyDescent="0.2">
      <c r="Q150" s="641" t="s">
        <v>394</v>
      </c>
      <c r="R150" s="642"/>
      <c r="S150" s="643"/>
      <c r="T150" s="167">
        <f>IM!AA12</f>
        <v>74000</v>
      </c>
      <c r="U150" s="644"/>
      <c r="V150" s="645"/>
      <c r="W150" s="645"/>
    </row>
    <row r="151" spans="4:23" ht="10.5" customHeight="1" x14ac:dyDescent="0.2">
      <c r="N151" s="12"/>
      <c r="O151" s="12"/>
      <c r="P151" s="12"/>
      <c r="Q151" s="641" t="s">
        <v>395</v>
      </c>
      <c r="R151" s="642"/>
      <c r="S151" s="643"/>
      <c r="T151" s="167">
        <f>IM!Y12</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UPPER(IM!U12)</f>
        <v>6-. PRÓVIDA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UPPER(IM!W12)</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IM!L12</f>
        <v>41030</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41030</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Soldador</v>
      </c>
      <c r="H169" s="683"/>
      <c r="I169" s="683"/>
      <c r="J169" s="683"/>
      <c r="K169" s="683"/>
      <c r="L169" s="146"/>
      <c r="M169" s="692"/>
      <c r="N169" s="693"/>
      <c r="O169" s="694"/>
      <c r="P169" s="136"/>
      <c r="Q169" s="136"/>
    </row>
    <row r="170" spans="4:17" ht="12.75" customHeight="1" x14ac:dyDescent="0.2">
      <c r="D170" s="666" t="s">
        <v>332</v>
      </c>
      <c r="E170" s="667"/>
      <c r="F170" s="667"/>
      <c r="G170" s="686" t="str">
        <f>T147</f>
        <v>Estructuraciones</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0.1154</v>
      </c>
      <c r="L174" s="882" t="str">
        <f>"AFP "&amp; UPPER(N103)</f>
        <v>AFP 6-. PRÓVIDA</v>
      </c>
      <c r="M174" s="882"/>
      <c r="N174" s="883">
        <f>ROUND(Q103,0)</f>
        <v>49206</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81612</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344784</v>
      </c>
      <c r="J195" s="907"/>
      <c r="K195" s="905" t="s">
        <v>7</v>
      </c>
      <c r="L195" s="905"/>
      <c r="M195" s="905"/>
      <c r="N195" s="904">
        <f>ROUND(N174+N175+N176+N177+N178+N179+N180+N183,0)</f>
        <v>81612</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492784</v>
      </c>
      <c r="O197" s="904"/>
      <c r="P197" s="136"/>
      <c r="Q197" s="136"/>
    </row>
    <row r="198" spans="3:17" ht="12.75" customHeight="1" x14ac:dyDescent="0.2">
      <c r="C198" s="37"/>
      <c r="D198" s="323"/>
      <c r="E198" s="324"/>
      <c r="F198" s="914" t="s">
        <v>509</v>
      </c>
      <c r="G198" s="914"/>
      <c r="H198" s="914"/>
      <c r="I198" s="906">
        <f>N199+N196</f>
        <v>492784</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492784</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DOS MIL SETECIENTOS OCHENTA Y CUATRO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492784</v>
      </c>
      <c r="D228" s="648" t="str">
        <f>W231&amp;X231&amp;W232&amp;X232&amp;W233&amp;X233&amp;W234&amp;X234&amp;W235&amp;X235&amp;W236&amp;X236&amp;W237&amp;X237&amp;W238&amp;X238&amp;W239&amp;X239&amp;" "&amp;IF(W240="UN","Peso",D225)&amp;" "&amp;C231&amp;D226</f>
        <v>cuatrocientos noventa y dos mil setecientos ochenta y cuatro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492784</v>
      </c>
      <c r="D229" s="48" t="str">
        <f>"SON: " &amp; UPPER(D228)</f>
        <v>SON: CUATROCIENTOS NOVENTA Y DOS MIL SETECIENTOS OCHENTA Y CUATRO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2</v>
      </c>
      <c r="L236" s="56">
        <f>VALUE(K236)</f>
        <v>2</v>
      </c>
      <c r="M236" s="48">
        <f>IF(M235=0,0,IF(M235&gt;=1,MID(C228,2,1),C228/1000))</f>
        <v>0</v>
      </c>
      <c r="N236" s="56">
        <f>VALUE(M236)</f>
        <v>0</v>
      </c>
      <c r="O236" s="227">
        <f>IF(C228&lt;=9999.99,ROUNDDOWN(C228/1000,0),0)</f>
        <v>0</v>
      </c>
      <c r="P236" s="55" t="str">
        <f>TEXT(O236,"0")</f>
        <v>0</v>
      </c>
      <c r="Q236" s="48"/>
      <c r="R236" s="48"/>
      <c r="S236" s="48"/>
      <c r="T236" s="48"/>
      <c r="U236" s="48"/>
      <c r="V236" s="54">
        <f t="shared" si="20"/>
        <v>2</v>
      </c>
      <c r="W236" s="48" t="str">
        <f>IF(V236=0,"",IF(Y236&lt;10,VLOOKUP(V236,B243:C251,2,FALSE),IF(Y236=21,"",IF(Y236=11,"",IF(V236=1,"un",IF(Y236&lt;=30,"",VLOOKUP(V236,B243:C251,2,FALSE)))))))</f>
        <v>dos</v>
      </c>
      <c r="X236" s="48" t="str">
        <f>IF(AA236=0,"",IF(X235=" mil ","",IF(Z236=0," mil ",IF(V236&lt;&gt;0," mil ",IF(Y236&lt;30," mil ","")))))</f>
        <v xml:space="preserve"> mil </v>
      </c>
      <c r="Y236" s="48">
        <f>+V235*10+V236</f>
        <v>92</v>
      </c>
      <c r="Z236" s="54">
        <f>+V235+V236</f>
        <v>11</v>
      </c>
      <c r="AA236" s="48">
        <f>+V234*100+V235*10+V236*1</f>
        <v>492</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7</v>
      </c>
      <c r="L237" s="56">
        <f>VALUE(K237)</f>
        <v>7</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7</v>
      </c>
      <c r="W237" s="48" t="str">
        <f>IF(V237=0,"",IF(Z239=100,"cien",IF(V237=1,"ciento",VLOOKUP(V237,A281:C289,3,FALSE))))</f>
        <v>setecientos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4</v>
      </c>
      <c r="L239" s="56">
        <f>VALUE(K239)</f>
        <v>4</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4</v>
      </c>
      <c r="W239" s="48" t="str">
        <f>IF(C228&lt;1,"CERO ",IF(V239=0,"",IF(Y239&lt;10,VLOOKUP(V239,B243:C251,2,FALSE),IF(Y239&lt;=30,"",VLOOKUP(V239,B243:C251,2,FALSE)))))</f>
        <v>cuatro</v>
      </c>
      <c r="X239" s="48"/>
      <c r="Y239" s="48">
        <f>+V238*10+V239</f>
        <v>84</v>
      </c>
      <c r="Z239" s="54">
        <f>+V237*100+V238*10+V239*1</f>
        <v>784</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cuatro</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owOXtWpBN9Z4LLHHWhidGe8X9MVHJMXDTY2GoWSLdHM5vVCZS7CC73tofo6UZkYdZnSjRC6ib9ew2cyd7VwKhA==" saltValue="CGN9GDoe3gH+1k9CfIS6O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496067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0.5"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7-. MODELO</v>
      </c>
      <c r="O103" s="719"/>
      <c r="P103" s="128">
        <f>LOOKUP((N103),ListadoAFP,IM!B135:B144)</f>
        <v>0.1077</v>
      </c>
      <c r="Q103" s="704">
        <f>ROUND(IF(T$145="3-. BOLETA",0,IF(D$127&gt;IM!O69,IM!O69*P103,D$127*P103)),0)</f>
        <v>45923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78329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348067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7-. MODELO</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78329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348067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496067</v>
      </c>
      <c r="E133" s="831"/>
      <c r="F133" s="732"/>
      <c r="G133" s="733"/>
      <c r="H133" s="733"/>
      <c r="I133" s="734"/>
      <c r="J133" s="12"/>
      <c r="K133" s="712" t="str">
        <f>IF(T$145="3-. BOLETA","T. A PAGAR (MENOS 10% BOLETA)","TOTAL A PAGAR")</f>
        <v>TOTAL A PAGAR</v>
      </c>
      <c r="L133" s="747"/>
      <c r="M133" s="713"/>
      <c r="N133" s="713"/>
      <c r="O133" s="714"/>
      <c r="P133" s="859">
        <f>ROUND(D133,0)</f>
        <v>496067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IM!C13</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IM!F13</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IM!H13</f>
        <v>27906</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IM!J13</f>
        <v>(09) 850 55 432</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UPPER(IM!Q13)</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IM!N13</f>
        <v>Ayudante de Pintor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IM!AE13</f>
        <v>Estructuraciones</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IM!S13</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IM!AC13</f>
        <v>74000</v>
      </c>
      <c r="U149" s="644"/>
      <c r="V149" s="645"/>
      <c r="W149" s="645"/>
    </row>
    <row r="150" spans="4:23" x14ac:dyDescent="0.2">
      <c r="Q150" s="641" t="s">
        <v>394</v>
      </c>
      <c r="R150" s="642"/>
      <c r="S150" s="643"/>
      <c r="T150" s="167">
        <f>IM!AA13</f>
        <v>74000</v>
      </c>
      <c r="U150" s="644"/>
      <c r="V150" s="645"/>
      <c r="W150" s="645"/>
    </row>
    <row r="151" spans="4:23" ht="10.5" customHeight="1" x14ac:dyDescent="0.2">
      <c r="N151" s="12"/>
      <c r="O151" s="12"/>
      <c r="P151" s="12"/>
      <c r="Q151" s="641" t="s">
        <v>395</v>
      </c>
      <c r="R151" s="642"/>
      <c r="S151" s="643"/>
      <c r="T151" s="167">
        <f>IM!Y13</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UPPER(IM!U13)</f>
        <v>7-. MODELO</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UPPER(IM!W13)</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IM!L13</f>
        <v>40934</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40934</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Ayudante de Pintor</v>
      </c>
      <c r="H169" s="683"/>
      <c r="I169" s="683"/>
      <c r="J169" s="683"/>
      <c r="K169" s="683"/>
      <c r="L169" s="146"/>
      <c r="M169" s="692"/>
      <c r="N169" s="693"/>
      <c r="O169" s="694"/>
      <c r="P169" s="136"/>
      <c r="Q169" s="136"/>
    </row>
    <row r="170" spans="4:17" ht="12.75" customHeight="1" x14ac:dyDescent="0.2">
      <c r="D170" s="666" t="s">
        <v>332</v>
      </c>
      <c r="E170" s="667"/>
      <c r="F170" s="667"/>
      <c r="G170" s="686" t="str">
        <f>T147</f>
        <v>Estructuraciones</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0.1077</v>
      </c>
      <c r="L174" s="882" t="str">
        <f>"AFP "&amp; UPPER(N103)</f>
        <v>AFP 7-. MODELO</v>
      </c>
      <c r="M174" s="882"/>
      <c r="N174" s="883">
        <f>ROUND(Q103,0)</f>
        <v>45923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78329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348067</v>
      </c>
      <c r="J195" s="907"/>
      <c r="K195" s="905" t="s">
        <v>7</v>
      </c>
      <c r="L195" s="905"/>
      <c r="M195" s="905"/>
      <c r="N195" s="904">
        <f>ROUND(N174+N175+N176+N177+N178+N179+N180+N183,0)</f>
        <v>78329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496067</v>
      </c>
      <c r="O197" s="904"/>
      <c r="P197" s="136"/>
      <c r="Q197" s="136"/>
    </row>
    <row r="198" spans="3:17" ht="12.75" customHeight="1" x14ac:dyDescent="0.2">
      <c r="C198" s="37"/>
      <c r="D198" s="323"/>
      <c r="E198" s="324"/>
      <c r="F198" s="914" t="s">
        <v>509</v>
      </c>
      <c r="G198" s="914"/>
      <c r="H198" s="914"/>
      <c r="I198" s="906">
        <f>N199+N196</f>
        <v>496067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496067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SEIS MIL SESENTA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496067</v>
      </c>
      <c r="D228" s="648" t="str">
        <f>W231&amp;X231&amp;W232&amp;X232&amp;W233&amp;X233&amp;W234&amp;X234&amp;W235&amp;X235&amp;W236&amp;X236&amp;W237&amp;X237&amp;W238&amp;X238&amp;W239&amp;X239&amp;" "&amp;IF(W240="UN","Peso",D225)&amp;" "&amp;C231&amp;D226</f>
        <v>cuatrocientos noventa y seis mil sesenta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496067</v>
      </c>
      <c r="D229" s="48" t="str">
        <f>"SON: " &amp; UPPER(D228)</f>
        <v>SON: CUATROCIENTOS NOVENTA Y SEIS MIL SESENTA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6</v>
      </c>
      <c r="L236" s="56">
        <f>VALUE(K236)</f>
        <v>6</v>
      </c>
      <c r="M236" s="48">
        <f>IF(M235=0,0,IF(M235&gt;=1,MID(C228,2,1),C228/1000))</f>
        <v>0</v>
      </c>
      <c r="N236" s="56">
        <f>VALUE(M236)</f>
        <v>0</v>
      </c>
      <c r="O236" s="227">
        <f>IF(C228&lt;=9999.99,ROUNDDOWN(C228/1000,0),0)</f>
        <v>0</v>
      </c>
      <c r="P236" s="55" t="str">
        <f>TEXT(O236,"0")</f>
        <v>0</v>
      </c>
      <c r="Q236" s="48"/>
      <c r="R236" s="48"/>
      <c r="S236" s="48"/>
      <c r="T236" s="48"/>
      <c r="U236" s="48"/>
      <c r="V236" s="54">
        <f t="shared" si="20"/>
        <v>6</v>
      </c>
      <c r="W236" s="48" t="str">
        <f>IF(V236=0,"",IF(Y236&lt;10,VLOOKUP(V236,B243:C251,2,FALSE),IF(Y236=21,"",IF(Y236=11,"",IF(V236=1,"un",IF(Y236&lt;=30,"",VLOOKUP(V236,B243:C251,2,FALSE)))))))</f>
        <v>seis</v>
      </c>
      <c r="X236" s="48" t="str">
        <f>IF(AA236=0,"",IF(X235=" mil ","",IF(Z236=0," mil ",IF(V236&lt;&gt;0," mil ",IF(Y236&lt;30," mil ","")))))</f>
        <v xml:space="preserve"> mil </v>
      </c>
      <c r="Y236" s="48">
        <f>+V235*10+V236</f>
        <v>96</v>
      </c>
      <c r="Z236" s="54">
        <f>+V235+V236</f>
        <v>15</v>
      </c>
      <c r="AA236" s="48">
        <f>+V234*100+V235*10+V236*1</f>
        <v>496</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6</v>
      </c>
      <c r="L238" s="56">
        <f>VALUE(K238)</f>
        <v>6</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6</v>
      </c>
      <c r="W238" s="48" t="str">
        <f>IF(V238=0,"",IF(V238&gt;=3,VLOOKUP(V238,A273:C279,3,FALSE),IF(V238&lt;=2,VLOOKUP(Y239,B243:C271,2,FALSE))))</f>
        <v>sesenta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67</v>
      </c>
      <c r="Z239" s="54">
        <f>+V237*100+V238*10+V239*1</f>
        <v>67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XZsr9q6lxGeP1/EhHOBzeiwE3lLcU2DzC1v/0OWhw38W1OLnXh3sOZNhJerkMygSA1ll93KRYG3Vk5IuTrUXWg==" saltValue="F9amhadlaSR6TbCda5tAn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493210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 xml:space="preserve">2-. CAPITAL </v>
      </c>
      <c r="O103" s="719"/>
      <c r="P103" s="128">
        <f>LOOKUP((N103),ListadoAFP,IM!B135:B144)</f>
        <v>0.1144</v>
      </c>
      <c r="Q103" s="704">
        <f>ROUND(IF(T$145="3-. BOLETA",0,IF(D$127&gt;IM!O69,IM!O69*P103,D$127*P103)),0)</f>
        <v>48780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13-. BANMEDICA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81186</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345210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 xml:space="preserve">2-. CAPITAL </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81186</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345210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493210</v>
      </c>
      <c r="E133" s="831"/>
      <c r="F133" s="732"/>
      <c r="G133" s="733"/>
      <c r="H133" s="733"/>
      <c r="I133" s="734"/>
      <c r="J133" s="12"/>
      <c r="K133" s="712" t="str">
        <f>IF(T$145="3-. BOLETA","T. A PAGAR (MENOS 10% BOLETA)","TOTAL A PAGAR")</f>
        <v>TOTAL A PAGAR</v>
      </c>
      <c r="L133" s="747"/>
      <c r="M133" s="713"/>
      <c r="N133" s="713"/>
      <c r="O133" s="714"/>
      <c r="P133" s="859">
        <f>ROUND(D133,0)</f>
        <v>493210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IM!C14</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IM!F14</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IM!H14</f>
        <v>30131</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IM!J14</f>
        <v>(09) 850 55 433</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UPPER(IM!Q14)</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IM!N14</f>
        <v>Administrador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IM!AE14</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IM!S14</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IM!AC14</f>
        <v>74000</v>
      </c>
      <c r="U149" s="644"/>
      <c r="V149" s="645"/>
      <c r="W149" s="645"/>
    </row>
    <row r="150" spans="4:23" x14ac:dyDescent="0.2">
      <c r="Q150" s="641" t="s">
        <v>394</v>
      </c>
      <c r="R150" s="642"/>
      <c r="S150" s="643"/>
      <c r="T150" s="167">
        <f>IM!AA14</f>
        <v>74000</v>
      </c>
      <c r="U150" s="644"/>
      <c r="V150" s="645"/>
      <c r="W150" s="645"/>
    </row>
    <row r="151" spans="4:23" ht="10.5" customHeight="1" x14ac:dyDescent="0.2">
      <c r="N151" s="12"/>
      <c r="O151" s="12"/>
      <c r="P151" s="12"/>
      <c r="Q151" s="641" t="s">
        <v>395</v>
      </c>
      <c r="R151" s="642"/>
      <c r="S151" s="643"/>
      <c r="T151" s="167">
        <f>IM!Y14</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UPPER(IM!U14)</f>
        <v xml:space="preserve">2-. CAPITAL </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UPPER(IM!W14)</f>
        <v>13-. BANMEDICA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IM!L14</f>
        <v>40725</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40725</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Administrador</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0.1144</v>
      </c>
      <c r="L174" s="882" t="str">
        <f>"AFP "&amp; UPPER(N103)</f>
        <v xml:space="preserve">AFP 2-. CAPITAL </v>
      </c>
      <c r="M174" s="882"/>
      <c r="N174" s="883">
        <f>ROUND(Q103,0)</f>
        <v>48780</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13-. BANMEDICA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81186</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345210</v>
      </c>
      <c r="J195" s="907"/>
      <c r="K195" s="905" t="s">
        <v>7</v>
      </c>
      <c r="L195" s="905"/>
      <c r="M195" s="905"/>
      <c r="N195" s="904">
        <f>ROUND(N174+N175+N176+N177+N178+N179+N180+N183,0)</f>
        <v>81186</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493210</v>
      </c>
      <c r="O197" s="904"/>
      <c r="P197" s="136"/>
      <c r="Q197" s="136"/>
    </row>
    <row r="198" spans="3:17" ht="12.75" customHeight="1" x14ac:dyDescent="0.2">
      <c r="C198" s="37"/>
      <c r="D198" s="323"/>
      <c r="E198" s="324"/>
      <c r="F198" s="914" t="s">
        <v>509</v>
      </c>
      <c r="G198" s="914"/>
      <c r="H198" s="914"/>
      <c r="I198" s="906">
        <f>N199+N196</f>
        <v>493210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493210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TRES MIL DOSCIENTOS DIEZ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493210</v>
      </c>
      <c r="D228" s="648" t="str">
        <f>W231&amp;X231&amp;W232&amp;X232&amp;W233&amp;X233&amp;W234&amp;X234&amp;W235&amp;X235&amp;W236&amp;X236&amp;W237&amp;X237&amp;W238&amp;X238&amp;W239&amp;X239&amp;" "&amp;IF(W240="UN","Peso",D225)&amp;" "&amp;C231&amp;D226</f>
        <v>cuatrocientos noventa y tres mil doscientos diez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493210</v>
      </c>
      <c r="D229" s="48" t="str">
        <f>"SON: " &amp; UPPER(D228)</f>
        <v>SON: CUATROCIENTOS NOVENTA Y TRES MIL DOSCIENTOS DIEZ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3</v>
      </c>
      <c r="L236" s="56">
        <f>VALUE(K236)</f>
        <v>3</v>
      </c>
      <c r="M236" s="48">
        <f>IF(M235=0,0,IF(M235&gt;=1,MID(C228,2,1),C228/1000))</f>
        <v>0</v>
      </c>
      <c r="N236" s="56">
        <f>VALUE(M236)</f>
        <v>0</v>
      </c>
      <c r="O236" s="227">
        <f>IF(C228&lt;=9999.99,ROUNDDOWN(C228/1000,0),0)</f>
        <v>0</v>
      </c>
      <c r="P236" s="55" t="str">
        <f>TEXT(O236,"0")</f>
        <v>0</v>
      </c>
      <c r="Q236" s="48"/>
      <c r="R236" s="48"/>
      <c r="S236" s="48"/>
      <c r="T236" s="48"/>
      <c r="U236" s="48"/>
      <c r="V236" s="54">
        <f t="shared" si="20"/>
        <v>3</v>
      </c>
      <c r="W236" s="48" t="str">
        <f>IF(V236=0,"",IF(Y236&lt;10,VLOOKUP(V236,B243:C251,2,FALSE),IF(Y236=21,"",IF(Y236=11,"",IF(V236=1,"un",IF(Y236&lt;=30,"",VLOOKUP(V236,B243:C251,2,FALSE)))))))</f>
        <v>tres</v>
      </c>
      <c r="X236" s="48" t="str">
        <f>IF(AA236=0,"",IF(X235=" mil ","",IF(Z236=0," mil ",IF(V236&lt;&gt;0," mil ",IF(Y236&lt;30," mil ","")))))</f>
        <v xml:space="preserve"> mil </v>
      </c>
      <c r="Y236" s="48">
        <f>+V235*10+V236</f>
        <v>93</v>
      </c>
      <c r="Z236" s="54">
        <f>+V235+V236</f>
        <v>12</v>
      </c>
      <c r="AA236" s="48">
        <f>+V234*100+V235*10+V236*1</f>
        <v>493</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2</v>
      </c>
      <c r="L237" s="56">
        <f>VALUE(K237)</f>
        <v>2</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2</v>
      </c>
      <c r="W237" s="48" t="str">
        <f>IF(V237=0,"",IF(Z239=100,"cien",IF(V237=1,"ciento",VLOOKUP(V237,A281:C289,3,FALSE))))</f>
        <v>doscientos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1</v>
      </c>
      <c r="W238" s="48" t="str">
        <f>IF(V238=0,"",IF(V238&gt;=3,VLOOKUP(V238,A273:C279,3,FALSE),IF(V238&lt;=2,VLOOKUP(Y239,B243:C271,2,FALSE))))</f>
        <v>diez</v>
      </c>
      <c r="X238" s="48" t="str">
        <f>IF(V238=0,"",IF(V239=0,"",IF(Y239&gt;=30," y ","")))</f>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0</v>
      </c>
      <c r="W239" s="48" t="str">
        <f>IF(C228&lt;1,"CERO ",IF(V239=0,"",IF(Y239&lt;10,VLOOKUP(V239,B243:C251,2,FALSE),IF(Y239&lt;=30,"",VLOOKUP(V239,B243:C251,2,FALSE)))))</f>
        <v/>
      </c>
      <c r="X239" s="48"/>
      <c r="Y239" s="48">
        <f>+V238*10+V239</f>
        <v>10</v>
      </c>
      <c r="Z239" s="54">
        <f>+V237*100+V238*10+V239*1</f>
        <v>210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QpY2pwwi1SyAAjYsb76+8Fq9JLLhbt/3J/gclb7SrKVrPg2MdMwcTHA8tIvdMB6Yn5RXeDgVfZbWvVpKpoIf0g==" saltValue="sQq/06f3QXxy8wh2ITXpB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110" activePane="bottomLeft" state="frozen"/>
      <selection pane="bottomLeft" activeCell="P117" sqref="P117:R117"/>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492784</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6-. PRÓVIDA</v>
      </c>
      <c r="O103" s="719"/>
      <c r="P103" s="128">
        <f>LOOKUP((N103),ListadoAFP,IM!B135:B144)</f>
        <v>0.1154</v>
      </c>
      <c r="Q103" s="704">
        <f>ROUND(IF(T$145="3-. BOLETA",0,IF(D$127&gt;IM!O69,IM!O69*P103,D$127*P103)),0)</f>
        <v>49206</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81612</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344784</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6-. PRÓVIDA</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81612</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344784</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492784</v>
      </c>
      <c r="E133" s="831"/>
      <c r="F133" s="732"/>
      <c r="G133" s="733"/>
      <c r="H133" s="733"/>
      <c r="I133" s="734"/>
      <c r="J133" s="12"/>
      <c r="K133" s="712" t="str">
        <f>IF(T$145="3-. BOLETA","T. A PAGAR (MENOS 10% BOLETA)","TOTAL A PAGAR")</f>
        <v>TOTAL A PAGAR</v>
      </c>
      <c r="L133" s="747"/>
      <c r="M133" s="713"/>
      <c r="N133" s="713"/>
      <c r="O133" s="714"/>
      <c r="P133" s="859">
        <f>ROUND(D133,0)</f>
        <v>492784</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IM!C15</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IM!F15</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IM!H15</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IM!J15</f>
        <v>(09) 850 55 434</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UPPER(IM!Q15)</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IM!N15</f>
        <v>Supervisor de Taller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IM!AE15</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IM!S15</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IM!AC15</f>
        <v>74000</v>
      </c>
      <c r="U149" s="644"/>
      <c r="V149" s="645"/>
      <c r="W149" s="645"/>
    </row>
    <row r="150" spans="4:23" x14ac:dyDescent="0.2">
      <c r="Q150" s="641" t="s">
        <v>394</v>
      </c>
      <c r="R150" s="642"/>
      <c r="S150" s="643"/>
      <c r="T150" s="167">
        <f>IM!AA15</f>
        <v>74000</v>
      </c>
      <c r="U150" s="644"/>
      <c r="V150" s="645"/>
      <c r="W150" s="645"/>
    </row>
    <row r="151" spans="4:23" ht="10.5" customHeight="1" x14ac:dyDescent="0.2">
      <c r="N151" s="12"/>
      <c r="O151" s="12"/>
      <c r="P151" s="12"/>
      <c r="Q151" s="641" t="s">
        <v>395</v>
      </c>
      <c r="R151" s="642"/>
      <c r="S151" s="643"/>
      <c r="T151" s="167">
        <f>IM!Y15</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UPPER(IM!U15)</f>
        <v>6-. PRÓVIDA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UPPER(IM!W15)</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IM!L15</f>
        <v>41232</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41232</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Supervisor de Taller</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0.1154</v>
      </c>
      <c r="L174" s="882" t="str">
        <f>"AFP "&amp; UPPER(N103)</f>
        <v>AFP 6-. PRÓVIDA</v>
      </c>
      <c r="M174" s="882"/>
      <c r="N174" s="883">
        <f>ROUND(Q103,0)</f>
        <v>49206</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81612</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344784</v>
      </c>
      <c r="J195" s="907"/>
      <c r="K195" s="905" t="s">
        <v>7</v>
      </c>
      <c r="L195" s="905"/>
      <c r="M195" s="905"/>
      <c r="N195" s="904">
        <f>ROUND(N174+N175+N176+N177+N178+N179+N180+N183,0)</f>
        <v>81612</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492784</v>
      </c>
      <c r="O197" s="904"/>
      <c r="P197" s="136"/>
      <c r="Q197" s="136"/>
    </row>
    <row r="198" spans="3:17" ht="12.75" customHeight="1" x14ac:dyDescent="0.2">
      <c r="C198" s="37"/>
      <c r="D198" s="323"/>
      <c r="E198" s="324"/>
      <c r="F198" s="914" t="s">
        <v>509</v>
      </c>
      <c r="G198" s="914"/>
      <c r="H198" s="914"/>
      <c r="I198" s="906">
        <f>N199+N196</f>
        <v>492784</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492784</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DOS MIL SETECIENTOS OCHENTA Y CUATRO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492784</v>
      </c>
      <c r="D228" s="648" t="str">
        <f>W231&amp;X231&amp;W232&amp;X232&amp;W233&amp;X233&amp;W234&amp;X234&amp;W235&amp;X235&amp;W236&amp;X236&amp;W237&amp;X237&amp;W238&amp;X238&amp;W239&amp;X239&amp;" "&amp;IF(W240="UN","Peso",D225)&amp;" "&amp;C231&amp;D226</f>
        <v>cuatrocientos noventa y dos mil setecientos ochenta y cuatro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492784</v>
      </c>
      <c r="D229" s="48" t="str">
        <f>"SON: " &amp; UPPER(D228)</f>
        <v>SON: CUATROCIENTOS NOVENTA Y DOS MIL SETECIENTOS OCHENTA Y CUATRO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2</v>
      </c>
      <c r="L236" s="56">
        <f>VALUE(K236)</f>
        <v>2</v>
      </c>
      <c r="M236" s="48">
        <f>IF(M235=0,0,IF(M235&gt;=1,MID(C228,2,1),C228/1000))</f>
        <v>0</v>
      </c>
      <c r="N236" s="56">
        <f>VALUE(M236)</f>
        <v>0</v>
      </c>
      <c r="O236" s="227">
        <f>IF(C228&lt;=9999.99,ROUNDDOWN(C228/1000,0),0)</f>
        <v>0</v>
      </c>
      <c r="P236" s="55" t="str">
        <f>TEXT(O236,"0")</f>
        <v>0</v>
      </c>
      <c r="Q236" s="48"/>
      <c r="R236" s="48"/>
      <c r="S236" s="48"/>
      <c r="T236" s="48"/>
      <c r="U236" s="48"/>
      <c r="V236" s="54">
        <f t="shared" si="20"/>
        <v>2</v>
      </c>
      <c r="W236" s="48" t="str">
        <f>IF(V236=0,"",IF(Y236&lt;10,VLOOKUP(V236,B243:C251,2,FALSE),IF(Y236=21,"",IF(Y236=11,"",IF(V236=1,"un",IF(Y236&lt;=30,"",VLOOKUP(V236,B243:C251,2,FALSE)))))))</f>
        <v>dos</v>
      </c>
      <c r="X236" s="48" t="str">
        <f>IF(AA236=0,"",IF(X235=" mil ","",IF(Z236=0," mil ",IF(V236&lt;&gt;0," mil ",IF(Y236&lt;30," mil ","")))))</f>
        <v xml:space="preserve"> mil </v>
      </c>
      <c r="Y236" s="48">
        <f>+V235*10+V236</f>
        <v>92</v>
      </c>
      <c r="Z236" s="54">
        <f>+V235+V236</f>
        <v>11</v>
      </c>
      <c r="AA236" s="48">
        <f>+V234*100+V235*10+V236*1</f>
        <v>492</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7</v>
      </c>
      <c r="L237" s="56">
        <f>VALUE(K237)</f>
        <v>7</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7</v>
      </c>
      <c r="W237" s="48" t="str">
        <f>IF(V237=0,"",IF(Z239=100,"cien",IF(V237=1,"ciento",VLOOKUP(V237,A281:C289,3,FALSE))))</f>
        <v>setecientos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4</v>
      </c>
      <c r="L239" s="56">
        <f>VALUE(K239)</f>
        <v>4</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4</v>
      </c>
      <c r="W239" s="48" t="str">
        <f>IF(C228&lt;1,"CERO ",IF(V239=0,"",IF(Y239&lt;10,VLOOKUP(V239,B243:C251,2,FALSE),IF(Y239&lt;=30,"",VLOOKUP(V239,B243:C251,2,FALSE)))))</f>
        <v>cuatro</v>
      </c>
      <c r="X239" s="48"/>
      <c r="Y239" s="48">
        <f>+V238*10+V239</f>
        <v>84</v>
      </c>
      <c r="Z239" s="54">
        <f>+V237*100+V238*10+V239*1</f>
        <v>784</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cuatro</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rfNMOWS1NKSTDve3kGNpXmXK74ucw6zts4HD5T2t/DN1ULizIHjWEymglsqHHAsfP4GefISva+KIYk8soBzbVw==" saltValue="x6mj/lzoQxQ0rUpwvyvqX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400112</v>
      </c>
      <c r="Q4" s="843"/>
      <c r="R4" s="33"/>
      <c r="S4" s="112" t="s">
        <v>31</v>
      </c>
      <c r="T4" s="113" t="s">
        <v>32</v>
      </c>
      <c r="V4" s="12"/>
      <c r="W4" s="12"/>
    </row>
    <row r="5" spans="1:23" s="32" customFormat="1" ht="11.1" customHeight="1" x14ac:dyDescent="0.2">
      <c r="B5" s="211"/>
      <c r="C5" s="829" t="s">
        <v>23</v>
      </c>
      <c r="D5" s="829"/>
      <c r="E5" s="829"/>
      <c r="F5" s="843">
        <f>T148</f>
        <v>300000</v>
      </c>
      <c r="G5" s="843"/>
      <c r="H5" s="843"/>
      <c r="I5" s="709"/>
      <c r="J5" s="709"/>
      <c r="K5" s="709"/>
      <c r="L5" s="709"/>
      <c r="M5" s="674" t="s">
        <v>17</v>
      </c>
      <c r="N5" s="674"/>
      <c r="O5" s="674"/>
      <c r="P5" s="843">
        <f>D129</f>
        <v>469000</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1555.5555555555557</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1555.5555555555557</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1555.5555555555557</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1555.5555555555557</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1555.5555555555557</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1555.5555555555557</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2333.31</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1555.5555555555557</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1555.5555555555557</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1555.5555555555557</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1555.5555555555557</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1555.5555555555557</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1555.5555555555557</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2333.31</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1555.5555555555557</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1555.5555555555557</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1555.5555555555557</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1555.5555555555557</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1555.5555555555557</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1555.5555555555557</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2333.31</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1555.5555555555557</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1555.5555555555557</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1555.5555555555557</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1555.5555555555557</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1555.5555555555557</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1555.5555555555557</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2333.31</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1555.5555555555557</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1555.5555555555557</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1555.5555555555557</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75000</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75000</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7-. MODELO</v>
      </c>
      <c r="O103" s="719"/>
      <c r="P103" s="128">
        <f>LOOKUP((N103),ListadoAFP,IM!B135:B144)</f>
        <v>0.1077</v>
      </c>
      <c r="Q103" s="704">
        <f>ROUND(IF(T$145="3-. BOLETA",0,IF(D$127&gt;IM!O69,IM!O69*P103,D$127*P103)),0)</f>
        <v>40388</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26250</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2250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68888</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306112</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54000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40000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94000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300000</v>
      </c>
      <c r="E123" s="831"/>
      <c r="F123" s="765" t="str">
        <f>30-(D94+E94+D96+D97) &amp; " DÍAS"</f>
        <v>30 DÍAS</v>
      </c>
      <c r="G123" s="767"/>
      <c r="H123" s="832" t="s">
        <v>74</v>
      </c>
      <c r="I123" s="832"/>
      <c r="J123" s="12"/>
      <c r="K123" s="727" t="s">
        <v>319</v>
      </c>
      <c r="L123" s="728"/>
      <c r="M123" s="729"/>
      <c r="N123" s="702" t="str">
        <f>T$152</f>
        <v>7-. MODELO</v>
      </c>
      <c r="O123" s="703"/>
      <c r="P123" s="140">
        <f>IF($T$145&lt;&gt;IM!$E$138,LOOKUP($N$123,IM!$A$48:$B$57,IM!$D$48:$D$57),0)</f>
        <v>1.26E-2</v>
      </c>
      <c r="Q123" s="704">
        <f>IF($D$127&lt;IM!$O$69,$D$127*$P$123,IM!$O$69*$P$123)</f>
        <v>4725</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12500</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75000</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9000</v>
      </c>
      <c r="R126" s="705"/>
      <c r="S126" s="61"/>
      <c r="T126" s="774" t="s">
        <v>215</v>
      </c>
      <c r="U126" s="775"/>
      <c r="V126" s="166">
        <v>10</v>
      </c>
      <c r="W126" s="64" t="str">
        <f t="shared" si="18"/>
        <v>Logrado</v>
      </c>
    </row>
    <row r="127" spans="1:23" ht="10.5" customHeight="1" x14ac:dyDescent="0.2">
      <c r="A127" s="849" t="s">
        <v>18</v>
      </c>
      <c r="B127" s="894"/>
      <c r="C127" s="850"/>
      <c r="D127" s="831">
        <f>ROUND((D123+D124+D126)-D125,0)</f>
        <v>375000</v>
      </c>
      <c r="E127" s="831"/>
      <c r="F127" s="732"/>
      <c r="G127" s="733"/>
      <c r="H127" s="733"/>
      <c r="I127" s="734"/>
      <c r="J127" s="12"/>
      <c r="K127" s="669" t="s">
        <v>323</v>
      </c>
      <c r="L127" s="669"/>
      <c r="M127" s="669"/>
      <c r="N127" s="699" t="s">
        <v>324</v>
      </c>
      <c r="O127" s="700"/>
      <c r="P127" s="228">
        <v>9.4999999999999998E-3</v>
      </c>
      <c r="Q127" s="704">
        <f>ROUND(IF(T$145="3-. BOLETA",0,IF(D$127&gt;IM!$O$69,IM!$O$69*$P$127,D$127*$P$127)),0)</f>
        <v>3563</v>
      </c>
      <c r="R127" s="705"/>
      <c r="S127" s="60"/>
      <c r="T127" s="774" t="s">
        <v>327</v>
      </c>
      <c r="U127" s="775"/>
      <c r="V127" s="166">
        <v>10</v>
      </c>
      <c r="W127" s="64" t="str">
        <f t="shared" si="18"/>
        <v>Logrado</v>
      </c>
    </row>
    <row r="128" spans="1:23" ht="10.5" customHeight="1" x14ac:dyDescent="0.2">
      <c r="A128" s="216" t="s">
        <v>61</v>
      </c>
      <c r="B128" s="849" t="s">
        <v>58</v>
      </c>
      <c r="C128" s="850"/>
      <c r="D128" s="668">
        <f>ROUND((D120),0)</f>
        <v>94000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469000</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68888</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29788</v>
      </c>
      <c r="R131" s="861"/>
    </row>
    <row r="132" spans="1:23" ht="10.5" customHeight="1" x14ac:dyDescent="0.2">
      <c r="A132" s="749" t="s">
        <v>326</v>
      </c>
      <c r="B132" s="750"/>
      <c r="C132" s="751"/>
      <c r="D132" s="864">
        <f>(ROUND(N113,0))</f>
        <v>306112</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400112</v>
      </c>
      <c r="E133" s="831"/>
      <c r="F133" s="732"/>
      <c r="G133" s="733"/>
      <c r="H133" s="733"/>
      <c r="I133" s="734"/>
      <c r="J133" s="12"/>
      <c r="K133" s="712" t="str">
        <f>IF(T$145="3-. BOLETA","T. A PAGAR (MENOS 10% BOLETA)","TOTAL A PAGAR")</f>
        <v>TOTAL A PAGAR</v>
      </c>
      <c r="L133" s="747"/>
      <c r="M133" s="713"/>
      <c r="N133" s="713"/>
      <c r="O133" s="714"/>
      <c r="P133" s="859">
        <f>ROUND(D133,0)</f>
        <v>400112</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IM!C16</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IM!F16</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IM!H16</f>
        <v>31374</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IM!J16</f>
        <v>(09) 614 46 698</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UPPER(IM!Q16)</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IM!N16</f>
        <v>Secretaria Ejecutiva</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IM!AE16</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IM!S16</f>
        <v>300000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IM!AC16</f>
        <v>54000</v>
      </c>
      <c r="U149" s="644"/>
      <c r="V149" s="645"/>
      <c r="W149" s="645"/>
    </row>
    <row r="150" spans="4:23" x14ac:dyDescent="0.2">
      <c r="Q150" s="641" t="s">
        <v>394</v>
      </c>
      <c r="R150" s="642"/>
      <c r="S150" s="643"/>
      <c r="T150" s="167">
        <f>IM!AA16</f>
        <v>40000</v>
      </c>
      <c r="U150" s="644"/>
      <c r="V150" s="645"/>
      <c r="W150" s="645"/>
    </row>
    <row r="151" spans="4:23" ht="10.5" customHeight="1" x14ac:dyDescent="0.2">
      <c r="N151" s="12"/>
      <c r="O151" s="12"/>
      <c r="P151" s="12"/>
      <c r="Q151" s="641" t="s">
        <v>395</v>
      </c>
      <c r="R151" s="642"/>
      <c r="S151" s="643"/>
      <c r="T151" s="167">
        <f>IM!Y16</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UPPER(IM!U16)</f>
        <v>7-. MODELO</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UPPER(IM!W16)</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IM!L16</f>
        <v>41225</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41225</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Secretaria Ejecutiva</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300000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300000</v>
      </c>
      <c r="J174" s="884"/>
      <c r="K174" s="312">
        <f>P103</f>
        <v>0.1077</v>
      </c>
      <c r="L174" s="882" t="str">
        <f>"AFP "&amp; UPPER(N103)</f>
        <v>AFP 7-. MODELO</v>
      </c>
      <c r="M174" s="882"/>
      <c r="N174" s="883">
        <f>ROUND(Q103,0)</f>
        <v>40388</v>
      </c>
      <c r="O174" s="884"/>
      <c r="P174" s="136"/>
      <c r="Q174" s="136"/>
    </row>
    <row r="175" spans="4:17" ht="12.75" customHeight="1" x14ac:dyDescent="0.15">
      <c r="D175" s="325"/>
      <c r="E175" s="885" t="s">
        <v>5</v>
      </c>
      <c r="F175" s="885"/>
      <c r="G175" s="885"/>
      <c r="H175" s="885"/>
      <c r="I175" s="886">
        <f>ROUND(P94,0)</f>
        <v>75000</v>
      </c>
      <c r="J175" s="887"/>
      <c r="K175" s="314">
        <f>P104</f>
        <v>7.0000000000000007E-2</v>
      </c>
      <c r="L175" s="885" t="str">
        <f>UPPER("IPS " &amp; N104)</f>
        <v>IPS 12-. FONASA</v>
      </c>
      <c r="M175" s="885"/>
      <c r="N175" s="886">
        <f>ROUND(Q104,0)</f>
        <v>26250</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2250</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54000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40000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469000</v>
      </c>
      <c r="J192" s="903"/>
      <c r="K192" s="902" t="s">
        <v>21</v>
      </c>
      <c r="L192" s="902"/>
      <c r="M192" s="902"/>
      <c r="N192" s="904">
        <f>ROUND(SUM(N174:O191),0)</f>
        <v>68888</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375000</v>
      </c>
      <c r="J194" s="907"/>
      <c r="K194" s="905" t="s">
        <v>17</v>
      </c>
      <c r="L194" s="905"/>
      <c r="M194" s="905"/>
      <c r="N194" s="904">
        <f>ROUND(I192,0)</f>
        <v>469000</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306112</v>
      </c>
      <c r="J195" s="907"/>
      <c r="K195" s="905" t="s">
        <v>7</v>
      </c>
      <c r="L195" s="905"/>
      <c r="M195" s="905"/>
      <c r="N195" s="904">
        <f>ROUND(N174+N175+N176+N177+N178+N179+N180+N183,0)</f>
        <v>68888</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3563</v>
      </c>
      <c r="E197" s="911"/>
      <c r="F197" s="906">
        <f ca="1">ROUND(Q126,0)</f>
        <v>9000</v>
      </c>
      <c r="G197" s="911"/>
      <c r="H197" s="911"/>
      <c r="I197" s="906">
        <f>ROUND(Q123,0)</f>
        <v>4725</v>
      </c>
      <c r="J197" s="907"/>
      <c r="K197" s="905" t="s">
        <v>493</v>
      </c>
      <c r="L197" s="905"/>
      <c r="M197" s="905"/>
      <c r="N197" s="904">
        <f>ROUND(N194-N195-N196,0)</f>
        <v>400112</v>
      </c>
      <c r="O197" s="904"/>
      <c r="P197" s="136"/>
      <c r="Q197" s="136"/>
    </row>
    <row r="198" spans="3:17" ht="12.75" customHeight="1" x14ac:dyDescent="0.2">
      <c r="C198" s="37"/>
      <c r="D198" s="323"/>
      <c r="E198" s="324"/>
      <c r="F198" s="914" t="s">
        <v>509</v>
      </c>
      <c r="G198" s="914"/>
      <c r="H198" s="914"/>
      <c r="I198" s="906">
        <f>N199+N196</f>
        <v>400112</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400112</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MIL CIENTO DOCE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400112</v>
      </c>
      <c r="D228" s="648" t="str">
        <f>W231&amp;X231&amp;W232&amp;X232&amp;W233&amp;X233&amp;W234&amp;X234&amp;W235&amp;X235&amp;W236&amp;X236&amp;W237&amp;X237&amp;W238&amp;X238&amp;W239&amp;X239&amp;" "&amp;IF(W240="UN","Peso",D225)&amp;" "&amp;C231&amp;D226</f>
        <v>cuatrocientos  mil ciento doce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400112</v>
      </c>
      <c r="D229" s="48" t="str">
        <f>"SON: " &amp; UPPER(D228)</f>
        <v>SON: CUATROCIENTOS  MIL CIENTO DOCE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0</v>
      </c>
      <c r="L235" s="56">
        <f>VALUE(K235)</f>
        <v>0</v>
      </c>
      <c r="M235" s="227">
        <f>IF(C228&lt;=99999.99,ROUNDDOWN(C228/10000,0),0)</f>
        <v>0</v>
      </c>
      <c r="N235" s="55" t="str">
        <f>TEXT(M235,"0")</f>
        <v>0</v>
      </c>
      <c r="O235" s="48"/>
      <c r="P235" s="48"/>
      <c r="Q235" s="48"/>
      <c r="R235" s="48"/>
      <c r="S235" s="48"/>
      <c r="T235" s="48"/>
      <c r="U235" s="48"/>
      <c r="V235" s="54">
        <f t="shared" si="20"/>
        <v>0</v>
      </c>
      <c r="W235" s="48" t="str">
        <f>IF(V235=0,"",IF(V235&gt;=3,VLOOKUP(V235,A273:C279,3,FALSE),IF(V235&lt;=2,VLOOKUP(Y236,B243:C271,2,FALSE))))</f>
        <v/>
      </c>
      <c r="X235" s="48" t="str">
        <f>IF(AA236=0,"",IF(Z236=V235," mil ",IF(Y236&gt;=30," y ","")))</f>
        <v xml:space="preserve"> mil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0</v>
      </c>
      <c r="L236" s="56">
        <f>VALUE(K236)</f>
        <v>0</v>
      </c>
      <c r="M236" s="48">
        <f>IF(M235=0,0,IF(M235&gt;=1,MID(C228,2,1),C228/1000))</f>
        <v>0</v>
      </c>
      <c r="N236" s="56">
        <f>VALUE(M236)</f>
        <v>0</v>
      </c>
      <c r="O236" s="227">
        <f>IF(C228&lt;=9999.99,ROUNDDOWN(C228/1000,0),0)</f>
        <v>0</v>
      </c>
      <c r="P236" s="55" t="str">
        <f>TEXT(O236,"0")</f>
        <v>0</v>
      </c>
      <c r="Q236" s="48"/>
      <c r="R236" s="48"/>
      <c r="S236" s="48"/>
      <c r="T236" s="48"/>
      <c r="U236" s="48"/>
      <c r="V236" s="54">
        <f t="shared" si="20"/>
        <v>0</v>
      </c>
      <c r="W236" s="48" t="str">
        <f>IF(V236=0,"",IF(Y236&lt;10,VLOOKUP(V236,B243:C251,2,FALSE),IF(Y236=21,"",IF(Y236=11,"",IF(V236=1,"un",IF(Y236&lt;=30,"",VLOOKUP(V236,B243:C251,2,FALSE)))))))</f>
        <v/>
      </c>
      <c r="X236" s="48" t="str">
        <f>IF(AA236=0,"",IF(X235=" mil ","",IF(Z236=0," mil ",IF(V236&lt;&gt;0," mil ",IF(Y236&lt;30," mil ","")))))</f>
        <v/>
      </c>
      <c r="Y236" s="48">
        <f>+V235*10+V236</f>
        <v>0</v>
      </c>
      <c r="Z236" s="54">
        <f>+V235+V236</f>
        <v>0</v>
      </c>
      <c r="AA236" s="48">
        <f>+V234*100+V235*10+V236*1</f>
        <v>400</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1</v>
      </c>
      <c r="L237" s="56">
        <f>VALUE(K237)</f>
        <v>1</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1</v>
      </c>
      <c r="W237" s="48" t="str">
        <f>IF(V237=0,"",IF(Z239=100,"cien",IF(V237=1,"ciento",VLOOKUP(V237,A281:C289,3,FALSE))))</f>
        <v>ciento</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1</v>
      </c>
      <c r="W238" s="48" t="str">
        <f>IF(V238=0,"",IF(V238&gt;=3,VLOOKUP(V238,A273:C279,3,FALSE),IF(V238&lt;=2,VLOOKUP(Y239,B243:C271,2,FALSE))))</f>
        <v>doce</v>
      </c>
      <c r="X238" s="48" t="str">
        <f>IF(V238=0,"",IF(V239=0,"",IF(Y239&gt;=30," y ","")))</f>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2</v>
      </c>
      <c r="L239" s="56">
        <f>VALUE(K239)</f>
        <v>2</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2</v>
      </c>
      <c r="W239" s="48" t="str">
        <f>IF(C228&lt;1,"CERO ",IF(V239=0,"",IF(Y239&lt;10,VLOOKUP(V239,B243:C251,2,FALSE),IF(Y239&lt;=30,"",VLOOKUP(V239,B243:C251,2,FALSE)))))</f>
        <v/>
      </c>
      <c r="X239" s="48"/>
      <c r="Y239" s="48">
        <f>+V238*10+V239</f>
        <v>12</v>
      </c>
      <c r="Z239" s="54">
        <f>+V237*100+V238*10+V239*1</f>
        <v>112</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534OpxtQcCmSyebf7Kb0vzN6lsAkpt8PfoXqZv/e8D6D0ZV3no3MQ0r3mk/HaoTlyOclWwr31uaBJJeeaFqAZw==" saltValue="ZGjtX5grmGOomJiyD6oFI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8"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16:F216"/>
    <mergeCell ref="M216:O216"/>
    <mergeCell ref="D228:V228"/>
    <mergeCell ref="D199:E199"/>
    <mergeCell ref="F199:H199"/>
    <mergeCell ref="I199:J199"/>
    <mergeCell ref="K200:M200"/>
    <mergeCell ref="N200:O200"/>
    <mergeCell ref="D202:O202"/>
    <mergeCell ref="D208:O208"/>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N130:O130"/>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492784</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6-. PRÓVIDA</v>
      </c>
      <c r="O103" s="719"/>
      <c r="P103" s="128">
        <f>LOOKUP((N103),ListadoAFP,IM!B135:B144)</f>
        <v>0.1154</v>
      </c>
      <c r="Q103" s="704">
        <f>ROUND(IF(T$145="3-. BOLETA",0,IF(D$127&gt;IM!O69,IM!O69*P103,D$127*P103)),0)</f>
        <v>49206</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81612</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344784</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6-. PRÓVIDA</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81612</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344784</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492784</v>
      </c>
      <c r="E133" s="831"/>
      <c r="F133" s="732"/>
      <c r="G133" s="733"/>
      <c r="H133" s="733"/>
      <c r="I133" s="734"/>
      <c r="J133" s="12"/>
      <c r="K133" s="712" t="str">
        <f>IF(T$145="3-. BOLETA","T. A PAGAR (MENOS 10% BOLETA)","TOTAL A PAGAR")</f>
        <v>TOTAL A PAGAR</v>
      </c>
      <c r="L133" s="747"/>
      <c r="M133" s="713"/>
      <c r="N133" s="713"/>
      <c r="O133" s="714"/>
      <c r="P133" s="859">
        <f>ROUND(D133,0)</f>
        <v>492784</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IM!C17</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IM!F17</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IM!H17</f>
        <v>26650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IM!J17</f>
        <v>(09) 850 55 436</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UPPER(IM!Q17)</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IM!N17</f>
        <v>Mecánico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IM!AE17</f>
        <v>Mecánica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IM!S17</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IM!AC17</f>
        <v>74000</v>
      </c>
      <c r="U149" s="644"/>
      <c r="V149" s="645"/>
      <c r="W149" s="645"/>
    </row>
    <row r="150" spans="4:23" x14ac:dyDescent="0.2">
      <c r="Q150" s="641" t="s">
        <v>394</v>
      </c>
      <c r="R150" s="642"/>
      <c r="S150" s="643"/>
      <c r="T150" s="167">
        <f>IM!AA17</f>
        <v>74000</v>
      </c>
      <c r="U150" s="644"/>
      <c r="V150" s="645"/>
      <c r="W150" s="645"/>
    </row>
    <row r="151" spans="4:23" ht="10.5" customHeight="1" x14ac:dyDescent="0.2">
      <c r="N151" s="12"/>
      <c r="O151" s="12"/>
      <c r="P151" s="12"/>
      <c r="Q151" s="641" t="s">
        <v>395</v>
      </c>
      <c r="R151" s="642"/>
      <c r="S151" s="643"/>
      <c r="T151" s="167">
        <f>IM!Y17</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UPPER(IM!U17)</f>
        <v>6-. PRÓVIDA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UPPER(IM!W17)</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IM!L17</f>
        <v>37926</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37926</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Mecánico</v>
      </c>
      <c r="H169" s="683"/>
      <c r="I169" s="683"/>
      <c r="J169" s="683"/>
      <c r="K169" s="683"/>
      <c r="L169" s="146"/>
      <c r="M169" s="692"/>
      <c r="N169" s="693"/>
      <c r="O169" s="694"/>
      <c r="P169" s="136"/>
      <c r="Q169" s="136"/>
    </row>
    <row r="170" spans="4:17" ht="12.75" customHeight="1" x14ac:dyDescent="0.2">
      <c r="D170" s="666" t="s">
        <v>332</v>
      </c>
      <c r="E170" s="667"/>
      <c r="F170" s="667"/>
      <c r="G170" s="686" t="str">
        <f>T147</f>
        <v>Mecánica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0.1154</v>
      </c>
      <c r="L174" s="882" t="str">
        <f>"AFP "&amp; UPPER(N103)</f>
        <v>AFP 6-. PRÓVIDA</v>
      </c>
      <c r="M174" s="882"/>
      <c r="N174" s="883">
        <f>ROUND(Q103,0)</f>
        <v>49206</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81612</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344784</v>
      </c>
      <c r="J195" s="907"/>
      <c r="K195" s="905" t="s">
        <v>7</v>
      </c>
      <c r="L195" s="905"/>
      <c r="M195" s="905"/>
      <c r="N195" s="904">
        <f>ROUND(N174+N175+N176+N177+N178+N179+N180+N183,0)</f>
        <v>81612</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492784</v>
      </c>
      <c r="O197" s="904"/>
      <c r="P197" s="136"/>
      <c r="Q197" s="136"/>
    </row>
    <row r="198" spans="3:17" ht="12.75" customHeight="1" x14ac:dyDescent="0.2">
      <c r="C198" s="37"/>
      <c r="D198" s="323"/>
      <c r="E198" s="324"/>
      <c r="F198" s="914" t="s">
        <v>509</v>
      </c>
      <c r="G198" s="914"/>
      <c r="H198" s="914"/>
      <c r="I198" s="906">
        <f>N199+N196</f>
        <v>492784</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492784</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DOS MIL SETECIENTOS OCHENTA Y CUATRO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492784</v>
      </c>
      <c r="D228" s="648" t="str">
        <f>W231&amp;X231&amp;W232&amp;X232&amp;W233&amp;X233&amp;W234&amp;X234&amp;W235&amp;X235&amp;W236&amp;X236&amp;W237&amp;X237&amp;W238&amp;X238&amp;W239&amp;X239&amp;" "&amp;IF(W240="UN","Peso",D225)&amp;" "&amp;C231&amp;D226</f>
        <v>cuatrocientos noventa y dos mil setecientos ochenta y cuatro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492784</v>
      </c>
      <c r="D229" s="48" t="str">
        <f>"SON: " &amp; UPPER(D228)</f>
        <v>SON: CUATROCIENTOS NOVENTA Y DOS MIL SETECIENTOS OCHENTA Y CUATRO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2</v>
      </c>
      <c r="L236" s="56">
        <f>VALUE(K236)</f>
        <v>2</v>
      </c>
      <c r="M236" s="48">
        <f>IF(M235=0,0,IF(M235&gt;=1,MID(C228,2,1),C228/1000))</f>
        <v>0</v>
      </c>
      <c r="N236" s="56">
        <f>VALUE(M236)</f>
        <v>0</v>
      </c>
      <c r="O236" s="227">
        <f>IF(C228&lt;=9999.99,ROUNDDOWN(C228/1000,0),0)</f>
        <v>0</v>
      </c>
      <c r="P236" s="55" t="str">
        <f>TEXT(O236,"0")</f>
        <v>0</v>
      </c>
      <c r="Q236" s="48"/>
      <c r="R236" s="48"/>
      <c r="S236" s="48"/>
      <c r="T236" s="48"/>
      <c r="U236" s="48"/>
      <c r="V236" s="54">
        <f t="shared" si="20"/>
        <v>2</v>
      </c>
      <c r="W236" s="48" t="str">
        <f>IF(V236=0,"",IF(Y236&lt;10,VLOOKUP(V236,B243:C251,2,FALSE),IF(Y236=21,"",IF(Y236=11,"",IF(V236=1,"un",IF(Y236&lt;=30,"",VLOOKUP(V236,B243:C251,2,FALSE)))))))</f>
        <v>dos</v>
      </c>
      <c r="X236" s="48" t="str">
        <f>IF(AA236=0,"",IF(X235=" mil ","",IF(Z236=0," mil ",IF(V236&lt;&gt;0," mil ",IF(Y236&lt;30," mil ","")))))</f>
        <v xml:space="preserve"> mil </v>
      </c>
      <c r="Y236" s="48">
        <f>+V235*10+V236</f>
        <v>92</v>
      </c>
      <c r="Z236" s="54">
        <f>+V235+V236</f>
        <v>11</v>
      </c>
      <c r="AA236" s="48">
        <f>+V234*100+V235*10+V236*1</f>
        <v>492</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7</v>
      </c>
      <c r="L237" s="56">
        <f>VALUE(K237)</f>
        <v>7</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7</v>
      </c>
      <c r="W237" s="48" t="str">
        <f>IF(V237=0,"",IF(Z239=100,"cien",IF(V237=1,"ciento",VLOOKUP(V237,A281:C289,3,FALSE))))</f>
        <v>setecientos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4</v>
      </c>
      <c r="L239" s="56">
        <f>VALUE(K239)</f>
        <v>4</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4</v>
      </c>
      <c r="W239" s="48" t="str">
        <f>IF(C228&lt;1,"CERO ",IF(V239=0,"",IF(Y239&lt;10,VLOOKUP(V239,B243:C251,2,FALSE),IF(Y239&lt;=30,"",VLOOKUP(V239,B243:C251,2,FALSE)))))</f>
        <v>cuatro</v>
      </c>
      <c r="X239" s="48"/>
      <c r="Y239" s="48">
        <f>+V238*10+V239</f>
        <v>84</v>
      </c>
      <c r="Z239" s="54">
        <f>+V237*100+V238*10+V239*1</f>
        <v>784</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cuatro</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KaEtd5Cm5iSaox2oWLvE4oDYGOmgwC6xRnzb54oJJSBptG3VROxQBo3HFEH6PyGw/vnltOk4sUfJl1Qr7XHZ8w==" saltValue="j0D4IedzRJcgRzZI8sKUS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489287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 xml:space="preserve">5-. PLANVITAL </v>
      </c>
      <c r="O103" s="719"/>
      <c r="P103" s="128">
        <f>LOOKUP((N103),ListadoAFP,IM!B135:B144)</f>
        <v>0.1236</v>
      </c>
      <c r="Q103" s="704">
        <f>ROUND(IF(T$145="3-. BOLETA",0,IF(D$127&gt;IM!O69,IM!O69*P103,D$127*P103)),0)</f>
        <v>52703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85109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341287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 xml:space="preserve">5-. PLANVITAL </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85109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341287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489287</v>
      </c>
      <c r="E133" s="831"/>
      <c r="F133" s="732"/>
      <c r="G133" s="733"/>
      <c r="H133" s="733"/>
      <c r="I133" s="734"/>
      <c r="J133" s="12"/>
      <c r="K133" s="712" t="str">
        <f>IF(T$145="3-. BOLETA","T. A PAGAR (MENOS 10% BOLETA)","TOTAL A PAGAR")</f>
        <v>TOTAL A PAGAR</v>
      </c>
      <c r="L133" s="747"/>
      <c r="M133" s="713"/>
      <c r="N133" s="713"/>
      <c r="O133" s="714"/>
      <c r="P133" s="859">
        <f>ROUND(D133,0)</f>
        <v>489287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IM!C18</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IM!F18</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IM!H18</f>
        <v>26466</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IM!J18</f>
        <v>(09) 850 55 437</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UPPER(IM!Q18)</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IM!N18</f>
        <v>Soldador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IM!AE18</f>
        <v>Estructuraciones</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IM!S18</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IM!AC18</f>
        <v>74000</v>
      </c>
      <c r="U149" s="644"/>
      <c r="V149" s="645"/>
      <c r="W149" s="645"/>
    </row>
    <row r="150" spans="4:23" x14ac:dyDescent="0.2">
      <c r="Q150" s="641" t="s">
        <v>394</v>
      </c>
      <c r="R150" s="642"/>
      <c r="S150" s="643"/>
      <c r="T150" s="167">
        <f>IM!AA18</f>
        <v>74000</v>
      </c>
      <c r="U150" s="644"/>
      <c r="V150" s="645"/>
      <c r="W150" s="645"/>
    </row>
    <row r="151" spans="4:23" ht="10.5" customHeight="1" x14ac:dyDescent="0.2">
      <c r="N151" s="12"/>
      <c r="O151" s="12"/>
      <c r="P151" s="12"/>
      <c r="Q151" s="641" t="s">
        <v>395</v>
      </c>
      <c r="R151" s="642"/>
      <c r="S151" s="643"/>
      <c r="T151" s="167">
        <f>IM!Y18</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UPPER(IM!U18)</f>
        <v xml:space="preserve">5-. PLANVITAL </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UPPER(IM!W18)</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IM!L18</f>
        <v>41183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41183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Soldador</v>
      </c>
      <c r="H169" s="683"/>
      <c r="I169" s="683"/>
      <c r="J169" s="683"/>
      <c r="K169" s="683"/>
      <c r="L169" s="146"/>
      <c r="M169" s="692"/>
      <c r="N169" s="693"/>
      <c r="O169" s="694"/>
      <c r="P169" s="136"/>
      <c r="Q169" s="136"/>
    </row>
    <row r="170" spans="4:17" ht="12.75" customHeight="1" x14ac:dyDescent="0.2">
      <c r="D170" s="666" t="s">
        <v>332</v>
      </c>
      <c r="E170" s="667"/>
      <c r="F170" s="667"/>
      <c r="G170" s="686" t="str">
        <f>T147</f>
        <v>Estructuraciones</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0.1236</v>
      </c>
      <c r="L174" s="882" t="str">
        <f>"AFP "&amp; UPPER(N103)</f>
        <v xml:space="preserve">AFP 5-. PLANVITAL </v>
      </c>
      <c r="M174" s="882"/>
      <c r="N174" s="883">
        <f>ROUND(Q103,0)</f>
        <v>52703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85109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341287</v>
      </c>
      <c r="J195" s="907"/>
      <c r="K195" s="905" t="s">
        <v>7</v>
      </c>
      <c r="L195" s="905"/>
      <c r="M195" s="905"/>
      <c r="N195" s="904">
        <f>ROUND(N174+N175+N176+N177+N178+N179+N180+N183,0)</f>
        <v>85109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489287</v>
      </c>
      <c r="O197" s="904"/>
      <c r="P197" s="136"/>
      <c r="Q197" s="136"/>
    </row>
    <row r="198" spans="3:17" ht="12.75" customHeight="1" x14ac:dyDescent="0.2">
      <c r="C198" s="37"/>
      <c r="D198" s="323"/>
      <c r="E198" s="324"/>
      <c r="F198" s="914" t="s">
        <v>509</v>
      </c>
      <c r="G198" s="914"/>
      <c r="H198" s="914"/>
      <c r="I198" s="906">
        <f>N199+N196</f>
        <v>489287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489287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OCHENTA Y NUEVE MIL DOSCIENTOS OCHENTA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489287</v>
      </c>
      <c r="D228" s="648" t="str">
        <f>W231&amp;X231&amp;W232&amp;X232&amp;W233&amp;X233&amp;W234&amp;X234&amp;W235&amp;X235&amp;W236&amp;X236&amp;W237&amp;X237&amp;W238&amp;X238&amp;W239&amp;X239&amp;" "&amp;IF(W240="UN","Peso",D225)&amp;" "&amp;C231&amp;D226</f>
        <v>cuatrocientos ochenta y nueve mil doscientos ochenta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489287</v>
      </c>
      <c r="D229" s="48" t="str">
        <f>"SON: " &amp; UPPER(D228)</f>
        <v>SON: CUATROCIENTOS OCHENTA Y NUEVE MIL DOSCIENTOS OCHENTA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8</v>
      </c>
      <c r="L235" s="56">
        <f>VALUE(K235)</f>
        <v>8</v>
      </c>
      <c r="M235" s="227">
        <f>IF(C228&lt;=99999.99,ROUNDDOWN(C228/10000,0),0)</f>
        <v>0</v>
      </c>
      <c r="N235" s="55" t="str">
        <f>TEXT(M235,"0")</f>
        <v>0</v>
      </c>
      <c r="O235" s="48"/>
      <c r="P235" s="48"/>
      <c r="Q235" s="48"/>
      <c r="R235" s="48"/>
      <c r="S235" s="48"/>
      <c r="T235" s="48"/>
      <c r="U235" s="48"/>
      <c r="V235" s="54">
        <f t="shared" si="20"/>
        <v>8</v>
      </c>
      <c r="W235" s="48" t="str">
        <f>IF(V235=0,"",IF(V235&gt;=3,VLOOKUP(V235,A273:C279,3,FALSE),IF(V235&lt;=2,VLOOKUP(Y236,B243:C271,2,FALSE))))</f>
        <v>ochenta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9</v>
      </c>
      <c r="L236" s="56">
        <f>VALUE(K236)</f>
        <v>9</v>
      </c>
      <c r="M236" s="48">
        <f>IF(M235=0,0,IF(M235&gt;=1,MID(C228,2,1),C228/1000))</f>
        <v>0</v>
      </c>
      <c r="N236" s="56">
        <f>VALUE(M236)</f>
        <v>0</v>
      </c>
      <c r="O236" s="227">
        <f>IF(C228&lt;=9999.99,ROUNDDOWN(C228/1000,0),0)</f>
        <v>0</v>
      </c>
      <c r="P236" s="55" t="str">
        <f>TEXT(O236,"0")</f>
        <v>0</v>
      </c>
      <c r="Q236" s="48"/>
      <c r="R236" s="48"/>
      <c r="S236" s="48"/>
      <c r="T236" s="48"/>
      <c r="U236" s="48"/>
      <c r="V236" s="54">
        <f t="shared" si="20"/>
        <v>9</v>
      </c>
      <c r="W236" s="48" t="str">
        <f>IF(V236=0,"",IF(Y236&lt;10,VLOOKUP(V236,B243:C251,2,FALSE),IF(Y236=21,"",IF(Y236=11,"",IF(V236=1,"un",IF(Y236&lt;=30,"",VLOOKUP(V236,B243:C251,2,FALSE)))))))</f>
        <v>nueve</v>
      </c>
      <c r="X236" s="48" t="str">
        <f>IF(AA236=0,"",IF(X235=" mil ","",IF(Z236=0," mil ",IF(V236&lt;&gt;0," mil ",IF(Y236&lt;30," mil ","")))))</f>
        <v xml:space="preserve"> mil </v>
      </c>
      <c r="Y236" s="48">
        <f>+V235*10+V236</f>
        <v>89</v>
      </c>
      <c r="Z236" s="54">
        <f>+V235+V236</f>
        <v>17</v>
      </c>
      <c r="AA236" s="48">
        <f>+V234*100+V235*10+V236*1</f>
        <v>489</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2</v>
      </c>
      <c r="L237" s="56">
        <f>VALUE(K237)</f>
        <v>2</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2</v>
      </c>
      <c r="W237" s="48" t="str">
        <f>IF(V237=0,"",IF(Z239=100,"cien",IF(V237=1,"ciento",VLOOKUP(V237,A281:C289,3,FALSE))))</f>
        <v>doscientos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87</v>
      </c>
      <c r="Z239" s="54">
        <f>+V237*100+V238*10+V239*1</f>
        <v>287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sWR+S/EIW++LgrqjBRvlZ6dzaNb0+is5chLBHOOqiDo2H+HlRC7orGzdH88MTsz0WdkEY5WqPTqFi5Eai2HdkQ==" saltValue="WCcVjPr4DDFOIEIExX7Am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496067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7-. MODELO</v>
      </c>
      <c r="O103" s="719"/>
      <c r="P103" s="128">
        <f>LOOKUP((N103),ListadoAFP,IM!B135:B144)</f>
        <v>0.1077</v>
      </c>
      <c r="Q103" s="704">
        <f>ROUND(IF(T$145="3-. BOLETA",0,IF(D$127&gt;IM!O69,IM!O69*P103,D$127*P103)),0)</f>
        <v>45923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78329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348067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7-. MODELO</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78329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348067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496067</v>
      </c>
      <c r="E133" s="831"/>
      <c r="F133" s="732"/>
      <c r="G133" s="733"/>
      <c r="H133" s="733"/>
      <c r="I133" s="734"/>
      <c r="J133" s="12"/>
      <c r="K133" s="712" t="str">
        <f>IF(T$145="3-. BOLETA","T. A PAGAR (MENOS 10% BOLETA)","TOTAL A PAGAR")</f>
        <v>TOTAL A PAGAR</v>
      </c>
      <c r="L133" s="747"/>
      <c r="M133" s="713"/>
      <c r="N133" s="713"/>
      <c r="O133" s="714"/>
      <c r="P133" s="859">
        <f>ROUND(D133,0)</f>
        <v>496067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IM!C19</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IM!F19</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IM!H19</f>
        <v>31374</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IM!J19</f>
        <v>(09) 850 55 438</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UPPER(IM!Q19)</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IM!N19</f>
        <v>Secretaria Ejecutiva</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IM!AE19</f>
        <v>Adquisiciones</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IM!S19</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IM!AC19</f>
        <v>74000</v>
      </c>
      <c r="U149" s="644"/>
      <c r="V149" s="645"/>
      <c r="W149" s="645"/>
    </row>
    <row r="150" spans="4:23" x14ac:dyDescent="0.2">
      <c r="Q150" s="641" t="s">
        <v>394</v>
      </c>
      <c r="R150" s="642"/>
      <c r="S150" s="643"/>
      <c r="T150" s="167">
        <f>IM!AA19</f>
        <v>74000</v>
      </c>
      <c r="U150" s="644"/>
      <c r="V150" s="645"/>
      <c r="W150" s="645"/>
    </row>
    <row r="151" spans="4:23" ht="10.5" customHeight="1" x14ac:dyDescent="0.2">
      <c r="N151" s="12"/>
      <c r="O151" s="12"/>
      <c r="P151" s="12"/>
      <c r="Q151" s="641" t="s">
        <v>395</v>
      </c>
      <c r="R151" s="642"/>
      <c r="S151" s="643"/>
      <c r="T151" s="167">
        <f>IM!Y19</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UPPER(IM!U19)</f>
        <v>7-. MODELO</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UPPER(IM!W19)</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IM!L19</f>
        <v>41225</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41225</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Secretaria Ejecutiva</v>
      </c>
      <c r="H169" s="683"/>
      <c r="I169" s="683"/>
      <c r="J169" s="683"/>
      <c r="K169" s="683"/>
      <c r="L169" s="146"/>
      <c r="M169" s="692"/>
      <c r="N169" s="693"/>
      <c r="O169" s="694"/>
      <c r="P169" s="136"/>
      <c r="Q169" s="136"/>
    </row>
    <row r="170" spans="4:17" ht="12.75" customHeight="1" x14ac:dyDescent="0.2">
      <c r="D170" s="666" t="s">
        <v>332</v>
      </c>
      <c r="E170" s="667"/>
      <c r="F170" s="667"/>
      <c r="G170" s="686" t="str">
        <f>T147</f>
        <v>Adquisiciones</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0.1077</v>
      </c>
      <c r="L174" s="882" t="str">
        <f>"AFP "&amp; UPPER(N103)</f>
        <v>AFP 7-. MODELO</v>
      </c>
      <c r="M174" s="882"/>
      <c r="N174" s="883">
        <f>ROUND(Q103,0)</f>
        <v>45923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78329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348067</v>
      </c>
      <c r="J195" s="907"/>
      <c r="K195" s="905" t="s">
        <v>7</v>
      </c>
      <c r="L195" s="905"/>
      <c r="M195" s="905"/>
      <c r="N195" s="904">
        <f>ROUND(N174+N175+N176+N177+N178+N179+N180+N183,0)</f>
        <v>78329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496067</v>
      </c>
      <c r="O197" s="904"/>
      <c r="P197" s="136"/>
      <c r="Q197" s="136"/>
    </row>
    <row r="198" spans="3:17" ht="12.75" customHeight="1" x14ac:dyDescent="0.2">
      <c r="C198" s="37"/>
      <c r="D198" s="323"/>
      <c r="E198" s="324"/>
      <c r="F198" s="914" t="s">
        <v>509</v>
      </c>
      <c r="G198" s="914"/>
      <c r="H198" s="914"/>
      <c r="I198" s="906">
        <f>N199+N196</f>
        <v>496067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496067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SEIS MIL SESENTA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496067</v>
      </c>
      <c r="D228" s="648" t="str">
        <f>W231&amp;X231&amp;W232&amp;X232&amp;W233&amp;X233&amp;W234&amp;X234&amp;W235&amp;X235&amp;W236&amp;X236&amp;W237&amp;X237&amp;W238&amp;X238&amp;W239&amp;X239&amp;" "&amp;IF(W240="UN","Peso",D225)&amp;" "&amp;C231&amp;D226</f>
        <v>cuatrocientos noventa y seis mil sesenta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496067</v>
      </c>
      <c r="D229" s="48" t="str">
        <f>"SON: " &amp; UPPER(D228)</f>
        <v>SON: CUATROCIENTOS NOVENTA Y SEIS MIL SESENTA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6</v>
      </c>
      <c r="L236" s="56">
        <f>VALUE(K236)</f>
        <v>6</v>
      </c>
      <c r="M236" s="48">
        <f>IF(M235=0,0,IF(M235&gt;=1,MID(C228,2,1),C228/1000))</f>
        <v>0</v>
      </c>
      <c r="N236" s="56">
        <f>VALUE(M236)</f>
        <v>0</v>
      </c>
      <c r="O236" s="227">
        <f>IF(C228&lt;=9999.99,ROUNDDOWN(C228/1000,0),0)</f>
        <v>0</v>
      </c>
      <c r="P236" s="55" t="str">
        <f>TEXT(O236,"0")</f>
        <v>0</v>
      </c>
      <c r="Q236" s="48"/>
      <c r="R236" s="48"/>
      <c r="S236" s="48"/>
      <c r="T236" s="48"/>
      <c r="U236" s="48"/>
      <c r="V236" s="54">
        <f t="shared" si="20"/>
        <v>6</v>
      </c>
      <c r="W236" s="48" t="str">
        <f>IF(V236=0,"",IF(Y236&lt;10,VLOOKUP(V236,B243:C251,2,FALSE),IF(Y236=21,"",IF(Y236=11,"",IF(V236=1,"un",IF(Y236&lt;=30,"",VLOOKUP(V236,B243:C251,2,FALSE)))))))</f>
        <v>seis</v>
      </c>
      <c r="X236" s="48" t="str">
        <f>IF(AA236=0,"",IF(X235=" mil ","",IF(Z236=0," mil ",IF(V236&lt;&gt;0," mil ",IF(Y236&lt;30," mil ","")))))</f>
        <v xml:space="preserve"> mil </v>
      </c>
      <c r="Y236" s="48">
        <f>+V235*10+V236</f>
        <v>96</v>
      </c>
      <c r="Z236" s="54">
        <f>+V235+V236</f>
        <v>15</v>
      </c>
      <c r="AA236" s="48">
        <f>+V234*100+V235*10+V236*1</f>
        <v>496</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6</v>
      </c>
      <c r="L238" s="56">
        <f>VALUE(K238)</f>
        <v>6</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6</v>
      </c>
      <c r="W238" s="48" t="str">
        <f>IF(V238=0,"",IF(V238&gt;=3,VLOOKUP(V238,A273:C279,3,FALSE),IF(V238&lt;=2,VLOOKUP(Y239,B243:C271,2,FALSE))))</f>
        <v>sesenta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67</v>
      </c>
      <c r="Z239" s="54">
        <f>+V237*100+V238*10+V239*1</f>
        <v>67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uwQMN58B0OOj4+mgRaNg5kcHuOBttatnfxw0H82f40KHT7k6T3U9ETiU2fMJFoDAg6AXh9I0aoYmnnM/UGWmQ==" saltValue="7Bzh/cET0eUewLKVQwBuV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492784</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6-. PRÓVIDA</v>
      </c>
      <c r="O103" s="719"/>
      <c r="P103" s="128">
        <f>LOOKUP((N103),ListadoAFP,IM!B135:B144)</f>
        <v>0.1154</v>
      </c>
      <c r="Q103" s="704">
        <f>ROUND(IF(T$145="3-. BOLETA",0,IF(D$127&gt;IM!O69,IM!O69*P103,D$127*P103)),0)</f>
        <v>49206</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81612</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344784</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6-. PRÓVIDA</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81612</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344784</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492784</v>
      </c>
      <c r="E133" s="831"/>
      <c r="F133" s="732"/>
      <c r="G133" s="733"/>
      <c r="H133" s="733"/>
      <c r="I133" s="734"/>
      <c r="J133" s="12"/>
      <c r="K133" s="712" t="str">
        <f>IF(T$145="3-. BOLETA","T. A PAGAR (MENOS 10% BOLETA)","TOTAL A PAGAR")</f>
        <v>TOTAL A PAGAR</v>
      </c>
      <c r="L133" s="747"/>
      <c r="M133" s="713"/>
      <c r="N133" s="713"/>
      <c r="O133" s="714"/>
      <c r="P133" s="859">
        <f>ROUND(D133,0)</f>
        <v>492784</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IM!C20</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IM!F20</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IM!H20</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IM!J20</f>
        <v>(09) 850 55 439</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UPPER(IM!Q20)</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IM!N20</f>
        <v>Soldador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IM!AE20</f>
        <v>Estructuraciones</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IM!S20</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IM!AC20</f>
        <v>74000</v>
      </c>
      <c r="U149" s="644"/>
      <c r="V149" s="645"/>
      <c r="W149" s="645"/>
    </row>
    <row r="150" spans="4:23" x14ac:dyDescent="0.2">
      <c r="Q150" s="641" t="s">
        <v>394</v>
      </c>
      <c r="R150" s="642"/>
      <c r="S150" s="643"/>
      <c r="T150" s="167">
        <f>IM!AA20</f>
        <v>74000</v>
      </c>
      <c r="U150" s="644"/>
      <c r="V150" s="645"/>
      <c r="W150" s="645"/>
    </row>
    <row r="151" spans="4:23" ht="10.5" customHeight="1" x14ac:dyDescent="0.2">
      <c r="N151" s="12"/>
      <c r="O151" s="12"/>
      <c r="P151" s="12"/>
      <c r="Q151" s="641" t="s">
        <v>395</v>
      </c>
      <c r="R151" s="642"/>
      <c r="S151" s="643"/>
      <c r="T151" s="167">
        <f>IM!Y20</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UPPER(IM!U20)</f>
        <v>6-. PRÓVIDA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UPPER(IM!W20)</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IM!L20</f>
        <v>41241</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41241</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Soldador</v>
      </c>
      <c r="H169" s="683"/>
      <c r="I169" s="683"/>
      <c r="J169" s="683"/>
      <c r="K169" s="683"/>
      <c r="L169" s="146"/>
      <c r="M169" s="692"/>
      <c r="N169" s="693"/>
      <c r="O169" s="694"/>
      <c r="P169" s="136"/>
      <c r="Q169" s="136"/>
    </row>
    <row r="170" spans="4:17" ht="12.75" customHeight="1" x14ac:dyDescent="0.2">
      <c r="D170" s="666" t="s">
        <v>332</v>
      </c>
      <c r="E170" s="667"/>
      <c r="F170" s="667"/>
      <c r="G170" s="686" t="str">
        <f>T147</f>
        <v>Estructuraciones</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0.1154</v>
      </c>
      <c r="L174" s="882" t="str">
        <f>"AFP "&amp; UPPER(N103)</f>
        <v>AFP 6-. PRÓVIDA</v>
      </c>
      <c r="M174" s="882"/>
      <c r="N174" s="883">
        <f>ROUND(Q103,0)</f>
        <v>49206</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81612</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344784</v>
      </c>
      <c r="J195" s="907"/>
      <c r="K195" s="905" t="s">
        <v>7</v>
      </c>
      <c r="L195" s="905"/>
      <c r="M195" s="905"/>
      <c r="N195" s="904">
        <f>ROUND(N174+N175+N176+N177+N178+N179+N180+N183,0)</f>
        <v>81612</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492784</v>
      </c>
      <c r="O197" s="904"/>
      <c r="P197" s="136"/>
      <c r="Q197" s="136"/>
    </row>
    <row r="198" spans="3:17" ht="12.75" customHeight="1" x14ac:dyDescent="0.2">
      <c r="C198" s="37"/>
      <c r="D198" s="323"/>
      <c r="E198" s="324"/>
      <c r="F198" s="914" t="s">
        <v>509</v>
      </c>
      <c r="G198" s="914"/>
      <c r="H198" s="914"/>
      <c r="I198" s="906">
        <f>N199+N196</f>
        <v>492784</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492784</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DOS MIL SETECIENTOS OCHENTA Y CUATRO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492784</v>
      </c>
      <c r="D228" s="648" t="str">
        <f>W231&amp;X231&amp;W232&amp;X232&amp;W233&amp;X233&amp;W234&amp;X234&amp;W235&amp;X235&amp;W236&amp;X236&amp;W237&amp;X237&amp;W238&amp;X238&amp;W239&amp;X239&amp;" "&amp;IF(W240="UN","Peso",D225)&amp;" "&amp;C231&amp;D226</f>
        <v>cuatrocientos noventa y dos mil setecientos ochenta y cuatro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492784</v>
      </c>
      <c r="D229" s="48" t="str">
        <f>"SON: " &amp; UPPER(D228)</f>
        <v>SON: CUATROCIENTOS NOVENTA Y DOS MIL SETECIENTOS OCHENTA Y CUATRO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2</v>
      </c>
      <c r="L236" s="56">
        <f>VALUE(K236)</f>
        <v>2</v>
      </c>
      <c r="M236" s="48">
        <f>IF(M235=0,0,IF(M235&gt;=1,MID(C228,2,1),C228/1000))</f>
        <v>0</v>
      </c>
      <c r="N236" s="56">
        <f>VALUE(M236)</f>
        <v>0</v>
      </c>
      <c r="O236" s="227">
        <f>IF(C228&lt;=9999.99,ROUNDDOWN(C228/1000,0),0)</f>
        <v>0</v>
      </c>
      <c r="P236" s="55" t="str">
        <f>TEXT(O236,"0")</f>
        <v>0</v>
      </c>
      <c r="Q236" s="48"/>
      <c r="R236" s="48"/>
      <c r="S236" s="48"/>
      <c r="T236" s="48"/>
      <c r="U236" s="48"/>
      <c r="V236" s="54">
        <f t="shared" si="20"/>
        <v>2</v>
      </c>
      <c r="W236" s="48" t="str">
        <f>IF(V236=0,"",IF(Y236&lt;10,VLOOKUP(V236,B243:C251,2,FALSE),IF(Y236=21,"",IF(Y236=11,"",IF(V236=1,"un",IF(Y236&lt;=30,"",VLOOKUP(V236,B243:C251,2,FALSE)))))))</f>
        <v>dos</v>
      </c>
      <c r="X236" s="48" t="str">
        <f>IF(AA236=0,"",IF(X235=" mil ","",IF(Z236=0," mil ",IF(V236&lt;&gt;0," mil ",IF(Y236&lt;30," mil ","")))))</f>
        <v xml:space="preserve"> mil </v>
      </c>
      <c r="Y236" s="48">
        <f>+V235*10+V236</f>
        <v>92</v>
      </c>
      <c r="Z236" s="54">
        <f>+V235+V236</f>
        <v>11</v>
      </c>
      <c r="AA236" s="48">
        <f>+V234*100+V235*10+V236*1</f>
        <v>492</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7</v>
      </c>
      <c r="L237" s="56">
        <f>VALUE(K237)</f>
        <v>7</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7</v>
      </c>
      <c r="W237" s="48" t="str">
        <f>IF(V237=0,"",IF(Z239=100,"cien",IF(V237=1,"ciento",VLOOKUP(V237,A281:C289,3,FALSE))))</f>
        <v>setecientos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4</v>
      </c>
      <c r="L239" s="56">
        <f>VALUE(K239)</f>
        <v>4</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4</v>
      </c>
      <c r="W239" s="48" t="str">
        <f>IF(C228&lt;1,"CERO ",IF(V239=0,"",IF(Y239&lt;10,VLOOKUP(V239,B243:C251,2,FALSE),IF(Y239&lt;=30,"",VLOOKUP(V239,B243:C251,2,FALSE)))))</f>
        <v>cuatro</v>
      </c>
      <c r="X239" s="48"/>
      <c r="Y239" s="48">
        <f>+V238*10+V239</f>
        <v>84</v>
      </c>
      <c r="Z239" s="54">
        <f>+V237*100+V238*10+V239*1</f>
        <v>784</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cuatro</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8J9HshqGmDpAyAfsocLD+Q2mvF9FsO15hL7JAoYxWDplXVdhKh9OWKAf2+MJDfzNiDNTmmCVn6yvQmyCXrt5aw==" saltValue="eZlx1iDPtmY9YlWmDk/a8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492784</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6-. PRÓVIDA</v>
      </c>
      <c r="O103" s="719"/>
      <c r="P103" s="128">
        <f>LOOKUP((N103),ListadoAFP,IM!B135:B144)</f>
        <v>0.1154</v>
      </c>
      <c r="Q103" s="704">
        <f>ROUND(IF(T$145="3-. BOLETA",0,IF(D$127&gt;IM!O69,IM!O69*P103,D$127*P103)),0)</f>
        <v>49206</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81612</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344784</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6-. PRÓVIDA</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81612</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344784</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492784</v>
      </c>
      <c r="E133" s="831"/>
      <c r="F133" s="732"/>
      <c r="G133" s="733"/>
      <c r="H133" s="733"/>
      <c r="I133" s="734"/>
      <c r="J133" s="12"/>
      <c r="K133" s="712" t="str">
        <f>IF(T$145="3-. BOLETA","T. A PAGAR (MENOS 10% BOLETA)","TOTAL A PAGAR")</f>
        <v>TOTAL A PAGAR</v>
      </c>
      <c r="L133" s="747"/>
      <c r="M133" s="713"/>
      <c r="N133" s="713"/>
      <c r="O133" s="714"/>
      <c r="P133" s="859">
        <f>ROUND(D133,0)</f>
        <v>492784</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IM!C21</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IM!F21</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IM!H21</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IM!J21</f>
        <v>(09) 850 55 440</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UPPER(IM!Q21)</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IM!N21</f>
        <v>Soldador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IM!AE21</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IM!S21</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IM!AC21</f>
        <v>74000</v>
      </c>
      <c r="U149" s="644"/>
      <c r="V149" s="645"/>
      <c r="W149" s="645"/>
    </row>
    <row r="150" spans="4:23" x14ac:dyDescent="0.2">
      <c r="Q150" s="641" t="s">
        <v>394</v>
      </c>
      <c r="R150" s="642"/>
      <c r="S150" s="643"/>
      <c r="T150" s="167">
        <f>IM!AA21</f>
        <v>74000</v>
      </c>
      <c r="U150" s="644"/>
      <c r="V150" s="645"/>
      <c r="W150" s="645"/>
    </row>
    <row r="151" spans="4:23" ht="10.5" customHeight="1" x14ac:dyDescent="0.2">
      <c r="N151" s="12"/>
      <c r="O151" s="12"/>
      <c r="P151" s="12"/>
      <c r="Q151" s="641" t="s">
        <v>395</v>
      </c>
      <c r="R151" s="642"/>
      <c r="S151" s="643"/>
      <c r="T151" s="167">
        <f>IM!Y21</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UPPER(IM!U21)</f>
        <v>6-. PRÓVIDA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UPPER(IM!W21)</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IM!L21</f>
        <v>41240</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41240</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Soldador</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0.1154</v>
      </c>
      <c r="L174" s="882" t="str">
        <f>"AFP "&amp; UPPER(N103)</f>
        <v>AFP 6-. PRÓVIDA</v>
      </c>
      <c r="M174" s="882"/>
      <c r="N174" s="883">
        <f>ROUND(Q103,0)</f>
        <v>49206</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81612</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344784</v>
      </c>
      <c r="J195" s="907"/>
      <c r="K195" s="905" t="s">
        <v>7</v>
      </c>
      <c r="L195" s="905"/>
      <c r="M195" s="905"/>
      <c r="N195" s="904">
        <f>ROUND(N174+N175+N176+N177+N178+N179+N180+N183,0)</f>
        <v>81612</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492784</v>
      </c>
      <c r="O197" s="904"/>
      <c r="P197" s="136"/>
      <c r="Q197" s="136"/>
    </row>
    <row r="198" spans="3:17" ht="12.75" customHeight="1" x14ac:dyDescent="0.2">
      <c r="C198" s="37"/>
      <c r="D198" s="323"/>
      <c r="E198" s="324"/>
      <c r="F198" s="914" t="s">
        <v>509</v>
      </c>
      <c r="G198" s="914"/>
      <c r="H198" s="914"/>
      <c r="I198" s="906">
        <f>N199+N196</f>
        <v>492784</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492784</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DOS MIL SETECIENTOS OCHENTA Y CUATRO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492784</v>
      </c>
      <c r="D228" s="648" t="str">
        <f>W231&amp;X231&amp;W232&amp;X232&amp;W233&amp;X233&amp;W234&amp;X234&amp;W235&amp;X235&amp;W236&amp;X236&amp;W237&amp;X237&amp;W238&amp;X238&amp;W239&amp;X239&amp;" "&amp;IF(W240="UN","Peso",D225)&amp;" "&amp;C231&amp;D226</f>
        <v>cuatrocientos noventa y dos mil setecientos ochenta y cuatro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492784</v>
      </c>
      <c r="D229" s="48" t="str">
        <f>"SON: " &amp; UPPER(D228)</f>
        <v>SON: CUATROCIENTOS NOVENTA Y DOS MIL SETECIENTOS OCHENTA Y CUATRO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2</v>
      </c>
      <c r="L236" s="56">
        <f>VALUE(K236)</f>
        <v>2</v>
      </c>
      <c r="M236" s="48">
        <f>IF(M235=0,0,IF(M235&gt;=1,MID(C228,2,1),C228/1000))</f>
        <v>0</v>
      </c>
      <c r="N236" s="56">
        <f>VALUE(M236)</f>
        <v>0</v>
      </c>
      <c r="O236" s="227">
        <f>IF(C228&lt;=9999.99,ROUNDDOWN(C228/1000,0),0)</f>
        <v>0</v>
      </c>
      <c r="P236" s="55" t="str">
        <f>TEXT(O236,"0")</f>
        <v>0</v>
      </c>
      <c r="Q236" s="48"/>
      <c r="R236" s="48"/>
      <c r="S236" s="48"/>
      <c r="T236" s="48"/>
      <c r="U236" s="48"/>
      <c r="V236" s="54">
        <f t="shared" si="20"/>
        <v>2</v>
      </c>
      <c r="W236" s="48" t="str">
        <f>IF(V236=0,"",IF(Y236&lt;10,VLOOKUP(V236,B243:C251,2,FALSE),IF(Y236=21,"",IF(Y236=11,"",IF(V236=1,"un",IF(Y236&lt;=30,"",VLOOKUP(V236,B243:C251,2,FALSE)))))))</f>
        <v>dos</v>
      </c>
      <c r="X236" s="48" t="str">
        <f>IF(AA236=0,"",IF(X235=" mil ","",IF(Z236=0," mil ",IF(V236&lt;&gt;0," mil ",IF(Y236&lt;30," mil ","")))))</f>
        <v xml:space="preserve"> mil </v>
      </c>
      <c r="Y236" s="48">
        <f>+V235*10+V236</f>
        <v>92</v>
      </c>
      <c r="Z236" s="54">
        <f>+V235+V236</f>
        <v>11</v>
      </c>
      <c r="AA236" s="48">
        <f>+V234*100+V235*10+V236*1</f>
        <v>492</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7</v>
      </c>
      <c r="L237" s="56">
        <f>VALUE(K237)</f>
        <v>7</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7</v>
      </c>
      <c r="W237" s="48" t="str">
        <f>IF(V237=0,"",IF(Z239=100,"cien",IF(V237=1,"ciento",VLOOKUP(V237,A281:C289,3,FALSE))))</f>
        <v>setecientos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4</v>
      </c>
      <c r="L239" s="56">
        <f>VALUE(K239)</f>
        <v>4</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4</v>
      </c>
      <c r="W239" s="48" t="str">
        <f>IF(C228&lt;1,"CERO ",IF(V239=0,"",IF(Y239&lt;10,VLOOKUP(V239,B243:C251,2,FALSE),IF(Y239&lt;=30,"",VLOOKUP(V239,B243:C251,2,FALSE)))))</f>
        <v>cuatro</v>
      </c>
      <c r="X239" s="48"/>
      <c r="Y239" s="48">
        <f>+V238*10+V239</f>
        <v>84</v>
      </c>
      <c r="Z239" s="54">
        <f>+V237*100+V238*10+V239*1</f>
        <v>784</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cuatro</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T+2hAyDTrROLVKltI2yDV7/39je03seSBMmQY6pnHJHh7wcFq2mgEVnF5UeD0E7P4afMEOHhdlRZ6CFn9Oqw5w==" saltValue="TJ1CAuP4pzH810m0eyjDR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disablePrompts="1"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496067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7-. MODELO</v>
      </c>
      <c r="O103" s="719"/>
      <c r="P103" s="128">
        <f>LOOKUP((N103),ListadoAFP,IM!B135:B144)</f>
        <v>0.1077</v>
      </c>
      <c r="Q103" s="704">
        <f>ROUND(IF(T$145="3-. BOLETA",0,IF(D$127&gt;IM!O69,IM!O69*P103,D$127*P103)),0)</f>
        <v>45923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78329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348067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7-. MODELO</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78329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348067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496067</v>
      </c>
      <c r="E133" s="831"/>
      <c r="F133" s="732"/>
      <c r="G133" s="733"/>
      <c r="H133" s="733"/>
      <c r="I133" s="734"/>
      <c r="J133" s="12"/>
      <c r="K133" s="712" t="str">
        <f>IF(T$145="3-. BOLETA","T. A PAGAR (MENOS 10% BOLETA)","TOTAL A PAGAR")</f>
        <v>TOTAL A PAGAR</v>
      </c>
      <c r="L133" s="747"/>
      <c r="M133" s="713"/>
      <c r="N133" s="713"/>
      <c r="O133" s="714"/>
      <c r="P133" s="859">
        <f>ROUND(D133,0)</f>
        <v>496067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IM!C22</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IM!F22</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IM!H22</f>
        <v>31217</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IM!J22</f>
        <v>(09) 850 55 441</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UPPER(IM!Q22)</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IM!N22</f>
        <v>Mecánico Neumático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IM!AE22</f>
        <v>Mecánica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IM!S22</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IM!AC22</f>
        <v>74000</v>
      </c>
      <c r="U149" s="644"/>
      <c r="V149" s="645"/>
      <c r="W149" s="645"/>
    </row>
    <row r="150" spans="4:23" x14ac:dyDescent="0.2">
      <c r="Q150" s="641" t="s">
        <v>394</v>
      </c>
      <c r="R150" s="642"/>
      <c r="S150" s="643"/>
      <c r="T150" s="167">
        <f>IM!AA22</f>
        <v>74000</v>
      </c>
      <c r="U150" s="644"/>
      <c r="V150" s="645"/>
      <c r="W150" s="645"/>
    </row>
    <row r="151" spans="4:23" ht="10.5" customHeight="1" x14ac:dyDescent="0.2">
      <c r="N151" s="12"/>
      <c r="O151" s="12"/>
      <c r="P151" s="12"/>
      <c r="Q151" s="641" t="s">
        <v>395</v>
      </c>
      <c r="R151" s="642"/>
      <c r="S151" s="643"/>
      <c r="T151" s="167">
        <f>IM!Y22</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UPPER(IM!U22)</f>
        <v>7-. MODELO</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UPPER(IM!W22)</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IM!L22</f>
        <v>41229</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41229</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Mecánico Neumático</v>
      </c>
      <c r="H169" s="683"/>
      <c r="I169" s="683"/>
      <c r="J169" s="683"/>
      <c r="K169" s="683"/>
      <c r="L169" s="146"/>
      <c r="M169" s="692"/>
      <c r="N169" s="693"/>
      <c r="O169" s="694"/>
      <c r="P169" s="136"/>
      <c r="Q169" s="136"/>
    </row>
    <row r="170" spans="4:17" ht="12.75" customHeight="1" x14ac:dyDescent="0.2">
      <c r="D170" s="666" t="s">
        <v>332</v>
      </c>
      <c r="E170" s="667"/>
      <c r="F170" s="667"/>
      <c r="G170" s="686" t="str">
        <f>T147</f>
        <v>Mecánica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0.1077</v>
      </c>
      <c r="L174" s="882" t="str">
        <f>"AFP "&amp; UPPER(N103)</f>
        <v>AFP 7-. MODELO</v>
      </c>
      <c r="M174" s="882"/>
      <c r="N174" s="883">
        <f>ROUND(Q103,0)</f>
        <v>45923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78329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348067</v>
      </c>
      <c r="J195" s="907"/>
      <c r="K195" s="905" t="s">
        <v>7</v>
      </c>
      <c r="L195" s="905"/>
      <c r="M195" s="905"/>
      <c r="N195" s="904">
        <f>ROUND(N174+N175+N176+N177+N178+N179+N180+N183,0)</f>
        <v>78329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496067</v>
      </c>
      <c r="O197" s="904"/>
      <c r="P197" s="136"/>
      <c r="Q197" s="136"/>
    </row>
    <row r="198" spans="3:17" ht="12.75" customHeight="1" x14ac:dyDescent="0.2">
      <c r="C198" s="37"/>
      <c r="D198" s="323"/>
      <c r="E198" s="324"/>
      <c r="F198" s="914" t="s">
        <v>509</v>
      </c>
      <c r="G198" s="914"/>
      <c r="H198" s="914"/>
      <c r="I198" s="906">
        <f>N199+N196</f>
        <v>496067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496067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SEIS MIL SESENTA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496067</v>
      </c>
      <c r="D228" s="648" t="str">
        <f>W231&amp;X231&amp;W232&amp;X232&amp;W233&amp;X233&amp;W234&amp;X234&amp;W235&amp;X235&amp;W236&amp;X236&amp;W237&amp;X237&amp;W238&amp;X238&amp;W239&amp;X239&amp;" "&amp;IF(W240="UN","Peso",D225)&amp;" "&amp;C231&amp;D226</f>
        <v>cuatrocientos noventa y seis mil sesenta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496067</v>
      </c>
      <c r="D229" s="48" t="str">
        <f>"SON: " &amp; UPPER(D228)</f>
        <v>SON: CUATROCIENTOS NOVENTA Y SEIS MIL SESENTA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6</v>
      </c>
      <c r="L236" s="56">
        <f>VALUE(K236)</f>
        <v>6</v>
      </c>
      <c r="M236" s="48">
        <f>IF(M235=0,0,IF(M235&gt;=1,MID(C228,2,1),C228/1000))</f>
        <v>0</v>
      </c>
      <c r="N236" s="56">
        <f>VALUE(M236)</f>
        <v>0</v>
      </c>
      <c r="O236" s="227">
        <f>IF(C228&lt;=9999.99,ROUNDDOWN(C228/1000,0),0)</f>
        <v>0</v>
      </c>
      <c r="P236" s="55" t="str">
        <f>TEXT(O236,"0")</f>
        <v>0</v>
      </c>
      <c r="Q236" s="48"/>
      <c r="R236" s="48"/>
      <c r="S236" s="48"/>
      <c r="T236" s="48"/>
      <c r="U236" s="48"/>
      <c r="V236" s="54">
        <f t="shared" si="20"/>
        <v>6</v>
      </c>
      <c r="W236" s="48" t="str">
        <f>IF(V236=0,"",IF(Y236&lt;10,VLOOKUP(V236,B243:C251,2,FALSE),IF(Y236=21,"",IF(Y236=11,"",IF(V236=1,"un",IF(Y236&lt;=30,"",VLOOKUP(V236,B243:C251,2,FALSE)))))))</f>
        <v>seis</v>
      </c>
      <c r="X236" s="48" t="str">
        <f>IF(AA236=0,"",IF(X235=" mil ","",IF(Z236=0," mil ",IF(V236&lt;&gt;0," mil ",IF(Y236&lt;30," mil ","")))))</f>
        <v xml:space="preserve"> mil </v>
      </c>
      <c r="Y236" s="48">
        <f>+V235*10+V236</f>
        <v>96</v>
      </c>
      <c r="Z236" s="54">
        <f>+V235+V236</f>
        <v>15</v>
      </c>
      <c r="AA236" s="48">
        <f>+V234*100+V235*10+V236*1</f>
        <v>496</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6</v>
      </c>
      <c r="L238" s="56">
        <f>VALUE(K238)</f>
        <v>6</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6</v>
      </c>
      <c r="W238" s="48" t="str">
        <f>IF(V238=0,"",IF(V238&gt;=3,VLOOKUP(V238,A273:C279,3,FALSE),IF(V238&lt;=2,VLOOKUP(Y239,B243:C271,2,FALSE))))</f>
        <v>sesenta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67</v>
      </c>
      <c r="Z239" s="54">
        <f>+V237*100+V238*10+V239*1</f>
        <v>67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w1lQSH0smGVmJG9yTFL1GmwDr73b6uyG2cNeONSyMbW/lOlb/PX0mOQMlAEp2Pov2ps0WwMUl0Hp3sn9qauuSA==" saltValue="zcA58vbm7DkGzt04uuAJX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493210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 xml:space="preserve">2-. CAPITAL </v>
      </c>
      <c r="O103" s="719"/>
      <c r="P103" s="128">
        <f>LOOKUP((N103),ListadoAFP,IM!B135:B144)</f>
        <v>0.1144</v>
      </c>
      <c r="Q103" s="704">
        <f>ROUND(IF(T$145="3-. BOLETA",0,IF(D$127&gt;IM!O69,IM!O69*P103,D$127*P103)),0)</f>
        <v>48780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81186</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345210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 xml:space="preserve">2-. CAPITAL </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81186</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345210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493210</v>
      </c>
      <c r="E133" s="831"/>
      <c r="F133" s="732"/>
      <c r="G133" s="733"/>
      <c r="H133" s="733"/>
      <c r="I133" s="734"/>
      <c r="J133" s="12"/>
      <c r="K133" s="712" t="str">
        <f>IF(T$145="3-. BOLETA","T. A PAGAR (MENOS 10% BOLETA)","TOTAL A PAGAR")</f>
        <v>TOTAL A PAGAR</v>
      </c>
      <c r="L133" s="747"/>
      <c r="M133" s="713"/>
      <c r="N133" s="713"/>
      <c r="O133" s="714"/>
      <c r="P133" s="859">
        <f>ROUND(D133,0)</f>
        <v>493210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IM!C23</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IM!F23</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IM!H23</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IM!J23</f>
        <v>(09) 850 55 442</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UPPER(IM!Q23)</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IM!N23</f>
        <v>Vendedor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IM!AE23</f>
        <v>Tornería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IM!S23</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IM!AC23</f>
        <v>74000</v>
      </c>
      <c r="U149" s="644"/>
      <c r="V149" s="645"/>
      <c r="W149" s="645"/>
    </row>
    <row r="150" spans="4:23" x14ac:dyDescent="0.2">
      <c r="Q150" s="641" t="s">
        <v>394</v>
      </c>
      <c r="R150" s="642"/>
      <c r="S150" s="643"/>
      <c r="T150" s="167">
        <f>IM!AA23</f>
        <v>74000</v>
      </c>
      <c r="U150" s="644"/>
      <c r="V150" s="645"/>
      <c r="W150" s="645"/>
    </row>
    <row r="151" spans="4:23" ht="10.5" customHeight="1" x14ac:dyDescent="0.2">
      <c r="N151" s="12"/>
      <c r="O151" s="12"/>
      <c r="P151" s="12"/>
      <c r="Q151" s="641" t="s">
        <v>395</v>
      </c>
      <c r="R151" s="642"/>
      <c r="S151" s="643"/>
      <c r="T151" s="167">
        <f>IM!Y23</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UPPER(IM!U23)</f>
        <v xml:space="preserve">2-. CAPITAL </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UPPER(IM!W23)</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IM!L23</f>
        <v>41233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41233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Vendedor</v>
      </c>
      <c r="H169" s="683"/>
      <c r="I169" s="683"/>
      <c r="J169" s="683"/>
      <c r="K169" s="683"/>
      <c r="L169" s="146"/>
      <c r="M169" s="692"/>
      <c r="N169" s="693"/>
      <c r="O169" s="694"/>
      <c r="P169" s="136"/>
      <c r="Q169" s="136"/>
    </row>
    <row r="170" spans="4:17" ht="12.75" customHeight="1" x14ac:dyDescent="0.2">
      <c r="D170" s="666" t="s">
        <v>332</v>
      </c>
      <c r="E170" s="667"/>
      <c r="F170" s="667"/>
      <c r="G170" s="686" t="str">
        <f>T147</f>
        <v>Tornería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0.1144</v>
      </c>
      <c r="L174" s="882" t="str">
        <f>"AFP "&amp; UPPER(N103)</f>
        <v xml:space="preserve">AFP 2-. CAPITAL </v>
      </c>
      <c r="M174" s="882"/>
      <c r="N174" s="883">
        <f>ROUND(Q103,0)</f>
        <v>48780</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81186</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345210</v>
      </c>
      <c r="J195" s="907"/>
      <c r="K195" s="905" t="s">
        <v>7</v>
      </c>
      <c r="L195" s="905"/>
      <c r="M195" s="905"/>
      <c r="N195" s="904">
        <f>ROUND(N174+N175+N176+N177+N178+N179+N180+N183,0)</f>
        <v>81186</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493210</v>
      </c>
      <c r="O197" s="904"/>
      <c r="P197" s="136"/>
      <c r="Q197" s="136"/>
    </row>
    <row r="198" spans="3:17" ht="12.75" customHeight="1" x14ac:dyDescent="0.2">
      <c r="C198" s="37"/>
      <c r="D198" s="323"/>
      <c r="E198" s="324"/>
      <c r="F198" s="914" t="s">
        <v>509</v>
      </c>
      <c r="G198" s="914"/>
      <c r="H198" s="914"/>
      <c r="I198" s="906">
        <f>N199+N196</f>
        <v>493210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493210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TRES MIL DOSCIENTOS DIEZ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493210</v>
      </c>
      <c r="D228" s="648" t="str">
        <f>W231&amp;X231&amp;W232&amp;X232&amp;W233&amp;X233&amp;W234&amp;X234&amp;W235&amp;X235&amp;W236&amp;X236&amp;W237&amp;X237&amp;W238&amp;X238&amp;W239&amp;X239&amp;" "&amp;IF(W240="UN","Peso",D225)&amp;" "&amp;C231&amp;D226</f>
        <v>cuatrocientos noventa y tres mil doscientos diez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493210</v>
      </c>
      <c r="D229" s="48" t="str">
        <f>"SON: " &amp; UPPER(D228)</f>
        <v>SON: CUATROCIENTOS NOVENTA Y TRES MIL DOSCIENTOS DIEZ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3</v>
      </c>
      <c r="L236" s="56">
        <f>VALUE(K236)</f>
        <v>3</v>
      </c>
      <c r="M236" s="48">
        <f>IF(M235=0,0,IF(M235&gt;=1,MID(C228,2,1),C228/1000))</f>
        <v>0</v>
      </c>
      <c r="N236" s="56">
        <f>VALUE(M236)</f>
        <v>0</v>
      </c>
      <c r="O236" s="227">
        <f>IF(C228&lt;=9999.99,ROUNDDOWN(C228/1000,0),0)</f>
        <v>0</v>
      </c>
      <c r="P236" s="55" t="str">
        <f>TEXT(O236,"0")</f>
        <v>0</v>
      </c>
      <c r="Q236" s="48"/>
      <c r="R236" s="48"/>
      <c r="S236" s="48"/>
      <c r="T236" s="48"/>
      <c r="U236" s="48"/>
      <c r="V236" s="54">
        <f t="shared" si="20"/>
        <v>3</v>
      </c>
      <c r="W236" s="48" t="str">
        <f>IF(V236=0,"",IF(Y236&lt;10,VLOOKUP(V236,B243:C251,2,FALSE),IF(Y236=21,"",IF(Y236=11,"",IF(V236=1,"un",IF(Y236&lt;=30,"",VLOOKUP(V236,B243:C251,2,FALSE)))))))</f>
        <v>tres</v>
      </c>
      <c r="X236" s="48" t="str">
        <f>IF(AA236=0,"",IF(X235=" mil ","",IF(Z236=0," mil ",IF(V236&lt;&gt;0," mil ",IF(Y236&lt;30," mil ","")))))</f>
        <v xml:space="preserve"> mil </v>
      </c>
      <c r="Y236" s="48">
        <f>+V235*10+V236</f>
        <v>93</v>
      </c>
      <c r="Z236" s="54">
        <f>+V235+V236</f>
        <v>12</v>
      </c>
      <c r="AA236" s="48">
        <f>+V234*100+V235*10+V236*1</f>
        <v>493</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2</v>
      </c>
      <c r="L237" s="56">
        <f>VALUE(K237)</f>
        <v>2</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2</v>
      </c>
      <c r="W237" s="48" t="str">
        <f>IF(V237=0,"",IF(Z239=100,"cien",IF(V237=1,"ciento",VLOOKUP(V237,A281:C289,3,FALSE))))</f>
        <v>doscientos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1</v>
      </c>
      <c r="W238" s="48" t="str">
        <f>IF(V238=0,"",IF(V238&gt;=3,VLOOKUP(V238,A273:C279,3,FALSE),IF(V238&lt;=2,VLOOKUP(Y239,B243:C271,2,FALSE))))</f>
        <v>diez</v>
      </c>
      <c r="X238" s="48" t="str">
        <f>IF(V238=0,"",IF(V239=0,"",IF(Y239&gt;=30," y ","")))</f>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0</v>
      </c>
      <c r="W239" s="48" t="str">
        <f>IF(C228&lt;1,"CERO ",IF(V239=0,"",IF(Y239&lt;10,VLOOKUP(V239,B243:C251,2,FALSE),IF(Y239&lt;=30,"",VLOOKUP(V239,B243:C251,2,FALSE)))))</f>
        <v/>
      </c>
      <c r="X239" s="48"/>
      <c r="Y239" s="48">
        <f>+V238*10+V239</f>
        <v>10</v>
      </c>
      <c r="Z239" s="54">
        <f>+V237*100+V238*10+V239*1</f>
        <v>210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s6kw4Dj3/7Q8if5sP/a7+zcUb6pNO/+ivldrYICTcOEMuls+pez/yDyzkn4RDyNAZLq/5u4UECkJZhNbluH63Q==" saltValue="e1+oP5elWw6d6Ixp9AWmY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496067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7-. MODELO</v>
      </c>
      <c r="O103" s="719"/>
      <c r="P103" s="128">
        <f>LOOKUP((N103),ListadoAFP,IM!B135:B144)</f>
        <v>0.1077</v>
      </c>
      <c r="Q103" s="704">
        <f>ROUND(IF(T$145="3-. BOLETA",0,IF(D$127&gt;IM!O69,IM!O69*P103,D$127*P103)),0)</f>
        <v>45923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78329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348067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7-. MODELO</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78329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348067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496067</v>
      </c>
      <c r="E133" s="831"/>
      <c r="F133" s="732"/>
      <c r="G133" s="733"/>
      <c r="H133" s="733"/>
      <c r="I133" s="734"/>
      <c r="J133" s="12"/>
      <c r="K133" s="712" t="str">
        <f>IF(T$145="3-. BOLETA","T. A PAGAR (MENOS 10% BOLETA)","TOTAL A PAGAR")</f>
        <v>TOTAL A PAGAR</v>
      </c>
      <c r="L133" s="747"/>
      <c r="M133" s="713"/>
      <c r="N133" s="713"/>
      <c r="O133" s="714"/>
      <c r="P133" s="859">
        <f>ROUND(D133,0)</f>
        <v>496067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IM!C24</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IM!F24</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IM!H24</f>
        <v>28390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IM!J24</f>
        <v>(09) 850 55 443</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UPPER(IM!Q24)</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IM!N24</f>
        <v>Adquisiciones</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IM!AE24</f>
        <v>Tornería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IM!S24</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IM!AC24</f>
        <v>74000</v>
      </c>
      <c r="U149" s="644"/>
      <c r="V149" s="645"/>
      <c r="W149" s="645"/>
    </row>
    <row r="150" spans="4:23" x14ac:dyDescent="0.2">
      <c r="Q150" s="641" t="s">
        <v>394</v>
      </c>
      <c r="R150" s="642"/>
      <c r="S150" s="643"/>
      <c r="T150" s="167">
        <f>IM!AA24</f>
        <v>74000</v>
      </c>
      <c r="U150" s="644"/>
      <c r="V150" s="645"/>
      <c r="W150" s="645"/>
    </row>
    <row r="151" spans="4:23" ht="10.5" customHeight="1" x14ac:dyDescent="0.2">
      <c r="N151" s="12"/>
      <c r="O151" s="12"/>
      <c r="P151" s="12"/>
      <c r="Q151" s="641" t="s">
        <v>395</v>
      </c>
      <c r="R151" s="642"/>
      <c r="S151" s="643"/>
      <c r="T151" s="167">
        <f>IM!Y24</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UPPER(IM!U24)</f>
        <v>7-. MODELO</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UPPER(IM!W24)</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IM!L24</f>
        <v>41115</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41115</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Adquisiciones</v>
      </c>
      <c r="H169" s="683"/>
      <c r="I169" s="683"/>
      <c r="J169" s="683"/>
      <c r="K169" s="683"/>
      <c r="L169" s="146"/>
      <c r="M169" s="692"/>
      <c r="N169" s="693"/>
      <c r="O169" s="694"/>
      <c r="P169" s="136"/>
      <c r="Q169" s="136"/>
    </row>
    <row r="170" spans="4:17" ht="12.75" customHeight="1" x14ac:dyDescent="0.2">
      <c r="D170" s="666" t="s">
        <v>332</v>
      </c>
      <c r="E170" s="667"/>
      <c r="F170" s="667"/>
      <c r="G170" s="686" t="str">
        <f>T147</f>
        <v>Tornería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0.1077</v>
      </c>
      <c r="L174" s="882" t="str">
        <f>"AFP "&amp; UPPER(N103)</f>
        <v>AFP 7-. MODELO</v>
      </c>
      <c r="M174" s="882"/>
      <c r="N174" s="883">
        <f>ROUND(Q103,0)</f>
        <v>45923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78329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348067</v>
      </c>
      <c r="J195" s="907"/>
      <c r="K195" s="905" t="s">
        <v>7</v>
      </c>
      <c r="L195" s="905"/>
      <c r="M195" s="905"/>
      <c r="N195" s="904">
        <f>ROUND(N174+N175+N176+N177+N178+N179+N180+N183,0)</f>
        <v>78329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496067</v>
      </c>
      <c r="O197" s="904"/>
      <c r="P197" s="136"/>
      <c r="Q197" s="136"/>
    </row>
    <row r="198" spans="3:17" ht="12.75" customHeight="1" x14ac:dyDescent="0.2">
      <c r="C198" s="37"/>
      <c r="D198" s="323"/>
      <c r="E198" s="324"/>
      <c r="F198" s="914" t="s">
        <v>509</v>
      </c>
      <c r="G198" s="914"/>
      <c r="H198" s="914"/>
      <c r="I198" s="906">
        <f>N199+N196</f>
        <v>496067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496067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SEIS MIL SESENTA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496067</v>
      </c>
      <c r="D228" s="648" t="str">
        <f>W231&amp;X231&amp;W232&amp;X232&amp;W233&amp;X233&amp;W234&amp;X234&amp;W235&amp;X235&amp;W236&amp;X236&amp;W237&amp;X237&amp;W238&amp;X238&amp;W239&amp;X239&amp;" "&amp;IF(W240="UN","Peso",D225)&amp;" "&amp;C231&amp;D226</f>
        <v>cuatrocientos noventa y seis mil sesenta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496067</v>
      </c>
      <c r="D229" s="48" t="str">
        <f>"SON: " &amp; UPPER(D228)</f>
        <v>SON: CUATROCIENTOS NOVENTA Y SEIS MIL SESENTA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6</v>
      </c>
      <c r="L236" s="56">
        <f>VALUE(K236)</f>
        <v>6</v>
      </c>
      <c r="M236" s="48">
        <f>IF(M235=0,0,IF(M235&gt;=1,MID(C228,2,1),C228/1000))</f>
        <v>0</v>
      </c>
      <c r="N236" s="56">
        <f>VALUE(M236)</f>
        <v>0</v>
      </c>
      <c r="O236" s="227">
        <f>IF(C228&lt;=9999.99,ROUNDDOWN(C228/1000,0),0)</f>
        <v>0</v>
      </c>
      <c r="P236" s="55" t="str">
        <f>TEXT(O236,"0")</f>
        <v>0</v>
      </c>
      <c r="Q236" s="48"/>
      <c r="R236" s="48"/>
      <c r="S236" s="48"/>
      <c r="T236" s="48"/>
      <c r="U236" s="48"/>
      <c r="V236" s="54">
        <f t="shared" si="20"/>
        <v>6</v>
      </c>
      <c r="W236" s="48" t="str">
        <f>IF(V236=0,"",IF(Y236&lt;10,VLOOKUP(V236,B243:C251,2,FALSE),IF(Y236=21,"",IF(Y236=11,"",IF(V236=1,"un",IF(Y236&lt;=30,"",VLOOKUP(V236,B243:C251,2,FALSE)))))))</f>
        <v>seis</v>
      </c>
      <c r="X236" s="48" t="str">
        <f>IF(AA236=0,"",IF(X235=" mil ","",IF(Z236=0," mil ",IF(V236&lt;&gt;0," mil ",IF(Y236&lt;30," mil ","")))))</f>
        <v xml:space="preserve"> mil </v>
      </c>
      <c r="Y236" s="48">
        <f>+V235*10+V236</f>
        <v>96</v>
      </c>
      <c r="Z236" s="54">
        <f>+V235+V236</f>
        <v>15</v>
      </c>
      <c r="AA236" s="48">
        <f>+V234*100+V235*10+V236*1</f>
        <v>496</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6</v>
      </c>
      <c r="L238" s="56">
        <f>VALUE(K238)</f>
        <v>6</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6</v>
      </c>
      <c r="W238" s="48" t="str">
        <f>IF(V238=0,"",IF(V238&gt;=3,VLOOKUP(V238,A273:C279,3,FALSE),IF(V238&lt;=2,VLOOKUP(Y239,B243:C271,2,FALSE))))</f>
        <v>sesenta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67</v>
      </c>
      <c r="Z239" s="54">
        <f>+V237*100+V238*10+V239*1</f>
        <v>67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5iKR9H/zuNZWvKV/6okmp0rHI3LVn1ElTTm+ALpipm03mBi2PrNa1GrWw2OGVEjfCTaWH0SxLmKQhKfN8k+3Q==" saltValue="FyRHwaJcajIs1U8pJk6ia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493935</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4-. HÁBITAT</v>
      </c>
      <c r="O103" s="719"/>
      <c r="P103" s="128">
        <f>LOOKUP((N103),ListadoAFP,IM!B135:B144)</f>
        <v>0.11269999999999999</v>
      </c>
      <c r="Q103" s="704">
        <f>ROUND(IF(T$145="3-. BOLETA",0,IF(D$127&gt;IM!O69,IM!O69*P103,D$127*P103)),0)</f>
        <v>48055</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80461</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345935</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4-. HÁBITAT</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80461</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345935</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493935</v>
      </c>
      <c r="E133" s="831"/>
      <c r="F133" s="732"/>
      <c r="G133" s="733"/>
      <c r="H133" s="733"/>
      <c r="I133" s="734"/>
      <c r="J133" s="12"/>
      <c r="K133" s="712" t="str">
        <f>IF(T$145="3-. BOLETA","T. A PAGAR (MENOS 10% BOLETA)","TOTAL A PAGAR")</f>
        <v>TOTAL A PAGAR</v>
      </c>
      <c r="L133" s="747"/>
      <c r="M133" s="713"/>
      <c r="N133" s="713"/>
      <c r="O133" s="714"/>
      <c r="P133" s="859">
        <f>ROUND(D133,0)</f>
        <v>493935</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IM!C25</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IM!F25</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IM!H25</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IM!J25</f>
        <v>(09) 850 55 444</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UPPER(IM!Q25)</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IM!N25</f>
        <v>Bodeguero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IM!AE25</f>
        <v>Tornería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IM!S25</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IM!AC25</f>
        <v>74000</v>
      </c>
      <c r="U149" s="644"/>
      <c r="V149" s="645"/>
      <c r="W149" s="645"/>
    </row>
    <row r="150" spans="4:23" x14ac:dyDescent="0.2">
      <c r="Q150" s="641" t="s">
        <v>394</v>
      </c>
      <c r="R150" s="642"/>
      <c r="S150" s="643"/>
      <c r="T150" s="167">
        <f>IM!AA25</f>
        <v>74000</v>
      </c>
      <c r="U150" s="644"/>
      <c r="V150" s="645"/>
      <c r="W150" s="645"/>
    </row>
    <row r="151" spans="4:23" ht="10.5" customHeight="1" x14ac:dyDescent="0.2">
      <c r="N151" s="12"/>
      <c r="O151" s="12"/>
      <c r="P151" s="12"/>
      <c r="Q151" s="641" t="s">
        <v>395</v>
      </c>
      <c r="R151" s="642"/>
      <c r="S151" s="643"/>
      <c r="T151" s="167">
        <f>IM!Y25</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UPPER(IM!U25)</f>
        <v>4-. HÁBITAT</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UPPER(IM!W25)</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IM!L25</f>
        <v>41228</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41228</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Bodeguero</v>
      </c>
      <c r="H169" s="683"/>
      <c r="I169" s="683"/>
      <c r="J169" s="683"/>
      <c r="K169" s="683"/>
      <c r="L169" s="146"/>
      <c r="M169" s="692"/>
      <c r="N169" s="693"/>
      <c r="O169" s="694"/>
      <c r="P169" s="136"/>
      <c r="Q169" s="136"/>
    </row>
    <row r="170" spans="4:17" ht="12.75" customHeight="1" x14ac:dyDescent="0.2">
      <c r="D170" s="666" t="s">
        <v>332</v>
      </c>
      <c r="E170" s="667"/>
      <c r="F170" s="667"/>
      <c r="G170" s="686" t="str">
        <f>T147</f>
        <v>Tornería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0.11269999999999999</v>
      </c>
      <c r="L174" s="882" t="str">
        <f>"AFP "&amp; UPPER(N103)</f>
        <v>AFP 4-. HÁBITAT</v>
      </c>
      <c r="M174" s="882"/>
      <c r="N174" s="883">
        <f>ROUND(Q103,0)</f>
        <v>48055</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80461</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345935</v>
      </c>
      <c r="J195" s="907"/>
      <c r="K195" s="905" t="s">
        <v>7</v>
      </c>
      <c r="L195" s="905"/>
      <c r="M195" s="905"/>
      <c r="N195" s="904">
        <f>ROUND(N174+N175+N176+N177+N178+N179+N180+N183,0)</f>
        <v>80461</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493935</v>
      </c>
      <c r="O197" s="904"/>
      <c r="P197" s="136"/>
      <c r="Q197" s="136"/>
    </row>
    <row r="198" spans="3:17" ht="12.75" customHeight="1" x14ac:dyDescent="0.2">
      <c r="C198" s="37"/>
      <c r="D198" s="323"/>
      <c r="E198" s="324"/>
      <c r="F198" s="914" t="s">
        <v>509</v>
      </c>
      <c r="G198" s="914"/>
      <c r="H198" s="914"/>
      <c r="I198" s="906">
        <f>N199+N196</f>
        <v>493935</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493935</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TRES MIL NOVECIENTOS TREINTA Y CINCO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493935</v>
      </c>
      <c r="D228" s="648" t="str">
        <f>W231&amp;X231&amp;W232&amp;X232&amp;W233&amp;X233&amp;W234&amp;X234&amp;W235&amp;X235&amp;W236&amp;X236&amp;W237&amp;X237&amp;W238&amp;X238&amp;W239&amp;X239&amp;" "&amp;IF(W240="UN","Peso",D225)&amp;" "&amp;C231&amp;D226</f>
        <v>cuatrocientos noventa y tres mil novecientos treinta y cinco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493935</v>
      </c>
      <c r="D229" s="48" t="str">
        <f>"SON: " &amp; UPPER(D228)</f>
        <v>SON: CUATROCIENTOS NOVENTA Y TRES MIL NOVECIENTOS TREINTA Y CINCO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3</v>
      </c>
      <c r="L236" s="56">
        <f>VALUE(K236)</f>
        <v>3</v>
      </c>
      <c r="M236" s="48">
        <f>IF(M235=0,0,IF(M235&gt;=1,MID(C228,2,1),C228/1000))</f>
        <v>0</v>
      </c>
      <c r="N236" s="56">
        <f>VALUE(M236)</f>
        <v>0</v>
      </c>
      <c r="O236" s="227">
        <f>IF(C228&lt;=9999.99,ROUNDDOWN(C228/1000,0),0)</f>
        <v>0</v>
      </c>
      <c r="P236" s="55" t="str">
        <f>TEXT(O236,"0")</f>
        <v>0</v>
      </c>
      <c r="Q236" s="48"/>
      <c r="R236" s="48"/>
      <c r="S236" s="48"/>
      <c r="T236" s="48"/>
      <c r="U236" s="48"/>
      <c r="V236" s="54">
        <f t="shared" si="20"/>
        <v>3</v>
      </c>
      <c r="W236" s="48" t="str">
        <f>IF(V236=0,"",IF(Y236&lt;10,VLOOKUP(V236,B243:C251,2,FALSE),IF(Y236=21,"",IF(Y236=11,"",IF(V236=1,"un",IF(Y236&lt;=30,"",VLOOKUP(V236,B243:C251,2,FALSE)))))))</f>
        <v>tres</v>
      </c>
      <c r="X236" s="48" t="str">
        <f>IF(AA236=0,"",IF(X235=" mil ","",IF(Z236=0," mil ",IF(V236&lt;&gt;0," mil ",IF(Y236&lt;30," mil ","")))))</f>
        <v xml:space="preserve"> mil </v>
      </c>
      <c r="Y236" s="48">
        <f>+V235*10+V236</f>
        <v>93</v>
      </c>
      <c r="Z236" s="54">
        <f>+V235+V236</f>
        <v>12</v>
      </c>
      <c r="AA236" s="48">
        <f>+V234*100+V235*10+V236*1</f>
        <v>493</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9</v>
      </c>
      <c r="L237" s="56">
        <f>VALUE(K237)</f>
        <v>9</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9</v>
      </c>
      <c r="W237" s="48" t="str">
        <f>IF(V237=0,"",IF(Z239=100,"cien",IF(V237=1,"ciento",VLOOKUP(V237,A281:C289,3,FALSE))))</f>
        <v>novecientos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3</v>
      </c>
      <c r="L238" s="56">
        <f>VALUE(K238)</f>
        <v>3</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3</v>
      </c>
      <c r="W238" s="48" t="str">
        <f>IF(V238=0,"",IF(V238&gt;=3,VLOOKUP(V238,A273:C279,3,FALSE),IF(V238&lt;=2,VLOOKUP(Y239,B243:C271,2,FALSE))))</f>
        <v>treinta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5</v>
      </c>
      <c r="L239" s="56">
        <f>VALUE(K239)</f>
        <v>5</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5</v>
      </c>
      <c r="W239" s="48" t="str">
        <f>IF(C228&lt;1,"CERO ",IF(V239=0,"",IF(Y239&lt;10,VLOOKUP(V239,B243:C251,2,FALSE),IF(Y239&lt;=30,"",VLOOKUP(V239,B243:C251,2,FALSE)))))</f>
        <v>cinco</v>
      </c>
      <c r="X239" s="48"/>
      <c r="Y239" s="48">
        <f>+V238*10+V239</f>
        <v>35</v>
      </c>
      <c r="Z239" s="54">
        <f>+V237*100+V238*10+V239*1</f>
        <v>935</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cinco</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8RN1kIpw2orblgeRKFiAvlUCwEAFdytKtcLwnCzTQgwk5GVUpIWkG1y+556EZke54x0Z24fW2SIh7YqerX0a6g==" saltValue="5a0iN5WtRZx0+mGJx7icf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496493</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4-. HÁBITAT</v>
      </c>
      <c r="O103" s="719"/>
      <c r="P103" s="128">
        <f>LOOKUP((N103),ListadoAFP,IM!B135:B144)</f>
        <v>0.11269999999999999</v>
      </c>
      <c r="Q103" s="704">
        <f>ROUND(IF(T$145="3-. BOLETA",0,IF(D$127&gt;IM!O69,IM!O69*P103,D$127*P103)),0)</f>
        <v>48055</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4-. JUBILADO</v>
      </c>
      <c r="O105" s="719"/>
      <c r="P105" s="63">
        <f>LOOKUP((N105),TipoContrato,IM!F135:F139)</f>
        <v>0</v>
      </c>
      <c r="Q105" s="704">
        <f>ROUND(IF(T$145="3-. BOLETA",0,IF(D$127&gt;IM!O71,IM!O71*P105,D$127*P105)),0)</f>
        <v>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77903</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348493</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4-. HÁBITAT</v>
      </c>
      <c r="O123" s="703"/>
      <c r="P123" s="140">
        <f>IF($T$145&lt;&gt;IM!$E$138,LOOKUP($N$123,IM!$A$48:$B$57,IM!$D$48:$D$57),0)</f>
        <v>0</v>
      </c>
      <c r="Q123" s="704">
        <f>IF($D$127&lt;IM!$O$69,$D$127*$P$123,IM!$O$69*$P$123)</f>
        <v>0</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4-. JUBILADO</v>
      </c>
      <c r="O126" s="767"/>
      <c r="P126" s="140">
        <f ca="1">LOOKUP(($N$126),TipoContrato,IM!$F$140:$F$143)</f>
        <v>0</v>
      </c>
      <c r="Q126" s="704">
        <f ca="1">IF($D$127&gt;IM!$O$71,IM!$O$71*$P$126,$D$127*$P$126)</f>
        <v>0</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77903</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18634.333333333332</v>
      </c>
      <c r="R131" s="861"/>
    </row>
    <row r="132" spans="1:23" ht="10.5" customHeight="1" x14ac:dyDescent="0.2">
      <c r="A132" s="749" t="s">
        <v>326</v>
      </c>
      <c r="B132" s="750"/>
      <c r="C132" s="751"/>
      <c r="D132" s="864">
        <f>(ROUND(N113,0))</f>
        <v>348493</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496493</v>
      </c>
      <c r="E133" s="831"/>
      <c r="F133" s="732"/>
      <c r="G133" s="733"/>
      <c r="H133" s="733"/>
      <c r="I133" s="734"/>
      <c r="J133" s="12"/>
      <c r="K133" s="712" t="str">
        <f>IF(T$145="3-. BOLETA","T. A PAGAR (MENOS 10% BOLETA)","TOTAL A PAGAR")</f>
        <v>TOTAL A PAGAR</v>
      </c>
      <c r="L133" s="747"/>
      <c r="M133" s="713"/>
      <c r="N133" s="713"/>
      <c r="O133" s="714"/>
      <c r="P133" s="859">
        <f>ROUND(D133,0)</f>
        <v>496493</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71" t="str">
        <f>IM!C26</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7" t="str">
        <f>IM!F26</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IM!H26</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7" t="str">
        <f>IM!J26</f>
        <v>(09) 850 55 445</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UPPER(IM!Q26)</f>
        <v>4-. JUBILADO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IM!N26</f>
        <v>Bodeguero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IM!AE26</f>
        <v>Tornería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IM!S26</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IM!AC26</f>
        <v>74000</v>
      </c>
      <c r="U149" s="644"/>
      <c r="V149" s="645"/>
      <c r="W149" s="645"/>
    </row>
    <row r="150" spans="4:23" x14ac:dyDescent="0.2">
      <c r="Q150" s="641" t="s">
        <v>394</v>
      </c>
      <c r="R150" s="642"/>
      <c r="S150" s="643"/>
      <c r="T150" s="167">
        <f>IM!AA26</f>
        <v>74000</v>
      </c>
      <c r="U150" s="644"/>
      <c r="V150" s="645"/>
      <c r="W150" s="645"/>
    </row>
    <row r="151" spans="4:23" ht="10.5" customHeight="1" x14ac:dyDescent="0.2">
      <c r="N151" s="12"/>
      <c r="O151" s="12"/>
      <c r="P151" s="12"/>
      <c r="Q151" s="641" t="s">
        <v>395</v>
      </c>
      <c r="R151" s="642"/>
      <c r="S151" s="643"/>
      <c r="T151" s="167">
        <f>IM!Y26</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UPPER(IM!U26)</f>
        <v>4-. HÁBITAT</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UPPER(IM!W26)</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IM!L26</f>
        <v>41153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41153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Bodeguero</v>
      </c>
      <c r="H169" s="683"/>
      <c r="I169" s="683"/>
      <c r="J169" s="683"/>
      <c r="K169" s="683"/>
      <c r="L169" s="146"/>
      <c r="M169" s="692"/>
      <c r="N169" s="693"/>
      <c r="O169" s="694"/>
      <c r="P169" s="136"/>
      <c r="Q169" s="136"/>
    </row>
    <row r="170" spans="4:17" ht="12.75" customHeight="1" x14ac:dyDescent="0.2">
      <c r="D170" s="666" t="s">
        <v>332</v>
      </c>
      <c r="E170" s="667"/>
      <c r="F170" s="667"/>
      <c r="G170" s="686" t="str">
        <f>T147</f>
        <v>Tornería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0.11269999999999999</v>
      </c>
      <c r="L174" s="882" t="str">
        <f>"AFP "&amp; UPPER(N103)</f>
        <v>AFP 4-. HÁBITAT</v>
      </c>
      <c r="M174" s="882"/>
      <c r="N174" s="883">
        <f>ROUND(Q103,0)</f>
        <v>48055</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0</v>
      </c>
      <c r="L177" s="885" t="s">
        <v>322</v>
      </c>
      <c r="M177" s="885"/>
      <c r="N177" s="886">
        <f>ROUND(Q105,0)</f>
        <v>0</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77903</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348493</v>
      </c>
      <c r="J195" s="907"/>
      <c r="K195" s="905" t="s">
        <v>7</v>
      </c>
      <c r="L195" s="905"/>
      <c r="M195" s="905"/>
      <c r="N195" s="904">
        <f>ROUND(N174+N175+N176+N177+N178+N179+N180+N183,0)</f>
        <v>77903</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0</v>
      </c>
      <c r="G197" s="911"/>
      <c r="H197" s="911"/>
      <c r="I197" s="906">
        <f>ROUND(Q123,0)</f>
        <v>0</v>
      </c>
      <c r="J197" s="907"/>
      <c r="K197" s="905" t="s">
        <v>493</v>
      </c>
      <c r="L197" s="905"/>
      <c r="M197" s="905"/>
      <c r="N197" s="904">
        <f>ROUND(N194-N195-N196,0)</f>
        <v>496493</v>
      </c>
      <c r="O197" s="904"/>
      <c r="P197" s="136"/>
      <c r="Q197" s="136"/>
    </row>
    <row r="198" spans="3:17" ht="12.75" customHeight="1" x14ac:dyDescent="0.2">
      <c r="C198" s="37"/>
      <c r="D198" s="323"/>
      <c r="E198" s="324"/>
      <c r="F198" s="914" t="s">
        <v>509</v>
      </c>
      <c r="G198" s="914"/>
      <c r="H198" s="914"/>
      <c r="I198" s="906">
        <f>N199+N196</f>
        <v>496493</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496493</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SEIS MIL CUATROCIENTOS NOVENTA Y TRES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496493</v>
      </c>
      <c r="D228" s="648" t="str">
        <f>W231&amp;X231&amp;W232&amp;X232&amp;W233&amp;X233&amp;W234&amp;X234&amp;W235&amp;X235&amp;W236&amp;X236&amp;W237&amp;X237&amp;W238&amp;X238&amp;W239&amp;X239&amp;" "&amp;IF(W240="UN","Peso",D225)&amp;" "&amp;C231&amp;D226</f>
        <v>cuatrocientos noventa y seis mil cuatrocientos noventa y tres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496493</v>
      </c>
      <c r="D229" s="48" t="str">
        <f>"SON: " &amp; UPPER(D228)</f>
        <v>SON: CUATROCIENTOS NOVENTA Y SEIS MIL CUATROCIENTOS NOVENTA Y TRES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6</v>
      </c>
      <c r="L236" s="56">
        <f>VALUE(K236)</f>
        <v>6</v>
      </c>
      <c r="M236" s="48">
        <f>IF(M235=0,0,IF(M235&gt;=1,MID(C228,2,1),C228/1000))</f>
        <v>0</v>
      </c>
      <c r="N236" s="56">
        <f>VALUE(M236)</f>
        <v>0</v>
      </c>
      <c r="O236" s="227">
        <f>IF(C228&lt;=9999.99,ROUNDDOWN(C228/1000,0),0)</f>
        <v>0</v>
      </c>
      <c r="P236" s="55" t="str">
        <f>TEXT(O236,"0")</f>
        <v>0</v>
      </c>
      <c r="Q236" s="48"/>
      <c r="R236" s="48"/>
      <c r="S236" s="48"/>
      <c r="T236" s="48"/>
      <c r="U236" s="48"/>
      <c r="V236" s="54">
        <f t="shared" si="20"/>
        <v>6</v>
      </c>
      <c r="W236" s="48" t="str">
        <f>IF(V236=0,"",IF(Y236&lt;10,VLOOKUP(V236,B243:C251,2,FALSE),IF(Y236=21,"",IF(Y236=11,"",IF(V236=1,"un",IF(Y236&lt;=30,"",VLOOKUP(V236,B243:C251,2,FALSE)))))))</f>
        <v>seis</v>
      </c>
      <c r="X236" s="48" t="str">
        <f>IF(AA236=0,"",IF(X235=" mil ","",IF(Z236=0," mil ",IF(V236&lt;&gt;0," mil ",IF(Y236&lt;30," mil ","")))))</f>
        <v xml:space="preserve"> mil </v>
      </c>
      <c r="Y236" s="48">
        <f>+V235*10+V236</f>
        <v>96</v>
      </c>
      <c r="Z236" s="54">
        <f>+V235+V236</f>
        <v>15</v>
      </c>
      <c r="AA236" s="48">
        <f>+V234*100+V235*10+V236*1</f>
        <v>496</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4</v>
      </c>
      <c r="L237" s="56">
        <f>VALUE(K237)</f>
        <v>4</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4</v>
      </c>
      <c r="W237" s="48" t="str">
        <f>IF(V237=0,"",IF(Z239=100,"cien",IF(V237=1,"ciento",VLOOKUP(V237,A281:C289,3,FALSE))))</f>
        <v>cuatrocientos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9</v>
      </c>
      <c r="L238" s="56">
        <f>VALUE(K238)</f>
        <v>9</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9</v>
      </c>
      <c r="W238" s="48" t="str">
        <f>IF(V238=0,"",IF(V238&gt;=3,VLOOKUP(V238,A273:C279,3,FALSE),IF(V238&lt;=2,VLOOKUP(Y239,B243:C271,2,FALSE))))</f>
        <v>noventa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3</v>
      </c>
      <c r="L239" s="56">
        <f>VALUE(K239)</f>
        <v>3</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3</v>
      </c>
      <c r="W239" s="48" t="str">
        <f>IF(C228&lt;1,"CERO ",IF(V239=0,"",IF(Y239&lt;10,VLOOKUP(V239,B243:C251,2,FALSE),IF(Y239&lt;=30,"",VLOOKUP(V239,B243:C251,2,FALSE)))))</f>
        <v>tres</v>
      </c>
      <c r="X239" s="48"/>
      <c r="Y239" s="48">
        <f>+V238*10+V239</f>
        <v>93</v>
      </c>
      <c r="Z239" s="54">
        <f>+V237*100+V238*10+V239*1</f>
        <v>493</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tres</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2tEMUlOQR+NeQXNb95iveHwDaCj0JwV0QgdVeBDT1wuRC3Kfe129RyXXrSL3jVL69aO71C3yZeFyr0nsYByCuw==" saltValue="zIHi8SdoH5Ok2MJav/3az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493210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 xml:space="preserve">2-. CAPITAL </v>
      </c>
      <c r="O103" s="719"/>
      <c r="P103" s="128">
        <f>LOOKUP((N103),ListadoAFP,IM!B135:B144)</f>
        <v>0.1144</v>
      </c>
      <c r="Q103" s="704">
        <f>ROUND(IF(T$145="3-. BOLETA",0,IF(D$127&gt;IM!O69,IM!O69*P103,D$127*P103)),0)</f>
        <v>48780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81186</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345210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 xml:space="preserve">2-. CAPITAL </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81186</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345210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493210</v>
      </c>
      <c r="E133" s="831"/>
      <c r="F133" s="732"/>
      <c r="G133" s="733"/>
      <c r="H133" s="733"/>
      <c r="I133" s="734"/>
      <c r="J133" s="12"/>
      <c r="K133" s="712" t="str">
        <f>IF(T$145="3-. BOLETA","T. A PAGAR (MENOS 10% BOLETA)","TOTAL A PAGAR")</f>
        <v>TOTAL A PAGAR</v>
      </c>
      <c r="L133" s="747"/>
      <c r="M133" s="713"/>
      <c r="N133" s="713"/>
      <c r="O133" s="714"/>
      <c r="P133" s="859">
        <f>ROUND(D133,0)</f>
        <v>493210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IM!C27</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IM!F27</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IM!H27</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t="str">
        <f>IM!J27</f>
        <v>(09) 850 55 446</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7" t="str">
        <f>UPPER(IM!Q27)</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IM!N27</f>
        <v>Ayudante General</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IM!AE27</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IM!S27</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IM!AC27</f>
        <v>74000</v>
      </c>
      <c r="U149" s="644"/>
      <c r="V149" s="645"/>
      <c r="W149" s="645"/>
    </row>
    <row r="150" spans="4:23" x14ac:dyDescent="0.2">
      <c r="Q150" s="641" t="s">
        <v>394</v>
      </c>
      <c r="R150" s="642"/>
      <c r="S150" s="643"/>
      <c r="T150" s="167">
        <f>IM!AA27</f>
        <v>74000</v>
      </c>
      <c r="U150" s="644"/>
      <c r="V150" s="645"/>
      <c r="W150" s="645"/>
    </row>
    <row r="151" spans="4:23" ht="10.5" customHeight="1" x14ac:dyDescent="0.2">
      <c r="N151" s="12"/>
      <c r="O151" s="12"/>
      <c r="P151" s="12"/>
      <c r="Q151" s="641" t="s">
        <v>395</v>
      </c>
      <c r="R151" s="642"/>
      <c r="S151" s="643"/>
      <c r="T151" s="167">
        <f>IM!Y27</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UPPER(IM!U27)</f>
        <v xml:space="preserve">2-. CAPITAL </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UPPER(IM!W27)</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IM!L27</f>
        <v>41153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41153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Ayudante General</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0.1144</v>
      </c>
      <c r="L174" s="882" t="str">
        <f>"AFP "&amp; UPPER(N103)</f>
        <v xml:space="preserve">AFP 2-. CAPITAL </v>
      </c>
      <c r="M174" s="882"/>
      <c r="N174" s="883">
        <f>ROUND(Q103,0)</f>
        <v>48780</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81186</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345210</v>
      </c>
      <c r="J195" s="907"/>
      <c r="K195" s="905" t="s">
        <v>7</v>
      </c>
      <c r="L195" s="905"/>
      <c r="M195" s="905"/>
      <c r="N195" s="904">
        <f>ROUND(N174+N175+N176+N177+N178+N179+N180+N183,0)</f>
        <v>81186</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493210</v>
      </c>
      <c r="O197" s="904"/>
      <c r="P197" s="136"/>
      <c r="Q197" s="136"/>
    </row>
    <row r="198" spans="3:17" ht="12.75" customHeight="1" x14ac:dyDescent="0.2">
      <c r="C198" s="37"/>
      <c r="D198" s="323"/>
      <c r="E198" s="324"/>
      <c r="F198" s="914" t="s">
        <v>509</v>
      </c>
      <c r="G198" s="914"/>
      <c r="H198" s="914"/>
      <c r="I198" s="906">
        <f>N199+N196</f>
        <v>493210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493210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TRES MIL DOSCIENTOS DIEZ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493210</v>
      </c>
      <c r="D228" s="648" t="str">
        <f>W231&amp;X231&amp;W232&amp;X232&amp;W233&amp;X233&amp;W234&amp;X234&amp;W235&amp;X235&amp;W236&amp;X236&amp;W237&amp;X237&amp;W238&amp;X238&amp;W239&amp;X239&amp;" "&amp;IF(W240="UN","Peso",D225)&amp;" "&amp;C231&amp;D226</f>
        <v>cuatrocientos noventa y tres mil doscientos diez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493210</v>
      </c>
      <c r="D229" s="48" t="str">
        <f>"SON: " &amp; UPPER(D228)</f>
        <v>SON: CUATROCIENTOS NOVENTA Y TRES MIL DOSCIENTOS DIEZ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3</v>
      </c>
      <c r="L236" s="56">
        <f>VALUE(K236)</f>
        <v>3</v>
      </c>
      <c r="M236" s="48">
        <f>IF(M235=0,0,IF(M235&gt;=1,MID(C228,2,1),C228/1000))</f>
        <v>0</v>
      </c>
      <c r="N236" s="56">
        <f>VALUE(M236)</f>
        <v>0</v>
      </c>
      <c r="O236" s="227">
        <f>IF(C228&lt;=9999.99,ROUNDDOWN(C228/1000,0),0)</f>
        <v>0</v>
      </c>
      <c r="P236" s="55" t="str">
        <f>TEXT(O236,"0")</f>
        <v>0</v>
      </c>
      <c r="Q236" s="48"/>
      <c r="R236" s="48"/>
      <c r="S236" s="48"/>
      <c r="T236" s="48"/>
      <c r="U236" s="48"/>
      <c r="V236" s="54">
        <f t="shared" si="20"/>
        <v>3</v>
      </c>
      <c r="W236" s="48" t="str">
        <f>IF(V236=0,"",IF(Y236&lt;10,VLOOKUP(V236,B243:C251,2,FALSE),IF(Y236=21,"",IF(Y236=11,"",IF(V236=1,"un",IF(Y236&lt;=30,"",VLOOKUP(V236,B243:C251,2,FALSE)))))))</f>
        <v>tres</v>
      </c>
      <c r="X236" s="48" t="str">
        <f>IF(AA236=0,"",IF(X235=" mil ","",IF(Z236=0," mil ",IF(V236&lt;&gt;0," mil ",IF(Y236&lt;30," mil ","")))))</f>
        <v xml:space="preserve"> mil </v>
      </c>
      <c r="Y236" s="48">
        <f>+V235*10+V236</f>
        <v>93</v>
      </c>
      <c r="Z236" s="54">
        <f>+V235+V236</f>
        <v>12</v>
      </c>
      <c r="AA236" s="48">
        <f>+V234*100+V235*10+V236*1</f>
        <v>493</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2</v>
      </c>
      <c r="L237" s="56">
        <f>VALUE(K237)</f>
        <v>2</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2</v>
      </c>
      <c r="W237" s="48" t="str">
        <f>IF(V237=0,"",IF(Z239=100,"cien",IF(V237=1,"ciento",VLOOKUP(V237,A281:C289,3,FALSE))))</f>
        <v>doscientos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1</v>
      </c>
      <c r="L238" s="56">
        <f>VALUE(K238)</f>
        <v>1</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1</v>
      </c>
      <c r="W238" s="48" t="str">
        <f>IF(V238=0,"",IF(V238&gt;=3,VLOOKUP(V238,A273:C279,3,FALSE),IF(V238&lt;=2,VLOOKUP(Y239,B243:C271,2,FALSE))))</f>
        <v>diez</v>
      </c>
      <c r="X238" s="48" t="str">
        <f>IF(V238=0,"",IF(V239=0,"",IF(Y239&gt;=30," y ","")))</f>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0</v>
      </c>
      <c r="W239" s="48" t="str">
        <f>IF(C228&lt;1,"CERO ",IF(V239=0,"",IF(Y239&lt;10,VLOOKUP(V239,B243:C251,2,FALSE),IF(Y239&lt;=30,"",VLOOKUP(V239,B243:C251,2,FALSE)))))</f>
        <v/>
      </c>
      <c r="X239" s="48"/>
      <c r="Y239" s="48">
        <f>+V238*10+V239</f>
        <v>10</v>
      </c>
      <c r="Z239" s="54">
        <f>+V237*100+V238*10+V239*1</f>
        <v>210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lRLx62dgMjcphB/vqrBcorPbRDFL59QfpQcne+kGTqRSbKobG2FZMURbI01mjGN0sQzhS5AyOAG18IEb5Of8pA==" saltValue="1uc9NJf+7WtEUSz0lN9Z4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disablePrompts="1"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493040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3-. CUPRUM</v>
      </c>
      <c r="O103" s="719"/>
      <c r="P103" s="128">
        <f>LOOKUP((N103),ListadoAFP,IM!B135:B144)</f>
        <v>0.1148</v>
      </c>
      <c r="Q103" s="704">
        <f>ROUND(IF(T$145="3-. BOLETA",0,IF(D$127&gt;IM!O69,IM!O69*P103,D$127*P103)),0)</f>
        <v>48950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81356</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345040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3-. CUPRUM</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81356</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345040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493040</v>
      </c>
      <c r="E133" s="831"/>
      <c r="F133" s="732"/>
      <c r="G133" s="733"/>
      <c r="H133" s="733"/>
      <c r="I133" s="734"/>
      <c r="J133" s="12"/>
      <c r="K133" s="712" t="str">
        <f>IF(T$145="3-. BOLETA","T. A PAGAR (MENOS 10% BOLETA)","TOTAL A PAGAR")</f>
        <v>TOTAL A PAGAR</v>
      </c>
      <c r="L133" s="747"/>
      <c r="M133" s="713"/>
      <c r="N133" s="713"/>
      <c r="O133" s="714"/>
      <c r="P133" s="859">
        <f>ROUND(D133,0)</f>
        <v>493040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IM!C28</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IM!F28</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IM!H28</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t="str">
        <f>IM!J28</f>
        <v>(09) 850 55 447</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UPPER(IM!Q28)</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IM!N28</f>
        <v>Junior Administrativo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IM!AE28</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IM!S28</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IM!AC28</f>
        <v>74000</v>
      </c>
      <c r="U149" s="644"/>
      <c r="V149" s="645"/>
      <c r="W149" s="645"/>
    </row>
    <row r="150" spans="4:23" x14ac:dyDescent="0.2">
      <c r="Q150" s="641" t="s">
        <v>394</v>
      </c>
      <c r="R150" s="642"/>
      <c r="S150" s="643"/>
      <c r="T150" s="167">
        <f>IM!AA28</f>
        <v>74000</v>
      </c>
      <c r="U150" s="644"/>
      <c r="V150" s="645"/>
      <c r="W150" s="645"/>
    </row>
    <row r="151" spans="4:23" ht="10.5" customHeight="1" x14ac:dyDescent="0.2">
      <c r="N151" s="12"/>
      <c r="O151" s="12"/>
      <c r="P151" s="12"/>
      <c r="Q151" s="641" t="s">
        <v>395</v>
      </c>
      <c r="R151" s="642"/>
      <c r="S151" s="643"/>
      <c r="T151" s="167">
        <f>IM!Y28</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UPPER(IM!U28)</f>
        <v>3-. CUPRUM</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UPPER(IM!W28)</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IM!L28</f>
        <v>41153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41153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Junior Administrativo</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0.1148</v>
      </c>
      <c r="L174" s="882" t="str">
        <f>"AFP "&amp; UPPER(N103)</f>
        <v>AFP 3-. CUPRUM</v>
      </c>
      <c r="M174" s="882"/>
      <c r="N174" s="883">
        <f>ROUND(Q103,0)</f>
        <v>48950</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81356</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345040</v>
      </c>
      <c r="J195" s="907"/>
      <c r="K195" s="905" t="s">
        <v>7</v>
      </c>
      <c r="L195" s="905"/>
      <c r="M195" s="905"/>
      <c r="N195" s="904">
        <f>ROUND(N174+N175+N176+N177+N178+N179+N180+N183,0)</f>
        <v>81356</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493040</v>
      </c>
      <c r="O197" s="904"/>
      <c r="P197" s="136"/>
      <c r="Q197" s="136"/>
    </row>
    <row r="198" spans="3:17" ht="12.75" customHeight="1" x14ac:dyDescent="0.2">
      <c r="C198" s="37"/>
      <c r="D198" s="323"/>
      <c r="E198" s="324"/>
      <c r="F198" s="914" t="s">
        <v>509</v>
      </c>
      <c r="G198" s="914"/>
      <c r="H198" s="914"/>
      <c r="I198" s="906">
        <f>N199+N196</f>
        <v>493040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493040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TRES MIL CUARENTA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493040</v>
      </c>
      <c r="D228" s="648" t="str">
        <f>W231&amp;X231&amp;W232&amp;X232&amp;W233&amp;X233&amp;W234&amp;X234&amp;W235&amp;X235&amp;W236&amp;X236&amp;W237&amp;X237&amp;W238&amp;X238&amp;W239&amp;X239&amp;" "&amp;IF(W240="UN","Peso",D225)&amp;" "&amp;C231&amp;D226</f>
        <v>cuatrocientos noventa y tres mil cuarenta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493040</v>
      </c>
      <c r="D229" s="48" t="str">
        <f>"SON: " &amp; UPPER(D228)</f>
        <v>SON: CUATROCIENTOS NOVENTA Y TRES MIL CUARENTA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3</v>
      </c>
      <c r="L236" s="56">
        <f>VALUE(K236)</f>
        <v>3</v>
      </c>
      <c r="M236" s="48">
        <f>IF(M235=0,0,IF(M235&gt;=1,MID(C228,2,1),C228/1000))</f>
        <v>0</v>
      </c>
      <c r="N236" s="56">
        <f>VALUE(M236)</f>
        <v>0</v>
      </c>
      <c r="O236" s="227">
        <f>IF(C228&lt;=9999.99,ROUNDDOWN(C228/1000,0),0)</f>
        <v>0</v>
      </c>
      <c r="P236" s="55" t="str">
        <f>TEXT(O236,"0")</f>
        <v>0</v>
      </c>
      <c r="Q236" s="48"/>
      <c r="R236" s="48"/>
      <c r="S236" s="48"/>
      <c r="T236" s="48"/>
      <c r="U236" s="48"/>
      <c r="V236" s="54">
        <f t="shared" si="20"/>
        <v>3</v>
      </c>
      <c r="W236" s="48" t="str">
        <f>IF(V236=0,"",IF(Y236&lt;10,VLOOKUP(V236,B243:C251,2,FALSE),IF(Y236=21,"",IF(Y236=11,"",IF(V236=1,"un",IF(Y236&lt;=30,"",VLOOKUP(V236,B243:C251,2,FALSE)))))))</f>
        <v>tres</v>
      </c>
      <c r="X236" s="48" t="str">
        <f>IF(AA236=0,"",IF(X235=" mil ","",IF(Z236=0," mil ",IF(V236&lt;&gt;0," mil ",IF(Y236&lt;30," mil ","")))))</f>
        <v xml:space="preserve"> mil </v>
      </c>
      <c r="Y236" s="48">
        <f>+V235*10+V236</f>
        <v>93</v>
      </c>
      <c r="Z236" s="54">
        <f>+V235+V236</f>
        <v>12</v>
      </c>
      <c r="AA236" s="48">
        <f>+V234*100+V235*10+V236*1</f>
        <v>493</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4</v>
      </c>
      <c r="L238" s="56">
        <f>VALUE(K238)</f>
        <v>4</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4</v>
      </c>
      <c r="W238" s="48" t="str">
        <f>IF(V238=0,"",IF(V238&gt;=3,VLOOKUP(V238,A273:C279,3,FALSE),IF(V238&lt;=2,VLOOKUP(Y239,B243:C271,2,FALSE))))</f>
        <v>cuarenta</v>
      </c>
      <c r="X238" s="48" t="str">
        <f>IF(V238=0,"",IF(V239=0,"",IF(Y239&gt;=30," y ","")))</f>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0</v>
      </c>
      <c r="W239" s="48" t="str">
        <f>IF(C228&lt;1,"CERO ",IF(V239=0,"",IF(Y239&lt;10,VLOOKUP(V239,B243:C251,2,FALSE),IF(Y239&lt;=30,"",VLOOKUP(V239,B243:C251,2,FALSE)))))</f>
        <v/>
      </c>
      <c r="X239" s="48"/>
      <c r="Y239" s="48">
        <f>+V238*10+V239</f>
        <v>40</v>
      </c>
      <c r="Z239" s="54">
        <f>+V237*100+V238*10+V239*1</f>
        <v>40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OmC9TUoG4K0pwuw2VhBy7+nQz/H+rLedNBs9gr6SkvfTbdk7BpguuHpOkxvfDMp7EXKp3wY6HuXoU25hDIFESQ==" saltValue="F+XooGOF1G8VFpJomdDSr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489287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 xml:space="preserve">5-. PLANVITAL </v>
      </c>
      <c r="O103" s="719"/>
      <c r="P103" s="128">
        <f>LOOKUP((N103),ListadoAFP,IM!B135:B144)</f>
        <v>0.1236</v>
      </c>
      <c r="Q103" s="704">
        <f>ROUND(IF(T$145="3-. BOLETA",0,IF(D$127&gt;IM!O69,IM!O69*P103,D$127*P103)),0)</f>
        <v>52703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85109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341287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 xml:space="preserve">5-. PLANVITAL </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85109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341287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489287</v>
      </c>
      <c r="E133" s="831"/>
      <c r="F133" s="732"/>
      <c r="G133" s="733"/>
      <c r="H133" s="733"/>
      <c r="I133" s="734"/>
      <c r="J133" s="12"/>
      <c r="K133" s="712" t="str">
        <f>IF(T$145="3-. BOLETA","T. A PAGAR (MENOS 10% BOLETA)","TOTAL A PAGAR")</f>
        <v>TOTAL A PAGAR</v>
      </c>
      <c r="L133" s="747"/>
      <c r="M133" s="713"/>
      <c r="N133" s="713"/>
      <c r="O133" s="714"/>
      <c r="P133" s="859">
        <f>ROUND(D133,0)</f>
        <v>489287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IM!C29</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IM!F29</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IM!H29</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t="str">
        <f>IM!J29</f>
        <v>(09) 850 55 448</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UPPER(IM!Q29)</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IM!N29</f>
        <v>Soldador</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IM!AE29</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IM!S29</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IM!AC29</f>
        <v>74000</v>
      </c>
      <c r="U149" s="644"/>
      <c r="V149" s="645"/>
      <c r="W149" s="645"/>
    </row>
    <row r="150" spans="4:23" x14ac:dyDescent="0.2">
      <c r="Q150" s="641" t="s">
        <v>394</v>
      </c>
      <c r="R150" s="642"/>
      <c r="S150" s="643"/>
      <c r="T150" s="167">
        <f>IM!AA29</f>
        <v>74000</v>
      </c>
      <c r="U150" s="644"/>
      <c r="V150" s="645"/>
      <c r="W150" s="645"/>
    </row>
    <row r="151" spans="4:23" ht="10.5" customHeight="1" x14ac:dyDescent="0.2">
      <c r="N151" s="12"/>
      <c r="O151" s="12"/>
      <c r="P151" s="12"/>
      <c r="Q151" s="641" t="s">
        <v>395</v>
      </c>
      <c r="R151" s="642"/>
      <c r="S151" s="643"/>
      <c r="T151" s="167">
        <f>IM!Y29</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UPPER(IM!U29)</f>
        <v xml:space="preserve">5-. PLANVITAL </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UPPER(IM!W29)</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IM!L29</f>
        <v>41153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41153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Soldador</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0.1236</v>
      </c>
      <c r="L174" s="882" t="str">
        <f>"AFP "&amp; UPPER(N103)</f>
        <v xml:space="preserve">AFP 5-. PLANVITAL </v>
      </c>
      <c r="M174" s="882"/>
      <c r="N174" s="883">
        <f>ROUND(Q103,0)</f>
        <v>52703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85109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341287</v>
      </c>
      <c r="J195" s="907"/>
      <c r="K195" s="905" t="s">
        <v>7</v>
      </c>
      <c r="L195" s="905"/>
      <c r="M195" s="905"/>
      <c r="N195" s="904">
        <f>ROUND(N174+N175+N176+N177+N178+N179+N180+N183,0)</f>
        <v>85109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489287</v>
      </c>
      <c r="O197" s="904"/>
      <c r="P197" s="136"/>
      <c r="Q197" s="136"/>
    </row>
    <row r="198" spans="3:17" ht="12.75" customHeight="1" x14ac:dyDescent="0.2">
      <c r="C198" s="37"/>
      <c r="D198" s="323"/>
      <c r="E198" s="324"/>
      <c r="F198" s="914" t="s">
        <v>509</v>
      </c>
      <c r="G198" s="914"/>
      <c r="H198" s="914"/>
      <c r="I198" s="906">
        <f>N199+N196</f>
        <v>489287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489287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OCHENTA Y NUEVE MIL DOSCIENTOS OCHENTA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489287</v>
      </c>
      <c r="D228" s="648" t="str">
        <f>W231&amp;X231&amp;W232&amp;X232&amp;W233&amp;X233&amp;W234&amp;X234&amp;W235&amp;X235&amp;W236&amp;X236&amp;W237&amp;X237&amp;W238&amp;X238&amp;W239&amp;X239&amp;" "&amp;IF(W240="UN","Peso",D225)&amp;" "&amp;C231&amp;D226</f>
        <v>cuatrocientos ochenta y nueve mil doscientos ochenta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489287</v>
      </c>
      <c r="D229" s="48" t="str">
        <f>"SON: " &amp; UPPER(D228)</f>
        <v>SON: CUATROCIENTOS OCHENTA Y NUEVE MIL DOSCIENTOS OCHENTA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8</v>
      </c>
      <c r="L235" s="56">
        <f>VALUE(K235)</f>
        <v>8</v>
      </c>
      <c r="M235" s="227">
        <f>IF(C228&lt;=99999.99,ROUNDDOWN(C228/10000,0),0)</f>
        <v>0</v>
      </c>
      <c r="N235" s="55" t="str">
        <f>TEXT(M235,"0")</f>
        <v>0</v>
      </c>
      <c r="O235" s="48"/>
      <c r="P235" s="48"/>
      <c r="Q235" s="48"/>
      <c r="R235" s="48"/>
      <c r="S235" s="48"/>
      <c r="T235" s="48"/>
      <c r="U235" s="48"/>
      <c r="V235" s="54">
        <f t="shared" si="20"/>
        <v>8</v>
      </c>
      <c r="W235" s="48" t="str">
        <f>IF(V235=0,"",IF(V235&gt;=3,VLOOKUP(V235,A273:C279,3,FALSE),IF(V235&lt;=2,VLOOKUP(Y236,B243:C271,2,FALSE))))</f>
        <v>ochenta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9</v>
      </c>
      <c r="L236" s="56">
        <f>VALUE(K236)</f>
        <v>9</v>
      </c>
      <c r="M236" s="48">
        <f>IF(M235=0,0,IF(M235&gt;=1,MID(C228,2,1),C228/1000))</f>
        <v>0</v>
      </c>
      <c r="N236" s="56">
        <f>VALUE(M236)</f>
        <v>0</v>
      </c>
      <c r="O236" s="227">
        <f>IF(C228&lt;=9999.99,ROUNDDOWN(C228/1000,0),0)</f>
        <v>0</v>
      </c>
      <c r="P236" s="55" t="str">
        <f>TEXT(O236,"0")</f>
        <v>0</v>
      </c>
      <c r="Q236" s="48"/>
      <c r="R236" s="48"/>
      <c r="S236" s="48"/>
      <c r="T236" s="48"/>
      <c r="U236" s="48"/>
      <c r="V236" s="54">
        <f t="shared" si="20"/>
        <v>9</v>
      </c>
      <c r="W236" s="48" t="str">
        <f>IF(V236=0,"",IF(Y236&lt;10,VLOOKUP(V236,B243:C251,2,FALSE),IF(Y236=21,"",IF(Y236=11,"",IF(V236=1,"un",IF(Y236&lt;=30,"",VLOOKUP(V236,B243:C251,2,FALSE)))))))</f>
        <v>nueve</v>
      </c>
      <c r="X236" s="48" t="str">
        <f>IF(AA236=0,"",IF(X235=" mil ","",IF(Z236=0," mil ",IF(V236&lt;&gt;0," mil ",IF(Y236&lt;30," mil ","")))))</f>
        <v xml:space="preserve"> mil </v>
      </c>
      <c r="Y236" s="48">
        <f>+V235*10+V236</f>
        <v>89</v>
      </c>
      <c r="Z236" s="54">
        <f>+V235+V236</f>
        <v>17</v>
      </c>
      <c r="AA236" s="48">
        <f>+V234*100+V235*10+V236*1</f>
        <v>489</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2</v>
      </c>
      <c r="L237" s="56">
        <f>VALUE(K237)</f>
        <v>2</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2</v>
      </c>
      <c r="W237" s="48" t="str">
        <f>IF(V237=0,"",IF(Z239=100,"cien",IF(V237=1,"ciento",VLOOKUP(V237,A281:C289,3,FALSE))))</f>
        <v>doscientos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87</v>
      </c>
      <c r="Z239" s="54">
        <f>+V237*100+V238*10+V239*1</f>
        <v>287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3kF962BzapjiBSugZffCih0/AlPgPH1JbrLnJUYn7RT8439lY0a9BcpdUKO+7Es+mUxXPQs7rlHAwCMjTNIicw==" saltValue="ew6ZZ6hzTf7gD3OtpTLKJ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489287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 xml:space="preserve">5-. PLANVITAL </v>
      </c>
      <c r="O103" s="719"/>
      <c r="P103" s="128">
        <f>LOOKUP((N103),ListadoAFP,IM!B135:B144)</f>
        <v>0.1236</v>
      </c>
      <c r="Q103" s="704">
        <f>ROUND(IF(T$145="3-. BOLETA",0,IF(D$127&gt;IM!O69,IM!O69*P103,D$127*P103)),0)</f>
        <v>52703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85109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341287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 xml:space="preserve">5-. PLANVITAL </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85109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341287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489287</v>
      </c>
      <c r="E133" s="831"/>
      <c r="F133" s="732"/>
      <c r="G133" s="733"/>
      <c r="H133" s="733"/>
      <c r="I133" s="734"/>
      <c r="J133" s="12"/>
      <c r="K133" s="712" t="str">
        <f>IF(T$145="3-. BOLETA","T. A PAGAR (MENOS 10% BOLETA)","TOTAL A PAGAR")</f>
        <v>TOTAL A PAGAR</v>
      </c>
      <c r="L133" s="747"/>
      <c r="M133" s="713"/>
      <c r="N133" s="713"/>
      <c r="O133" s="714"/>
      <c r="P133" s="859">
        <f>ROUND(D133,0)</f>
        <v>489287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IM!C30</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IM!F30</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IM!H30</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t="str">
        <f>IM!J30</f>
        <v>(09) 850 55 449</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UPPER(IM!Q30)</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IM!N30</f>
        <v>Técnico en Neumáticos</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IM!AE30</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IM!S30</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IM!AC30</f>
        <v>74000</v>
      </c>
      <c r="U149" s="644"/>
      <c r="V149" s="645"/>
      <c r="W149" s="645"/>
    </row>
    <row r="150" spans="4:23" x14ac:dyDescent="0.2">
      <c r="Q150" s="641" t="s">
        <v>394</v>
      </c>
      <c r="R150" s="642"/>
      <c r="S150" s="643"/>
      <c r="T150" s="167">
        <f>IM!AA30</f>
        <v>74000</v>
      </c>
      <c r="U150" s="644"/>
      <c r="V150" s="645"/>
      <c r="W150" s="645"/>
    </row>
    <row r="151" spans="4:23" ht="10.5" customHeight="1" x14ac:dyDescent="0.2">
      <c r="N151" s="12"/>
      <c r="O151" s="12"/>
      <c r="P151" s="12"/>
      <c r="Q151" s="641" t="s">
        <v>395</v>
      </c>
      <c r="R151" s="642"/>
      <c r="S151" s="643"/>
      <c r="T151" s="167">
        <f>IM!Y30</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UPPER(IM!U30)</f>
        <v xml:space="preserve">5-. PLANVITAL </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UPPER(IM!W30)</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IM!L30</f>
        <v>41153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41153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Técnico en Neumáticos</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0.1236</v>
      </c>
      <c r="L174" s="882" t="str">
        <f>"AFP "&amp; UPPER(N103)</f>
        <v xml:space="preserve">AFP 5-. PLANVITAL </v>
      </c>
      <c r="M174" s="882"/>
      <c r="N174" s="883">
        <f>ROUND(Q103,0)</f>
        <v>52703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85109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341287</v>
      </c>
      <c r="J195" s="907"/>
      <c r="K195" s="905" t="s">
        <v>7</v>
      </c>
      <c r="L195" s="905"/>
      <c r="M195" s="905"/>
      <c r="N195" s="904">
        <f>ROUND(N174+N175+N176+N177+N178+N179+N180+N183,0)</f>
        <v>85109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489287</v>
      </c>
      <c r="O197" s="904"/>
      <c r="P197" s="136"/>
      <c r="Q197" s="136"/>
    </row>
    <row r="198" spans="3:17" ht="12.75" customHeight="1" x14ac:dyDescent="0.2">
      <c r="C198" s="37"/>
      <c r="D198" s="323"/>
      <c r="E198" s="324"/>
      <c r="F198" s="914" t="s">
        <v>509</v>
      </c>
      <c r="G198" s="914"/>
      <c r="H198" s="914"/>
      <c r="I198" s="906">
        <f>N199+N196</f>
        <v>489287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489287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OCHENTA Y NUEVE MIL DOSCIENTOS OCHENTA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489287</v>
      </c>
      <c r="D228" s="648" t="str">
        <f>W231&amp;X231&amp;W232&amp;X232&amp;W233&amp;X233&amp;W234&amp;X234&amp;W235&amp;X235&amp;W236&amp;X236&amp;W237&amp;X237&amp;W238&amp;X238&amp;W239&amp;X239&amp;" "&amp;IF(W240="UN","Peso",D225)&amp;" "&amp;C231&amp;D226</f>
        <v>cuatrocientos ochenta y nueve mil doscientos ochenta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489287</v>
      </c>
      <c r="D229" s="48" t="str">
        <f>"SON: " &amp; UPPER(D228)</f>
        <v>SON: CUATROCIENTOS OCHENTA Y NUEVE MIL DOSCIENTOS OCHENTA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8</v>
      </c>
      <c r="L235" s="56">
        <f>VALUE(K235)</f>
        <v>8</v>
      </c>
      <c r="M235" s="227">
        <f>IF(C228&lt;=99999.99,ROUNDDOWN(C228/10000,0),0)</f>
        <v>0</v>
      </c>
      <c r="N235" s="55" t="str">
        <f>TEXT(M235,"0")</f>
        <v>0</v>
      </c>
      <c r="O235" s="48"/>
      <c r="P235" s="48"/>
      <c r="Q235" s="48"/>
      <c r="R235" s="48"/>
      <c r="S235" s="48"/>
      <c r="T235" s="48"/>
      <c r="U235" s="48"/>
      <c r="V235" s="54">
        <f t="shared" si="20"/>
        <v>8</v>
      </c>
      <c r="W235" s="48" t="str">
        <f>IF(V235=0,"",IF(V235&gt;=3,VLOOKUP(V235,A273:C279,3,FALSE),IF(V235&lt;=2,VLOOKUP(Y236,B243:C271,2,FALSE))))</f>
        <v>ochenta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9</v>
      </c>
      <c r="L236" s="56">
        <f>VALUE(K236)</f>
        <v>9</v>
      </c>
      <c r="M236" s="48">
        <f>IF(M235=0,0,IF(M235&gt;=1,MID(C228,2,1),C228/1000))</f>
        <v>0</v>
      </c>
      <c r="N236" s="56">
        <f>VALUE(M236)</f>
        <v>0</v>
      </c>
      <c r="O236" s="227">
        <f>IF(C228&lt;=9999.99,ROUNDDOWN(C228/1000,0),0)</f>
        <v>0</v>
      </c>
      <c r="P236" s="55" t="str">
        <f>TEXT(O236,"0")</f>
        <v>0</v>
      </c>
      <c r="Q236" s="48"/>
      <c r="R236" s="48"/>
      <c r="S236" s="48"/>
      <c r="T236" s="48"/>
      <c r="U236" s="48"/>
      <c r="V236" s="54">
        <f t="shared" si="20"/>
        <v>9</v>
      </c>
      <c r="W236" s="48" t="str">
        <f>IF(V236=0,"",IF(Y236&lt;10,VLOOKUP(V236,B243:C251,2,FALSE),IF(Y236=21,"",IF(Y236=11,"",IF(V236=1,"un",IF(Y236&lt;=30,"",VLOOKUP(V236,B243:C251,2,FALSE)))))))</f>
        <v>nueve</v>
      </c>
      <c r="X236" s="48" t="str">
        <f>IF(AA236=0,"",IF(X235=" mil ","",IF(Z236=0," mil ",IF(V236&lt;&gt;0," mil ",IF(Y236&lt;30," mil ","")))))</f>
        <v xml:space="preserve"> mil </v>
      </c>
      <c r="Y236" s="48">
        <f>+V235*10+V236</f>
        <v>89</v>
      </c>
      <c r="Z236" s="54">
        <f>+V235+V236</f>
        <v>17</v>
      </c>
      <c r="AA236" s="48">
        <f>+V234*100+V235*10+V236*1</f>
        <v>489</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2</v>
      </c>
      <c r="L237" s="56">
        <f>VALUE(K237)</f>
        <v>2</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2</v>
      </c>
      <c r="W237" s="48" t="str">
        <f>IF(V237=0,"",IF(Z239=100,"cien",IF(V237=1,"ciento",VLOOKUP(V237,A281:C289,3,FALSE))))</f>
        <v>doscientos</v>
      </c>
      <c r="X237" s="48" t="str">
        <f>IF(W237&lt;&gt;""," ","")</f>
        <v xml:space="preserve">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8</v>
      </c>
      <c r="L238" s="56">
        <f>VALUE(K238)</f>
        <v>8</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8</v>
      </c>
      <c r="W238" s="48" t="str">
        <f>IF(V238=0,"",IF(V238&gt;=3,VLOOKUP(V238,A273:C279,3,FALSE),IF(V238&lt;=2,VLOOKUP(Y239,B243:C271,2,FALSE))))</f>
        <v>ochenta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87</v>
      </c>
      <c r="Z239" s="54">
        <f>+V237*100+V238*10+V239*1</f>
        <v>287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tDYAs99USdn+WYBw+R578LFEzAbn0N0ww0k3uUdW9fAcYo2rTWJdIZaLhmKT1oxl1wO7Xk4iIMt6gD2Xcvg65w==" saltValue="/RKfmK99tJT5I3OS+yu8K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496067</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574396</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76395.833333333328</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617</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TOTAL</v>
      </c>
      <c r="L100" s="804"/>
      <c r="M100" s="805"/>
      <c r="N100" s="823">
        <f>ROUND(SUM(P94:R99),0)</f>
        <v>76396</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7-. MODELO</v>
      </c>
      <c r="O103" s="719"/>
      <c r="P103" s="128">
        <f>LOOKUP((N103),ListadoAFP,IM!B135:B144)</f>
        <v>0.1077</v>
      </c>
      <c r="Q103" s="704">
        <f>ROUND(IF(T$145="3-. BOLETA",0,IF(D$127&gt;IM!O69,IM!O69*P103,D$127*P103)),0)</f>
        <v>45923</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12-. FONASA</v>
      </c>
      <c r="O104" s="719"/>
      <c r="P104" s="63">
        <f>LOOKUP((N104),ListadoIsapres,IM!D135:D154)</f>
        <v>7.0000000000000007E-2</v>
      </c>
      <c r="Q104" s="704">
        <f>ROUND(IF(T$145="3-. BOLETA",0,IF(D$127&gt;IM!O69,IM!O69*P104,D$127*P104)),0)</f>
        <v>29848</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2-. INDEFINIDO</v>
      </c>
      <c r="O105" s="719"/>
      <c r="P105" s="63">
        <f>LOOKUP((N105),TipoContrato,IM!F135:F139)</f>
        <v>6.0000000000000001E-3</v>
      </c>
      <c r="Q105" s="704">
        <f>ROUND(IF(T$145="3-. BOLETA",0,IF(D$127&gt;IM!O71,IM!O71*P105,D$127*P105)),0)</f>
        <v>2558</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t="s">
        <v>602</v>
      </c>
      <c r="L110" s="757"/>
      <c r="M110" s="757"/>
      <c r="N110" s="722" t="s">
        <v>601</v>
      </c>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78329</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348067</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74000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74000</v>
      </c>
      <c r="E115" s="705"/>
      <c r="F115" s="720" t="s">
        <v>232</v>
      </c>
      <c r="G115" s="720"/>
      <c r="H115" s="720"/>
      <c r="I115" s="720"/>
      <c r="J115" s="12"/>
      <c r="K115" s="724" t="s">
        <v>357</v>
      </c>
      <c r="L115" s="726"/>
      <c r="M115" s="343">
        <f>ROUND(IF(T$145="3-. BOLETA",0,IM!R47*Q113),0)</f>
        <v>1612683</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148000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7-. MODELO</v>
      </c>
      <c r="O123" s="703"/>
      <c r="P123" s="140">
        <f>IF($T$145&lt;&gt;IM!$E$138,LOOKUP($N$123,IM!$A$48:$B$57,IM!$D$48:$D$57),0)</f>
        <v>1.26E-2</v>
      </c>
      <c r="Q123" s="704">
        <f>IF($D$127&lt;IM!$O$69,$D$127*$P$123,IM!$O$69*$P$123)</f>
        <v>5372.5896000000002</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76396</v>
      </c>
      <c r="E126" s="668"/>
      <c r="F126" s="732"/>
      <c r="G126" s="733"/>
      <c r="H126" s="733"/>
      <c r="I126" s="734"/>
      <c r="J126" s="12"/>
      <c r="K126" s="727" t="s">
        <v>322</v>
      </c>
      <c r="L126" s="728"/>
      <c r="M126" s="729"/>
      <c r="N126" s="765" t="str">
        <f>UPPER(T$145)</f>
        <v>2-. INDEFINIDO</v>
      </c>
      <c r="O126" s="767"/>
      <c r="P126" s="140">
        <f ca="1">LOOKUP(($N$126),TipoContrato,IM!$F$140:$F$143)</f>
        <v>2.4E-2</v>
      </c>
      <c r="Q126" s="704">
        <f ca="1">IF($D$127&gt;IM!$O$71,IM!$O$71*$P$126,$D$127*$P$126)</f>
        <v>10233.504000000001</v>
      </c>
      <c r="R126" s="705"/>
      <c r="S126" s="61"/>
      <c r="T126" s="774" t="s">
        <v>215</v>
      </c>
      <c r="U126" s="775"/>
      <c r="V126" s="166">
        <v>10</v>
      </c>
      <c r="W126" s="64" t="str">
        <f t="shared" si="18"/>
        <v>Logrado</v>
      </c>
    </row>
    <row r="127" spans="1:23" ht="10.5" customHeight="1" x14ac:dyDescent="0.2">
      <c r="A127" s="849" t="s">
        <v>18</v>
      </c>
      <c r="B127" s="894"/>
      <c r="C127" s="850"/>
      <c r="D127" s="831">
        <f>ROUND((D123+D124+D126)-D125,0)</f>
        <v>426396</v>
      </c>
      <c r="E127" s="831"/>
      <c r="F127" s="732"/>
      <c r="G127" s="733"/>
      <c r="H127" s="733"/>
      <c r="I127" s="734"/>
      <c r="J127" s="12"/>
      <c r="K127" s="669" t="s">
        <v>323</v>
      </c>
      <c r="L127" s="669"/>
      <c r="M127" s="669"/>
      <c r="N127" s="699" t="s">
        <v>324</v>
      </c>
      <c r="O127" s="700"/>
      <c r="P127" s="228">
        <v>9.4999999999999998E-3</v>
      </c>
      <c r="Q127" s="704">
        <f>ROUND(IF(T$145="3-. BOLETA",0,IF(D$127&gt;IM!$O$69,IM!$O$69*$P$127,D$127*$P$127)),0)</f>
        <v>4051</v>
      </c>
      <c r="R127" s="705"/>
      <c r="S127" s="60"/>
      <c r="T127" s="774" t="s">
        <v>327</v>
      </c>
      <c r="U127" s="775"/>
      <c r="V127" s="166">
        <v>10</v>
      </c>
      <c r="W127" s="64" t="str">
        <f t="shared" si="18"/>
        <v>Logrado</v>
      </c>
    </row>
    <row r="128" spans="1:23" ht="10.5" customHeight="1" x14ac:dyDescent="0.2">
      <c r="A128" s="216" t="s">
        <v>61</v>
      </c>
      <c r="B128" s="849" t="s">
        <v>58</v>
      </c>
      <c r="C128" s="850"/>
      <c r="D128" s="668">
        <f>ROUND((D120),0)</f>
        <v>148000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574396</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78329</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34240.426933333336</v>
      </c>
      <c r="R131" s="861"/>
    </row>
    <row r="132" spans="1:23" ht="10.5" customHeight="1" x14ac:dyDescent="0.2">
      <c r="A132" s="749" t="s">
        <v>326</v>
      </c>
      <c r="B132" s="750"/>
      <c r="C132" s="751"/>
      <c r="D132" s="864">
        <f>(ROUND(N113,0))</f>
        <v>348067</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496067</v>
      </c>
      <c r="E133" s="831"/>
      <c r="F133" s="732"/>
      <c r="G133" s="733"/>
      <c r="H133" s="733"/>
      <c r="I133" s="734"/>
      <c r="J133" s="12"/>
      <c r="K133" s="712" t="str">
        <f>IF(T$145="3-. BOLETA","T. A PAGAR (MENOS 10% BOLETA)","TOTAL A PAGAR")</f>
        <v>TOTAL A PAGAR</v>
      </c>
      <c r="L133" s="747"/>
      <c r="M133" s="713"/>
      <c r="N133" s="713"/>
      <c r="O133" s="714"/>
      <c r="P133" s="859">
        <f>ROUND(D133,0)</f>
        <v>496067</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IM!C31</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IM!F31</f>
        <v>15.021.000-1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IM!H31</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t="str">
        <f>IM!J31</f>
        <v>(09) 850 55 450</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UPPER(IM!Q31)</f>
        <v>2-. INDEFINIDO</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IM!N31</f>
        <v>Mecánico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IM!AE31</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IM!S31</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IM!AC31</f>
        <v>74000</v>
      </c>
      <c r="U149" s="644"/>
      <c r="V149" s="645"/>
      <c r="W149" s="645"/>
    </row>
    <row r="150" spans="4:23" x14ac:dyDescent="0.2">
      <c r="Q150" s="641" t="s">
        <v>394</v>
      </c>
      <c r="R150" s="642"/>
      <c r="S150" s="643"/>
      <c r="T150" s="167">
        <f>IM!AA31</f>
        <v>74000</v>
      </c>
      <c r="U150" s="644"/>
      <c r="V150" s="645"/>
      <c r="W150" s="645"/>
    </row>
    <row r="151" spans="4:23" ht="10.5" customHeight="1" x14ac:dyDescent="0.2">
      <c r="N151" s="12"/>
      <c r="O151" s="12"/>
      <c r="P151" s="12"/>
      <c r="Q151" s="641" t="s">
        <v>395</v>
      </c>
      <c r="R151" s="642"/>
      <c r="S151" s="643"/>
      <c r="T151" s="167">
        <f>IM!Y31</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UPPER(IM!U31)</f>
        <v>7-. MODELO</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UPPER(IM!W31)</f>
        <v>12-. FONASA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IM!L31</f>
        <v>41153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LIQUIDACIÓN DE SUELDOS</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15.021.000-1</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41153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2-. INDEFINIDO</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Mecánico</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f>P103</f>
        <v>0.1077</v>
      </c>
      <c r="L174" s="882" t="str">
        <f>"AFP "&amp; UPPER(N103)</f>
        <v>AFP 7-. MODELO</v>
      </c>
      <c r="M174" s="882"/>
      <c r="N174" s="883">
        <f>ROUND(Q103,0)</f>
        <v>45923</v>
      </c>
      <c r="O174" s="884"/>
      <c r="P174" s="136"/>
      <c r="Q174" s="136"/>
    </row>
    <row r="175" spans="4:17" ht="12.75" customHeight="1" x14ac:dyDescent="0.15">
      <c r="D175" s="325"/>
      <c r="E175" s="885" t="s">
        <v>5</v>
      </c>
      <c r="F175" s="885"/>
      <c r="G175" s="885"/>
      <c r="H175" s="885"/>
      <c r="I175" s="886">
        <f>ROUND(P94,0)</f>
        <v>76396</v>
      </c>
      <c r="J175" s="887"/>
      <c r="K175" s="314">
        <f>P104</f>
        <v>7.0000000000000007E-2</v>
      </c>
      <c r="L175" s="885" t="str">
        <f>UPPER("IPS " &amp; N104)</f>
        <v>IPS 12-. FONASA</v>
      </c>
      <c r="M175" s="885"/>
      <c r="N175" s="886">
        <f>ROUND(Q104,0)</f>
        <v>29848</v>
      </c>
      <c r="O175" s="887"/>
      <c r="P175" s="136"/>
      <c r="Q175" s="136"/>
    </row>
    <row r="176" spans="4:17" ht="12.75" customHeight="1" x14ac:dyDescent="0.15">
      <c r="D176" s="315">
        <f>N95</f>
        <v>0</v>
      </c>
      <c r="E176" s="885" t="s">
        <v>25</v>
      </c>
      <c r="F176" s="885"/>
      <c r="G176" s="885"/>
      <c r="H176" s="885"/>
      <c r="I176" s="886">
        <f>ROUND(P95,0)</f>
        <v>0</v>
      </c>
      <c r="J176" s="887"/>
      <c r="K176" s="316">
        <f>P106</f>
        <v>0</v>
      </c>
      <c r="L176" s="885" t="s">
        <v>228</v>
      </c>
      <c r="M176" s="885"/>
      <c r="N176" s="886">
        <f>ROUND(Q106,0)</f>
        <v>0</v>
      </c>
      <c r="O176" s="887"/>
      <c r="P176" s="136"/>
      <c r="Q176" s="136"/>
    </row>
    <row r="177" spans="3:17" ht="12.75" customHeight="1" x14ac:dyDescent="0.15">
      <c r="D177" s="325"/>
      <c r="E177" s="885" t="s">
        <v>349</v>
      </c>
      <c r="F177" s="885"/>
      <c r="G177" s="885"/>
      <c r="H177" s="885"/>
      <c r="I177" s="886">
        <f>ROUND(P96,0)</f>
        <v>0</v>
      </c>
      <c r="J177" s="887"/>
      <c r="K177" s="314">
        <f>P105</f>
        <v>6.0000000000000001E-3</v>
      </c>
      <c r="L177" s="885" t="s">
        <v>322</v>
      </c>
      <c r="M177" s="885"/>
      <c r="N177" s="886">
        <f>ROUND(Q105,0)</f>
        <v>2558</v>
      </c>
      <c r="O177" s="887"/>
      <c r="P177" s="136"/>
      <c r="Q177" s="136"/>
    </row>
    <row r="178" spans="3:17" ht="12.75" customHeight="1" x14ac:dyDescent="0.15">
      <c r="D178" s="325"/>
      <c r="E178" s="885" t="str">
        <f>K97</f>
        <v>COMISIONES E INCENTIVOS</v>
      </c>
      <c r="F178" s="885"/>
      <c r="G178" s="885"/>
      <c r="H178" s="885"/>
      <c r="I178" s="886">
        <f>ROUND(P97,0)</f>
        <v>0</v>
      </c>
      <c r="J178" s="887"/>
      <c r="K178" s="315">
        <f>D95</f>
        <v>0</v>
      </c>
      <c r="L178" s="885" t="s">
        <v>346</v>
      </c>
      <c r="M178" s="885"/>
      <c r="N178" s="886">
        <f>ROUND(F95,0)</f>
        <v>0</v>
      </c>
      <c r="O178" s="887"/>
      <c r="P178" s="136"/>
      <c r="Q178" s="136"/>
    </row>
    <row r="179" spans="3:17" ht="12.75" customHeight="1" x14ac:dyDescent="0.15">
      <c r="D179" s="325"/>
      <c r="E179" s="885" t="str">
        <f>K99</f>
        <v>AGUISNALDOS</v>
      </c>
      <c r="F179" s="885"/>
      <c r="G179" s="885"/>
      <c r="H179" s="885"/>
      <c r="I179" s="886">
        <f>ROUND(P99,0)</f>
        <v>0</v>
      </c>
      <c r="J179" s="887"/>
      <c r="K179" s="314"/>
      <c r="L179" s="885" t="s">
        <v>341</v>
      </c>
      <c r="M179" s="885"/>
      <c r="N179" s="886">
        <f>ROUND(Q115,0)</f>
        <v>0</v>
      </c>
      <c r="O179" s="887"/>
      <c r="P179" s="136"/>
      <c r="Q179" s="136"/>
    </row>
    <row r="180" spans="3:17" ht="12.75" customHeight="1" x14ac:dyDescent="0.15">
      <c r="D180" s="325"/>
      <c r="E180" s="885" t="s">
        <v>233</v>
      </c>
      <c r="F180" s="885"/>
      <c r="G180" s="885"/>
      <c r="H180" s="885"/>
      <c r="I180" s="886">
        <f>ROUND(P98,0)</f>
        <v>0</v>
      </c>
      <c r="J180" s="887"/>
      <c r="K180" s="325"/>
      <c r="L180" s="885" t="s">
        <v>340</v>
      </c>
      <c r="M180" s="885"/>
      <c r="N180" s="886">
        <f>ROUND(SUM(Q107:R109),0)</f>
        <v>0</v>
      </c>
      <c r="O180" s="887"/>
      <c r="P180" s="136"/>
      <c r="Q180" s="136"/>
    </row>
    <row r="181" spans="3:17" ht="12.75" customHeight="1" x14ac:dyDescent="0.15">
      <c r="D181" s="325"/>
      <c r="E181" s="885" t="s">
        <v>272</v>
      </c>
      <c r="F181" s="885"/>
      <c r="G181" s="885"/>
      <c r="H181" s="885"/>
      <c r="I181" s="886">
        <f t="shared" ref="I181:I185" si="19">ROUND(D114,0)</f>
        <v>74000</v>
      </c>
      <c r="J181" s="887"/>
      <c r="K181" s="325"/>
      <c r="L181" s="885" t="str">
        <f>K110</f>
        <v>CCAF (CAJA COMPENSACIONES)</v>
      </c>
      <c r="M181" s="885"/>
      <c r="N181" s="897">
        <f>ROUND(Q110,0)</f>
        <v>0</v>
      </c>
      <c r="O181" s="887"/>
      <c r="P181" s="136"/>
      <c r="Q181" s="136"/>
    </row>
    <row r="182" spans="3:17" ht="12.75" customHeight="1" x14ac:dyDescent="0.15">
      <c r="D182" s="325"/>
      <c r="E182" s="885" t="s">
        <v>271</v>
      </c>
      <c r="F182" s="885"/>
      <c r="G182" s="885"/>
      <c r="H182" s="885"/>
      <c r="I182" s="886">
        <f t="shared" si="19"/>
        <v>74000</v>
      </c>
      <c r="J182" s="887"/>
      <c r="K182" s="325"/>
      <c r="L182" s="885" t="str">
        <f>K117</f>
        <v>RETENCIÓN JUDICIAL</v>
      </c>
      <c r="M182" s="885"/>
      <c r="N182" s="897">
        <f>ROUND(P117,0)</f>
        <v>0</v>
      </c>
      <c r="O182" s="887"/>
      <c r="P182" s="136"/>
      <c r="Q182" s="136"/>
    </row>
    <row r="183" spans="3:17" ht="12.75" customHeight="1" x14ac:dyDescent="0.15">
      <c r="C183" s="37"/>
      <c r="D183" s="325"/>
      <c r="E183" s="885" t="str">
        <f>A116</f>
        <v>DESGASTE DE HERRAMIENTAS</v>
      </c>
      <c r="F183" s="885"/>
      <c r="G183" s="885"/>
      <c r="H183" s="885"/>
      <c r="I183" s="886">
        <f t="shared" si="19"/>
        <v>0</v>
      </c>
      <c r="J183" s="887"/>
      <c r="K183" s="325"/>
      <c r="L183" s="885" t="s">
        <v>347</v>
      </c>
      <c r="M183" s="885"/>
      <c r="N183" s="886">
        <f>ROUND(P118,0)</f>
        <v>0</v>
      </c>
      <c r="O183" s="887"/>
      <c r="P183" s="136"/>
      <c r="Q183" s="136"/>
    </row>
    <row r="184" spans="3:17" ht="12.75" customHeight="1" x14ac:dyDescent="0.15">
      <c r="C184" s="37"/>
      <c r="D184" s="325"/>
      <c r="E184" s="885" t="str">
        <f>A117</f>
        <v>VIATICO DE VIAJES</v>
      </c>
      <c r="F184" s="885"/>
      <c r="G184" s="885"/>
      <c r="H184" s="885"/>
      <c r="I184" s="886">
        <f t="shared" si="19"/>
        <v>0</v>
      </c>
      <c r="J184" s="887"/>
      <c r="K184" s="325"/>
      <c r="L184" s="885" t="str">
        <f>K119</f>
        <v>RETENCIONES LEGALES</v>
      </c>
      <c r="M184" s="885"/>
      <c r="N184" s="897">
        <f>ROUND(P119,0)</f>
        <v>0</v>
      </c>
      <c r="O184" s="887"/>
      <c r="P184" s="136"/>
      <c r="Q184" s="136"/>
    </row>
    <row r="185" spans="3:17" ht="12.75" customHeight="1" x14ac:dyDescent="0.15">
      <c r="C185" s="37"/>
      <c r="D185" s="325"/>
      <c r="E185" s="885" t="str">
        <f>A118</f>
        <v>FINIQUITO</v>
      </c>
      <c r="F185" s="885"/>
      <c r="G185" s="885"/>
      <c r="H185" s="885"/>
      <c r="I185" s="886">
        <f t="shared" si="19"/>
        <v>0</v>
      </c>
      <c r="J185" s="887"/>
      <c r="K185" s="315"/>
      <c r="L185" s="885" t="str">
        <f>K120</f>
        <v>OTRAS RETENCIONES</v>
      </c>
      <c r="M185" s="885"/>
      <c r="N185" s="886">
        <f>ROUND(P120,0)</f>
        <v>0</v>
      </c>
      <c r="O185" s="887"/>
      <c r="P185" s="136"/>
      <c r="Q185" s="136"/>
    </row>
    <row r="186" spans="3:17" ht="12.75" customHeight="1" x14ac:dyDescent="0.15">
      <c r="C186" s="37"/>
      <c r="D186" s="325"/>
      <c r="E186" s="885"/>
      <c r="F186" s="885"/>
      <c r="G186" s="885"/>
      <c r="H186" s="885"/>
      <c r="I186" s="886"/>
      <c r="J186" s="887"/>
      <c r="K186" s="325"/>
      <c r="L186" s="885" t="str">
        <f>A100</f>
        <v>QUINCENA MENSUAL</v>
      </c>
      <c r="M186" s="885"/>
      <c r="N186" s="886">
        <f>ROUND(D100,0)</f>
        <v>0</v>
      </c>
      <c r="O186" s="887"/>
      <c r="P186" s="136"/>
      <c r="Q186" s="136"/>
    </row>
    <row r="187" spans="3:17" ht="12.75" customHeight="1" x14ac:dyDescent="0.15">
      <c r="C187" s="37"/>
      <c r="D187" s="325"/>
      <c r="E187" s="885"/>
      <c r="F187" s="885"/>
      <c r="G187" s="885"/>
      <c r="H187" s="885"/>
      <c r="I187" s="887"/>
      <c r="J187" s="887"/>
      <c r="K187" s="325"/>
      <c r="L187" s="887" t="s">
        <v>430</v>
      </c>
      <c r="M187" s="887"/>
      <c r="N187" s="886">
        <f>ROUND(SUM(D101:E108,D110),0)</f>
        <v>0</v>
      </c>
      <c r="O187" s="887"/>
      <c r="P187" s="136"/>
      <c r="Q187" s="136"/>
    </row>
    <row r="188" spans="3:17" ht="12.75" customHeight="1" x14ac:dyDescent="0.15">
      <c r="C188" s="37"/>
      <c r="D188" s="325"/>
      <c r="E188" s="885"/>
      <c r="F188" s="885"/>
      <c r="G188" s="885"/>
      <c r="H188" s="885"/>
      <c r="I188" s="887"/>
      <c r="J188" s="887"/>
      <c r="K188" s="325"/>
      <c r="L188" s="898" t="str">
        <f>A109</f>
        <v>FINIQUITO</v>
      </c>
      <c r="M188" s="899"/>
      <c r="N188" s="886">
        <f>D109</f>
        <v>0</v>
      </c>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574396</v>
      </c>
      <c r="J192" s="903"/>
      <c r="K192" s="902" t="s">
        <v>21</v>
      </c>
      <c r="L192" s="902"/>
      <c r="M192" s="902"/>
      <c r="N192" s="904">
        <f>ROUND(SUM(N174:O191),0)</f>
        <v>78329</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18</v>
      </c>
      <c r="E194" s="905"/>
      <c r="F194" s="905"/>
      <c r="G194" s="905"/>
      <c r="H194" s="905"/>
      <c r="I194" s="906">
        <f>ROUND(SUM(I174:J180),0)</f>
        <v>426396</v>
      </c>
      <c r="J194" s="907"/>
      <c r="K194" s="905" t="s">
        <v>17</v>
      </c>
      <c r="L194" s="905"/>
      <c r="M194" s="905"/>
      <c r="N194" s="904">
        <f>ROUND(I192,0)</f>
        <v>574396</v>
      </c>
      <c r="O194" s="904"/>
      <c r="P194" s="136"/>
      <c r="Q194" s="136"/>
    </row>
    <row r="195" spans="3:17" ht="12.75" customHeight="1" x14ac:dyDescent="0.2">
      <c r="C195" s="37"/>
      <c r="D195" s="905" t="s">
        <v>326</v>
      </c>
      <c r="E195" s="905"/>
      <c r="F195" s="905"/>
      <c r="G195" s="905"/>
      <c r="H195" s="905"/>
      <c r="I195" s="906">
        <f>ROUND(IF(IM!Q7="Boleta",0,IF((Q104+Q106)&lt;=(IM!R47*IM!O72),D127-(Q103+Q104+Q105+Q106),D127-(IM!R47*IM!O72)+Q103+Q105)),0)</f>
        <v>348067</v>
      </c>
      <c r="J195" s="907"/>
      <c r="K195" s="905" t="s">
        <v>7</v>
      </c>
      <c r="L195" s="905"/>
      <c r="M195" s="905"/>
      <c r="N195" s="904">
        <f>ROUND(N174+N175+N176+N177+N178+N179+N180+N183,0)</f>
        <v>78329</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4051</v>
      </c>
      <c r="E197" s="911"/>
      <c r="F197" s="906">
        <f ca="1">ROUND(Q126,0)</f>
        <v>10234</v>
      </c>
      <c r="G197" s="911"/>
      <c r="H197" s="911"/>
      <c r="I197" s="906">
        <f>ROUND(Q123,0)</f>
        <v>5373</v>
      </c>
      <c r="J197" s="907"/>
      <c r="K197" s="905" t="s">
        <v>493</v>
      </c>
      <c r="L197" s="905"/>
      <c r="M197" s="905"/>
      <c r="N197" s="904">
        <f>ROUND(N194-N195-N196,0)</f>
        <v>496067</v>
      </c>
      <c r="O197" s="904"/>
      <c r="P197" s="136"/>
      <c r="Q197" s="136"/>
    </row>
    <row r="198" spans="3:17" ht="12.75" customHeight="1" x14ac:dyDescent="0.2">
      <c r="C198" s="37"/>
      <c r="D198" s="323"/>
      <c r="E198" s="324"/>
      <c r="F198" s="914" t="s">
        <v>509</v>
      </c>
      <c r="G198" s="914"/>
      <c r="H198" s="914"/>
      <c r="I198" s="906">
        <f>N199+N196</f>
        <v>496067</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496067</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CUATROCIENTOS NOVENTA Y SEIS MIL SESENTA Y SIETE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15.021.000-1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496067</v>
      </c>
      <c r="D228" s="648" t="str">
        <f>W231&amp;X231&amp;W232&amp;X232&amp;W233&amp;X233&amp;W234&amp;X234&amp;W235&amp;X235&amp;W236&amp;X236&amp;W237&amp;X237&amp;W238&amp;X238&amp;W239&amp;X239&amp;" "&amp;IF(W240="UN","Peso",D225)&amp;" "&amp;C231&amp;D226</f>
        <v>cuatrocientos noventa y seis mil sesenta y siete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496067</v>
      </c>
      <c r="D229" s="48" t="str">
        <f>"SON: " &amp; UPPER(D228)</f>
        <v>SON: CUATROCIENTOS NOVENTA Y SEIS MIL SESENTA Y SIETE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20">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1">VALUE(E233)</f>
        <v>0</v>
      </c>
      <c r="G233" s="48">
        <f>IF(G232=0,0,IF(G232&lt;&gt;0,MID(C228,2,1),C228/1000000))</f>
        <v>0</v>
      </c>
      <c r="H233" s="56">
        <f t="shared" si="21"/>
        <v>0</v>
      </c>
      <c r="I233" s="227">
        <f>IF(C228&lt;=9999999.99,ROUNDDOWN(C228/1000000,0),0)</f>
        <v>0</v>
      </c>
      <c r="J233" s="55" t="str">
        <f>TEXT(I233,"0")</f>
        <v>0</v>
      </c>
      <c r="K233" s="48"/>
      <c r="L233" s="48"/>
      <c r="M233" s="48"/>
      <c r="N233" s="48"/>
      <c r="O233" s="48"/>
      <c r="P233" s="48"/>
      <c r="Q233" s="48"/>
      <c r="R233" s="48"/>
      <c r="S233" s="48"/>
      <c r="T233" s="48"/>
      <c r="U233" s="48"/>
      <c r="V233" s="54">
        <f t="shared" si="20"/>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1"/>
        <v>0</v>
      </c>
      <c r="G234" s="48">
        <f>IF(G232=0,0,IF(G233&gt;=1,MID(C228,3,1),C228/100000))</f>
        <v>0</v>
      </c>
      <c r="H234" s="56">
        <f t="shared" si="21"/>
        <v>0</v>
      </c>
      <c r="I234" s="48">
        <f>IF(I233=0,0,IF(I233&gt;=1,MID(C228,2,1),C228/100000))</f>
        <v>0</v>
      </c>
      <c r="J234" s="56">
        <f t="shared" ref="J234:J239" si="22">VALUE(I234)</f>
        <v>0</v>
      </c>
      <c r="K234" s="57">
        <f>IF(C228&lt;=999999.99,ROUNDDOWN(C228/100000,0),0)</f>
        <v>4</v>
      </c>
      <c r="L234" s="55" t="str">
        <f>TEXT(K234,"0")</f>
        <v>4</v>
      </c>
      <c r="M234" s="48"/>
      <c r="N234" s="48"/>
      <c r="O234" s="48"/>
      <c r="P234" s="48"/>
      <c r="Q234" s="48"/>
      <c r="R234" s="48"/>
      <c r="S234" s="48"/>
      <c r="T234" s="48"/>
      <c r="U234" s="48"/>
      <c r="V234" s="54">
        <f t="shared" si="20"/>
        <v>4</v>
      </c>
      <c r="W234" s="48" t="str">
        <f>IF(V234=0,"",IF(AA236=100," cien",IF(V234=1," ciento",VLOOKUP(V234,A281:C289,3,FALSE))))</f>
        <v>cuatrocientos</v>
      </c>
      <c r="X234" s="48" t="s">
        <v>138</v>
      </c>
      <c r="Y234" s="48"/>
      <c r="Z234" s="48"/>
      <c r="AA234" s="48"/>
    </row>
    <row r="235" spans="1:27" hidden="1" x14ac:dyDescent="0.15">
      <c r="A235" s="48"/>
      <c r="B235" s="48"/>
      <c r="C235" s="48"/>
      <c r="D235" s="48" t="s">
        <v>139</v>
      </c>
      <c r="E235" s="48">
        <f>IF(E231=0,0,IF(E234&gt;=1,MID(C228,5,1),C228/10000))</f>
        <v>0</v>
      </c>
      <c r="F235" s="56">
        <f t="shared" si="21"/>
        <v>0</v>
      </c>
      <c r="G235" s="48">
        <f>IF(G232=0,0,IF(G234&gt;=1,MID(C228,4,1),C228/10000))</f>
        <v>0</v>
      </c>
      <c r="H235" s="56">
        <f t="shared" si="21"/>
        <v>0</v>
      </c>
      <c r="I235" s="48">
        <f>IF(I233=0,0,IF(I234&gt;=1,MID(C228,3,1),C228/10000))</f>
        <v>0</v>
      </c>
      <c r="J235" s="56">
        <f t="shared" si="22"/>
        <v>0</v>
      </c>
      <c r="K235" s="48" t="str">
        <f>IF(K234=0,0,IF(K234&lt;&gt;0,MID(C228,2,1),C228/10000))</f>
        <v>9</v>
      </c>
      <c r="L235" s="56">
        <f>VALUE(K235)</f>
        <v>9</v>
      </c>
      <c r="M235" s="227">
        <f>IF(C228&lt;=99999.99,ROUNDDOWN(C228/10000,0),0)</f>
        <v>0</v>
      </c>
      <c r="N235" s="55" t="str">
        <f>TEXT(M235,"0")</f>
        <v>0</v>
      </c>
      <c r="O235" s="48"/>
      <c r="P235" s="48"/>
      <c r="Q235" s="48"/>
      <c r="R235" s="48"/>
      <c r="S235" s="48"/>
      <c r="T235" s="48"/>
      <c r="U235" s="48"/>
      <c r="V235" s="54">
        <f t="shared" si="20"/>
        <v>9</v>
      </c>
      <c r="W235" s="48" t="str">
        <f>IF(V235=0,"",IF(V235&gt;=3,VLOOKUP(V235,A273:C279,3,FALSE),IF(V235&lt;=2,VLOOKUP(Y236,B243:C271,2,FALSE))))</f>
        <v>noventa</v>
      </c>
      <c r="X235" s="48" t="str">
        <f>IF(AA236=0,"",IF(Z236=V235," mil ",IF(Y236&gt;=30," y ","")))</f>
        <v xml:space="preserve"> y </v>
      </c>
      <c r="Y235" s="48"/>
      <c r="Z235" s="48"/>
      <c r="AA235" s="48"/>
    </row>
    <row r="236" spans="1:27" hidden="1" x14ac:dyDescent="0.15">
      <c r="A236" s="48"/>
      <c r="B236" s="48"/>
      <c r="C236" s="48"/>
      <c r="D236" s="48" t="s">
        <v>140</v>
      </c>
      <c r="E236" s="48">
        <f>IF(E231=0,0,IF(E235&gt;=1,MID(C228,6,1),C228/1000))</f>
        <v>0</v>
      </c>
      <c r="F236" s="56">
        <f t="shared" si="21"/>
        <v>0</v>
      </c>
      <c r="G236" s="48">
        <f>IF(G232=0,0,IF(G235&gt;=1,MID(C228,5,1),C228/1000))</f>
        <v>0</v>
      </c>
      <c r="H236" s="56">
        <f t="shared" si="21"/>
        <v>0</v>
      </c>
      <c r="I236" s="48">
        <f>IF(I233=0,0,IF(I235&gt;=1,MID(C228,4,1),C228/1000))</f>
        <v>0</v>
      </c>
      <c r="J236" s="56">
        <f t="shared" si="22"/>
        <v>0</v>
      </c>
      <c r="K236" s="48" t="str">
        <f>IF(K234=0,0,IF(K235&gt;=1,MID(C228,3,1),C228/1000))</f>
        <v>6</v>
      </c>
      <c r="L236" s="56">
        <f>VALUE(K236)</f>
        <v>6</v>
      </c>
      <c r="M236" s="48">
        <f>IF(M235=0,0,IF(M235&gt;=1,MID(C228,2,1),C228/1000))</f>
        <v>0</v>
      </c>
      <c r="N236" s="56">
        <f>VALUE(M236)</f>
        <v>0</v>
      </c>
      <c r="O236" s="227">
        <f>IF(C228&lt;=9999.99,ROUNDDOWN(C228/1000,0),0)</f>
        <v>0</v>
      </c>
      <c r="P236" s="55" t="str">
        <f>TEXT(O236,"0")</f>
        <v>0</v>
      </c>
      <c r="Q236" s="48"/>
      <c r="R236" s="48"/>
      <c r="S236" s="48"/>
      <c r="T236" s="48"/>
      <c r="U236" s="48"/>
      <c r="V236" s="54">
        <f t="shared" si="20"/>
        <v>6</v>
      </c>
      <c r="W236" s="48" t="str">
        <f>IF(V236=0,"",IF(Y236&lt;10,VLOOKUP(V236,B243:C251,2,FALSE),IF(Y236=21,"",IF(Y236=11,"",IF(V236=1,"un",IF(Y236&lt;=30,"",VLOOKUP(V236,B243:C251,2,FALSE)))))))</f>
        <v>seis</v>
      </c>
      <c r="X236" s="48" t="str">
        <f>IF(AA236=0,"",IF(X235=" mil ","",IF(Z236=0," mil ",IF(V236&lt;&gt;0," mil ",IF(Y236&lt;30," mil ","")))))</f>
        <v xml:space="preserve"> mil </v>
      </c>
      <c r="Y236" s="48">
        <f>+V235*10+V236</f>
        <v>96</v>
      </c>
      <c r="Z236" s="54">
        <f>+V235+V236</f>
        <v>15</v>
      </c>
      <c r="AA236" s="48">
        <f>+V234*100+V235*10+V236*1</f>
        <v>496</v>
      </c>
    </row>
    <row r="237" spans="1:27" hidden="1" x14ac:dyDescent="0.15">
      <c r="A237" s="48"/>
      <c r="B237" s="48"/>
      <c r="C237" s="48"/>
      <c r="D237" s="48" t="s">
        <v>141</v>
      </c>
      <c r="E237" s="48">
        <f>IF(E231=0,0,IF(E236&gt;=1,MID(C228,7,1),C228/100))</f>
        <v>0</v>
      </c>
      <c r="F237" s="56">
        <f t="shared" si="21"/>
        <v>0</v>
      </c>
      <c r="G237" s="48">
        <f>IF(G232=0,0,IF(G236&gt;=1,MID(C228,6,1),C228/100))</f>
        <v>0</v>
      </c>
      <c r="H237" s="56">
        <f t="shared" si="21"/>
        <v>0</v>
      </c>
      <c r="I237" s="48">
        <f>IF(I233=0,0,IF(I236&gt;=1,MID(C228,5,1),C228/100))</f>
        <v>0</v>
      </c>
      <c r="J237" s="56">
        <f t="shared" si="22"/>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20"/>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1"/>
        <v>0</v>
      </c>
      <c r="G238" s="48">
        <f>IF(G232=0,0,IF(G237&gt;=1,MID(C228,7,1),C228/10))</f>
        <v>0</v>
      </c>
      <c r="H238" s="56">
        <f t="shared" si="21"/>
        <v>0</v>
      </c>
      <c r="I238" s="48">
        <f>IF(I233=0,0,IF(I237&gt;=1,MID(C228,6,1),C228/10))</f>
        <v>0</v>
      </c>
      <c r="J238" s="56">
        <f t="shared" si="22"/>
        <v>0</v>
      </c>
      <c r="K238" s="48" t="str">
        <f>IF(K234=0,0,IF(K237&gt;=1,MID(C228,5,1),C228/10))</f>
        <v>6</v>
      </c>
      <c r="L238" s="56">
        <f>VALUE(K238)</f>
        <v>6</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20"/>
        <v>6</v>
      </c>
      <c r="W238" s="48" t="str">
        <f>IF(V238=0,"",IF(V238&gt;=3,VLOOKUP(V238,A273:C279,3,FALSE),IF(V238&lt;=2,VLOOKUP(Y239,B243:C271,2,FALSE))))</f>
        <v>sesenta</v>
      </c>
      <c r="X238" s="48" t="str">
        <f>IF(V238=0,"",IF(V239=0,"",IF(Y239&gt;=30," y ","")))</f>
        <v xml:space="preserve"> y </v>
      </c>
      <c r="Y238" s="48"/>
      <c r="Z238" s="48"/>
      <c r="AA238" s="48"/>
    </row>
    <row r="239" spans="1:27" hidden="1" x14ac:dyDescent="0.15">
      <c r="A239" s="48"/>
      <c r="B239" s="48"/>
      <c r="C239" s="48"/>
      <c r="D239" s="48" t="s">
        <v>143</v>
      </c>
      <c r="E239" s="48">
        <f>IF(E231=0,0,IF(E238&gt;=1,MID(C228,9,1),C228/10))</f>
        <v>0</v>
      </c>
      <c r="F239" s="56">
        <f t="shared" si="21"/>
        <v>0</v>
      </c>
      <c r="G239" s="48">
        <f>IF(G232=0,0,IF(G238&gt;=1,MID(C228,8,1),C228/10))</f>
        <v>0</v>
      </c>
      <c r="H239" s="56">
        <f t="shared" si="21"/>
        <v>0</v>
      </c>
      <c r="I239" s="48">
        <f>IF(I233=0,0,IF(I238&gt;=1,MID(C228,7,1),C228/10))</f>
        <v>0</v>
      </c>
      <c r="J239" s="56">
        <f t="shared" si="22"/>
        <v>0</v>
      </c>
      <c r="K239" s="48" t="str">
        <f>IF(K234=0,0,IF(K238&gt;=1,MID(C228,6,1),C228/10))</f>
        <v>7</v>
      </c>
      <c r="L239" s="56">
        <f>VALUE(K239)</f>
        <v>7</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20"/>
        <v>7</v>
      </c>
      <c r="W239" s="48" t="str">
        <f>IF(C228&lt;1,"CERO ",IF(V239=0,"",IF(Y239&lt;10,VLOOKUP(V239,B243:C251,2,FALSE),IF(Y239&lt;=30,"",VLOOKUP(V239,B243:C251,2,FALSE)))))</f>
        <v>siete</v>
      </c>
      <c r="X239" s="48"/>
      <c r="Y239" s="48">
        <f>+V238*10+V239</f>
        <v>67</v>
      </c>
      <c r="Z239" s="54">
        <f>+V237*100+V238*10+V239*1</f>
        <v>67</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siete</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3">+B244+1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3"/>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3"/>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3"/>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3"/>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3"/>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3"/>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3"/>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3"/>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3"/>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3"/>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3"/>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3"/>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3"/>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3"/>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3"/>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3"/>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3"/>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3"/>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3"/>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3"/>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3"/>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3"/>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3"/>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3"/>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3"/>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3"/>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4mugKhNlriLxgE7u6C89tf16H2zocMAH4OoWgJYzb6F4v5eT3ZfpX00AueJ0eldj8ZmJu/0CH4GQFuarsZqGhg==" saltValue="hQzqiVvSPEqup7aPEWGZNg=="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315000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350000</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0</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BOLETA NO APLICA GRATIFICACIONES</v>
      </c>
      <c r="L100" s="804"/>
      <c r="M100" s="805"/>
      <c r="N100" s="823">
        <f>ROUND(SUM(P94:R99),0)</f>
        <v>0</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1-. NO COTIZA</v>
      </c>
      <c r="O103" s="719"/>
      <c r="P103" s="128">
        <f>LOOKUP((N103),ListadoAFP,IM!B135:B144)</f>
        <v>0</v>
      </c>
      <c r="Q103" s="704">
        <f>ROUND(IF(T$145="3-. BOLETA",0,IF(D$127&gt;IM!O69,IM!O69*P103,D$127*P103)),0)</f>
        <v>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11-. NO COTIZA</v>
      </c>
      <c r="O104" s="719"/>
      <c r="P104" s="63">
        <f>LOOKUP((N104),ListadoIsapres,IM!D135:D154)</f>
        <v>0</v>
      </c>
      <c r="Q104" s="704">
        <f>ROUND(IF(T$145="3-. BOLETA",0,IF(D$127&gt;IM!O69,IM!O69*P104,D$127*P104)),0)</f>
        <v>0</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3-. BOLETA</v>
      </c>
      <c r="O105" s="719"/>
      <c r="P105" s="63">
        <f>LOOKUP((N105),TipoContrato,IM!F135:F139)</f>
        <v>0</v>
      </c>
      <c r="Q105" s="704">
        <f>ROUND(IF(T$145="3-. BOLETA",0,IF(D$127&gt;IM!O71,IM!O71*P105,D$127*P105)),0)</f>
        <v>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c r="L110" s="757"/>
      <c r="M110" s="757"/>
      <c r="N110" s="722"/>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0</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0</v>
      </c>
      <c r="E115" s="705"/>
      <c r="F115" s="720" t="s">
        <v>232</v>
      </c>
      <c r="G115" s="720"/>
      <c r="H115" s="720"/>
      <c r="I115" s="720"/>
      <c r="J115" s="12"/>
      <c r="K115" s="724" t="s">
        <v>357</v>
      </c>
      <c r="L115" s="726"/>
      <c r="M115" s="343">
        <f>ROUND(IF(T$145="3-. BOLETA",0,IM!R47*Q113),0)</f>
        <v>0</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35000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1-. NO COTIZA</v>
      </c>
      <c r="O123" s="703"/>
      <c r="P123" s="140">
        <f>IF($T$145&lt;&gt;IM!$E$138,LOOKUP($N$123,IM!$A$48:$B$57,IM!$D$48:$D$57),0)</f>
        <v>0</v>
      </c>
      <c r="Q123" s="704">
        <f>IF($D$127&lt;IM!$O$69,$D$127*$P$123,IM!$O$69*$P$123)</f>
        <v>0</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0</v>
      </c>
      <c r="E126" s="668"/>
      <c r="F126" s="732"/>
      <c r="G126" s="733"/>
      <c r="H126" s="733"/>
      <c r="I126" s="734"/>
      <c r="J126" s="12"/>
      <c r="K126" s="727" t="s">
        <v>322</v>
      </c>
      <c r="L126" s="728"/>
      <c r="M126" s="729"/>
      <c r="N126" s="765" t="str">
        <f>UPPER(T$145)</f>
        <v>3-. BOLETA</v>
      </c>
      <c r="O126" s="767"/>
      <c r="P126" s="140">
        <f ca="1">LOOKUP(($N$126),TipoContrato,IM!$F$140:$F$143)</f>
        <v>0</v>
      </c>
      <c r="Q126" s="704">
        <f ca="1">IF($D$127&gt;IM!$O$71,IM!$O$71*$P$126,$D$127*$P$126)</f>
        <v>0</v>
      </c>
      <c r="R126" s="705"/>
      <c r="S126" s="61"/>
      <c r="T126" s="774" t="s">
        <v>215</v>
      </c>
      <c r="U126" s="775"/>
      <c r="V126" s="166">
        <v>10</v>
      </c>
      <c r="W126" s="64" t="str">
        <f t="shared" si="18"/>
        <v>Logrado</v>
      </c>
    </row>
    <row r="127" spans="1:23" ht="10.5" customHeight="1" x14ac:dyDescent="0.2">
      <c r="A127" s="849" t="s">
        <v>18</v>
      </c>
      <c r="B127" s="894"/>
      <c r="C127" s="850"/>
      <c r="D127" s="831">
        <f>ROUND((D123+D124+D126)-D125,0)</f>
        <v>350000</v>
      </c>
      <c r="E127" s="831"/>
      <c r="F127" s="732"/>
      <c r="G127" s="733"/>
      <c r="H127" s="733"/>
      <c r="I127" s="734"/>
      <c r="J127" s="12"/>
      <c r="K127" s="669" t="s">
        <v>323</v>
      </c>
      <c r="L127" s="669"/>
      <c r="M127" s="669"/>
      <c r="N127" s="699" t="s">
        <v>324</v>
      </c>
      <c r="O127" s="700"/>
      <c r="P127" s="228">
        <v>9.4999999999999998E-3</v>
      </c>
      <c r="Q127" s="704">
        <f>ROUND(IF(T$145="3-. BOLETA",0,IF(D$127&gt;IM!$O$69,IM!$O$69*$P$127,D$127*$P$127)),0)</f>
        <v>0</v>
      </c>
      <c r="R127" s="705"/>
      <c r="S127" s="60"/>
      <c r="T127" s="774" t="s">
        <v>327</v>
      </c>
      <c r="U127" s="775"/>
      <c r="V127" s="166">
        <v>10</v>
      </c>
      <c r="W127" s="64" t="str">
        <f t="shared" si="18"/>
        <v>Logrado</v>
      </c>
    </row>
    <row r="128" spans="1:23" ht="10.5" customHeight="1" x14ac:dyDescent="0.2">
      <c r="A128" s="216" t="s">
        <v>61</v>
      </c>
      <c r="B128" s="849" t="s">
        <v>58</v>
      </c>
      <c r="C128" s="850"/>
      <c r="D128" s="668">
        <f>ROUND((D120),0)</f>
        <v>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350000</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35000</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14583.333333333332</v>
      </c>
      <c r="R131" s="861"/>
    </row>
    <row r="132" spans="1:23" ht="10.5" customHeight="1" x14ac:dyDescent="0.2">
      <c r="A132" s="749" t="s">
        <v>326</v>
      </c>
      <c r="B132" s="750"/>
      <c r="C132" s="751"/>
      <c r="D132" s="864">
        <f>(ROUND(N113,0))</f>
        <v>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315000</v>
      </c>
      <c r="E133" s="831"/>
      <c r="F133" s="732"/>
      <c r="G133" s="733"/>
      <c r="H133" s="733"/>
      <c r="I133" s="734"/>
      <c r="J133" s="12"/>
      <c r="K133" s="712" t="str">
        <f>IF(T$145="3-. BOLETA","T. A PAGAR (MENOS 10% BOLETA)","TOTAL A PAGAR")</f>
        <v>T. A PAGAR (MENOS 10% BOLETA)</v>
      </c>
      <c r="L133" s="747"/>
      <c r="M133" s="713"/>
      <c r="N133" s="713"/>
      <c r="O133" s="714"/>
      <c r="P133" s="859">
        <f>ROUND(D133,0)</f>
        <v>315000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IM!C33</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IM!F33</f>
        <v>10.159.159-1</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IM!H33</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f>IM!J33</f>
        <v>0</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UPPER(IM!Q33)</f>
        <v>3-. BOLETA</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IM!N33</f>
        <v>Bodeguero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IM!AE33</f>
        <v>Electricidad</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IM!S33</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IM!AC33</f>
        <v>0</v>
      </c>
      <c r="U149" s="644"/>
      <c r="V149" s="645"/>
      <c r="W149" s="645"/>
    </row>
    <row r="150" spans="4:23" x14ac:dyDescent="0.2">
      <c r="Q150" s="641" t="s">
        <v>394</v>
      </c>
      <c r="R150" s="642"/>
      <c r="S150" s="643"/>
      <c r="T150" s="167">
        <f>IM!AA33</f>
        <v>0</v>
      </c>
      <c r="U150" s="644"/>
      <c r="V150" s="645"/>
      <c r="W150" s="645"/>
    </row>
    <row r="151" spans="4:23" ht="10.5" customHeight="1" x14ac:dyDescent="0.2">
      <c r="N151" s="12"/>
      <c r="O151" s="12"/>
      <c r="P151" s="12"/>
      <c r="Q151" s="641" t="s">
        <v>395</v>
      </c>
      <c r="R151" s="642"/>
      <c r="S151" s="643"/>
      <c r="T151" s="167">
        <f>IM!Y33</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UPPER(IM!U33)</f>
        <v>1-. NO COTIZA</v>
      </c>
      <c r="U152" s="644"/>
      <c r="V152" s="645"/>
      <c r="W152" s="645"/>
    </row>
    <row r="153" spans="4:23" ht="10.5" customHeight="1" x14ac:dyDescent="0.2">
      <c r="D153" s="890"/>
      <c r="E153" s="890"/>
      <c r="F153" s="890"/>
      <c r="G153" s="890"/>
      <c r="H153" s="890"/>
      <c r="I153" s="303"/>
      <c r="J153" s="303"/>
      <c r="K153" s="303"/>
      <c r="L153" s="890"/>
      <c r="M153" s="890"/>
      <c r="N153" s="890"/>
      <c r="O153" s="890"/>
      <c r="P153" s="12"/>
      <c r="Q153" s="641" t="s">
        <v>397</v>
      </c>
      <c r="R153" s="642"/>
      <c r="S153" s="643"/>
      <c r="T153" s="168" t="str">
        <f>UPPER(IM!W33)</f>
        <v>11-. NO COTIZA</v>
      </c>
      <c r="U153" s="644"/>
      <c r="V153" s="645"/>
      <c r="W153" s="645"/>
    </row>
    <row r="154" spans="4:23" ht="10.5" customHeight="1" x14ac:dyDescent="0.2">
      <c r="D154" s="890"/>
      <c r="E154" s="890"/>
      <c r="F154" s="890"/>
      <c r="G154" s="890"/>
      <c r="H154" s="890"/>
      <c r="I154" s="303"/>
      <c r="J154" s="303"/>
      <c r="K154" s="303"/>
      <c r="L154" s="890"/>
      <c r="M154" s="890"/>
      <c r="N154" s="890"/>
      <c r="O154" s="890"/>
      <c r="P154" s="12"/>
      <c r="Q154" s="641" t="s">
        <v>401</v>
      </c>
      <c r="R154" s="642"/>
      <c r="S154" s="643"/>
      <c r="T154" s="169">
        <f>IM!L33</f>
        <v>40787</v>
      </c>
      <c r="U154" s="644"/>
      <c r="V154" s="645"/>
      <c r="W154" s="645"/>
    </row>
    <row r="155" spans="4:23" x14ac:dyDescent="0.2">
      <c r="D155" s="890"/>
      <c r="E155" s="890"/>
      <c r="F155" s="890"/>
      <c r="G155" s="890"/>
      <c r="H155" s="890"/>
      <c r="I155" s="303"/>
      <c r="J155" s="303"/>
      <c r="K155" s="303"/>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04"/>
      <c r="L160" s="890"/>
      <c r="M160" s="890"/>
      <c r="N160" s="890"/>
      <c r="O160" s="890"/>
    </row>
    <row r="161" spans="4:17" ht="10.5" customHeight="1" x14ac:dyDescent="0.2">
      <c r="D161" s="889" t="str">
        <f>IF(T$145="3-. BOLETA","COMPROBANTE DE PAGO","LIQUIDACIÓN DE SUELDOS")</f>
        <v>COMPROBANTE DE PAGO</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05"/>
      <c r="J164" s="305"/>
      <c r="K164" s="305"/>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08"/>
      <c r="M165" s="662" t="s">
        <v>227</v>
      </c>
      <c r="N165" s="663"/>
      <c r="O165" s="309">
        <f>IM!R47</f>
        <v>22940.02</v>
      </c>
      <c r="P165" s="136"/>
      <c r="Q165" s="136"/>
    </row>
    <row r="166" spans="4:17" ht="12.75" customHeight="1" x14ac:dyDescent="0.2">
      <c r="D166" s="666" t="s">
        <v>79</v>
      </c>
      <c r="E166" s="667"/>
      <c r="F166" s="667"/>
      <c r="G166" s="682" t="str">
        <f>T142</f>
        <v>10.159.159-1</v>
      </c>
      <c r="H166" s="683"/>
      <c r="I166" s="683"/>
      <c r="J166" s="683"/>
      <c r="K166" s="683"/>
      <c r="L166" s="306"/>
      <c r="M166" s="664" t="s">
        <v>334</v>
      </c>
      <c r="N166" s="665"/>
      <c r="O166" s="310">
        <f>IM!R48</f>
        <v>40125</v>
      </c>
      <c r="P166" s="136"/>
      <c r="Q166" s="136"/>
    </row>
    <row r="167" spans="4:17" ht="12.75" customHeight="1" x14ac:dyDescent="0.2">
      <c r="D167" s="666" t="s">
        <v>268</v>
      </c>
      <c r="E167" s="667"/>
      <c r="F167" s="667"/>
      <c r="G167" s="684">
        <f>T154</f>
        <v>40787</v>
      </c>
      <c r="H167" s="685"/>
      <c r="I167" s="685"/>
      <c r="J167" s="685"/>
      <c r="K167" s="685"/>
      <c r="L167" s="306"/>
      <c r="M167" s="660"/>
      <c r="N167" s="660"/>
      <c r="O167" s="661"/>
      <c r="P167" s="136"/>
      <c r="Q167" s="136"/>
    </row>
    <row r="168" spans="4:17" ht="12.75" customHeight="1" x14ac:dyDescent="0.2">
      <c r="D168" s="666" t="s">
        <v>270</v>
      </c>
      <c r="E168" s="667"/>
      <c r="F168" s="667"/>
      <c r="G168" s="682" t="str">
        <f>IF(T145=IM!E138,IM!E136,T145)</f>
        <v>3-. BOLETA</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Bodeguero</v>
      </c>
      <c r="H169" s="683"/>
      <c r="I169" s="683"/>
      <c r="J169" s="683"/>
      <c r="K169" s="683"/>
      <c r="L169" s="146"/>
      <c r="M169" s="692"/>
      <c r="N169" s="693"/>
      <c r="O169" s="694"/>
      <c r="P169" s="136"/>
      <c r="Q169" s="136"/>
    </row>
    <row r="170" spans="4:17" ht="12.75" customHeight="1" x14ac:dyDescent="0.2">
      <c r="D170" s="666" t="s">
        <v>332</v>
      </c>
      <c r="E170" s="667"/>
      <c r="F170" s="667"/>
      <c r="G170" s="686" t="str">
        <f>T147</f>
        <v>Electricidad</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07"/>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11" t="str">
        <f>F123</f>
        <v>30 DÍAS</v>
      </c>
      <c r="E174" s="882" t="s">
        <v>348</v>
      </c>
      <c r="F174" s="882"/>
      <c r="G174" s="882"/>
      <c r="H174" s="882"/>
      <c r="I174" s="883">
        <f>ROUND(D123,0)</f>
        <v>350000</v>
      </c>
      <c r="J174" s="884"/>
      <c r="K174" s="312"/>
      <c r="L174" s="885" t="s">
        <v>347</v>
      </c>
      <c r="M174" s="885"/>
      <c r="N174" s="886">
        <f>ROUND($P$118,0)</f>
        <v>35000</v>
      </c>
      <c r="O174" s="887"/>
      <c r="P174" s="136"/>
      <c r="Q174" s="136"/>
    </row>
    <row r="175" spans="4:17" ht="12.75" customHeight="1" x14ac:dyDescent="0.15">
      <c r="D175" s="315">
        <f>N95</f>
        <v>0</v>
      </c>
      <c r="E175" s="885" t="s">
        <v>25</v>
      </c>
      <c r="F175" s="885"/>
      <c r="G175" s="885"/>
      <c r="H175" s="885"/>
      <c r="I175" s="886">
        <f>ROUND(P95,0)</f>
        <v>0</v>
      </c>
      <c r="J175" s="887"/>
      <c r="K175" s="314"/>
      <c r="L175" s="885" t="s">
        <v>444</v>
      </c>
      <c r="M175" s="885"/>
      <c r="N175" s="886">
        <f>D111+P111+Q115+P117+P119+P120</f>
        <v>0</v>
      </c>
      <c r="O175" s="887"/>
      <c r="P175" s="136"/>
      <c r="Q175" s="136"/>
    </row>
    <row r="176" spans="4:17" ht="12.75" customHeight="1" x14ac:dyDescent="0.15">
      <c r="D176" s="315"/>
      <c r="E176" s="885" t="s">
        <v>606</v>
      </c>
      <c r="F176" s="885"/>
      <c r="G176" s="885"/>
      <c r="H176" s="885"/>
      <c r="I176" s="886">
        <f>P96+P97+P98+P99+D120</f>
        <v>0</v>
      </c>
      <c r="J176" s="887"/>
      <c r="K176" s="316"/>
      <c r="L176" s="885"/>
      <c r="M176" s="885"/>
      <c r="N176" s="886"/>
      <c r="O176" s="887"/>
      <c r="P176" s="136"/>
      <c r="Q176" s="136"/>
    </row>
    <row r="177" spans="3:17" ht="12.75" customHeight="1" x14ac:dyDescent="0.15">
      <c r="D177" s="313"/>
      <c r="E177" s="885"/>
      <c r="F177" s="885"/>
      <c r="G177" s="885"/>
      <c r="H177" s="885"/>
      <c r="I177" s="886"/>
      <c r="J177" s="887"/>
      <c r="K177" s="314"/>
      <c r="L177" s="885"/>
      <c r="M177" s="885"/>
      <c r="N177" s="886"/>
      <c r="O177" s="887"/>
      <c r="P177" s="136"/>
      <c r="Q177" s="136"/>
    </row>
    <row r="178" spans="3:17" ht="12.75" customHeight="1" x14ac:dyDescent="0.15">
      <c r="D178" s="313"/>
      <c r="E178" s="885"/>
      <c r="F178" s="885"/>
      <c r="G178" s="885"/>
      <c r="H178" s="885"/>
      <c r="I178" s="886"/>
      <c r="J178" s="887"/>
      <c r="K178" s="315"/>
      <c r="L178" s="885"/>
      <c r="M178" s="885"/>
      <c r="N178" s="886"/>
      <c r="O178" s="887"/>
      <c r="P178" s="136"/>
      <c r="Q178" s="136"/>
    </row>
    <row r="179" spans="3:17" ht="12.75" customHeight="1" x14ac:dyDescent="0.15">
      <c r="D179" s="313"/>
      <c r="E179" s="885"/>
      <c r="F179" s="885"/>
      <c r="G179" s="885"/>
      <c r="H179" s="885"/>
      <c r="I179" s="886"/>
      <c r="J179" s="887"/>
      <c r="K179" s="314"/>
      <c r="L179" s="885"/>
      <c r="M179" s="885"/>
      <c r="N179" s="886"/>
      <c r="O179" s="887"/>
      <c r="P179" s="136"/>
      <c r="Q179" s="136"/>
    </row>
    <row r="180" spans="3:17" ht="12.75" customHeight="1" x14ac:dyDescent="0.15">
      <c r="D180" s="313"/>
      <c r="E180" s="885"/>
      <c r="F180" s="885"/>
      <c r="G180" s="885"/>
      <c r="H180" s="885"/>
      <c r="I180" s="886"/>
      <c r="J180" s="887"/>
      <c r="K180" s="313"/>
      <c r="L180" s="885"/>
      <c r="M180" s="885"/>
      <c r="N180" s="886"/>
      <c r="O180" s="887"/>
      <c r="P180" s="136"/>
      <c r="Q180" s="136"/>
    </row>
    <row r="181" spans="3:17" ht="12.75" customHeight="1" x14ac:dyDescent="0.15">
      <c r="D181" s="313"/>
      <c r="E181" s="885"/>
      <c r="F181" s="885"/>
      <c r="G181" s="885"/>
      <c r="H181" s="885"/>
      <c r="I181" s="886"/>
      <c r="J181" s="887"/>
      <c r="K181" s="313"/>
      <c r="L181" s="885"/>
      <c r="M181" s="885"/>
      <c r="N181" s="897"/>
      <c r="O181" s="887"/>
      <c r="P181" s="136"/>
      <c r="Q181" s="136"/>
    </row>
    <row r="182" spans="3:17" ht="12.75" customHeight="1" x14ac:dyDescent="0.15">
      <c r="D182" s="313"/>
      <c r="E182" s="885"/>
      <c r="F182" s="885"/>
      <c r="G182" s="885"/>
      <c r="H182" s="885"/>
      <c r="I182" s="886"/>
      <c r="J182" s="887"/>
      <c r="K182" s="313"/>
      <c r="L182" s="885"/>
      <c r="M182" s="885"/>
      <c r="N182" s="897"/>
      <c r="O182" s="887"/>
      <c r="P182" s="136"/>
      <c r="Q182" s="136"/>
    </row>
    <row r="183" spans="3:17" ht="12.75" customHeight="1" x14ac:dyDescent="0.15">
      <c r="C183" s="37"/>
      <c r="D183" s="313"/>
      <c r="E183" s="885"/>
      <c r="F183" s="885"/>
      <c r="G183" s="885"/>
      <c r="H183" s="885"/>
      <c r="I183" s="886"/>
      <c r="J183" s="887"/>
      <c r="K183" s="313"/>
      <c r="L183" s="885"/>
      <c r="M183" s="885"/>
      <c r="N183" s="886"/>
      <c r="O183" s="887"/>
      <c r="P183" s="136"/>
      <c r="Q183" s="136"/>
    </row>
    <row r="184" spans="3:17" ht="12.75" customHeight="1" x14ac:dyDescent="0.15">
      <c r="C184" s="37"/>
      <c r="D184" s="313"/>
      <c r="E184" s="885"/>
      <c r="F184" s="885"/>
      <c r="G184" s="885"/>
      <c r="H184" s="885"/>
      <c r="I184" s="886"/>
      <c r="J184" s="887"/>
      <c r="K184" s="313"/>
      <c r="L184" s="885"/>
      <c r="M184" s="885"/>
      <c r="N184" s="897"/>
      <c r="O184" s="887"/>
      <c r="P184" s="136"/>
      <c r="Q184" s="136"/>
    </row>
    <row r="185" spans="3:17" ht="12.75" customHeight="1" x14ac:dyDescent="0.15">
      <c r="C185" s="37"/>
      <c r="D185" s="313"/>
      <c r="E185" s="885"/>
      <c r="F185" s="885"/>
      <c r="G185" s="885"/>
      <c r="H185" s="885"/>
      <c r="I185" s="886"/>
      <c r="J185" s="887"/>
      <c r="K185" s="315"/>
      <c r="L185" s="885"/>
      <c r="M185" s="885"/>
      <c r="N185" s="886"/>
      <c r="O185" s="887"/>
      <c r="P185" s="136"/>
      <c r="Q185" s="136"/>
    </row>
    <row r="186" spans="3:17" ht="12.75" customHeight="1" x14ac:dyDescent="0.15">
      <c r="C186" s="37"/>
      <c r="D186" s="313"/>
      <c r="E186" s="885"/>
      <c r="F186" s="885"/>
      <c r="G186" s="885"/>
      <c r="H186" s="885"/>
      <c r="I186" s="886"/>
      <c r="J186" s="887"/>
      <c r="K186" s="313"/>
      <c r="L186" s="885"/>
      <c r="M186" s="885"/>
      <c r="N186" s="886"/>
      <c r="O186" s="887"/>
      <c r="P186" s="136"/>
      <c r="Q186" s="136"/>
    </row>
    <row r="187" spans="3:17" ht="12.75" customHeight="1" x14ac:dyDescent="0.15">
      <c r="C187" s="37"/>
      <c r="D187" s="313"/>
      <c r="E187" s="885"/>
      <c r="F187" s="885"/>
      <c r="G187" s="885"/>
      <c r="H187" s="885"/>
      <c r="I187" s="887"/>
      <c r="J187" s="887"/>
      <c r="K187" s="313"/>
      <c r="L187" s="887"/>
      <c r="M187" s="887"/>
      <c r="N187" s="886"/>
      <c r="O187" s="887"/>
      <c r="P187" s="136"/>
      <c r="Q187" s="136"/>
    </row>
    <row r="188" spans="3:17" ht="12.75" customHeight="1" x14ac:dyDescent="0.15">
      <c r="C188" s="37"/>
      <c r="D188" s="313"/>
      <c r="E188" s="885"/>
      <c r="F188" s="885"/>
      <c r="G188" s="885"/>
      <c r="H188" s="885"/>
      <c r="I188" s="887"/>
      <c r="J188" s="887"/>
      <c r="K188" s="313"/>
      <c r="L188" s="900"/>
      <c r="M188" s="900"/>
      <c r="N188" s="887"/>
      <c r="O188" s="887"/>
      <c r="P188" s="136"/>
      <c r="Q188" s="136"/>
    </row>
    <row r="189" spans="3:17" ht="12.75" customHeight="1" x14ac:dyDescent="0.15">
      <c r="C189" s="37"/>
      <c r="D189" s="313"/>
      <c r="E189" s="885"/>
      <c r="F189" s="885"/>
      <c r="G189" s="885"/>
      <c r="H189" s="885"/>
      <c r="I189" s="887"/>
      <c r="J189" s="887"/>
      <c r="K189" s="313"/>
      <c r="L189" s="900"/>
      <c r="M189" s="900"/>
      <c r="N189" s="887"/>
      <c r="O189" s="887"/>
      <c r="P189" s="136"/>
      <c r="Q189" s="136"/>
    </row>
    <row r="190" spans="3:17" ht="12.75" customHeight="1" x14ac:dyDescent="0.15">
      <c r="C190" s="37"/>
      <c r="D190" s="313"/>
      <c r="E190" s="885"/>
      <c r="F190" s="885"/>
      <c r="G190" s="885"/>
      <c r="H190" s="885"/>
      <c r="I190" s="887"/>
      <c r="J190" s="887"/>
      <c r="K190" s="313"/>
      <c r="L190" s="900"/>
      <c r="M190" s="900"/>
      <c r="N190" s="887"/>
      <c r="O190" s="887"/>
      <c r="P190" s="136"/>
      <c r="Q190" s="136"/>
    </row>
    <row r="191" spans="3:17" ht="12.75" customHeight="1" x14ac:dyDescent="0.15">
      <c r="C191" s="37"/>
      <c r="D191" s="317"/>
      <c r="E191" s="895"/>
      <c r="F191" s="895"/>
      <c r="G191" s="895"/>
      <c r="H191" s="895"/>
      <c r="I191" s="896"/>
      <c r="J191" s="896"/>
      <c r="K191" s="317"/>
      <c r="L191" s="901"/>
      <c r="M191" s="901"/>
      <c r="N191" s="896"/>
      <c r="O191" s="896"/>
      <c r="P191" s="136"/>
      <c r="Q191" s="136"/>
    </row>
    <row r="192" spans="3:17" ht="12.75" customHeight="1" x14ac:dyDescent="0.2">
      <c r="C192" s="37"/>
      <c r="D192" s="902" t="s">
        <v>17</v>
      </c>
      <c r="E192" s="902"/>
      <c r="F192" s="902"/>
      <c r="G192" s="902"/>
      <c r="H192" s="902"/>
      <c r="I192" s="903">
        <f>ROUND(SUM(I174:J191),0)</f>
        <v>350000</v>
      </c>
      <c r="J192" s="903"/>
      <c r="K192" s="902" t="s">
        <v>21</v>
      </c>
      <c r="L192" s="902"/>
      <c r="M192" s="902"/>
      <c r="N192" s="904">
        <f>ROUND(SUM(N174:O191),0)</f>
        <v>35000</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607</v>
      </c>
      <c r="E194" s="905"/>
      <c r="F194" s="905"/>
      <c r="G194" s="905"/>
      <c r="H194" s="905"/>
      <c r="I194" s="906">
        <f>ROUND(SUM(I174:J180),0)</f>
        <v>350000</v>
      </c>
      <c r="J194" s="907"/>
      <c r="K194" s="905" t="s">
        <v>17</v>
      </c>
      <c r="L194" s="905"/>
      <c r="M194" s="905"/>
      <c r="N194" s="904">
        <f>ROUND(I192,0)</f>
        <v>350000</v>
      </c>
      <c r="O194" s="904"/>
      <c r="P194" s="136"/>
      <c r="Q194" s="136"/>
    </row>
    <row r="195" spans="3:17" ht="12.75" customHeight="1" x14ac:dyDescent="0.2">
      <c r="C195" s="37"/>
      <c r="D195" s="905" t="s">
        <v>608</v>
      </c>
      <c r="E195" s="905"/>
      <c r="F195" s="905"/>
      <c r="G195" s="905"/>
      <c r="H195" s="905"/>
      <c r="I195" s="906">
        <f>ROUND(IF(IM!Q7="Boleta",0,IF((Q104+Q106)&lt;=(IM!R47*IM!O72),D127-(Q103+Q104+Q105+Q106),D127-(IM!R47*IM!O72)+Q103+Q105)),0)</f>
        <v>350000</v>
      </c>
      <c r="J195" s="907"/>
      <c r="K195" s="905" t="s">
        <v>7</v>
      </c>
      <c r="L195" s="905"/>
      <c r="M195" s="905"/>
      <c r="N195" s="904">
        <f>ROUND(N174+N175+N176+N177+N178+N179+N180+N183,0)</f>
        <v>35000</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0</v>
      </c>
      <c r="E197" s="911"/>
      <c r="F197" s="906">
        <f ca="1">ROUND(Q126,0)</f>
        <v>0</v>
      </c>
      <c r="G197" s="911"/>
      <c r="H197" s="911"/>
      <c r="I197" s="906">
        <f>ROUND(Q123,0)</f>
        <v>0</v>
      </c>
      <c r="J197" s="907"/>
      <c r="K197" s="905" t="s">
        <v>493</v>
      </c>
      <c r="L197" s="905"/>
      <c r="M197" s="905"/>
      <c r="N197" s="904">
        <f>ROUND(N194-N195-N196,0)</f>
        <v>315000</v>
      </c>
      <c r="O197" s="904"/>
      <c r="P197" s="136"/>
      <c r="Q197" s="136"/>
    </row>
    <row r="198" spans="3:17" ht="12.75" customHeight="1" x14ac:dyDescent="0.2">
      <c r="C198" s="37"/>
      <c r="D198" s="318"/>
      <c r="E198" s="319"/>
      <c r="F198" s="914" t="s">
        <v>509</v>
      </c>
      <c r="G198" s="914"/>
      <c r="H198" s="914"/>
      <c r="I198" s="906">
        <f>N199+N196</f>
        <v>315000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315000</v>
      </c>
      <c r="O199" s="904"/>
      <c r="P199" s="136"/>
      <c r="Q199" s="136"/>
    </row>
    <row r="200" spans="3:17" ht="12.75" customHeight="1" x14ac:dyDescent="0.2">
      <c r="C200" s="37"/>
      <c r="D200" s="318"/>
      <c r="E200" s="319"/>
      <c r="F200" s="318"/>
      <c r="G200" s="319"/>
      <c r="H200" s="319"/>
      <c r="I200" s="318"/>
      <c r="J200" s="319"/>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TRESCIENTOS QUINCE MIL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04"/>
      <c r="E210" s="304"/>
      <c r="F210" s="304"/>
      <c r="G210" s="304"/>
      <c r="H210" s="304"/>
      <c r="I210" s="304"/>
      <c r="J210" s="304"/>
      <c r="K210" s="304"/>
      <c r="L210" s="304"/>
      <c r="M210" s="304"/>
      <c r="N210" s="304"/>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10.159.159-1</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315000</v>
      </c>
      <c r="D228" s="648" t="str">
        <f>W231&amp;X231&amp;W232&amp;X232&amp;W233&amp;X233&amp;W234&amp;X234&amp;W235&amp;X235&amp;W236&amp;X236&amp;W237&amp;X237&amp;W238&amp;X238&amp;W239&amp;X239&amp;" "&amp;IF(W240="UN","Peso",D225)&amp;" "&amp;C231&amp;D226</f>
        <v>trescientos quince mil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315000</v>
      </c>
      <c r="D229" s="48" t="str">
        <f>"SON: " &amp; UPPER(D228)</f>
        <v>SON: TRESCIENTOS QUINCE MIL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0">VALUE(E233)</f>
        <v>0</v>
      </c>
      <c r="G233" s="48">
        <f>IF(G232=0,0,IF(G232&lt;&gt;0,MID(C228,2,1),C228/1000000))</f>
        <v>0</v>
      </c>
      <c r="H233" s="56">
        <f t="shared" si="20"/>
        <v>0</v>
      </c>
      <c r="I233" s="227">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138</v>
      </c>
      <c r="Y234" s="48"/>
      <c r="Z234" s="48"/>
      <c r="AA234" s="48"/>
    </row>
    <row r="235" spans="1:27" hidden="1" x14ac:dyDescent="0.15">
      <c r="A235" s="48"/>
      <c r="B235" s="48"/>
      <c r="C235" s="48"/>
      <c r="D235" s="48" t="s">
        <v>139</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7">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x14ac:dyDescent="0.15">
      <c r="A236" s="48"/>
      <c r="B236" s="48"/>
      <c r="C236" s="48"/>
      <c r="D236" s="48" t="s">
        <v>140</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7">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x14ac:dyDescent="0.15">
      <c r="A237" s="48"/>
      <c r="B237" s="48"/>
      <c r="C237" s="48"/>
      <c r="D237" s="48" t="s">
        <v>141</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19"/>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x14ac:dyDescent="0.15">
      <c r="A239" s="48"/>
      <c r="B239" s="48"/>
      <c r="C239" s="48"/>
      <c r="D239" s="48" t="s">
        <v>143</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19"/>
        <v>0</v>
      </c>
      <c r="W239" s="48" t="str">
        <f>IF(C228&lt;1,"CERO ",IF(V239=0,"",IF(Y239&lt;10,VLOOKUP(V239,B243:C251,2,FALSE),IF(Y239&lt;=30,"",VLOOKUP(V239,B243:C251,2,FALSE)))))</f>
        <v/>
      </c>
      <c r="X239" s="48"/>
      <c r="Y239" s="48">
        <f>+V238*10+V239</f>
        <v>0</v>
      </c>
      <c r="Z239" s="54">
        <f>+V237*100+V238*10+V239*1</f>
        <v>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2">+B244+1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2"/>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2"/>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2"/>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2"/>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2"/>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2"/>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2"/>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2"/>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2"/>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2"/>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2"/>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2"/>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2"/>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2"/>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2"/>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2"/>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2"/>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2"/>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2"/>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2"/>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2"/>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2"/>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2"/>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2"/>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2"/>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2"/>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Q/VRfL0ZPE6UbwLfiEVXidsI54iGTcKe4HEkOgRQwb8YVErJjHcB0i9Vmq8avOSqfZ1bOtx2Wz6ixNdBMVTAqg==" saltValue="o5eo8Dh6Z59oK4EFO0izO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6:H186"/>
    <mergeCell ref="I186:J186"/>
    <mergeCell ref="L186:M186"/>
    <mergeCell ref="N186:O186"/>
    <mergeCell ref="L183:M183"/>
    <mergeCell ref="N183:O183"/>
    <mergeCell ref="E184:H184"/>
    <mergeCell ref="I184:J184"/>
    <mergeCell ref="L184:M184"/>
    <mergeCell ref="N184:O184"/>
    <mergeCell ref="E183:H183"/>
    <mergeCell ref="I183:J183"/>
    <mergeCell ref="L181:M181"/>
    <mergeCell ref="N181:O181"/>
    <mergeCell ref="L182:M182"/>
    <mergeCell ref="N182:O182"/>
    <mergeCell ref="L179:M179"/>
    <mergeCell ref="N179:O179"/>
    <mergeCell ref="L180:M180"/>
    <mergeCell ref="N180:O180"/>
    <mergeCell ref="E185:H185"/>
    <mergeCell ref="I185:J185"/>
    <mergeCell ref="L185:M185"/>
    <mergeCell ref="N185:O185"/>
    <mergeCell ref="E179:H179"/>
    <mergeCell ref="I179:J179"/>
    <mergeCell ref="E180:H180"/>
    <mergeCell ref="I180:J180"/>
    <mergeCell ref="E181:H181"/>
    <mergeCell ref="I181:J181"/>
    <mergeCell ref="E182:H182"/>
    <mergeCell ref="I182:J182"/>
    <mergeCell ref="L177:M177"/>
    <mergeCell ref="N177:O177"/>
    <mergeCell ref="L178:M178"/>
    <mergeCell ref="N178:O178"/>
    <mergeCell ref="E175:H175"/>
    <mergeCell ref="I175:J175"/>
    <mergeCell ref="L175:M175"/>
    <mergeCell ref="N175:O175"/>
    <mergeCell ref="L176:M176"/>
    <mergeCell ref="N176:O176"/>
    <mergeCell ref="E176:H176"/>
    <mergeCell ref="I176:J176"/>
    <mergeCell ref="E177:H177"/>
    <mergeCell ref="I177:J177"/>
    <mergeCell ref="E178:H178"/>
    <mergeCell ref="I178:J178"/>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disablePrompts="1"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315000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350000</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0</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BOLETA NO APLICA GRATIFICACIONES</v>
      </c>
      <c r="L100" s="804"/>
      <c r="M100" s="805"/>
      <c r="N100" s="823">
        <f>ROUND(SUM(P94:R99),0)</f>
        <v>0</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1-. NO COTIZA</v>
      </c>
      <c r="O103" s="719"/>
      <c r="P103" s="128">
        <f>LOOKUP((N103),ListadoAFP,IM!B135:B144)</f>
        <v>0</v>
      </c>
      <c r="Q103" s="704">
        <f>ROUND(IF(T$145="3-. BOLETA",0,IF(D$127&gt;IM!O69,IM!O69*P103,D$127*P103)),0)</f>
        <v>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11-. NO COTIZA</v>
      </c>
      <c r="O104" s="719"/>
      <c r="P104" s="63">
        <f>LOOKUP((N104),ListadoIsapres,IM!D135:D154)</f>
        <v>0</v>
      </c>
      <c r="Q104" s="704">
        <f>ROUND(IF(T$145="3-. BOLETA",0,IF(D$127&gt;IM!O69,IM!O69*P104,D$127*P104)),0)</f>
        <v>0</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3-. BOLETA</v>
      </c>
      <c r="O105" s="719"/>
      <c r="P105" s="63">
        <f>LOOKUP((N105),TipoContrato,IM!F135:F139)</f>
        <v>0</v>
      </c>
      <c r="Q105" s="704">
        <f>ROUND(IF(T$145="3-. BOLETA",0,IF(D$127&gt;IM!O71,IM!O71*P105,D$127*P105)),0)</f>
        <v>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c r="L110" s="757"/>
      <c r="M110" s="757"/>
      <c r="N110" s="722"/>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0</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0</v>
      </c>
      <c r="E115" s="705"/>
      <c r="F115" s="720" t="s">
        <v>232</v>
      </c>
      <c r="G115" s="720"/>
      <c r="H115" s="720"/>
      <c r="I115" s="720"/>
      <c r="J115" s="12"/>
      <c r="K115" s="724" t="s">
        <v>357</v>
      </c>
      <c r="L115" s="726"/>
      <c r="M115" s="343">
        <f>ROUND(IF(T$145="3-. BOLETA",0,IM!R47*Q113),0)</f>
        <v>0</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35000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1-. NO COTIZA</v>
      </c>
      <c r="O123" s="703"/>
      <c r="P123" s="140">
        <f>IF($T$145&lt;&gt;IM!$E$138,LOOKUP($N$123,IM!$A$48:$B$57,IM!$D$48:$D$57),0)</f>
        <v>0</v>
      </c>
      <c r="Q123" s="704">
        <f>IF($D$127&lt;IM!$O$69,$D$127*$P$123,IM!$O$69*$P$123)</f>
        <v>0</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0</v>
      </c>
      <c r="E126" s="668"/>
      <c r="F126" s="732"/>
      <c r="G126" s="733"/>
      <c r="H126" s="733"/>
      <c r="I126" s="734"/>
      <c r="J126" s="12"/>
      <c r="K126" s="727" t="s">
        <v>322</v>
      </c>
      <c r="L126" s="728"/>
      <c r="M126" s="729"/>
      <c r="N126" s="765" t="str">
        <f>UPPER(T$145)</f>
        <v>3-. BOLETA</v>
      </c>
      <c r="O126" s="767"/>
      <c r="P126" s="140">
        <f ca="1">LOOKUP(($N$126),TipoContrato,IM!$F$140:$F$143)</f>
        <v>0</v>
      </c>
      <c r="Q126" s="704">
        <f ca="1">IF($D$127&gt;IM!$O$71,IM!$O$71*$P$126,$D$127*$P$126)</f>
        <v>0</v>
      </c>
      <c r="R126" s="705"/>
      <c r="S126" s="61"/>
      <c r="T126" s="774" t="s">
        <v>215</v>
      </c>
      <c r="U126" s="775"/>
      <c r="V126" s="166">
        <v>10</v>
      </c>
      <c r="W126" s="64" t="str">
        <f t="shared" si="18"/>
        <v>Logrado</v>
      </c>
    </row>
    <row r="127" spans="1:23" ht="10.5" customHeight="1" x14ac:dyDescent="0.2">
      <c r="A127" s="849" t="s">
        <v>18</v>
      </c>
      <c r="B127" s="894"/>
      <c r="C127" s="850"/>
      <c r="D127" s="831">
        <f>ROUND((D123+D124+D126)-D125,0)</f>
        <v>350000</v>
      </c>
      <c r="E127" s="831"/>
      <c r="F127" s="732"/>
      <c r="G127" s="733"/>
      <c r="H127" s="733"/>
      <c r="I127" s="734"/>
      <c r="J127" s="12"/>
      <c r="K127" s="669" t="s">
        <v>323</v>
      </c>
      <c r="L127" s="669"/>
      <c r="M127" s="669"/>
      <c r="N127" s="699" t="s">
        <v>324</v>
      </c>
      <c r="O127" s="700"/>
      <c r="P127" s="228">
        <v>9.4999999999999998E-3</v>
      </c>
      <c r="Q127" s="704">
        <f>ROUND(IF(T$145="3-. BOLETA",0,IF(D$127&gt;IM!$O$69,IM!$O$69*$P$127,D$127*$P$127)),0)</f>
        <v>0</v>
      </c>
      <c r="R127" s="705"/>
      <c r="S127" s="60"/>
      <c r="T127" s="774" t="s">
        <v>327</v>
      </c>
      <c r="U127" s="775"/>
      <c r="V127" s="166">
        <v>10</v>
      </c>
      <c r="W127" s="64" t="str">
        <f t="shared" si="18"/>
        <v>Logrado</v>
      </c>
    </row>
    <row r="128" spans="1:23" ht="10.5" customHeight="1" x14ac:dyDescent="0.2">
      <c r="A128" s="216" t="s">
        <v>61</v>
      </c>
      <c r="B128" s="849" t="s">
        <v>58</v>
      </c>
      <c r="C128" s="850"/>
      <c r="D128" s="668">
        <f>ROUND((D120),0)</f>
        <v>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350000</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35000</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14583.333333333332</v>
      </c>
      <c r="R131" s="861"/>
    </row>
    <row r="132" spans="1:23" ht="10.5" customHeight="1" x14ac:dyDescent="0.2">
      <c r="A132" s="749" t="s">
        <v>326</v>
      </c>
      <c r="B132" s="750"/>
      <c r="C132" s="751"/>
      <c r="D132" s="864">
        <f>(ROUND(N113,0))</f>
        <v>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315000</v>
      </c>
      <c r="E133" s="831"/>
      <c r="F133" s="732"/>
      <c r="G133" s="733"/>
      <c r="H133" s="733"/>
      <c r="I133" s="734"/>
      <c r="J133" s="12"/>
      <c r="K133" s="712" t="str">
        <f>IF(T$145="3-. BOLETA","T. A PAGAR (MENOS 10% BOLETA)","TOTAL A PAGAR")</f>
        <v>T. A PAGAR (MENOS 10% BOLETA)</v>
      </c>
      <c r="L133" s="747"/>
      <c r="M133" s="713"/>
      <c r="N133" s="713"/>
      <c r="O133" s="714"/>
      <c r="P133" s="859">
        <f>ROUND(D133,0)</f>
        <v>315000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IM!C34</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IM!F34</f>
        <v>15.151.515-6</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IM!H34</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f>IM!J34</f>
        <v>0</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UPPER(IM!Q34)</f>
        <v>3-. BOLETA</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IM!N34</f>
        <v>Contador General</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IM!AE34</f>
        <v>Administración</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IM!S34</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IM!AC34</f>
        <v>0</v>
      </c>
      <c r="U149" s="644"/>
      <c r="V149" s="645"/>
      <c r="W149" s="645"/>
    </row>
    <row r="150" spans="4:23" x14ac:dyDescent="0.2">
      <c r="Q150" s="641" t="s">
        <v>394</v>
      </c>
      <c r="R150" s="642"/>
      <c r="S150" s="643"/>
      <c r="T150" s="167">
        <f>IM!AA34</f>
        <v>0</v>
      </c>
      <c r="U150" s="644"/>
      <c r="V150" s="645"/>
      <c r="W150" s="645"/>
    </row>
    <row r="151" spans="4:23" ht="10.5" customHeight="1" x14ac:dyDescent="0.2">
      <c r="N151" s="12"/>
      <c r="O151" s="12"/>
      <c r="P151" s="12"/>
      <c r="Q151" s="641" t="s">
        <v>395</v>
      </c>
      <c r="R151" s="642"/>
      <c r="S151" s="643"/>
      <c r="T151" s="167">
        <f>IM!Y34</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UPPER(IM!U34)</f>
        <v>1-. NO COTIZA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UPPER(IM!W34)</f>
        <v>11-. NO COTIZA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IM!L34</f>
        <v>41172</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COMPROBANTE DE PAGO</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15.151.515-6</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41172</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3-. BOLETA</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Contador General</v>
      </c>
      <c r="H169" s="683"/>
      <c r="I169" s="683"/>
      <c r="J169" s="683"/>
      <c r="K169" s="683"/>
      <c r="L169" s="146"/>
      <c r="M169" s="692"/>
      <c r="N169" s="693"/>
      <c r="O169" s="694"/>
      <c r="P169" s="136"/>
      <c r="Q169" s="136"/>
    </row>
    <row r="170" spans="4:17" ht="12.75" customHeight="1" x14ac:dyDescent="0.2">
      <c r="D170" s="666" t="s">
        <v>332</v>
      </c>
      <c r="E170" s="667"/>
      <c r="F170" s="667"/>
      <c r="G170" s="686" t="str">
        <f>T147</f>
        <v>Administración</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c r="L174" s="885" t="s">
        <v>347</v>
      </c>
      <c r="M174" s="885"/>
      <c r="N174" s="886">
        <f>ROUND($P$118,0)</f>
        <v>35000</v>
      </c>
      <c r="O174" s="887"/>
      <c r="P174" s="136"/>
      <c r="Q174" s="136"/>
    </row>
    <row r="175" spans="4:17" ht="12.75" customHeight="1" x14ac:dyDescent="0.15">
      <c r="D175" s="315">
        <f>N95</f>
        <v>0</v>
      </c>
      <c r="E175" s="885" t="s">
        <v>25</v>
      </c>
      <c r="F175" s="885"/>
      <c r="G175" s="885"/>
      <c r="H175" s="885"/>
      <c r="I175" s="886">
        <f>ROUND(P95,0)</f>
        <v>0</v>
      </c>
      <c r="J175" s="887"/>
      <c r="K175" s="314"/>
      <c r="L175" s="885" t="s">
        <v>444</v>
      </c>
      <c r="M175" s="885"/>
      <c r="N175" s="886">
        <f>D111+P111+Q115+P117+P119+P120</f>
        <v>0</v>
      </c>
      <c r="O175" s="887"/>
      <c r="P175" s="136"/>
      <c r="Q175" s="136"/>
    </row>
    <row r="176" spans="4:17" ht="12.75" customHeight="1" x14ac:dyDescent="0.15">
      <c r="D176" s="315"/>
      <c r="E176" s="885" t="s">
        <v>606</v>
      </c>
      <c r="F176" s="885"/>
      <c r="G176" s="885"/>
      <c r="H176" s="885"/>
      <c r="I176" s="886">
        <f>P96+P97+P98+P99+D120</f>
        <v>0</v>
      </c>
      <c r="J176" s="887"/>
      <c r="K176" s="316"/>
      <c r="L176" s="885"/>
      <c r="M176" s="885"/>
      <c r="N176" s="886"/>
      <c r="O176" s="887"/>
      <c r="P176" s="136"/>
      <c r="Q176" s="136"/>
    </row>
    <row r="177" spans="3:17" ht="12.75" customHeight="1" x14ac:dyDescent="0.15">
      <c r="D177" s="325"/>
      <c r="E177" s="885"/>
      <c r="F177" s="885"/>
      <c r="G177" s="885"/>
      <c r="H177" s="885"/>
      <c r="I177" s="886"/>
      <c r="J177" s="887"/>
      <c r="K177" s="314"/>
      <c r="L177" s="885"/>
      <c r="M177" s="885"/>
      <c r="N177" s="886"/>
      <c r="O177" s="887"/>
      <c r="P177" s="136"/>
      <c r="Q177" s="136"/>
    </row>
    <row r="178" spans="3:17" ht="12.75" customHeight="1" x14ac:dyDescent="0.15">
      <c r="D178" s="325"/>
      <c r="E178" s="885"/>
      <c r="F178" s="885"/>
      <c r="G178" s="885"/>
      <c r="H178" s="885"/>
      <c r="I178" s="886"/>
      <c r="J178" s="887"/>
      <c r="K178" s="315"/>
      <c r="L178" s="885"/>
      <c r="M178" s="885"/>
      <c r="N178" s="886"/>
      <c r="O178" s="887"/>
      <c r="P178" s="136"/>
      <c r="Q178" s="136"/>
    </row>
    <row r="179" spans="3:17" ht="12.75" customHeight="1" x14ac:dyDescent="0.15">
      <c r="D179" s="325"/>
      <c r="E179" s="885"/>
      <c r="F179" s="885"/>
      <c r="G179" s="885"/>
      <c r="H179" s="885"/>
      <c r="I179" s="886"/>
      <c r="J179" s="887"/>
      <c r="K179" s="314"/>
      <c r="L179" s="885"/>
      <c r="M179" s="885"/>
      <c r="N179" s="886"/>
      <c r="O179" s="887"/>
      <c r="P179" s="136"/>
      <c r="Q179" s="136"/>
    </row>
    <row r="180" spans="3:17" ht="12.75" customHeight="1" x14ac:dyDescent="0.15">
      <c r="D180" s="325"/>
      <c r="E180" s="885"/>
      <c r="F180" s="885"/>
      <c r="G180" s="885"/>
      <c r="H180" s="885"/>
      <c r="I180" s="886"/>
      <c r="J180" s="887"/>
      <c r="K180" s="325"/>
      <c r="L180" s="885"/>
      <c r="M180" s="885"/>
      <c r="N180" s="886"/>
      <c r="O180" s="887"/>
      <c r="P180" s="136"/>
      <c r="Q180" s="136"/>
    </row>
    <row r="181" spans="3:17" ht="12.75" customHeight="1" x14ac:dyDescent="0.15">
      <c r="D181" s="325"/>
      <c r="E181" s="885"/>
      <c r="F181" s="885"/>
      <c r="G181" s="885"/>
      <c r="H181" s="885"/>
      <c r="I181" s="886"/>
      <c r="J181" s="887"/>
      <c r="K181" s="325"/>
      <c r="L181" s="885"/>
      <c r="M181" s="885"/>
      <c r="N181" s="897"/>
      <c r="O181" s="887"/>
      <c r="P181" s="136"/>
      <c r="Q181" s="136"/>
    </row>
    <row r="182" spans="3:17" ht="12.75" customHeight="1" x14ac:dyDescent="0.15">
      <c r="D182" s="325"/>
      <c r="E182" s="885"/>
      <c r="F182" s="885"/>
      <c r="G182" s="885"/>
      <c r="H182" s="885"/>
      <c r="I182" s="886"/>
      <c r="J182" s="887"/>
      <c r="K182" s="325"/>
      <c r="L182" s="885"/>
      <c r="M182" s="885"/>
      <c r="N182" s="897"/>
      <c r="O182" s="887"/>
      <c r="P182" s="136"/>
      <c r="Q182" s="136"/>
    </row>
    <row r="183" spans="3:17" ht="12.75" customHeight="1" x14ac:dyDescent="0.15">
      <c r="C183" s="37"/>
      <c r="D183" s="325"/>
      <c r="E183" s="885"/>
      <c r="F183" s="885"/>
      <c r="G183" s="885"/>
      <c r="H183" s="885"/>
      <c r="I183" s="886"/>
      <c r="J183" s="887"/>
      <c r="K183" s="325"/>
      <c r="L183" s="885"/>
      <c r="M183" s="885"/>
      <c r="N183" s="886"/>
      <c r="O183" s="887"/>
      <c r="P183" s="136"/>
      <c r="Q183" s="136"/>
    </row>
    <row r="184" spans="3:17" ht="12.75" customHeight="1" x14ac:dyDescent="0.15">
      <c r="C184" s="37"/>
      <c r="D184" s="325"/>
      <c r="E184" s="885"/>
      <c r="F184" s="885"/>
      <c r="G184" s="885"/>
      <c r="H184" s="885"/>
      <c r="I184" s="886"/>
      <c r="J184" s="887"/>
      <c r="K184" s="325"/>
      <c r="L184" s="885"/>
      <c r="M184" s="885"/>
      <c r="N184" s="897"/>
      <c r="O184" s="887"/>
      <c r="P184" s="136"/>
      <c r="Q184" s="136"/>
    </row>
    <row r="185" spans="3:17" ht="12.75" customHeight="1" x14ac:dyDescent="0.15">
      <c r="C185" s="37"/>
      <c r="D185" s="325"/>
      <c r="E185" s="885"/>
      <c r="F185" s="885"/>
      <c r="G185" s="885"/>
      <c r="H185" s="885"/>
      <c r="I185" s="886"/>
      <c r="J185" s="887"/>
      <c r="K185" s="315"/>
      <c r="L185" s="885"/>
      <c r="M185" s="885"/>
      <c r="N185" s="886"/>
      <c r="O185" s="887"/>
      <c r="P185" s="136"/>
      <c r="Q185" s="136"/>
    </row>
    <row r="186" spans="3:17" ht="12.75" customHeight="1" x14ac:dyDescent="0.15">
      <c r="C186" s="37"/>
      <c r="D186" s="325"/>
      <c r="E186" s="885"/>
      <c r="F186" s="885"/>
      <c r="G186" s="885"/>
      <c r="H186" s="885"/>
      <c r="I186" s="886"/>
      <c r="J186" s="887"/>
      <c r="K186" s="325"/>
      <c r="L186" s="885"/>
      <c r="M186" s="885"/>
      <c r="N186" s="886"/>
      <c r="O186" s="887"/>
      <c r="P186" s="136"/>
      <c r="Q186" s="136"/>
    </row>
    <row r="187" spans="3:17" ht="12.75" customHeight="1" x14ac:dyDescent="0.15">
      <c r="C187" s="37"/>
      <c r="D187" s="325"/>
      <c r="E187" s="885"/>
      <c r="F187" s="885"/>
      <c r="G187" s="885"/>
      <c r="H187" s="885"/>
      <c r="I187" s="887"/>
      <c r="J187" s="887"/>
      <c r="K187" s="325"/>
      <c r="L187" s="887"/>
      <c r="M187" s="887"/>
      <c r="N187" s="886"/>
      <c r="O187" s="887"/>
      <c r="P187" s="136"/>
      <c r="Q187" s="136"/>
    </row>
    <row r="188" spans="3:17" ht="12.75" customHeight="1" x14ac:dyDescent="0.15">
      <c r="C188" s="37"/>
      <c r="D188" s="325"/>
      <c r="E188" s="885"/>
      <c r="F188" s="885"/>
      <c r="G188" s="885"/>
      <c r="H188" s="885"/>
      <c r="I188" s="887"/>
      <c r="J188" s="887"/>
      <c r="K188" s="325"/>
      <c r="L188" s="900"/>
      <c r="M188" s="900"/>
      <c r="N188" s="887"/>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350000</v>
      </c>
      <c r="J192" s="903"/>
      <c r="K192" s="902" t="s">
        <v>21</v>
      </c>
      <c r="L192" s="902"/>
      <c r="M192" s="902"/>
      <c r="N192" s="904">
        <f>ROUND(SUM(N174:O191),0)</f>
        <v>35000</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607</v>
      </c>
      <c r="E194" s="905"/>
      <c r="F194" s="905"/>
      <c r="G194" s="905"/>
      <c r="H194" s="905"/>
      <c r="I194" s="906">
        <f>ROUND(SUM(I174:J180),0)</f>
        <v>350000</v>
      </c>
      <c r="J194" s="907"/>
      <c r="K194" s="905" t="s">
        <v>17</v>
      </c>
      <c r="L194" s="905"/>
      <c r="M194" s="905"/>
      <c r="N194" s="904">
        <f>ROUND(I192,0)</f>
        <v>350000</v>
      </c>
      <c r="O194" s="904"/>
      <c r="P194" s="136"/>
      <c r="Q194" s="136"/>
    </row>
    <row r="195" spans="3:17" ht="12.75" customHeight="1" x14ac:dyDescent="0.2">
      <c r="C195" s="37"/>
      <c r="D195" s="905" t="s">
        <v>608</v>
      </c>
      <c r="E195" s="905"/>
      <c r="F195" s="905"/>
      <c r="G195" s="905"/>
      <c r="H195" s="905"/>
      <c r="I195" s="906">
        <f>ROUND(IF(IM!Q7="Boleta",0,IF((Q104+Q106)&lt;=(IM!R47*IM!O72),D127-(Q103+Q104+Q105+Q106),D127-(IM!R47*IM!O72)+Q103+Q105)),0)</f>
        <v>350000</v>
      </c>
      <c r="J195" s="907"/>
      <c r="K195" s="905" t="s">
        <v>7</v>
      </c>
      <c r="L195" s="905"/>
      <c r="M195" s="905"/>
      <c r="N195" s="904">
        <f>ROUND(N174+N175+N176+N177+N178+N179+N180+N183,0)</f>
        <v>35000</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0</v>
      </c>
      <c r="E197" s="911"/>
      <c r="F197" s="906">
        <f ca="1">ROUND(Q126,0)</f>
        <v>0</v>
      </c>
      <c r="G197" s="911"/>
      <c r="H197" s="911"/>
      <c r="I197" s="906">
        <f>ROUND(Q123,0)</f>
        <v>0</v>
      </c>
      <c r="J197" s="907"/>
      <c r="K197" s="905" t="s">
        <v>493</v>
      </c>
      <c r="L197" s="905"/>
      <c r="M197" s="905"/>
      <c r="N197" s="904">
        <f>ROUND(N194-N195-N196,0)</f>
        <v>315000</v>
      </c>
      <c r="O197" s="904"/>
      <c r="P197" s="136"/>
      <c r="Q197" s="136"/>
    </row>
    <row r="198" spans="3:17" ht="12.75" customHeight="1" x14ac:dyDescent="0.2">
      <c r="C198" s="37"/>
      <c r="D198" s="323"/>
      <c r="E198" s="324"/>
      <c r="F198" s="914" t="s">
        <v>509</v>
      </c>
      <c r="G198" s="914"/>
      <c r="H198" s="914"/>
      <c r="I198" s="906">
        <f>N199+N196</f>
        <v>315000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315000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TRESCIENTOS QUINCE MIL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15.151.515-6</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315000</v>
      </c>
      <c r="D228" s="648" t="str">
        <f>W231&amp;X231&amp;W232&amp;X232&amp;W233&amp;X233&amp;W234&amp;X234&amp;W235&amp;X235&amp;W236&amp;X236&amp;W237&amp;X237&amp;W238&amp;X238&amp;W239&amp;X239&amp;" "&amp;IF(W240="UN","Peso",D225)&amp;" "&amp;C231&amp;D226</f>
        <v>trescientos quince mil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315000</v>
      </c>
      <c r="D229" s="48" t="str">
        <f>"SON: " &amp; UPPER(D228)</f>
        <v>SON: TRESCIENTOS QUINCE MIL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0">VALUE(E233)</f>
        <v>0</v>
      </c>
      <c r="G233" s="48">
        <f>IF(G232=0,0,IF(G232&lt;&gt;0,MID(C228,2,1),C228/1000000))</f>
        <v>0</v>
      </c>
      <c r="H233" s="56">
        <f t="shared" si="20"/>
        <v>0</v>
      </c>
      <c r="I233" s="227">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138</v>
      </c>
      <c r="Y234" s="48"/>
      <c r="Z234" s="48"/>
      <c r="AA234" s="48"/>
    </row>
    <row r="235" spans="1:27" hidden="1" x14ac:dyDescent="0.15">
      <c r="A235" s="48"/>
      <c r="B235" s="48"/>
      <c r="C235" s="48"/>
      <c r="D235" s="48" t="s">
        <v>139</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7">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x14ac:dyDescent="0.15">
      <c r="A236" s="48"/>
      <c r="B236" s="48"/>
      <c r="C236" s="48"/>
      <c r="D236" s="48" t="s">
        <v>140</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7">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x14ac:dyDescent="0.15">
      <c r="A237" s="48"/>
      <c r="B237" s="48"/>
      <c r="C237" s="48"/>
      <c r="D237" s="48" t="s">
        <v>141</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19"/>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x14ac:dyDescent="0.15">
      <c r="A239" s="48"/>
      <c r="B239" s="48"/>
      <c r="C239" s="48"/>
      <c r="D239" s="48" t="s">
        <v>143</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19"/>
        <v>0</v>
      </c>
      <c r="W239" s="48" t="str">
        <f>IF(C228&lt;1,"CERO ",IF(V239=0,"",IF(Y239&lt;10,VLOOKUP(V239,B243:C251,2,FALSE),IF(Y239&lt;=30,"",VLOOKUP(V239,B243:C251,2,FALSE)))))</f>
        <v/>
      </c>
      <c r="X239" s="48"/>
      <c r="Y239" s="48">
        <f>+V238*10+V239</f>
        <v>0</v>
      </c>
      <c r="Z239" s="54">
        <f>+V237*100+V238*10+V239*1</f>
        <v>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2">+B244+1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2"/>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2"/>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2"/>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2"/>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2"/>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2"/>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2"/>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2"/>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2"/>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2"/>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2"/>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2"/>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2"/>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2"/>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2"/>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2"/>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2"/>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2"/>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2"/>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2"/>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2"/>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2"/>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2"/>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2"/>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2"/>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2"/>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9qjbQITLGEbyTohdvo5kB1YRTkdL4IjB8aP7cCZGeFoTR09dFOUHKdhomgxRTDCTsyU2w6lzvlj8gnTyj1NS1g==" saltValue="fxew7sILn7Dr8e7je6/bOw=="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315000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350000</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0</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BOLETA NO APLICA GRATIFICACIONES</v>
      </c>
      <c r="L100" s="804"/>
      <c r="M100" s="805"/>
      <c r="N100" s="823">
        <f>ROUND(SUM(P94:R99),0)</f>
        <v>0</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1-. NO COTIZA</v>
      </c>
      <c r="O103" s="719"/>
      <c r="P103" s="128">
        <f>LOOKUP((N103),ListadoAFP,IM!B135:B144)</f>
        <v>0</v>
      </c>
      <c r="Q103" s="704">
        <f>ROUND(IF(T$145="3-. BOLETA",0,IF(D$127&gt;IM!O69,IM!O69*P103,D$127*P103)),0)</f>
        <v>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11-. NO COTIZA</v>
      </c>
      <c r="O104" s="719"/>
      <c r="P104" s="63">
        <f>LOOKUP((N104),ListadoIsapres,IM!D135:D154)</f>
        <v>0</v>
      </c>
      <c r="Q104" s="704">
        <f>ROUND(IF(T$145="3-. BOLETA",0,IF(D$127&gt;IM!O69,IM!O69*P104,D$127*P104)),0)</f>
        <v>0</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3-. BOLETA</v>
      </c>
      <c r="O105" s="719"/>
      <c r="P105" s="63">
        <f>LOOKUP((N105),TipoContrato,IM!F135:F139)</f>
        <v>0</v>
      </c>
      <c r="Q105" s="704">
        <f>ROUND(IF(T$145="3-. BOLETA",0,IF(D$127&gt;IM!O71,IM!O71*P105,D$127*P105)),0)</f>
        <v>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c r="L110" s="757"/>
      <c r="M110" s="757"/>
      <c r="N110" s="722"/>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0</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0</v>
      </c>
      <c r="E115" s="705"/>
      <c r="F115" s="720" t="s">
        <v>232</v>
      </c>
      <c r="G115" s="720"/>
      <c r="H115" s="720"/>
      <c r="I115" s="720"/>
      <c r="J115" s="12"/>
      <c r="K115" s="724" t="s">
        <v>357</v>
      </c>
      <c r="L115" s="726"/>
      <c r="M115" s="343">
        <f>ROUND(IF(T$145="3-. BOLETA",0,IM!R47*Q113),0)</f>
        <v>0</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35000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1-. NO COTIZA</v>
      </c>
      <c r="O123" s="703"/>
      <c r="P123" s="140">
        <f>IF($T$145&lt;&gt;IM!$E$138,LOOKUP($N$123,IM!$A$48:$B$57,IM!$D$48:$D$57),0)</f>
        <v>0</v>
      </c>
      <c r="Q123" s="704">
        <f>IF($D$127&lt;IM!$O$69,$D$127*$P$123,IM!$O$69*$P$123)</f>
        <v>0</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0</v>
      </c>
      <c r="E126" s="668"/>
      <c r="F126" s="732"/>
      <c r="G126" s="733"/>
      <c r="H126" s="733"/>
      <c r="I126" s="734"/>
      <c r="J126" s="12"/>
      <c r="K126" s="727" t="s">
        <v>322</v>
      </c>
      <c r="L126" s="728"/>
      <c r="M126" s="729"/>
      <c r="N126" s="765" t="str">
        <f>UPPER(T$145)</f>
        <v>3-. BOLETA</v>
      </c>
      <c r="O126" s="767"/>
      <c r="P126" s="140">
        <f ca="1">LOOKUP(($N$126),TipoContrato,IM!$F$140:$F$143)</f>
        <v>0</v>
      </c>
      <c r="Q126" s="704">
        <f ca="1">IF($D$127&gt;IM!$O$71,IM!$O$71*$P$126,$D$127*$P$126)</f>
        <v>0</v>
      </c>
      <c r="R126" s="705"/>
      <c r="S126" s="61"/>
      <c r="T126" s="774" t="s">
        <v>215</v>
      </c>
      <c r="U126" s="775"/>
      <c r="V126" s="166">
        <v>10</v>
      </c>
      <c r="W126" s="64" t="str">
        <f t="shared" si="18"/>
        <v>Logrado</v>
      </c>
    </row>
    <row r="127" spans="1:23" ht="10.5" customHeight="1" x14ac:dyDescent="0.2">
      <c r="A127" s="849" t="s">
        <v>18</v>
      </c>
      <c r="B127" s="894"/>
      <c r="C127" s="850"/>
      <c r="D127" s="831">
        <f>ROUND((D123+D124+D126)-D125,0)</f>
        <v>350000</v>
      </c>
      <c r="E127" s="831"/>
      <c r="F127" s="732"/>
      <c r="G127" s="733"/>
      <c r="H127" s="733"/>
      <c r="I127" s="734"/>
      <c r="J127" s="12"/>
      <c r="K127" s="669" t="s">
        <v>323</v>
      </c>
      <c r="L127" s="669"/>
      <c r="M127" s="669"/>
      <c r="N127" s="699" t="s">
        <v>324</v>
      </c>
      <c r="O127" s="700"/>
      <c r="P127" s="228">
        <v>9.4999999999999998E-3</v>
      </c>
      <c r="Q127" s="704">
        <f>ROUND(IF(T$145="3-. BOLETA",0,IF(D$127&gt;IM!$O$69,IM!$O$69*$P$127,D$127*$P$127)),0)</f>
        <v>0</v>
      </c>
      <c r="R127" s="705"/>
      <c r="S127" s="60"/>
      <c r="T127" s="774" t="s">
        <v>327</v>
      </c>
      <c r="U127" s="775"/>
      <c r="V127" s="166">
        <v>10</v>
      </c>
      <c r="W127" s="64" t="str">
        <f t="shared" si="18"/>
        <v>Logrado</v>
      </c>
    </row>
    <row r="128" spans="1:23" ht="10.5" customHeight="1" x14ac:dyDescent="0.2">
      <c r="A128" s="216" t="s">
        <v>61</v>
      </c>
      <c r="B128" s="849" t="s">
        <v>58</v>
      </c>
      <c r="C128" s="850"/>
      <c r="D128" s="668">
        <f>ROUND((D120),0)</f>
        <v>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350000</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35000</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14583.333333333332</v>
      </c>
      <c r="R131" s="861"/>
    </row>
    <row r="132" spans="1:23" ht="10.5" customHeight="1" x14ac:dyDescent="0.2">
      <c r="A132" s="749" t="s">
        <v>326</v>
      </c>
      <c r="B132" s="750"/>
      <c r="C132" s="751"/>
      <c r="D132" s="864">
        <f>(ROUND(N113,0))</f>
        <v>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315000</v>
      </c>
      <c r="E133" s="831"/>
      <c r="F133" s="732"/>
      <c r="G133" s="733"/>
      <c r="H133" s="733"/>
      <c r="I133" s="734"/>
      <c r="J133" s="12"/>
      <c r="K133" s="712" t="str">
        <f>IF(T$145="3-. BOLETA","T. A PAGAR (MENOS 10% BOLETA)","TOTAL A PAGAR")</f>
        <v>T. A PAGAR (MENOS 10% BOLETA)</v>
      </c>
      <c r="L133" s="747"/>
      <c r="M133" s="713"/>
      <c r="N133" s="713"/>
      <c r="O133" s="714"/>
      <c r="P133" s="859">
        <f>ROUND(D133,0)</f>
        <v>315000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IM!C35</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IM!F35</f>
        <v>15.151.515-7</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IM!H35</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f>IM!J35</f>
        <v>0</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UPPER(IM!Q35)</f>
        <v>3-. BOLETA</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IM!N35</f>
        <v>Tornero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IM!AE35</f>
        <v>Tornería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IM!S35</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IM!AC35</f>
        <v>0</v>
      </c>
      <c r="U149" s="644"/>
      <c r="V149" s="645"/>
      <c r="W149" s="645"/>
    </row>
    <row r="150" spans="4:23" x14ac:dyDescent="0.2">
      <c r="Q150" s="641" t="s">
        <v>394</v>
      </c>
      <c r="R150" s="642"/>
      <c r="S150" s="643"/>
      <c r="T150" s="167">
        <f>IM!AA35</f>
        <v>0</v>
      </c>
      <c r="U150" s="644"/>
      <c r="V150" s="645"/>
      <c r="W150" s="645"/>
    </row>
    <row r="151" spans="4:23" ht="10.5" customHeight="1" x14ac:dyDescent="0.2">
      <c r="N151" s="12"/>
      <c r="O151" s="12"/>
      <c r="P151" s="12"/>
      <c r="Q151" s="641" t="s">
        <v>395</v>
      </c>
      <c r="R151" s="642"/>
      <c r="S151" s="643"/>
      <c r="T151" s="167">
        <f>IM!Y35</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UPPER(IM!U35)</f>
        <v>1-. NO COTIZA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UPPER(IM!W35)</f>
        <v>11-. NO COTIZA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IM!L35</f>
        <v>41233</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COMPROBANTE DE PAGO</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15.151.515-7</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41233</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3-. BOLETA</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Tornero</v>
      </c>
      <c r="H169" s="683"/>
      <c r="I169" s="683"/>
      <c r="J169" s="683"/>
      <c r="K169" s="683"/>
      <c r="L169" s="146"/>
      <c r="M169" s="692"/>
      <c r="N169" s="693"/>
      <c r="O169" s="694"/>
      <c r="P169" s="136"/>
      <c r="Q169" s="136"/>
    </row>
    <row r="170" spans="4:17" ht="12.75" customHeight="1" x14ac:dyDescent="0.2">
      <c r="D170" s="666" t="s">
        <v>332</v>
      </c>
      <c r="E170" s="667"/>
      <c r="F170" s="667"/>
      <c r="G170" s="686" t="str">
        <f>T147</f>
        <v>Tornería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c r="L174" s="885" t="s">
        <v>347</v>
      </c>
      <c r="M174" s="885"/>
      <c r="N174" s="886">
        <f>ROUND($P$118,0)</f>
        <v>35000</v>
      </c>
      <c r="O174" s="887"/>
      <c r="P174" s="136"/>
      <c r="Q174" s="136"/>
    </row>
    <row r="175" spans="4:17" ht="12.75" customHeight="1" x14ac:dyDescent="0.15">
      <c r="D175" s="315">
        <f>N95</f>
        <v>0</v>
      </c>
      <c r="E175" s="885" t="s">
        <v>25</v>
      </c>
      <c r="F175" s="885"/>
      <c r="G175" s="885"/>
      <c r="H175" s="885"/>
      <c r="I175" s="886">
        <f>ROUND(P95,0)</f>
        <v>0</v>
      </c>
      <c r="J175" s="887"/>
      <c r="K175" s="314"/>
      <c r="L175" s="885" t="s">
        <v>444</v>
      </c>
      <c r="M175" s="885"/>
      <c r="N175" s="886">
        <f>D111+P111+Q115+P117+P119+P120</f>
        <v>0</v>
      </c>
      <c r="O175" s="887"/>
      <c r="P175" s="136"/>
      <c r="Q175" s="136"/>
    </row>
    <row r="176" spans="4:17" ht="12.75" customHeight="1" x14ac:dyDescent="0.15">
      <c r="D176" s="315"/>
      <c r="E176" s="885" t="s">
        <v>606</v>
      </c>
      <c r="F176" s="885"/>
      <c r="G176" s="885"/>
      <c r="H176" s="885"/>
      <c r="I176" s="886">
        <f>P96+P97+P98+P99+D120</f>
        <v>0</v>
      </c>
      <c r="J176" s="887"/>
      <c r="K176" s="316"/>
      <c r="L176" s="885"/>
      <c r="M176" s="885"/>
      <c r="N176" s="886"/>
      <c r="O176" s="887"/>
      <c r="P176" s="136"/>
      <c r="Q176" s="136"/>
    </row>
    <row r="177" spans="3:17" ht="12.75" customHeight="1" x14ac:dyDescent="0.15">
      <c r="D177" s="325"/>
      <c r="E177" s="885"/>
      <c r="F177" s="885"/>
      <c r="G177" s="885"/>
      <c r="H177" s="885"/>
      <c r="I177" s="886"/>
      <c r="J177" s="887"/>
      <c r="K177" s="314"/>
      <c r="L177" s="885"/>
      <c r="M177" s="885"/>
      <c r="N177" s="886"/>
      <c r="O177" s="887"/>
      <c r="P177" s="136"/>
      <c r="Q177" s="136"/>
    </row>
    <row r="178" spans="3:17" ht="12.75" customHeight="1" x14ac:dyDescent="0.15">
      <c r="D178" s="325"/>
      <c r="E178" s="885"/>
      <c r="F178" s="885"/>
      <c r="G178" s="885"/>
      <c r="H178" s="885"/>
      <c r="I178" s="886"/>
      <c r="J178" s="887"/>
      <c r="K178" s="315"/>
      <c r="L178" s="885"/>
      <c r="M178" s="885"/>
      <c r="N178" s="886"/>
      <c r="O178" s="887"/>
      <c r="P178" s="136"/>
      <c r="Q178" s="136"/>
    </row>
    <row r="179" spans="3:17" ht="12.75" customHeight="1" x14ac:dyDescent="0.15">
      <c r="D179" s="325"/>
      <c r="E179" s="885"/>
      <c r="F179" s="885"/>
      <c r="G179" s="885"/>
      <c r="H179" s="885"/>
      <c r="I179" s="886"/>
      <c r="J179" s="887"/>
      <c r="K179" s="314"/>
      <c r="L179" s="885"/>
      <c r="M179" s="885"/>
      <c r="N179" s="886"/>
      <c r="O179" s="887"/>
      <c r="P179" s="136"/>
      <c r="Q179" s="136"/>
    </row>
    <row r="180" spans="3:17" ht="12.75" customHeight="1" x14ac:dyDescent="0.15">
      <c r="D180" s="325"/>
      <c r="E180" s="885"/>
      <c r="F180" s="885"/>
      <c r="G180" s="885"/>
      <c r="H180" s="885"/>
      <c r="I180" s="886"/>
      <c r="J180" s="887"/>
      <c r="K180" s="325"/>
      <c r="L180" s="885"/>
      <c r="M180" s="885"/>
      <c r="N180" s="886"/>
      <c r="O180" s="887"/>
      <c r="P180" s="136"/>
      <c r="Q180" s="136"/>
    </row>
    <row r="181" spans="3:17" ht="12.75" customHeight="1" x14ac:dyDescent="0.15">
      <c r="D181" s="325"/>
      <c r="E181" s="885"/>
      <c r="F181" s="885"/>
      <c r="G181" s="885"/>
      <c r="H181" s="885"/>
      <c r="I181" s="886"/>
      <c r="J181" s="887"/>
      <c r="K181" s="325"/>
      <c r="L181" s="885"/>
      <c r="M181" s="885"/>
      <c r="N181" s="897"/>
      <c r="O181" s="887"/>
      <c r="P181" s="136"/>
      <c r="Q181" s="136"/>
    </row>
    <row r="182" spans="3:17" ht="12.75" customHeight="1" x14ac:dyDescent="0.15">
      <c r="D182" s="325"/>
      <c r="E182" s="885"/>
      <c r="F182" s="885"/>
      <c r="G182" s="885"/>
      <c r="H182" s="885"/>
      <c r="I182" s="886"/>
      <c r="J182" s="887"/>
      <c r="K182" s="325"/>
      <c r="L182" s="885"/>
      <c r="M182" s="885"/>
      <c r="N182" s="897"/>
      <c r="O182" s="887"/>
      <c r="P182" s="136"/>
      <c r="Q182" s="136"/>
    </row>
    <row r="183" spans="3:17" ht="12.75" customHeight="1" x14ac:dyDescent="0.15">
      <c r="C183" s="37"/>
      <c r="D183" s="325"/>
      <c r="E183" s="885"/>
      <c r="F183" s="885"/>
      <c r="G183" s="885"/>
      <c r="H183" s="885"/>
      <c r="I183" s="886"/>
      <c r="J183" s="887"/>
      <c r="K183" s="325"/>
      <c r="L183" s="885"/>
      <c r="M183" s="885"/>
      <c r="N183" s="886"/>
      <c r="O183" s="887"/>
      <c r="P183" s="136"/>
      <c r="Q183" s="136"/>
    </row>
    <row r="184" spans="3:17" ht="12.75" customHeight="1" x14ac:dyDescent="0.15">
      <c r="C184" s="37"/>
      <c r="D184" s="325"/>
      <c r="E184" s="885"/>
      <c r="F184" s="885"/>
      <c r="G184" s="885"/>
      <c r="H184" s="885"/>
      <c r="I184" s="886"/>
      <c r="J184" s="887"/>
      <c r="K184" s="325"/>
      <c r="L184" s="885"/>
      <c r="M184" s="885"/>
      <c r="N184" s="897"/>
      <c r="O184" s="887"/>
      <c r="P184" s="136"/>
      <c r="Q184" s="136"/>
    </row>
    <row r="185" spans="3:17" ht="12.75" customHeight="1" x14ac:dyDescent="0.15">
      <c r="C185" s="37"/>
      <c r="D185" s="325"/>
      <c r="E185" s="885"/>
      <c r="F185" s="885"/>
      <c r="G185" s="885"/>
      <c r="H185" s="885"/>
      <c r="I185" s="886"/>
      <c r="J185" s="887"/>
      <c r="K185" s="315"/>
      <c r="L185" s="885"/>
      <c r="M185" s="885"/>
      <c r="N185" s="886"/>
      <c r="O185" s="887"/>
      <c r="P185" s="136"/>
      <c r="Q185" s="136"/>
    </row>
    <row r="186" spans="3:17" ht="12.75" customHeight="1" x14ac:dyDescent="0.15">
      <c r="C186" s="37"/>
      <c r="D186" s="325"/>
      <c r="E186" s="885"/>
      <c r="F186" s="885"/>
      <c r="G186" s="885"/>
      <c r="H186" s="885"/>
      <c r="I186" s="886"/>
      <c r="J186" s="887"/>
      <c r="K186" s="325"/>
      <c r="L186" s="885"/>
      <c r="M186" s="885"/>
      <c r="N186" s="886"/>
      <c r="O186" s="887"/>
      <c r="P186" s="136"/>
      <c r="Q186" s="136"/>
    </row>
    <row r="187" spans="3:17" ht="12.75" customHeight="1" x14ac:dyDescent="0.15">
      <c r="C187" s="37"/>
      <c r="D187" s="325"/>
      <c r="E187" s="885"/>
      <c r="F187" s="885"/>
      <c r="G187" s="885"/>
      <c r="H187" s="885"/>
      <c r="I187" s="887"/>
      <c r="J187" s="887"/>
      <c r="K187" s="325"/>
      <c r="L187" s="887"/>
      <c r="M187" s="887"/>
      <c r="N187" s="886"/>
      <c r="O187" s="887"/>
      <c r="P187" s="136"/>
      <c r="Q187" s="136"/>
    </row>
    <row r="188" spans="3:17" ht="12.75" customHeight="1" x14ac:dyDescent="0.15">
      <c r="C188" s="37"/>
      <c r="D188" s="325"/>
      <c r="E188" s="885"/>
      <c r="F188" s="885"/>
      <c r="G188" s="885"/>
      <c r="H188" s="885"/>
      <c r="I188" s="887"/>
      <c r="J188" s="887"/>
      <c r="K188" s="325"/>
      <c r="L188" s="900"/>
      <c r="M188" s="900"/>
      <c r="N188" s="887"/>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350000</v>
      </c>
      <c r="J192" s="903"/>
      <c r="K192" s="902" t="s">
        <v>21</v>
      </c>
      <c r="L192" s="902"/>
      <c r="M192" s="902"/>
      <c r="N192" s="904">
        <f>ROUND(SUM(N174:O191),0)</f>
        <v>35000</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607</v>
      </c>
      <c r="E194" s="905"/>
      <c r="F194" s="905"/>
      <c r="G194" s="905"/>
      <c r="H194" s="905"/>
      <c r="I194" s="906">
        <f>ROUND(SUM(I174:J180),0)</f>
        <v>350000</v>
      </c>
      <c r="J194" s="907"/>
      <c r="K194" s="905" t="s">
        <v>17</v>
      </c>
      <c r="L194" s="905"/>
      <c r="M194" s="905"/>
      <c r="N194" s="904">
        <f>ROUND(I192,0)</f>
        <v>350000</v>
      </c>
      <c r="O194" s="904"/>
      <c r="P194" s="136"/>
      <c r="Q194" s="136"/>
    </row>
    <row r="195" spans="3:17" ht="12.75" customHeight="1" x14ac:dyDescent="0.2">
      <c r="C195" s="37"/>
      <c r="D195" s="905" t="s">
        <v>608</v>
      </c>
      <c r="E195" s="905"/>
      <c r="F195" s="905"/>
      <c r="G195" s="905"/>
      <c r="H195" s="905"/>
      <c r="I195" s="906">
        <f>ROUND(IF(IM!Q7="Boleta",0,IF((Q104+Q106)&lt;=(IM!R47*IM!O72),D127-(Q103+Q104+Q105+Q106),D127-(IM!R47*IM!O72)+Q103+Q105)),0)</f>
        <v>350000</v>
      </c>
      <c r="J195" s="907"/>
      <c r="K195" s="905" t="s">
        <v>7</v>
      </c>
      <c r="L195" s="905"/>
      <c r="M195" s="905"/>
      <c r="N195" s="904">
        <f>ROUND(N174+N175+N176+N177+N178+N179+N180+N183,0)</f>
        <v>35000</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0</v>
      </c>
      <c r="E197" s="911"/>
      <c r="F197" s="906">
        <f ca="1">ROUND(Q126,0)</f>
        <v>0</v>
      </c>
      <c r="G197" s="911"/>
      <c r="H197" s="911"/>
      <c r="I197" s="906">
        <f>ROUND(Q123,0)</f>
        <v>0</v>
      </c>
      <c r="J197" s="907"/>
      <c r="K197" s="905" t="s">
        <v>493</v>
      </c>
      <c r="L197" s="905"/>
      <c r="M197" s="905"/>
      <c r="N197" s="904">
        <f>ROUND(N194-N195-N196,0)</f>
        <v>315000</v>
      </c>
      <c r="O197" s="904"/>
      <c r="P197" s="136"/>
      <c r="Q197" s="136"/>
    </row>
    <row r="198" spans="3:17" ht="12.75" customHeight="1" x14ac:dyDescent="0.2">
      <c r="C198" s="37"/>
      <c r="D198" s="323"/>
      <c r="E198" s="324"/>
      <c r="F198" s="914" t="s">
        <v>509</v>
      </c>
      <c r="G198" s="914"/>
      <c r="H198" s="914"/>
      <c r="I198" s="906">
        <f>N199+N196</f>
        <v>315000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315000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TRESCIENTOS QUINCE MIL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15.151.515-7</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315000</v>
      </c>
      <c r="D228" s="648" t="str">
        <f>W231&amp;X231&amp;W232&amp;X232&amp;W233&amp;X233&amp;W234&amp;X234&amp;W235&amp;X235&amp;W236&amp;X236&amp;W237&amp;X237&amp;W238&amp;X238&amp;W239&amp;X239&amp;" "&amp;IF(W240="UN","Peso",D225)&amp;" "&amp;C231&amp;D226</f>
        <v>trescientos quince mil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315000</v>
      </c>
      <c r="D229" s="48" t="str">
        <f>"SON: " &amp; UPPER(D228)</f>
        <v>SON: TRESCIENTOS QUINCE MIL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0">VALUE(E233)</f>
        <v>0</v>
      </c>
      <c r="G233" s="48">
        <f>IF(G232=0,0,IF(G232&lt;&gt;0,MID(C228,2,1),C228/1000000))</f>
        <v>0</v>
      </c>
      <c r="H233" s="56">
        <f t="shared" si="20"/>
        <v>0</v>
      </c>
      <c r="I233" s="227">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138</v>
      </c>
      <c r="Y234" s="48"/>
      <c r="Z234" s="48"/>
      <c r="AA234" s="48"/>
    </row>
    <row r="235" spans="1:27" hidden="1" x14ac:dyDescent="0.15">
      <c r="A235" s="48"/>
      <c r="B235" s="48"/>
      <c r="C235" s="48"/>
      <c r="D235" s="48" t="s">
        <v>139</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7">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x14ac:dyDescent="0.15">
      <c r="A236" s="48"/>
      <c r="B236" s="48"/>
      <c r="C236" s="48"/>
      <c r="D236" s="48" t="s">
        <v>140</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7">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x14ac:dyDescent="0.15">
      <c r="A237" s="48"/>
      <c r="B237" s="48"/>
      <c r="C237" s="48"/>
      <c r="D237" s="48" t="s">
        <v>141</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19"/>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x14ac:dyDescent="0.15">
      <c r="A239" s="48"/>
      <c r="B239" s="48"/>
      <c r="C239" s="48"/>
      <c r="D239" s="48" t="s">
        <v>143</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19"/>
        <v>0</v>
      </c>
      <c r="W239" s="48" t="str">
        <f>IF(C228&lt;1,"CERO ",IF(V239=0,"",IF(Y239&lt;10,VLOOKUP(V239,B243:C251,2,FALSE),IF(Y239&lt;=30,"",VLOOKUP(V239,B243:C251,2,FALSE)))))</f>
        <v/>
      </c>
      <c r="X239" s="48"/>
      <c r="Y239" s="48">
        <f>+V238*10+V239</f>
        <v>0</v>
      </c>
      <c r="Z239" s="54">
        <f>+V237*100+V238*10+V239*1</f>
        <v>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2">+B244+1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2"/>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2"/>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2"/>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2"/>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2"/>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2"/>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2"/>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2"/>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2"/>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2"/>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2"/>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2"/>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2"/>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2"/>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2"/>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2"/>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2"/>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2"/>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2"/>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2"/>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2"/>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2"/>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2"/>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2"/>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2"/>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2"/>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iTX8MG4sawwPjH+edofwqJ2VBBRPO2E32x3MCklVE/5C85KPd8G6S+PNGXl+0v55042jE0fOMnFbw8CD0tj8cw==" saltValue="vuH4ZH38yEBIVgMRkkHB0g=="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315000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350000</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49" t="s">
        <v>63</v>
      </c>
      <c r="C13" s="347" t="s">
        <v>68</v>
      </c>
      <c r="D13" s="348" t="s">
        <v>67</v>
      </c>
      <c r="E13" s="348" t="s">
        <v>0</v>
      </c>
      <c r="F13" s="348" t="s">
        <v>66</v>
      </c>
      <c r="G13" s="348" t="s">
        <v>1</v>
      </c>
      <c r="H13" s="348"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0</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BOLETA NO APLICA GRATIFICACIONES</v>
      </c>
      <c r="L100" s="804"/>
      <c r="M100" s="805"/>
      <c r="N100" s="823">
        <f>ROUND(SUM(P94:R99),0)</f>
        <v>0</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1-. NO COTIZA</v>
      </c>
      <c r="O103" s="719"/>
      <c r="P103" s="128">
        <f>LOOKUP((N103),ListadoAFP,IM!B135:B144)</f>
        <v>0</v>
      </c>
      <c r="Q103" s="704">
        <f>ROUND(IF(T$145="3-. BOLETA",0,IF(D$127&gt;IM!O69,IM!O69*P103,D$127*P103)),0)</f>
        <v>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11-. NO COTIZA</v>
      </c>
      <c r="O104" s="719"/>
      <c r="P104" s="63">
        <f>LOOKUP((N104),ListadoIsapres,IM!D135:D154)</f>
        <v>0</v>
      </c>
      <c r="Q104" s="704">
        <f>ROUND(IF(T$145="3-. BOLETA",0,IF(D$127&gt;IM!O69,IM!O69*P104,D$127*P104)),0)</f>
        <v>0</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3-. BOLETA</v>
      </c>
      <c r="O105" s="719"/>
      <c r="P105" s="63">
        <f>LOOKUP((N105),TipoContrato,IM!F135:F139)</f>
        <v>0</v>
      </c>
      <c r="Q105" s="704">
        <f>ROUND(IF(T$145="3-. BOLETA",0,IF(D$127&gt;IM!O71,IM!O71*P105,D$127*P105)),0)</f>
        <v>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c r="L110" s="757"/>
      <c r="M110" s="757"/>
      <c r="N110" s="722"/>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0</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0</v>
      </c>
      <c r="E115" s="705"/>
      <c r="F115" s="720" t="s">
        <v>232</v>
      </c>
      <c r="G115" s="720"/>
      <c r="H115" s="720"/>
      <c r="I115" s="720"/>
      <c r="J115" s="12"/>
      <c r="K115" s="724" t="s">
        <v>357</v>
      </c>
      <c r="L115" s="726"/>
      <c r="M115" s="343">
        <f>ROUND(IF(T$145="3-. BOLETA",0,IM!R47*Q113),0)</f>
        <v>0</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35000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1-. NO COTIZA</v>
      </c>
      <c r="O123" s="703"/>
      <c r="P123" s="140">
        <f>IF($T$145&lt;&gt;IM!$E$138,LOOKUP($N$123,IM!$A$48:$B$57,IM!$D$48:$D$57),0)</f>
        <v>0</v>
      </c>
      <c r="Q123" s="704">
        <f>IF($D$127&lt;IM!$O$69,$D$127*$P$123,IM!$O$69*$P$123)</f>
        <v>0</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0</v>
      </c>
      <c r="E126" s="668"/>
      <c r="F126" s="732"/>
      <c r="G126" s="733"/>
      <c r="H126" s="733"/>
      <c r="I126" s="734"/>
      <c r="J126" s="12"/>
      <c r="K126" s="727" t="s">
        <v>322</v>
      </c>
      <c r="L126" s="728"/>
      <c r="M126" s="729"/>
      <c r="N126" s="765" t="str">
        <f>UPPER(T$145)</f>
        <v>3-. BOLETA</v>
      </c>
      <c r="O126" s="767"/>
      <c r="P126" s="140">
        <f ca="1">LOOKUP(($N$126),TipoContrato,IM!$F$140:$F$143)</f>
        <v>0</v>
      </c>
      <c r="Q126" s="704">
        <f ca="1">IF($D$127&gt;IM!$O$71,IM!$O$71*$P$126,$D$127*$P$126)</f>
        <v>0</v>
      </c>
      <c r="R126" s="705"/>
      <c r="S126" s="61"/>
      <c r="T126" s="774" t="s">
        <v>215</v>
      </c>
      <c r="U126" s="775"/>
      <c r="V126" s="166">
        <v>10</v>
      </c>
      <c r="W126" s="64" t="str">
        <f t="shared" si="18"/>
        <v>Logrado</v>
      </c>
    </row>
    <row r="127" spans="1:23" ht="10.5" customHeight="1" x14ac:dyDescent="0.2">
      <c r="A127" s="849" t="s">
        <v>18</v>
      </c>
      <c r="B127" s="894"/>
      <c r="C127" s="850"/>
      <c r="D127" s="831">
        <f>ROUND((D123+D124+D126)-D125,0)</f>
        <v>350000</v>
      </c>
      <c r="E127" s="831"/>
      <c r="F127" s="732"/>
      <c r="G127" s="733"/>
      <c r="H127" s="733"/>
      <c r="I127" s="734"/>
      <c r="J127" s="12"/>
      <c r="K127" s="669" t="s">
        <v>323</v>
      </c>
      <c r="L127" s="669"/>
      <c r="M127" s="669"/>
      <c r="N127" s="699" t="s">
        <v>324</v>
      </c>
      <c r="O127" s="700"/>
      <c r="P127" s="228">
        <v>9.4999999999999998E-3</v>
      </c>
      <c r="Q127" s="704">
        <f>ROUND(IF(T$145="3-. BOLETA",0,IF(D$127&gt;IM!$O$69,IM!$O$69*$P$127,D$127*$P$127)),0)</f>
        <v>0</v>
      </c>
      <c r="R127" s="705"/>
      <c r="S127" s="60"/>
      <c r="T127" s="774" t="s">
        <v>327</v>
      </c>
      <c r="U127" s="775"/>
      <c r="V127" s="166">
        <v>10</v>
      </c>
      <c r="W127" s="64" t="str">
        <f t="shared" si="18"/>
        <v>Logrado</v>
      </c>
    </row>
    <row r="128" spans="1:23" ht="10.5" customHeight="1" x14ac:dyDescent="0.2">
      <c r="A128" s="216" t="s">
        <v>61</v>
      </c>
      <c r="B128" s="849" t="s">
        <v>58</v>
      </c>
      <c r="C128" s="850"/>
      <c r="D128" s="668">
        <f>ROUND((D120),0)</f>
        <v>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350000</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35000</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14583.333333333332</v>
      </c>
      <c r="R131" s="861"/>
    </row>
    <row r="132" spans="1:23" ht="10.5" customHeight="1" x14ac:dyDescent="0.2">
      <c r="A132" s="749" t="s">
        <v>326</v>
      </c>
      <c r="B132" s="750"/>
      <c r="C132" s="751"/>
      <c r="D132" s="864">
        <f>(ROUND(N113,0))</f>
        <v>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315000</v>
      </c>
      <c r="E133" s="831"/>
      <c r="F133" s="732"/>
      <c r="G133" s="733"/>
      <c r="H133" s="733"/>
      <c r="I133" s="734"/>
      <c r="J133" s="12"/>
      <c r="K133" s="712" t="str">
        <f>IF(T$145="3-. BOLETA","T. A PAGAR (MENOS 10% BOLETA)","TOTAL A PAGAR")</f>
        <v>T. A PAGAR (MENOS 10% BOLETA)</v>
      </c>
      <c r="L133" s="747"/>
      <c r="M133" s="713"/>
      <c r="N133" s="713"/>
      <c r="O133" s="714"/>
      <c r="P133" s="859">
        <f>ROUND(D133,0)</f>
        <v>315000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IM!C36</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IM!F36</f>
        <v>15.151.515-8</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IM!H36</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f>IM!J36</f>
        <v>0</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UPPER(IM!Q36)</f>
        <v>3-. BOLETA</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IM!N36</f>
        <v>Tornero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IM!AE36</f>
        <v>Mecánica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IM!S36</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IM!AC36</f>
        <v>0</v>
      </c>
      <c r="U149" s="644"/>
      <c r="V149" s="645"/>
      <c r="W149" s="645"/>
    </row>
    <row r="150" spans="4:23" x14ac:dyDescent="0.2">
      <c r="Q150" s="641" t="s">
        <v>394</v>
      </c>
      <c r="R150" s="642"/>
      <c r="S150" s="643"/>
      <c r="T150" s="167">
        <f>IM!AA36</f>
        <v>0</v>
      </c>
      <c r="U150" s="644"/>
      <c r="V150" s="645"/>
      <c r="W150" s="645"/>
    </row>
    <row r="151" spans="4:23" ht="10.5" customHeight="1" x14ac:dyDescent="0.2">
      <c r="N151" s="12"/>
      <c r="O151" s="12"/>
      <c r="P151" s="12"/>
      <c r="Q151" s="641" t="s">
        <v>395</v>
      </c>
      <c r="R151" s="642"/>
      <c r="S151" s="643"/>
      <c r="T151" s="167">
        <f>IM!Y36</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UPPER(IM!U36)</f>
        <v>1-. NO COTIZA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UPPER(IM!W36)</f>
        <v>11-. NO COTIZA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IM!L36</f>
        <v>41234</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COMPROBANTE DE PAGO</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15.151.515-8</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41234</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3-. BOLETA</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Tornero</v>
      </c>
      <c r="H169" s="683"/>
      <c r="I169" s="683"/>
      <c r="J169" s="683"/>
      <c r="K169" s="683"/>
      <c r="L169" s="146"/>
      <c r="M169" s="692"/>
      <c r="N169" s="693"/>
      <c r="O169" s="694"/>
      <c r="P169" s="136"/>
      <c r="Q169" s="136"/>
    </row>
    <row r="170" spans="4:17" ht="12.75" customHeight="1" x14ac:dyDescent="0.2">
      <c r="D170" s="666" t="s">
        <v>332</v>
      </c>
      <c r="E170" s="667"/>
      <c r="F170" s="667"/>
      <c r="G170" s="686" t="str">
        <f>T147</f>
        <v>Mecánica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c r="L174" s="885" t="s">
        <v>347</v>
      </c>
      <c r="M174" s="885"/>
      <c r="N174" s="886">
        <f>ROUND($P$118,0)</f>
        <v>35000</v>
      </c>
      <c r="O174" s="887"/>
      <c r="P174" s="136"/>
      <c r="Q174" s="136"/>
    </row>
    <row r="175" spans="4:17" ht="12.75" customHeight="1" x14ac:dyDescent="0.15">
      <c r="D175" s="315">
        <f>N95</f>
        <v>0</v>
      </c>
      <c r="E175" s="885" t="s">
        <v>25</v>
      </c>
      <c r="F175" s="885"/>
      <c r="G175" s="885"/>
      <c r="H175" s="885"/>
      <c r="I175" s="886">
        <f>ROUND(P95,0)</f>
        <v>0</v>
      </c>
      <c r="J175" s="887"/>
      <c r="K175" s="314"/>
      <c r="L175" s="885" t="s">
        <v>444</v>
      </c>
      <c r="M175" s="885"/>
      <c r="N175" s="886">
        <f>D111+P111+Q115+P117+P119+P120</f>
        <v>0</v>
      </c>
      <c r="O175" s="887"/>
      <c r="P175" s="136"/>
      <c r="Q175" s="136"/>
    </row>
    <row r="176" spans="4:17" ht="12.75" customHeight="1" x14ac:dyDescent="0.15">
      <c r="D176" s="315"/>
      <c r="E176" s="885" t="s">
        <v>606</v>
      </c>
      <c r="F176" s="885"/>
      <c r="G176" s="885"/>
      <c r="H176" s="885"/>
      <c r="I176" s="886">
        <f>P96+P97+P98+P99+D120</f>
        <v>0</v>
      </c>
      <c r="J176" s="887"/>
      <c r="K176" s="316"/>
      <c r="L176" s="885"/>
      <c r="M176" s="885"/>
      <c r="N176" s="886"/>
      <c r="O176" s="887"/>
      <c r="P176" s="136"/>
      <c r="Q176" s="136"/>
    </row>
    <row r="177" spans="3:17" ht="12.75" customHeight="1" x14ac:dyDescent="0.15">
      <c r="D177" s="325"/>
      <c r="E177" s="885"/>
      <c r="F177" s="885"/>
      <c r="G177" s="885"/>
      <c r="H177" s="885"/>
      <c r="I177" s="886"/>
      <c r="J177" s="887"/>
      <c r="K177" s="314"/>
      <c r="L177" s="885"/>
      <c r="M177" s="885"/>
      <c r="N177" s="886"/>
      <c r="O177" s="887"/>
      <c r="P177" s="136"/>
      <c r="Q177" s="136"/>
    </row>
    <row r="178" spans="3:17" ht="12.75" customHeight="1" x14ac:dyDescent="0.15">
      <c r="D178" s="325"/>
      <c r="E178" s="885"/>
      <c r="F178" s="885"/>
      <c r="G178" s="885"/>
      <c r="H178" s="885"/>
      <c r="I178" s="886"/>
      <c r="J178" s="887"/>
      <c r="K178" s="315"/>
      <c r="L178" s="885"/>
      <c r="M178" s="885"/>
      <c r="N178" s="886"/>
      <c r="O178" s="887"/>
      <c r="P178" s="136"/>
      <c r="Q178" s="136"/>
    </row>
    <row r="179" spans="3:17" ht="12.75" customHeight="1" x14ac:dyDescent="0.15">
      <c r="D179" s="325"/>
      <c r="E179" s="885"/>
      <c r="F179" s="885"/>
      <c r="G179" s="885"/>
      <c r="H179" s="885"/>
      <c r="I179" s="886"/>
      <c r="J179" s="887"/>
      <c r="K179" s="314"/>
      <c r="L179" s="885"/>
      <c r="M179" s="885"/>
      <c r="N179" s="886"/>
      <c r="O179" s="887"/>
      <c r="P179" s="136"/>
      <c r="Q179" s="136"/>
    </row>
    <row r="180" spans="3:17" ht="12.75" customHeight="1" x14ac:dyDescent="0.15">
      <c r="D180" s="325"/>
      <c r="E180" s="885"/>
      <c r="F180" s="885"/>
      <c r="G180" s="885"/>
      <c r="H180" s="885"/>
      <c r="I180" s="886"/>
      <c r="J180" s="887"/>
      <c r="K180" s="325"/>
      <c r="L180" s="885"/>
      <c r="M180" s="885"/>
      <c r="N180" s="886"/>
      <c r="O180" s="887"/>
      <c r="P180" s="136"/>
      <c r="Q180" s="136"/>
    </row>
    <row r="181" spans="3:17" ht="12.75" customHeight="1" x14ac:dyDescent="0.15">
      <c r="D181" s="325"/>
      <c r="E181" s="885"/>
      <c r="F181" s="885"/>
      <c r="G181" s="885"/>
      <c r="H181" s="885"/>
      <c r="I181" s="886"/>
      <c r="J181" s="887"/>
      <c r="K181" s="325"/>
      <c r="L181" s="885"/>
      <c r="M181" s="885"/>
      <c r="N181" s="897"/>
      <c r="O181" s="887"/>
      <c r="P181" s="136"/>
      <c r="Q181" s="136"/>
    </row>
    <row r="182" spans="3:17" ht="12.75" customHeight="1" x14ac:dyDescent="0.15">
      <c r="D182" s="325"/>
      <c r="E182" s="885"/>
      <c r="F182" s="885"/>
      <c r="G182" s="885"/>
      <c r="H182" s="885"/>
      <c r="I182" s="886"/>
      <c r="J182" s="887"/>
      <c r="K182" s="325"/>
      <c r="L182" s="885"/>
      <c r="M182" s="885"/>
      <c r="N182" s="897"/>
      <c r="O182" s="887"/>
      <c r="P182" s="136"/>
      <c r="Q182" s="136"/>
    </row>
    <row r="183" spans="3:17" ht="12.75" customHeight="1" x14ac:dyDescent="0.15">
      <c r="C183" s="37"/>
      <c r="D183" s="325"/>
      <c r="E183" s="885"/>
      <c r="F183" s="885"/>
      <c r="G183" s="885"/>
      <c r="H183" s="885"/>
      <c r="I183" s="886"/>
      <c r="J183" s="887"/>
      <c r="K183" s="325"/>
      <c r="L183" s="885"/>
      <c r="M183" s="885"/>
      <c r="N183" s="886"/>
      <c r="O183" s="887"/>
      <c r="P183" s="136"/>
      <c r="Q183" s="136"/>
    </row>
    <row r="184" spans="3:17" ht="12.75" customHeight="1" x14ac:dyDescent="0.15">
      <c r="C184" s="37"/>
      <c r="D184" s="325"/>
      <c r="E184" s="885"/>
      <c r="F184" s="885"/>
      <c r="G184" s="885"/>
      <c r="H184" s="885"/>
      <c r="I184" s="886"/>
      <c r="J184" s="887"/>
      <c r="K184" s="325"/>
      <c r="L184" s="885"/>
      <c r="M184" s="885"/>
      <c r="N184" s="897"/>
      <c r="O184" s="887"/>
      <c r="P184" s="136"/>
      <c r="Q184" s="136"/>
    </row>
    <row r="185" spans="3:17" ht="12.75" customHeight="1" x14ac:dyDescent="0.15">
      <c r="C185" s="37"/>
      <c r="D185" s="325"/>
      <c r="E185" s="885"/>
      <c r="F185" s="885"/>
      <c r="G185" s="885"/>
      <c r="H185" s="885"/>
      <c r="I185" s="886"/>
      <c r="J185" s="887"/>
      <c r="K185" s="315"/>
      <c r="L185" s="885"/>
      <c r="M185" s="885"/>
      <c r="N185" s="886"/>
      <c r="O185" s="887"/>
      <c r="P185" s="136"/>
      <c r="Q185" s="136"/>
    </row>
    <row r="186" spans="3:17" ht="12.75" customHeight="1" x14ac:dyDescent="0.15">
      <c r="C186" s="37"/>
      <c r="D186" s="325"/>
      <c r="E186" s="885"/>
      <c r="F186" s="885"/>
      <c r="G186" s="885"/>
      <c r="H186" s="885"/>
      <c r="I186" s="886"/>
      <c r="J186" s="887"/>
      <c r="K186" s="325"/>
      <c r="L186" s="885"/>
      <c r="M186" s="885"/>
      <c r="N186" s="886"/>
      <c r="O186" s="887"/>
      <c r="P186" s="136"/>
      <c r="Q186" s="136"/>
    </row>
    <row r="187" spans="3:17" ht="12.75" customHeight="1" x14ac:dyDescent="0.15">
      <c r="C187" s="37"/>
      <c r="D187" s="325"/>
      <c r="E187" s="885"/>
      <c r="F187" s="885"/>
      <c r="G187" s="885"/>
      <c r="H187" s="885"/>
      <c r="I187" s="887"/>
      <c r="J187" s="887"/>
      <c r="K187" s="325"/>
      <c r="L187" s="887"/>
      <c r="M187" s="887"/>
      <c r="N187" s="886"/>
      <c r="O187" s="887"/>
      <c r="P187" s="136"/>
      <c r="Q187" s="136"/>
    </row>
    <row r="188" spans="3:17" ht="12.75" customHeight="1" x14ac:dyDescent="0.15">
      <c r="C188" s="37"/>
      <c r="D188" s="325"/>
      <c r="E188" s="885"/>
      <c r="F188" s="885"/>
      <c r="G188" s="885"/>
      <c r="H188" s="885"/>
      <c r="I188" s="887"/>
      <c r="J188" s="887"/>
      <c r="K188" s="325"/>
      <c r="L188" s="900"/>
      <c r="M188" s="900"/>
      <c r="N188" s="887"/>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350000</v>
      </c>
      <c r="J192" s="903"/>
      <c r="K192" s="902" t="s">
        <v>21</v>
      </c>
      <c r="L192" s="902"/>
      <c r="M192" s="902"/>
      <c r="N192" s="904">
        <f>ROUND(SUM(N174:O191),0)</f>
        <v>35000</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607</v>
      </c>
      <c r="E194" s="905"/>
      <c r="F194" s="905"/>
      <c r="G194" s="905"/>
      <c r="H194" s="905"/>
      <c r="I194" s="906">
        <f>ROUND(SUM(I174:J180),0)</f>
        <v>350000</v>
      </c>
      <c r="J194" s="907"/>
      <c r="K194" s="905" t="s">
        <v>17</v>
      </c>
      <c r="L194" s="905"/>
      <c r="M194" s="905"/>
      <c r="N194" s="904">
        <f>ROUND(I192,0)</f>
        <v>350000</v>
      </c>
      <c r="O194" s="904"/>
      <c r="P194" s="136"/>
      <c r="Q194" s="136"/>
    </row>
    <row r="195" spans="3:17" ht="12.75" customHeight="1" x14ac:dyDescent="0.2">
      <c r="C195" s="37"/>
      <c r="D195" s="905" t="s">
        <v>608</v>
      </c>
      <c r="E195" s="905"/>
      <c r="F195" s="905"/>
      <c r="G195" s="905"/>
      <c r="H195" s="905"/>
      <c r="I195" s="906">
        <f>ROUND(IF(IM!Q7="Boleta",0,IF((Q104+Q106)&lt;=(IM!R47*IM!O72),D127-(Q103+Q104+Q105+Q106),D127-(IM!R47*IM!O72)+Q103+Q105)),0)</f>
        <v>350000</v>
      </c>
      <c r="J195" s="907"/>
      <c r="K195" s="905" t="s">
        <v>7</v>
      </c>
      <c r="L195" s="905"/>
      <c r="M195" s="905"/>
      <c r="N195" s="904">
        <f>ROUND(N174+N175+N176+N177+N178+N179+N180+N183,0)</f>
        <v>35000</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0</v>
      </c>
      <c r="E197" s="911"/>
      <c r="F197" s="906">
        <f ca="1">ROUND(Q126,0)</f>
        <v>0</v>
      </c>
      <c r="G197" s="911"/>
      <c r="H197" s="911"/>
      <c r="I197" s="906">
        <f>ROUND(Q123,0)</f>
        <v>0</v>
      </c>
      <c r="J197" s="907"/>
      <c r="K197" s="905" t="s">
        <v>493</v>
      </c>
      <c r="L197" s="905"/>
      <c r="M197" s="905"/>
      <c r="N197" s="904">
        <f>ROUND(N194-N195-N196,0)</f>
        <v>315000</v>
      </c>
      <c r="O197" s="904"/>
      <c r="P197" s="136"/>
      <c r="Q197" s="136"/>
    </row>
    <row r="198" spans="3:17" ht="12.75" customHeight="1" x14ac:dyDescent="0.2">
      <c r="C198" s="37"/>
      <c r="D198" s="323"/>
      <c r="E198" s="324"/>
      <c r="F198" s="914" t="s">
        <v>509</v>
      </c>
      <c r="G198" s="914"/>
      <c r="H198" s="914"/>
      <c r="I198" s="906">
        <f>N199+N196</f>
        <v>315000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315000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TRESCIENTOS QUINCE MIL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15.151.515-8</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315000</v>
      </c>
      <c r="D228" s="648" t="str">
        <f>W231&amp;X231&amp;W232&amp;X232&amp;W233&amp;X233&amp;W234&amp;X234&amp;W235&amp;X235&amp;W236&amp;X236&amp;W237&amp;X237&amp;W238&amp;X238&amp;W239&amp;X239&amp;" "&amp;IF(W240="UN","Peso",D225)&amp;" "&amp;C231&amp;D226</f>
        <v>trescientos quince mil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315000</v>
      </c>
      <c r="D229" s="48" t="str">
        <f>"SON: " &amp; UPPER(D228)</f>
        <v>SON: TRESCIENTOS QUINCE MIL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0">VALUE(E233)</f>
        <v>0</v>
      </c>
      <c r="G233" s="48">
        <f>IF(G232=0,0,IF(G232&lt;&gt;0,MID(C228,2,1),C228/1000000))</f>
        <v>0</v>
      </c>
      <c r="H233" s="56">
        <f t="shared" si="20"/>
        <v>0</v>
      </c>
      <c r="I233" s="227">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138</v>
      </c>
      <c r="Y234" s="48"/>
      <c r="Z234" s="48"/>
      <c r="AA234" s="48"/>
    </row>
    <row r="235" spans="1:27" hidden="1" x14ac:dyDescent="0.15">
      <c r="A235" s="48"/>
      <c r="B235" s="48"/>
      <c r="C235" s="48"/>
      <c r="D235" s="48" t="s">
        <v>139</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7">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x14ac:dyDescent="0.15">
      <c r="A236" s="48"/>
      <c r="B236" s="48"/>
      <c r="C236" s="48"/>
      <c r="D236" s="48" t="s">
        <v>140</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7">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x14ac:dyDescent="0.15">
      <c r="A237" s="48"/>
      <c r="B237" s="48"/>
      <c r="C237" s="48"/>
      <c r="D237" s="48" t="s">
        <v>141</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19"/>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x14ac:dyDescent="0.15">
      <c r="A239" s="48"/>
      <c r="B239" s="48"/>
      <c r="C239" s="48"/>
      <c r="D239" s="48" t="s">
        <v>143</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19"/>
        <v>0</v>
      </c>
      <c r="W239" s="48" t="str">
        <f>IF(C228&lt;1,"CERO ",IF(V239=0,"",IF(Y239&lt;10,VLOOKUP(V239,B243:C251,2,FALSE),IF(Y239&lt;=30,"",VLOOKUP(V239,B243:C251,2,FALSE)))))</f>
        <v/>
      </c>
      <c r="X239" s="48"/>
      <c r="Y239" s="48">
        <f>+V238*10+V239</f>
        <v>0</v>
      </c>
      <c r="Z239" s="54">
        <f>+V237*100+V238*10+V239*1</f>
        <v>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2">+B244+1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2"/>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2"/>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2"/>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2"/>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2"/>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2"/>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2"/>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2"/>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2"/>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2"/>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2"/>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2"/>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2"/>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2"/>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2"/>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2"/>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2"/>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2"/>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2"/>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2"/>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2"/>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2"/>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2"/>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2"/>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2"/>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2"/>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QAdPA6hprYLZS2SaJJxYi7k5jCHrX+DzRKZjnsC2DKTM3BMDnN6FMuvDeocNsIBmgd6ncflrqTTGZCoFWDfAyQ==" saltValue="5gFRcu4mEN9Fwuh2MSTzUQ=="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90"/>
  <sheetViews>
    <sheetView showGridLines="0" workbookViewId="0">
      <pane ySplit="8" topLeftCell="A9" activePane="bottomLeft" state="frozen"/>
      <selection activeCell="D18" sqref="D18"/>
      <selection pane="bottomLeft" activeCell="D14" sqref="D14"/>
    </sheetView>
  </sheetViews>
  <sheetFormatPr baseColWidth="10" defaultRowHeight="10.5" x14ac:dyDescent="0.2"/>
  <cols>
    <col min="1" max="1" width="2.85546875" style="37" customWidth="1"/>
    <col min="2" max="2" width="2.85546875" style="38" customWidth="1"/>
    <col min="3" max="3" width="11.85546875" style="32" customWidth="1"/>
    <col min="4" max="4" width="8.28515625" style="37" customWidth="1"/>
    <col min="5" max="7" width="7.7109375" style="37" customWidth="1"/>
    <col min="8" max="8" width="7.28515625" style="37" customWidth="1"/>
    <col min="9" max="9" width="8" style="39" customWidth="1"/>
    <col min="10" max="10" width="7.140625" style="37" customWidth="1"/>
    <col min="11" max="11" width="7.7109375" style="37" customWidth="1"/>
    <col min="12" max="12" width="16.140625" style="37" customWidth="1"/>
    <col min="13" max="13" width="11" style="37" customWidth="1"/>
    <col min="14" max="14" width="1" style="37" customWidth="1"/>
    <col min="15" max="15" width="12.28515625" style="37" customWidth="1"/>
    <col min="16" max="16" width="9.42578125" style="37" customWidth="1"/>
    <col min="17" max="17" width="3.85546875" style="37" customWidth="1"/>
    <col min="18" max="18" width="7" style="37" customWidth="1"/>
    <col min="19" max="19" width="3.140625" style="37" customWidth="1"/>
    <col min="20" max="20" width="23.42578125" style="37" customWidth="1"/>
    <col min="21" max="21" width="5.42578125" style="37" customWidth="1"/>
    <col min="22" max="22" width="5.140625" style="37" customWidth="1"/>
    <col min="23" max="23" width="10.5703125" style="37" customWidth="1"/>
    <col min="24" max="16384" width="11.42578125" style="37"/>
  </cols>
  <sheetData>
    <row r="1" spans="1:23" ht="9.75" customHeight="1" x14ac:dyDescent="0.2">
      <c r="A1" s="698" t="s">
        <v>282</v>
      </c>
      <c r="B1" s="698"/>
      <c r="C1" s="698"/>
      <c r="D1" s="698"/>
      <c r="E1" s="698"/>
      <c r="F1" s="698"/>
      <c r="G1" s="698"/>
      <c r="H1" s="698"/>
      <c r="I1" s="698"/>
      <c r="J1" s="698"/>
      <c r="K1" s="698"/>
      <c r="L1" s="698"/>
      <c r="M1" s="698"/>
      <c r="N1" s="698"/>
      <c r="O1" s="698"/>
      <c r="P1" s="698"/>
      <c r="Q1" s="698"/>
      <c r="R1" s="698"/>
      <c r="S1" s="220" t="s">
        <v>26</v>
      </c>
      <c r="T1" s="108" t="s">
        <v>30</v>
      </c>
    </row>
    <row r="2" spans="1:23" ht="11.1" customHeight="1" x14ac:dyDescent="0.2">
      <c r="A2" s="698"/>
      <c r="B2" s="698"/>
      <c r="C2" s="698"/>
      <c r="D2" s="698"/>
      <c r="E2" s="698"/>
      <c r="F2" s="698"/>
      <c r="G2" s="698"/>
      <c r="H2" s="698"/>
      <c r="I2" s="698"/>
      <c r="J2" s="698"/>
      <c r="K2" s="698"/>
      <c r="L2" s="698"/>
      <c r="M2" s="698"/>
      <c r="N2" s="698"/>
      <c r="O2" s="698"/>
      <c r="P2" s="698"/>
      <c r="Q2" s="698"/>
      <c r="R2" s="698"/>
      <c r="S2" s="109" t="s">
        <v>28</v>
      </c>
      <c r="T2" s="110" t="s">
        <v>29</v>
      </c>
      <c r="V2" s="12"/>
      <c r="W2" s="12"/>
    </row>
    <row r="3" spans="1:23" ht="11.1" customHeight="1" x14ac:dyDescent="0.2">
      <c r="A3" s="698"/>
      <c r="B3" s="698"/>
      <c r="C3" s="698"/>
      <c r="D3" s="698"/>
      <c r="E3" s="698"/>
      <c r="F3" s="698"/>
      <c r="G3" s="698"/>
      <c r="H3" s="698"/>
      <c r="I3" s="698"/>
      <c r="J3" s="698"/>
      <c r="K3" s="698"/>
      <c r="L3" s="698"/>
      <c r="M3" s="698"/>
      <c r="N3" s="698"/>
      <c r="O3" s="698"/>
      <c r="P3" s="698"/>
      <c r="Q3" s="698"/>
      <c r="R3" s="698"/>
      <c r="S3" s="109" t="s">
        <v>54</v>
      </c>
      <c r="T3" s="110" t="s">
        <v>56</v>
      </c>
      <c r="V3" s="12"/>
      <c r="W3" s="12"/>
    </row>
    <row r="4" spans="1:23" s="32" customFormat="1" ht="11.1" customHeight="1" x14ac:dyDescent="0.2">
      <c r="B4" s="211"/>
      <c r="C4" s="829" t="s">
        <v>22</v>
      </c>
      <c r="D4" s="829"/>
      <c r="E4" s="829"/>
      <c r="F4" s="844" t="str">
        <f>T141</f>
        <v>Nombre del Trabajador</v>
      </c>
      <c r="G4" s="845"/>
      <c r="H4" s="845"/>
      <c r="I4" s="709" t="s">
        <v>285</v>
      </c>
      <c r="J4" s="709"/>
      <c r="K4" s="709"/>
      <c r="L4" s="709"/>
      <c r="M4" s="674" t="s">
        <v>62</v>
      </c>
      <c r="N4" s="674"/>
      <c r="O4" s="674"/>
      <c r="P4" s="843">
        <f>I198</f>
        <v>315000</v>
      </c>
      <c r="Q4" s="843"/>
      <c r="R4" s="33"/>
      <c r="S4" s="112" t="s">
        <v>31</v>
      </c>
      <c r="T4" s="113" t="s">
        <v>32</v>
      </c>
      <c r="V4" s="12"/>
      <c r="W4" s="12"/>
    </row>
    <row r="5" spans="1:23" s="32" customFormat="1" ht="11.1" customHeight="1" x14ac:dyDescent="0.2">
      <c r="B5" s="211"/>
      <c r="C5" s="829" t="s">
        <v>23</v>
      </c>
      <c r="D5" s="829"/>
      <c r="E5" s="829"/>
      <c r="F5" s="843">
        <f>T148</f>
        <v>350000</v>
      </c>
      <c r="G5" s="843"/>
      <c r="H5" s="843"/>
      <c r="I5" s="709"/>
      <c r="J5" s="709"/>
      <c r="K5" s="709"/>
      <c r="L5" s="709"/>
      <c r="M5" s="674" t="s">
        <v>17</v>
      </c>
      <c r="N5" s="674"/>
      <c r="O5" s="674"/>
      <c r="P5" s="843">
        <f>D129</f>
        <v>350000</v>
      </c>
      <c r="Q5" s="843"/>
      <c r="R5" s="33"/>
      <c r="S5" s="114" t="s">
        <v>34</v>
      </c>
      <c r="T5" s="115" t="s">
        <v>52</v>
      </c>
      <c r="V5" s="12"/>
      <c r="W5" s="12"/>
    </row>
    <row r="6" spans="1:23" s="32" customFormat="1" ht="11.1" customHeight="1" x14ac:dyDescent="0.2">
      <c r="B6" s="211"/>
      <c r="C6" s="34"/>
      <c r="D6" s="34"/>
      <c r="E6" s="34"/>
      <c r="F6" s="226"/>
      <c r="G6" s="226"/>
      <c r="H6" s="226"/>
      <c r="I6" s="709"/>
      <c r="J6" s="709"/>
      <c r="K6" s="709"/>
      <c r="L6" s="709"/>
      <c r="M6" s="35"/>
      <c r="N6" s="35"/>
      <c r="O6" s="35"/>
      <c r="P6" s="226"/>
      <c r="Q6" s="226"/>
      <c r="R6" s="226"/>
      <c r="S6" s="116" t="s">
        <v>39</v>
      </c>
      <c r="T6" s="117" t="s">
        <v>40</v>
      </c>
      <c r="V6" s="12"/>
      <c r="W6" s="12"/>
    </row>
    <row r="7" spans="1:23" s="32" customFormat="1" ht="11.1" customHeight="1" x14ac:dyDescent="0.2">
      <c r="B7" s="211"/>
      <c r="C7" s="712" t="s">
        <v>51</v>
      </c>
      <c r="D7" s="747"/>
      <c r="E7" s="747"/>
      <c r="F7" s="758"/>
      <c r="G7" s="846">
        <v>0.33333333333333331</v>
      </c>
      <c r="H7" s="846"/>
      <c r="I7" s="709"/>
      <c r="J7" s="709"/>
      <c r="K7" s="709"/>
      <c r="L7" s="709"/>
      <c r="M7" s="712" t="s">
        <v>284</v>
      </c>
      <c r="N7" s="747"/>
      <c r="O7" s="758"/>
      <c r="P7" s="828">
        <v>0.20833333333333334</v>
      </c>
      <c r="Q7" s="828"/>
      <c r="R7" s="36"/>
      <c r="S7" s="119" t="s">
        <v>41</v>
      </c>
      <c r="T7" s="120" t="s">
        <v>236</v>
      </c>
      <c r="V7" s="118"/>
      <c r="W7" s="118"/>
    </row>
    <row r="8" spans="1:23" ht="11.1" customHeight="1" thickBot="1" x14ac:dyDescent="0.25">
      <c r="V8" s="32"/>
      <c r="W8" s="32"/>
    </row>
    <row r="9" spans="1:23" ht="11.1" customHeight="1" thickTop="1" x14ac:dyDescent="0.2">
      <c r="B9" s="651" t="s">
        <v>442</v>
      </c>
      <c r="C9" s="652"/>
      <c r="D9" s="652"/>
      <c r="E9" s="652"/>
      <c r="F9" s="652"/>
      <c r="G9" s="652"/>
      <c r="H9" s="652"/>
      <c r="I9" s="652"/>
      <c r="J9" s="652"/>
      <c r="K9" s="652"/>
      <c r="L9" s="652"/>
      <c r="M9" s="652"/>
      <c r="N9" s="652"/>
      <c r="O9" s="652"/>
      <c r="P9" s="652"/>
      <c r="Q9" s="652"/>
      <c r="R9" s="652"/>
      <c r="S9" s="652"/>
      <c r="T9" s="652"/>
      <c r="U9" s="652"/>
      <c r="V9" s="652"/>
      <c r="W9" s="653"/>
    </row>
    <row r="10" spans="1:23" ht="11.1" customHeight="1" x14ac:dyDescent="0.2">
      <c r="B10" s="654"/>
      <c r="C10" s="655"/>
      <c r="D10" s="655"/>
      <c r="E10" s="655"/>
      <c r="F10" s="655"/>
      <c r="G10" s="655"/>
      <c r="H10" s="655"/>
      <c r="I10" s="655"/>
      <c r="J10" s="655"/>
      <c r="K10" s="655"/>
      <c r="L10" s="655"/>
      <c r="M10" s="655"/>
      <c r="N10" s="655"/>
      <c r="O10" s="655"/>
      <c r="P10" s="655"/>
      <c r="Q10" s="655"/>
      <c r="R10" s="655"/>
      <c r="S10" s="655"/>
      <c r="T10" s="655"/>
      <c r="U10" s="655"/>
      <c r="V10" s="655"/>
      <c r="W10" s="656"/>
    </row>
    <row r="11" spans="1:23" ht="11.1" customHeight="1" thickBot="1" x14ac:dyDescent="0.25">
      <c r="B11" s="657"/>
      <c r="C11" s="658"/>
      <c r="D11" s="658"/>
      <c r="E11" s="658"/>
      <c r="F11" s="658"/>
      <c r="G11" s="658"/>
      <c r="H11" s="658"/>
      <c r="I11" s="658"/>
      <c r="J11" s="658"/>
      <c r="K11" s="658"/>
      <c r="L11" s="658"/>
      <c r="M11" s="658"/>
      <c r="N11" s="658"/>
      <c r="O11" s="658"/>
      <c r="P11" s="658"/>
      <c r="Q11" s="658"/>
      <c r="R11" s="658"/>
      <c r="S11" s="658"/>
      <c r="T11" s="658"/>
      <c r="U11" s="658"/>
      <c r="V11" s="658"/>
      <c r="W11" s="659"/>
    </row>
    <row r="12" spans="1:23" ht="10.5" customHeight="1" thickTop="1" x14ac:dyDescent="0.2">
      <c r="N12" s="32"/>
    </row>
    <row r="13" spans="1:23" ht="20.100000000000001" customHeight="1" x14ac:dyDescent="0.2">
      <c r="B13" s="337" t="s">
        <v>63</v>
      </c>
      <c r="C13" s="338" t="s">
        <v>68</v>
      </c>
      <c r="D13" s="336" t="s">
        <v>67</v>
      </c>
      <c r="E13" s="336" t="s">
        <v>0</v>
      </c>
      <c r="F13" s="336" t="s">
        <v>66</v>
      </c>
      <c r="G13" s="336" t="s">
        <v>1</v>
      </c>
      <c r="H13" s="336" t="s">
        <v>10</v>
      </c>
      <c r="I13" s="121" t="s">
        <v>55</v>
      </c>
      <c r="J13" s="336" t="s">
        <v>45</v>
      </c>
      <c r="K13" s="336" t="s">
        <v>46</v>
      </c>
      <c r="L13" s="336" t="s">
        <v>57</v>
      </c>
      <c r="M13" s="336" t="s">
        <v>16</v>
      </c>
      <c r="N13" s="35"/>
      <c r="O13" s="122" t="s">
        <v>2</v>
      </c>
      <c r="P13" s="674" t="s">
        <v>3</v>
      </c>
      <c r="Q13" s="674"/>
      <c r="R13" s="674"/>
      <c r="S13" s="674"/>
      <c r="T13" s="674"/>
      <c r="U13" s="674"/>
      <c r="V13" s="674"/>
      <c r="W13" s="674"/>
    </row>
    <row r="14" spans="1:23" ht="11.1" customHeight="1" x14ac:dyDescent="0.2">
      <c r="A14" s="164">
        <v>1</v>
      </c>
      <c r="B14" s="165" t="s">
        <v>26</v>
      </c>
      <c r="C14" s="10" t="str">
        <f>IF(B14="N","","LUNES")</f>
        <v>LUNES</v>
      </c>
      <c r="D14" s="172">
        <v>0.33333333333333331</v>
      </c>
      <c r="E14" s="172">
        <v>0.54166666666666663</v>
      </c>
      <c r="F14" s="172">
        <v>0.625</v>
      </c>
      <c r="G14" s="172">
        <v>0.75</v>
      </c>
      <c r="H14" s="1">
        <f>IF(OR(B14="N",B14="D",B14="F",B14="L",B14="P"),IF(B14="N","",0),(E14-D14)+(G14-F14))</f>
        <v>0.33333333333333331</v>
      </c>
      <c r="I14" s="4">
        <f t="shared" ref="I14:I20" si="0">IF(OR(B14="N",B14="D",B14="F",B14="L",B14="P"),IF(B14="N","",IF(B14="D",F$5*0.0077777,0)),(((F$5/30)*28)/(HorasMensuales*24)))</f>
        <v>1814.8148148148146</v>
      </c>
      <c r="J14" s="1">
        <f>IF(OR(B14="N",B14="D",B14="F",B14="L",B14="F2",B14="P"),IF(B14="F2",IF(H14&lt;(G$7/2),(G$7/2)-H14,0),0),IF(H14&lt;(G$7),G$7-H14,0))</f>
        <v>0</v>
      </c>
      <c r="K14" s="1">
        <f>IF(OR(B14="N",B14="D",B14="F",B14="L",B14="F2",B14="P"),(IF(B14="D",(E14-D14)+(G14-F14),IF(B14="F2",IF(H14&gt;(G$7/2),H14-(G$7/2),0),0))),IF(H14&gt;(G$7),H14-G$7,0))</f>
        <v>0</v>
      </c>
      <c r="L14" s="221" t="str">
        <f t="shared" ref="L14:L20" si="1">IF(B14="N","DIA NULO",IF(B14="A","DIA NORMAL",IF(B14="F","FALLA",IF(B14="F2","MEDIO DIA",IF(B14="L","LICENCIA MEDICA",IF(B14="D","DESCANSO LEGAL",IF(B14="P","PERMISO","NO VALIDO")))))))</f>
        <v>DIA NORMAL</v>
      </c>
      <c r="M14" s="162">
        <v>0</v>
      </c>
      <c r="N14" s="23"/>
      <c r="O14" s="163">
        <v>0</v>
      </c>
      <c r="P14" s="701"/>
      <c r="Q14" s="701"/>
      <c r="R14" s="701"/>
      <c r="S14" s="701"/>
      <c r="T14" s="701"/>
      <c r="U14" s="701"/>
      <c r="V14" s="701"/>
      <c r="W14" s="701"/>
    </row>
    <row r="15" spans="1:23" ht="11.1" customHeight="1" x14ac:dyDescent="0.2">
      <c r="A15" s="164">
        <v>2</v>
      </c>
      <c r="B15" s="165" t="s">
        <v>26</v>
      </c>
      <c r="C15" s="10" t="str">
        <f>IF(B15="N","","MARTES")</f>
        <v>MARTES</v>
      </c>
      <c r="D15" s="172">
        <v>0.33333333333333331</v>
      </c>
      <c r="E15" s="172">
        <v>0.54166666666666663</v>
      </c>
      <c r="F15" s="172">
        <v>0.625</v>
      </c>
      <c r="G15" s="172">
        <v>0.75</v>
      </c>
      <c r="H15" s="1">
        <f t="shared" ref="H15:H20" si="2">IF(OR(B15="N",B15="D",B15="F",B15="L",B15="P"),IF(B15="N","",0),(E15-D15)+(G15-F15))</f>
        <v>0.33333333333333331</v>
      </c>
      <c r="I15" s="4">
        <f t="shared" si="0"/>
        <v>1814.8148148148146</v>
      </c>
      <c r="J15" s="1">
        <f>IF(OR(B15="N",B15="D",B15="F",B15="L",B15="F2",B15="P"),IF(B15="F2",IF(H15&lt;(G$7/2),(G$7/2)-H15,0),0),IF(H15&lt;(G$7),G$7-H15,0))</f>
        <v>0</v>
      </c>
      <c r="K15" s="1">
        <f>IF(OR(B15="N",B15="D",B15="F",B15="L",B15="F2",B15="P"),(IF(B15="D",(E15-D15)+(G15-F15),IF(B15="F2",IF(H15&gt;(G$7/2),H15-(G$7/2),0),0))),IF(H15&gt;(G$7),H15-G$7,0))</f>
        <v>0</v>
      </c>
      <c r="L15" s="221" t="str">
        <f t="shared" si="1"/>
        <v>DIA NORMAL</v>
      </c>
      <c r="M15" s="162">
        <v>0</v>
      </c>
      <c r="N15" s="23"/>
      <c r="O15" s="163">
        <v>0</v>
      </c>
      <c r="P15" s="701"/>
      <c r="Q15" s="701"/>
      <c r="R15" s="701"/>
      <c r="S15" s="701"/>
      <c r="T15" s="701"/>
      <c r="U15" s="701"/>
      <c r="V15" s="701"/>
      <c r="W15" s="701"/>
    </row>
    <row r="16" spans="1:23" ht="11.1" customHeight="1" x14ac:dyDescent="0.2">
      <c r="A16" s="164">
        <v>3</v>
      </c>
      <c r="B16" s="165" t="s">
        <v>26</v>
      </c>
      <c r="C16" s="10" t="str">
        <f>IF(B16="N","","MIERCOLES")</f>
        <v>MIERCOLES</v>
      </c>
      <c r="D16" s="172">
        <v>0.33333333333333331</v>
      </c>
      <c r="E16" s="172">
        <v>0.54166666666666663</v>
      </c>
      <c r="F16" s="172">
        <v>0.625</v>
      </c>
      <c r="G16" s="172">
        <v>0.75</v>
      </c>
      <c r="H16" s="1">
        <f t="shared" si="2"/>
        <v>0.33333333333333331</v>
      </c>
      <c r="I16" s="4">
        <f t="shared" si="0"/>
        <v>1814.8148148148146</v>
      </c>
      <c r="J16" s="1">
        <f>IF(OR(B16="N",B16="D",B16="F",B16="L",B16="F2",B16="P"),IF(B16="F2",IF(H16&lt;(G$7/2),(G$7/2)-H16,0),0),IF(H16&lt;(G$7),G$7-H16,0))</f>
        <v>0</v>
      </c>
      <c r="K16" s="1">
        <f>IF(OR(B16="N",B16="D",B16="F",B16="L",B16="F2",B16="P"),(IF(B16="D",(E16-D16)+(G16-F16),IF(B16="F2",IF(H16&gt;(G$7/2),H16-(G$7/2),0),0))),IF(H16&gt;(G$7),H16-G$7,0))</f>
        <v>0</v>
      </c>
      <c r="L16" s="221" t="str">
        <f t="shared" si="1"/>
        <v>DIA NORMAL</v>
      </c>
      <c r="M16" s="162">
        <v>0</v>
      </c>
      <c r="N16" s="23"/>
      <c r="O16" s="163">
        <v>0</v>
      </c>
      <c r="P16" s="701"/>
      <c r="Q16" s="701"/>
      <c r="R16" s="701"/>
      <c r="S16" s="701"/>
      <c r="T16" s="701"/>
      <c r="U16" s="701"/>
      <c r="V16" s="701"/>
      <c r="W16" s="701"/>
    </row>
    <row r="17" spans="1:23" ht="11.1" customHeight="1" x14ac:dyDescent="0.2">
      <c r="A17" s="164">
        <v>4</v>
      </c>
      <c r="B17" s="165" t="s">
        <v>26</v>
      </c>
      <c r="C17" s="10" t="str">
        <f>IF(B17="N","","JUEVES")</f>
        <v>JUEVES</v>
      </c>
      <c r="D17" s="172">
        <v>0.33333333333333331</v>
      </c>
      <c r="E17" s="172">
        <v>0.54166666666666663</v>
      </c>
      <c r="F17" s="172">
        <v>0.625</v>
      </c>
      <c r="G17" s="172">
        <v>0.75</v>
      </c>
      <c r="H17" s="1">
        <f t="shared" si="2"/>
        <v>0.33333333333333331</v>
      </c>
      <c r="I17" s="4">
        <f t="shared" si="0"/>
        <v>1814.8148148148146</v>
      </c>
      <c r="J17" s="1">
        <f>IF(OR(B17="N",B17="D",B17="F",B17="L",B17="F2",B17="P"),IF(B17="F2",IF(H17&lt;(G$7/2),(G$7/2)-H17,0),0),IF(H17&lt;(G$7),G$7-H17,0))</f>
        <v>0</v>
      </c>
      <c r="K17" s="1">
        <f>IF(OR(B17="N",B17="D",B17="F",B17="L",B17="F2",B17="P"),(IF(B17="D",(E17-D17)+(G17-F17),IF(B17="F2",IF(H17&gt;(G$7/2),H17-(G$7/2),0),0))),IF(H17&gt;(G$7),H17-G$7,0))</f>
        <v>0</v>
      </c>
      <c r="L17" s="221" t="str">
        <f t="shared" si="1"/>
        <v>DIA NORMAL</v>
      </c>
      <c r="M17" s="162">
        <v>0</v>
      </c>
      <c r="N17" s="23"/>
      <c r="O17" s="163">
        <v>0</v>
      </c>
      <c r="P17" s="701"/>
      <c r="Q17" s="701"/>
      <c r="R17" s="701"/>
      <c r="S17" s="701"/>
      <c r="T17" s="701"/>
      <c r="U17" s="701"/>
      <c r="V17" s="701"/>
      <c r="W17" s="701"/>
    </row>
    <row r="18" spans="1:23" ht="11.1" customHeight="1" x14ac:dyDescent="0.2">
      <c r="A18" s="164">
        <v>5</v>
      </c>
      <c r="B18" s="165" t="s">
        <v>26</v>
      </c>
      <c r="C18" s="10" t="str">
        <f>IF(B18="N","","VIERNES")</f>
        <v>VIERNES</v>
      </c>
      <c r="D18" s="172">
        <v>0.33333333333333331</v>
      </c>
      <c r="E18" s="172">
        <v>0.54166666666666663</v>
      </c>
      <c r="F18" s="172">
        <v>0.625</v>
      </c>
      <c r="G18" s="172">
        <v>0.75</v>
      </c>
      <c r="H18" s="1">
        <f t="shared" si="2"/>
        <v>0.33333333333333331</v>
      </c>
      <c r="I18" s="4">
        <f t="shared" si="0"/>
        <v>1814.8148148148146</v>
      </c>
      <c r="J18" s="1">
        <f>IF(OR(B18="N",B18="D",B18="F",B18="L",B18="F2",B18="P"),IF(B18="F2",IF(H18&lt;(G$7/2),(G$7/2)-H18,0),0),IF(H18&lt;(G$7),G$7-H18,0))</f>
        <v>0</v>
      </c>
      <c r="K18" s="1">
        <f>IF(OR(B18="N",B18="D",B18="F",B18="L",B18="F2",B18="P"),(IF(B18="D",(E18-D18)+(G18-F18),IF(B18="F2",IF(H18&gt;(G$7/2),H18-(G$7/2),0),0))),IF(H18&gt;(G$7),H18-G$7,0))</f>
        <v>0</v>
      </c>
      <c r="L18" s="221" t="str">
        <f t="shared" si="1"/>
        <v>DIA NORMAL</v>
      </c>
      <c r="M18" s="162">
        <v>0</v>
      </c>
      <c r="N18" s="23"/>
      <c r="O18" s="163">
        <v>0</v>
      </c>
      <c r="P18" s="838"/>
      <c r="Q18" s="839"/>
      <c r="R18" s="839"/>
      <c r="S18" s="839"/>
      <c r="T18" s="839"/>
      <c r="U18" s="839"/>
      <c r="V18" s="839"/>
      <c r="W18" s="840"/>
    </row>
    <row r="19" spans="1:23" ht="11.1" customHeight="1" x14ac:dyDescent="0.2">
      <c r="A19" s="164">
        <v>6</v>
      </c>
      <c r="B19" s="165" t="s">
        <v>26</v>
      </c>
      <c r="C19" s="10" t="str">
        <f>IF(B19="N","","SABADO")</f>
        <v>SABADO</v>
      </c>
      <c r="D19" s="172">
        <v>0.33333333333333331</v>
      </c>
      <c r="E19" s="172">
        <v>0.54166666666666663</v>
      </c>
      <c r="F19" s="172"/>
      <c r="G19" s="172"/>
      <c r="H19" s="1">
        <f t="shared" si="2"/>
        <v>0.20833333333333331</v>
      </c>
      <c r="I19" s="4">
        <f t="shared" si="0"/>
        <v>1814.8148148148146</v>
      </c>
      <c r="J19" s="1">
        <f>IF(OR(B19="N",B19="D",B19="F",B19="L",B19="F2",B19="P"),IF(B19="F2",IF(H19&lt;(P$7/2),(P$7/2)-H19,0),0),IF(H19&lt;(P$7),P$7-H19,0))</f>
        <v>0</v>
      </c>
      <c r="K19" s="1">
        <f>IF(OR(B19="N",B19="D",B19="F",B19="L",B19="F2",B19="P"),(IF(B19="D",(E19-D19)+(G19-F19),IF(B19="F2",IF(H19&gt;(P$7/2),H19-(P$7/2),0),0))),IF(H19&gt;(P$7),H19-P$7,0))</f>
        <v>0</v>
      </c>
      <c r="L19" s="221" t="str">
        <f t="shared" si="1"/>
        <v>DIA NORMAL</v>
      </c>
      <c r="M19" s="162">
        <v>0</v>
      </c>
      <c r="N19" s="23"/>
      <c r="O19" s="163">
        <v>0</v>
      </c>
      <c r="P19" s="838"/>
      <c r="Q19" s="839"/>
      <c r="R19" s="839"/>
      <c r="S19" s="839"/>
      <c r="T19" s="839"/>
      <c r="U19" s="839"/>
      <c r="V19" s="839"/>
      <c r="W19" s="840"/>
    </row>
    <row r="20" spans="1:23" ht="11.1" customHeight="1" x14ac:dyDescent="0.2">
      <c r="A20" s="164">
        <v>7</v>
      </c>
      <c r="B20" s="165" t="s">
        <v>34</v>
      </c>
      <c r="C20" s="10" t="str">
        <f>IF(B20="N","","DOMINGO")</f>
        <v>DOMINGO</v>
      </c>
      <c r="D20" s="172"/>
      <c r="E20" s="172"/>
      <c r="F20" s="172"/>
      <c r="G20" s="172"/>
      <c r="H20" s="1">
        <f t="shared" si="2"/>
        <v>0</v>
      </c>
      <c r="I20" s="4">
        <f t="shared" si="0"/>
        <v>2722.1950000000002</v>
      </c>
      <c r="J20" s="1">
        <f>IF(OR(B20="N",B20="D",B20="F",B20="L",B20="F2",B20="P"),IF(B20="F2",IF(H20&lt;(P$7/2),(P$7/2)-H20,0),0),IF(H20&lt;(P$7),P$7-H20,0))</f>
        <v>0</v>
      </c>
      <c r="K20" s="1">
        <f>IF(OR(B20="N",B20="D",B20="F",B20="L",B20="F2",B20="P"),(IF(B20="D",(E20-D20)+(G20-F20),IF(B20="F2",IF(H20&gt;(P$7/2),H20-(P$7/2),0),0))),IF(H20&gt;(P$7),H20-P$7,0))</f>
        <v>0</v>
      </c>
      <c r="L20" s="221" t="str">
        <f t="shared" si="1"/>
        <v>DESCANSO LEGAL</v>
      </c>
      <c r="M20" s="162">
        <v>0</v>
      </c>
      <c r="N20" s="23"/>
      <c r="O20" s="163">
        <v>0</v>
      </c>
      <c r="P20" s="822"/>
      <c r="Q20" s="822"/>
      <c r="R20" s="822"/>
      <c r="S20" s="822"/>
      <c r="T20" s="822"/>
      <c r="U20" s="822"/>
      <c r="V20" s="822"/>
      <c r="W20" s="822"/>
    </row>
    <row r="21" spans="1:23" ht="11.1" customHeight="1" x14ac:dyDescent="0.2">
      <c r="A21" s="13"/>
      <c r="B21" s="13"/>
      <c r="C21" s="13"/>
      <c r="D21" s="13"/>
      <c r="E21" s="14"/>
      <c r="F21" s="820" t="s">
        <v>10</v>
      </c>
      <c r="G21" s="820"/>
      <c r="H21" s="2">
        <f>SUM(H14:H20)</f>
        <v>1.8749999999999998</v>
      </c>
      <c r="I21" s="16"/>
      <c r="J21" s="1">
        <f>SUM(J14:J20)</f>
        <v>0</v>
      </c>
      <c r="K21" s="1">
        <f>SUM(K14:K20)</f>
        <v>0</v>
      </c>
      <c r="L21" s="18"/>
      <c r="M21" s="19"/>
      <c r="N21" s="19"/>
      <c r="O21" s="19"/>
      <c r="P21" s="21"/>
      <c r="Q21" s="21"/>
      <c r="R21" s="21"/>
      <c r="S21" s="21"/>
      <c r="T21" s="346"/>
      <c r="U21" s="346"/>
      <c r="V21" s="346"/>
      <c r="W21" s="346"/>
    </row>
    <row r="22" spans="1:23" ht="11.1" customHeight="1" x14ac:dyDescent="0.2">
      <c r="A22" s="293"/>
      <c r="B22" s="293"/>
      <c r="C22" s="293"/>
      <c r="D22" s="293"/>
      <c r="E22" s="293"/>
      <c r="F22" s="820" t="s">
        <v>47</v>
      </c>
      <c r="G22" s="820"/>
      <c r="H22" s="820"/>
      <c r="I22" s="17"/>
      <c r="J22" s="5">
        <f>IF(J21&gt;K21,J21-K21,0)</f>
        <v>0</v>
      </c>
      <c r="K22" s="8">
        <f>IF(K21&gt;J21,K21-J21,0)</f>
        <v>0</v>
      </c>
      <c r="L22" s="20"/>
      <c r="M22" s="19"/>
      <c r="N22" s="19"/>
      <c r="O22" s="19"/>
      <c r="P22" s="21"/>
      <c r="Q22" s="21"/>
      <c r="R22" s="21"/>
      <c r="S22" s="21"/>
      <c r="T22" s="346"/>
      <c r="U22" s="346"/>
      <c r="V22" s="346"/>
      <c r="W22" s="346"/>
    </row>
    <row r="23" spans="1:23" ht="11.1" customHeight="1" x14ac:dyDescent="0.2">
      <c r="A23" s="12"/>
      <c r="B23" s="12"/>
      <c r="C23" s="12"/>
      <c r="D23" s="12"/>
      <c r="E23" s="12"/>
      <c r="F23" s="12"/>
      <c r="G23" s="12"/>
      <c r="H23" s="12"/>
      <c r="I23" s="12"/>
      <c r="J23" s="12"/>
      <c r="K23" s="12"/>
      <c r="L23" s="12"/>
      <c r="M23" s="12"/>
      <c r="N23" s="12"/>
      <c r="O23" s="12"/>
      <c r="P23" s="22"/>
      <c r="Q23" s="22"/>
      <c r="R23" s="22"/>
      <c r="S23" s="22"/>
      <c r="T23" s="346"/>
      <c r="U23" s="346"/>
      <c r="V23" s="346"/>
      <c r="W23" s="346"/>
    </row>
    <row r="24" spans="1:23" ht="11.1" customHeight="1" x14ac:dyDescent="0.2">
      <c r="A24" s="164">
        <v>8</v>
      </c>
      <c r="B24" s="164" t="s">
        <v>26</v>
      </c>
      <c r="C24" s="10" t="str">
        <f>IF(B24="N","","LUNES")</f>
        <v>LUNES</v>
      </c>
      <c r="D24" s="172">
        <v>0.33333333333333331</v>
      </c>
      <c r="E24" s="172">
        <v>0.54166666666666663</v>
      </c>
      <c r="F24" s="172">
        <v>0.625</v>
      </c>
      <c r="G24" s="172">
        <v>0.75</v>
      </c>
      <c r="H24" s="1">
        <f>IF(OR(B24="N",B24="D",B24="F",B24="L",B24="P"),IF(B24="N","",0),(E24-D24)+(G24-F24))</f>
        <v>0.33333333333333331</v>
      </c>
      <c r="I24" s="4">
        <f t="shared" ref="I24:I30" si="3">IF(OR(B24="N",B24="D",B24="F",B24="L",B24="P"),IF(B24="N","",IF(B24="D",F$5*0.0077777,0)),(((F$5/30)*28)/(HorasMensuales*24)))</f>
        <v>1814.8148148148146</v>
      </c>
      <c r="J24" s="1">
        <f>IF(OR(B24="N",B24="D",B24="F",B24="L",B24="F2",B24="P"),IF(B24="F2",IF(H24&lt;(G$7/2),(G$7/2)-H24,0),0),IF(H24&lt;G$7,G$7-H24,0))</f>
        <v>0</v>
      </c>
      <c r="K24" s="1">
        <f>IF(OR(B24="N",B24="D",B24="F",B24="L",B24="F2",B24="P"),(IF(B24="D",(E24-D24)+(G24-F24),IF(B24="F2",IF(H24&gt;(G$7/2),H24-(G$7/2),0),0))),IF(H24&gt;G$7,H24-G$7,0))</f>
        <v>0</v>
      </c>
      <c r="L24" s="221" t="str">
        <f>IF(B24="N","DIA NULO",IF(B24="A","DIA NORMAL",IF(B24="F","FALLA",IF(B24="F2","MEDIO DIA",IF(B24="L","LICENCIA MEDICA",IF(B24="D","DESCANSO LEGAL",IF(B24="P","PERMISO","NO VALIDO")))))))</f>
        <v>DIA NORMAL</v>
      </c>
      <c r="M24" s="162">
        <v>0</v>
      </c>
      <c r="N24" s="24"/>
      <c r="O24" s="163">
        <v>0</v>
      </c>
      <c r="P24" s="701"/>
      <c r="Q24" s="701"/>
      <c r="R24" s="701"/>
      <c r="S24" s="701"/>
      <c r="T24" s="701"/>
      <c r="U24" s="701"/>
      <c r="V24" s="701"/>
      <c r="W24" s="701"/>
    </row>
    <row r="25" spans="1:23" ht="11.1" customHeight="1" x14ac:dyDescent="0.2">
      <c r="A25" s="164">
        <v>9</v>
      </c>
      <c r="B25" s="164" t="s">
        <v>26</v>
      </c>
      <c r="C25" s="10" t="str">
        <f>IF(B25="N","","MARTES")</f>
        <v>MARTES</v>
      </c>
      <c r="D25" s="172">
        <v>0.33333333333333331</v>
      </c>
      <c r="E25" s="172">
        <v>0.54166666666666663</v>
      </c>
      <c r="F25" s="172">
        <v>0.625</v>
      </c>
      <c r="G25" s="172">
        <v>0.75</v>
      </c>
      <c r="H25" s="1">
        <f t="shared" ref="H25:H30" si="4">IF(OR(B25="N",B25="D",B25="F",B25="L",B25="P"),IF(B25="N","",0),(E25-D25)+(G25-F25))</f>
        <v>0.33333333333333331</v>
      </c>
      <c r="I25" s="4">
        <f t="shared" si="3"/>
        <v>1814.8148148148146</v>
      </c>
      <c r="J25" s="1">
        <f>IF(OR(B25="N",B25="D",B25="F",B25="L",B25="F2",B25="P"),IF(B25="F2",IF(H25&lt;(G$7/2),(G$7/2)-H25,0),0),IF(H25&lt;G$7,G$7-H25,0))</f>
        <v>0</v>
      </c>
      <c r="K25" s="1">
        <f>IF(OR(B25="N",B25="D",B25="F",B25="L",B25="F2",B25="P"),(IF(B25="D",(E25-D25)+(G25-F25),IF(B25="F2",IF(H25&gt;(G$7/2),H25-(G$7/2),0),0))),IF(H25&gt;G$7,H25-G$7,0))</f>
        <v>0</v>
      </c>
      <c r="L25" s="221" t="str">
        <f t="shared" ref="L25:L30" si="5">IF(B25="N","DIA NULO",IF(B25="A","DIA NORMAL",IF(B25="F","FALLA",IF(B25="F2","MEDIO DIA",IF(B25="L","LICENCIA MEDICA",IF(B25="D","DESCANSO LEGAL",IF(B25="P","PERMISO","NO VALIDO")))))))</f>
        <v>DIA NORMAL</v>
      </c>
      <c r="M25" s="162">
        <v>0</v>
      </c>
      <c r="N25" s="24"/>
      <c r="O25" s="163">
        <v>0</v>
      </c>
      <c r="P25" s="701"/>
      <c r="Q25" s="701"/>
      <c r="R25" s="701"/>
      <c r="S25" s="701"/>
      <c r="T25" s="701"/>
      <c r="U25" s="701"/>
      <c r="V25" s="701"/>
      <c r="W25" s="701"/>
    </row>
    <row r="26" spans="1:23" ht="11.1" customHeight="1" x14ac:dyDescent="0.2">
      <c r="A26" s="164">
        <v>10</v>
      </c>
      <c r="B26" s="164" t="s">
        <v>26</v>
      </c>
      <c r="C26" s="10" t="str">
        <f>IF(B26="N","","MIERCOLES")</f>
        <v>MIERCOLES</v>
      </c>
      <c r="D26" s="172">
        <v>0.33333333333333331</v>
      </c>
      <c r="E26" s="172">
        <v>0.54166666666666663</v>
      </c>
      <c r="F26" s="172">
        <v>0.625</v>
      </c>
      <c r="G26" s="172">
        <v>0.75</v>
      </c>
      <c r="H26" s="1">
        <f t="shared" si="4"/>
        <v>0.33333333333333331</v>
      </c>
      <c r="I26" s="4">
        <f t="shared" si="3"/>
        <v>1814.8148148148146</v>
      </c>
      <c r="J26" s="1">
        <f>IF(OR(B26="N",B26="D",B26="F",B26="L",B26="F2",B26="P"),IF(B26="F2",IF(H26&lt;(G$7/2),(G$7/2)-H26,0),0),IF(H26&lt;G$7,G$7-H26,0))</f>
        <v>0</v>
      </c>
      <c r="K26" s="1">
        <f>IF(OR(B26="N",B26="D",B26="F",B26="L",B26="F2",B26="P"),(IF(B26="D",(E26-D26)+(G26-F26),IF(B26="F2",IF(H26&gt;(G$7/2),H26-(G$7/2),0),0))),IF(H26&gt;G$7,H26-G$7,0))</f>
        <v>0</v>
      </c>
      <c r="L26" s="221" t="str">
        <f t="shared" si="5"/>
        <v>DIA NORMAL</v>
      </c>
      <c r="M26" s="162">
        <v>0</v>
      </c>
      <c r="N26" s="24"/>
      <c r="O26" s="163">
        <v>0</v>
      </c>
      <c r="P26" s="701"/>
      <c r="Q26" s="701"/>
      <c r="R26" s="701"/>
      <c r="S26" s="701"/>
      <c r="T26" s="701"/>
      <c r="U26" s="701"/>
      <c r="V26" s="701"/>
      <c r="W26" s="701"/>
    </row>
    <row r="27" spans="1:23" ht="11.1" customHeight="1" x14ac:dyDescent="0.2">
      <c r="A27" s="164">
        <v>11</v>
      </c>
      <c r="B27" s="164" t="s">
        <v>26</v>
      </c>
      <c r="C27" s="10" t="str">
        <f>IF(B27="N","","JUEVES")</f>
        <v>JUEVES</v>
      </c>
      <c r="D27" s="172">
        <v>0.33333333333333331</v>
      </c>
      <c r="E27" s="172">
        <v>0.54166666666666663</v>
      </c>
      <c r="F27" s="172">
        <v>0.625</v>
      </c>
      <c r="G27" s="172">
        <v>0.75</v>
      </c>
      <c r="H27" s="1">
        <f t="shared" si="4"/>
        <v>0.33333333333333331</v>
      </c>
      <c r="I27" s="4">
        <f t="shared" si="3"/>
        <v>1814.8148148148146</v>
      </c>
      <c r="J27" s="1">
        <f>IF(OR(B27="N",B27="D",B27="F",B27="L",B27="F2",B27="P"),IF(B27="F2",IF(H27&lt;(G$7/2),(G$7/2)-H27,0),0),IF(H27&lt;G$7,G$7-H27,0))</f>
        <v>0</v>
      </c>
      <c r="K27" s="1">
        <f>IF(OR(B27="N",B27="D",B27="F",B27="L",B27="F2",B27="P"),(IF(B27="D",(E27-D27)+(G27-F27),IF(B27="F2",IF(H27&gt;(G$7/2),H27-(G$7/2),0),0))),IF(H27&gt;G$7,H27-G$7,0))</f>
        <v>0</v>
      </c>
      <c r="L27" s="221" t="str">
        <f t="shared" si="5"/>
        <v>DIA NORMAL</v>
      </c>
      <c r="M27" s="162">
        <v>0</v>
      </c>
      <c r="N27" s="24"/>
      <c r="O27" s="163">
        <v>0</v>
      </c>
      <c r="P27" s="701"/>
      <c r="Q27" s="701"/>
      <c r="R27" s="701"/>
      <c r="S27" s="701"/>
      <c r="T27" s="701"/>
      <c r="U27" s="701"/>
      <c r="V27" s="701"/>
      <c r="W27" s="701"/>
    </row>
    <row r="28" spans="1:23" ht="11.1" customHeight="1" x14ac:dyDescent="0.2">
      <c r="A28" s="164">
        <v>12</v>
      </c>
      <c r="B28" s="164" t="s">
        <v>26</v>
      </c>
      <c r="C28" s="10" t="str">
        <f>IF(B28="N","","VIERNES")</f>
        <v>VIERNES</v>
      </c>
      <c r="D28" s="172">
        <v>0.33333333333333331</v>
      </c>
      <c r="E28" s="172">
        <v>0.54166666666666663</v>
      </c>
      <c r="F28" s="172">
        <v>0.625</v>
      </c>
      <c r="G28" s="172">
        <v>0.75</v>
      </c>
      <c r="H28" s="1">
        <f t="shared" si="4"/>
        <v>0.33333333333333331</v>
      </c>
      <c r="I28" s="4">
        <f t="shared" si="3"/>
        <v>1814.8148148148146</v>
      </c>
      <c r="J28" s="1">
        <f>IF(OR(B28="N",B28="D",B28="F",B28="L",B28="F2",B28="P"),IF(B28="F2",IF(H28&lt;(G$7/2),(G$7/2)-H28,0),0),IF(H28&lt;G$7,G$7-H28,0))</f>
        <v>0</v>
      </c>
      <c r="K28" s="1">
        <f>IF(OR(B28="N",B28="D",B28="F",B28="L",B28="F2",B28="P"),(IF(B28="D",(E28-D28)+(G28-F28),IF(B28="F2",IF(H28&gt;(G$7/2),H28-(G$7/2),0),0))),IF(H28&gt;G$7,H28-G$7,0))</f>
        <v>0</v>
      </c>
      <c r="L28" s="221" t="str">
        <f t="shared" si="5"/>
        <v>DIA NORMAL</v>
      </c>
      <c r="M28" s="162">
        <v>0</v>
      </c>
      <c r="N28" s="24"/>
      <c r="O28" s="163">
        <v>0</v>
      </c>
      <c r="P28" s="701"/>
      <c r="Q28" s="701"/>
      <c r="R28" s="701"/>
      <c r="S28" s="701"/>
      <c r="T28" s="701"/>
      <c r="U28" s="701"/>
      <c r="V28" s="701"/>
      <c r="W28" s="701"/>
    </row>
    <row r="29" spans="1:23" ht="11.1" customHeight="1" x14ac:dyDescent="0.2">
      <c r="A29" s="164">
        <v>13</v>
      </c>
      <c r="B29" s="164" t="s">
        <v>26</v>
      </c>
      <c r="C29" s="10" t="str">
        <f>IF(B29="N","","SABADO")</f>
        <v>SABADO</v>
      </c>
      <c r="D29" s="172">
        <v>0.33333333333333331</v>
      </c>
      <c r="E29" s="172">
        <v>0.54166666666666663</v>
      </c>
      <c r="F29" s="172"/>
      <c r="G29" s="172"/>
      <c r="H29" s="1">
        <f t="shared" si="4"/>
        <v>0.20833333333333331</v>
      </c>
      <c r="I29" s="4">
        <f t="shared" si="3"/>
        <v>1814.8148148148146</v>
      </c>
      <c r="J29" s="1">
        <f>IF(OR(B29="N",B29="D",B29="F",B29="L",B29="F2",B29="P"),IF(B29="F2",IF(H29&lt;(P$7/2),(P$7/2)-H29,0),0),IF(H29&lt;P$7,P$7-H29,0))</f>
        <v>0</v>
      </c>
      <c r="K29" s="1">
        <f>IF(OR(B29="N",B29="D",B29="F",B29="L",B29="F2",B29="P"),(IF(B29="D",(E29-D29)+(G29-F29),IF(B29="F2",IF(H29&gt;(P$7/2),H29-(P$7/2),0),0))),IF(H29&gt;P$7,H29-P$7,0))</f>
        <v>0</v>
      </c>
      <c r="L29" s="221" t="str">
        <f t="shared" si="5"/>
        <v>DIA NORMAL</v>
      </c>
      <c r="M29" s="162">
        <v>0</v>
      </c>
      <c r="N29" s="24"/>
      <c r="O29" s="163">
        <v>0</v>
      </c>
      <c r="P29" s="701"/>
      <c r="Q29" s="701"/>
      <c r="R29" s="701"/>
      <c r="S29" s="701"/>
      <c r="T29" s="701"/>
      <c r="U29" s="701"/>
      <c r="V29" s="701"/>
      <c r="W29" s="701"/>
    </row>
    <row r="30" spans="1:23" ht="11.1" customHeight="1" x14ac:dyDescent="0.2">
      <c r="A30" s="164">
        <v>14</v>
      </c>
      <c r="B30" s="164" t="s">
        <v>34</v>
      </c>
      <c r="C30" s="10" t="str">
        <f>IF(B30="N","","DOMINGO")</f>
        <v>DOMINGO</v>
      </c>
      <c r="D30" s="172"/>
      <c r="E30" s="172"/>
      <c r="F30" s="172"/>
      <c r="G30" s="172"/>
      <c r="H30" s="1">
        <f t="shared" si="4"/>
        <v>0</v>
      </c>
      <c r="I30" s="4">
        <f t="shared" si="3"/>
        <v>2722.1950000000002</v>
      </c>
      <c r="J30" s="1">
        <f>IF(OR(B30="N",B30="D",B30="F",B30="L",B30="F2",B30="P"),IF(B30="F2",IF(H30&lt;(P$7/2),(P$7/2)-H30,0),0),IF(H30&lt;P$7,P$7-H30,0))</f>
        <v>0</v>
      </c>
      <c r="K30" s="1">
        <f>IF(OR(B30="N",B30="D",B30="F",B30="L",B30="F2",B30="P"),(IF(B30="D",(E30-D30)+(G30-F30),IF(B30="F2",IF(H30&gt;(P$7/2),H30-(P$7/2),0),0))),IF(H30&gt;P$7,H30-P$7,0))</f>
        <v>0</v>
      </c>
      <c r="L30" s="221" t="str">
        <f t="shared" si="5"/>
        <v>DESCANSO LEGAL</v>
      </c>
      <c r="M30" s="162">
        <v>0</v>
      </c>
      <c r="N30" s="24"/>
      <c r="O30" s="163">
        <v>0</v>
      </c>
      <c r="P30" s="701"/>
      <c r="Q30" s="701"/>
      <c r="R30" s="701"/>
      <c r="S30" s="701"/>
      <c r="T30" s="701"/>
      <c r="U30" s="701"/>
      <c r="V30" s="701"/>
      <c r="W30" s="701"/>
    </row>
    <row r="31" spans="1:23" ht="11.1" customHeight="1" x14ac:dyDescent="0.2">
      <c r="A31" s="13"/>
      <c r="B31" s="13"/>
      <c r="C31" s="13"/>
      <c r="D31" s="13"/>
      <c r="E31" s="14"/>
      <c r="F31" s="820" t="s">
        <v>10</v>
      </c>
      <c r="G31" s="820"/>
      <c r="H31" s="2">
        <f>SUM(H24:H30)</f>
        <v>1.8749999999999998</v>
      </c>
      <c r="I31" s="16"/>
      <c r="J31" s="2">
        <f>SUM(J24:J30)</f>
        <v>0</v>
      </c>
      <c r="K31" s="2">
        <f>SUM(K24:K30)</f>
        <v>0</v>
      </c>
      <c r="L31" s="18"/>
      <c r="M31" s="19"/>
      <c r="N31" s="19"/>
      <c r="O31" s="19"/>
      <c r="P31" s="21"/>
      <c r="Q31" s="21"/>
      <c r="R31" s="21"/>
      <c r="S31" s="21"/>
      <c r="T31" s="346"/>
      <c r="U31" s="346"/>
      <c r="V31" s="123"/>
      <c r="W31" s="346"/>
    </row>
    <row r="32" spans="1:23" ht="11.1" customHeight="1" x14ac:dyDescent="0.2">
      <c r="A32" s="293"/>
      <c r="B32" s="293"/>
      <c r="C32" s="293"/>
      <c r="D32" s="293"/>
      <c r="E32" s="293"/>
      <c r="F32" s="820" t="s">
        <v>47</v>
      </c>
      <c r="G32" s="820"/>
      <c r="H32" s="820"/>
      <c r="I32" s="17"/>
      <c r="J32" s="5">
        <f>IF(J31&gt;K31,J31-K31,0)</f>
        <v>0</v>
      </c>
      <c r="K32" s="8">
        <f>IF(K31&gt;J31,K31-J31,0)</f>
        <v>0</v>
      </c>
      <c r="L32" s="20"/>
      <c r="M32" s="19"/>
      <c r="N32" s="19"/>
      <c r="O32" s="19"/>
      <c r="P32" s="21"/>
      <c r="Q32" s="21"/>
      <c r="R32" s="21"/>
      <c r="S32" s="21"/>
      <c r="T32" s="346"/>
      <c r="U32" s="346"/>
      <c r="V32" s="346"/>
      <c r="W32" s="346"/>
    </row>
    <row r="33" spans="1:23" ht="11.1" customHeight="1" x14ac:dyDescent="0.2">
      <c r="A33" s="12"/>
      <c r="B33" s="12"/>
      <c r="C33" s="12"/>
      <c r="D33" s="12"/>
      <c r="E33" s="12"/>
      <c r="F33" s="12"/>
      <c r="G33" s="12"/>
      <c r="H33" s="12"/>
      <c r="I33" s="12"/>
      <c r="J33" s="12"/>
      <c r="K33" s="12"/>
      <c r="L33" s="12"/>
      <c r="M33" s="12"/>
      <c r="N33" s="12"/>
      <c r="O33" s="12"/>
      <c r="P33" s="22"/>
      <c r="Q33" s="22"/>
      <c r="R33" s="22"/>
      <c r="S33" s="22"/>
      <c r="T33" s="346"/>
      <c r="U33" s="346"/>
      <c r="V33" s="346"/>
      <c r="W33" s="346"/>
    </row>
    <row r="34" spans="1:23" ht="11.1" customHeight="1" x14ac:dyDescent="0.2">
      <c r="A34" s="164">
        <v>15</v>
      </c>
      <c r="B34" s="164" t="s">
        <v>26</v>
      </c>
      <c r="C34" s="10" t="str">
        <f>IF(B34="N","","LUNES")</f>
        <v>LUNES</v>
      </c>
      <c r="D34" s="172">
        <v>0.33333333333333331</v>
      </c>
      <c r="E34" s="172">
        <v>0.54166666666666663</v>
      </c>
      <c r="F34" s="172">
        <v>0.625</v>
      </c>
      <c r="G34" s="172">
        <v>0.75</v>
      </c>
      <c r="H34" s="1">
        <f>IF(OR(B34="N",B34="D",B34="F",B34="L",B34="P"),IF(B34="N","",0),(E34-D34)+(G34-F34))</f>
        <v>0.33333333333333331</v>
      </c>
      <c r="I34" s="4">
        <f t="shared" ref="I34:I40" si="6">IF(OR(B34="N",B34="D",B34="F",B34="L",B34="P"),IF(B34="N","",IF(B34="D",F$5*0.0077777,0)),(((F$5/30)*28)/(HorasMensuales*24)))</f>
        <v>1814.8148148148146</v>
      </c>
      <c r="J34" s="1">
        <f>IF(OR(B34="N",B34="D",B34="F",B34="L",B34="F2",B34="P"),IF(B34="F2",IF(H34&lt;(G$7/2),(G$7/2)-H34,0),0),IF(H34&lt;G$7,G$7-H34,0))</f>
        <v>0</v>
      </c>
      <c r="K34" s="1">
        <f>IF(OR(B34="N",B34="D",B34="F",B34="L",B34="F2",B34="P"),(IF(B34="D",(E34-D34)+(G34-F34),IF(B34="F2",IF(H34&gt;(G$7/2),H34-(G$7/2),0),0))),IF(H34&gt;G$7,H34-G$7,0))</f>
        <v>0</v>
      </c>
      <c r="L34" s="221" t="str">
        <f>IF(B34="N","DIA NULO",IF(B34="A","DIA NORMAL",IF(B34="F","FALLA",IF(B34="F2","MEDIO DIA",IF(B34="L","LICENCIA MEDICA",IF(B34="D","DESCANSO LEGAL",IF(B34="P","PERMISO","NO VALIDO")))))))</f>
        <v>DIA NORMAL</v>
      </c>
      <c r="M34" s="162">
        <v>0</v>
      </c>
      <c r="N34" s="24"/>
      <c r="O34" s="163">
        <v>0</v>
      </c>
      <c r="P34" s="701"/>
      <c r="Q34" s="701"/>
      <c r="R34" s="701"/>
      <c r="S34" s="701"/>
      <c r="T34" s="701"/>
      <c r="U34" s="701"/>
      <c r="V34" s="701"/>
      <c r="W34" s="701"/>
    </row>
    <row r="35" spans="1:23" ht="11.1" customHeight="1" x14ac:dyDescent="0.2">
      <c r="A35" s="164">
        <v>16</v>
      </c>
      <c r="B35" s="164" t="s">
        <v>26</v>
      </c>
      <c r="C35" s="10" t="str">
        <f>IF(B35="N","","MARTES")</f>
        <v>MARTES</v>
      </c>
      <c r="D35" s="172">
        <v>0.33333333333333331</v>
      </c>
      <c r="E35" s="172">
        <v>0.54166666666666663</v>
      </c>
      <c r="F35" s="172">
        <v>0.625</v>
      </c>
      <c r="G35" s="172">
        <v>0.75</v>
      </c>
      <c r="H35" s="1">
        <f t="shared" ref="H35:H40" si="7">IF(OR(B35="N",B35="D",B35="F",B35="L",B35="P"),IF(B35="N","",0),(E35-D35)+(G35-F35))</f>
        <v>0.33333333333333331</v>
      </c>
      <c r="I35" s="4">
        <f t="shared" si="6"/>
        <v>1814.8148148148146</v>
      </c>
      <c r="J35" s="1">
        <f>IF(OR(B35="N",B35="D",B35="F",B35="L",B35="F2",B35="P"),IF(B35="F2",IF(H35&lt;(G$7/2),(G$7/2)-H35,0),0),IF(H35&lt;G$7,G$7-H35,0))</f>
        <v>0</v>
      </c>
      <c r="K35" s="1">
        <f>IF(OR(B35="N",B35="D",B35="F",B35="L",B35="F2",B35="P"),(IF(B35="D",(E35-D35)+(G35-F35),IF(B35="F2",IF(H35&gt;(G$7/2),H35-(G$7/2),0),0))),IF(H35&gt;G$7,H35-G$7,0))</f>
        <v>0</v>
      </c>
      <c r="L35" s="221" t="str">
        <f t="shared" ref="L35:L40" si="8">IF(B35="N","DIA NULO",IF(B35="A","DIA NORMAL",IF(B35="F","FALLA",IF(B35="F2","MEDIO DIA",IF(B35="L","LICENCIA MEDICA",IF(B35="D","DESCANSO LEGAL",IF(B35="P","PERMISO","NO VALIDO")))))))</f>
        <v>DIA NORMAL</v>
      </c>
      <c r="M35" s="162">
        <v>0</v>
      </c>
      <c r="N35" s="24"/>
      <c r="O35" s="163">
        <v>0</v>
      </c>
      <c r="P35" s="701"/>
      <c r="Q35" s="701"/>
      <c r="R35" s="701"/>
      <c r="S35" s="701"/>
      <c r="T35" s="701"/>
      <c r="U35" s="701"/>
      <c r="V35" s="701"/>
      <c r="W35" s="701"/>
    </row>
    <row r="36" spans="1:23" ht="11.1" customHeight="1" x14ac:dyDescent="0.2">
      <c r="A36" s="164">
        <v>17</v>
      </c>
      <c r="B36" s="164" t="s">
        <v>26</v>
      </c>
      <c r="C36" s="10" t="str">
        <f>IF(B36="N","","MIERCOLES")</f>
        <v>MIERCOLES</v>
      </c>
      <c r="D36" s="172">
        <v>0.33333333333333331</v>
      </c>
      <c r="E36" s="172">
        <v>0.54166666666666663</v>
      </c>
      <c r="F36" s="172">
        <v>0.625</v>
      </c>
      <c r="G36" s="172">
        <v>0.75</v>
      </c>
      <c r="H36" s="1">
        <f t="shared" si="7"/>
        <v>0.33333333333333331</v>
      </c>
      <c r="I36" s="4">
        <f t="shared" si="6"/>
        <v>1814.8148148148146</v>
      </c>
      <c r="J36" s="1">
        <f>IF(OR(B36="N",B36="D",B36="F",B36="L",B36="F2",B36="P"),IF(B36="F2",IF(H36&lt;(G$7/2),(G$7/2)-H36,0),0),IF(H36&lt;G$7,G$7-H36,0))</f>
        <v>0</v>
      </c>
      <c r="K36" s="1">
        <f>IF(OR(B36="N",B36="D",B36="F",B36="L",B36="F2",B36="P"),(IF(B36="D",(E36-D36)+(G36-F36),IF(B36="F2",IF(H36&gt;(G$7/2),H36-(G$7/2),0),0))),IF(H36&gt;G$7,H36-G$7,0))</f>
        <v>0</v>
      </c>
      <c r="L36" s="221" t="str">
        <f t="shared" si="8"/>
        <v>DIA NORMAL</v>
      </c>
      <c r="M36" s="162">
        <v>0</v>
      </c>
      <c r="N36" s="24"/>
      <c r="O36" s="163">
        <v>0</v>
      </c>
      <c r="P36" s="701"/>
      <c r="Q36" s="701"/>
      <c r="R36" s="701"/>
      <c r="S36" s="701"/>
      <c r="T36" s="701"/>
      <c r="U36" s="701"/>
      <c r="V36" s="701"/>
      <c r="W36" s="701"/>
    </row>
    <row r="37" spans="1:23" ht="11.1" customHeight="1" x14ac:dyDescent="0.2">
      <c r="A37" s="164">
        <v>18</v>
      </c>
      <c r="B37" s="164" t="s">
        <v>26</v>
      </c>
      <c r="C37" s="10" t="str">
        <f>IF(B37="N","","JUEVES")</f>
        <v>JUEVES</v>
      </c>
      <c r="D37" s="172">
        <v>0.33333333333333331</v>
      </c>
      <c r="E37" s="172">
        <v>0.54166666666666663</v>
      </c>
      <c r="F37" s="172">
        <v>0.625</v>
      </c>
      <c r="G37" s="172">
        <v>0.75</v>
      </c>
      <c r="H37" s="1">
        <f t="shared" si="7"/>
        <v>0.33333333333333331</v>
      </c>
      <c r="I37" s="4">
        <f t="shared" si="6"/>
        <v>1814.8148148148146</v>
      </c>
      <c r="J37" s="1">
        <f>IF(OR(B37="N",B37="D",B37="F",B37="L",B37="F2",B37="P"),IF(B37="F2",IF(H37&lt;(G$7/2),(G$7/2)-H37,0),0),IF(H37&lt;G$7,G$7-H37,0))</f>
        <v>0</v>
      </c>
      <c r="K37" s="1">
        <f>IF(OR(B37="N",B37="D",B37="F",B37="L",B37="F2",B37="P"),(IF(B37="D",(E37-D37)+(G37-F37),IF(B37="F2",IF(H37&gt;(G$7/2),H37-(G$7/2),0),0))),IF(H37&gt;G$7,H37-G$7,0))</f>
        <v>0</v>
      </c>
      <c r="L37" s="221" t="str">
        <f t="shared" si="8"/>
        <v>DIA NORMAL</v>
      </c>
      <c r="M37" s="162">
        <v>0</v>
      </c>
      <c r="N37" s="24"/>
      <c r="O37" s="163">
        <v>0</v>
      </c>
      <c r="P37" s="701"/>
      <c r="Q37" s="701"/>
      <c r="R37" s="701"/>
      <c r="S37" s="701"/>
      <c r="T37" s="701"/>
      <c r="U37" s="701"/>
      <c r="V37" s="701"/>
      <c r="W37" s="701"/>
    </row>
    <row r="38" spans="1:23" ht="11.1" customHeight="1" x14ac:dyDescent="0.2">
      <c r="A38" s="164">
        <v>19</v>
      </c>
      <c r="B38" s="164" t="s">
        <v>26</v>
      </c>
      <c r="C38" s="10" t="str">
        <f>IF(B38="N","","VIERNES")</f>
        <v>VIERNES</v>
      </c>
      <c r="D38" s="172">
        <v>0.33333333333333331</v>
      </c>
      <c r="E38" s="172">
        <v>0.54166666666666663</v>
      </c>
      <c r="F38" s="172">
        <v>0.625</v>
      </c>
      <c r="G38" s="172">
        <v>0.75</v>
      </c>
      <c r="H38" s="1">
        <f t="shared" si="7"/>
        <v>0.33333333333333331</v>
      </c>
      <c r="I38" s="4">
        <f t="shared" si="6"/>
        <v>1814.8148148148146</v>
      </c>
      <c r="J38" s="1">
        <f>IF(OR(B38="N",B38="D",B38="F",B38="L",B38="F2",B38="P"),IF(B38="F2",IF(H38&lt;(G$7/2),(G$7/2)-H38,0),0),IF(H38&lt;G$7,G$7-H38,0))</f>
        <v>0</v>
      </c>
      <c r="K38" s="1">
        <f>IF(OR(B38="N",B38="D",B38="F",B38="L",B38="F2",B38="P"),(IF(B38="D",(E38-D38)+(G38-F38),IF(B38="F2",IF(H38&gt;(G$7/2),H38-(G$7/2),0),0))),IF(H38&gt;G$7,H38-G$7,0))</f>
        <v>0</v>
      </c>
      <c r="L38" s="221" t="str">
        <f t="shared" si="8"/>
        <v>DIA NORMAL</v>
      </c>
      <c r="M38" s="162">
        <v>0</v>
      </c>
      <c r="N38" s="24"/>
      <c r="O38" s="163">
        <v>0</v>
      </c>
      <c r="P38" s="701"/>
      <c r="Q38" s="701"/>
      <c r="R38" s="701"/>
      <c r="S38" s="701"/>
      <c r="T38" s="701"/>
      <c r="U38" s="701"/>
      <c r="V38" s="701"/>
      <c r="W38" s="701"/>
    </row>
    <row r="39" spans="1:23" ht="11.1" customHeight="1" x14ac:dyDescent="0.2">
      <c r="A39" s="164">
        <v>20</v>
      </c>
      <c r="B39" s="164" t="s">
        <v>26</v>
      </c>
      <c r="C39" s="10" t="str">
        <f>IF(B39="N","","SABADO")</f>
        <v>SABADO</v>
      </c>
      <c r="D39" s="172">
        <v>0.33333333333333331</v>
      </c>
      <c r="E39" s="172">
        <v>0.54166666666666663</v>
      </c>
      <c r="F39" s="172"/>
      <c r="G39" s="172"/>
      <c r="H39" s="1">
        <f t="shared" si="7"/>
        <v>0.20833333333333331</v>
      </c>
      <c r="I39" s="4">
        <f t="shared" si="6"/>
        <v>1814.8148148148146</v>
      </c>
      <c r="J39" s="1">
        <f>IF(OR(B39="N",B39="D",B39="F",B39="L",B39="F2",B39="P"),IF(B39="F2",IF(H39&lt;(P$7/2),(P$7/2)-H39,0),0),IF(H39&lt;P$7,P$7-H39,0))</f>
        <v>0</v>
      </c>
      <c r="K39" s="1">
        <f>IF(OR(B39="N",B39="D",B39="F",B39="L",B39="F2",B39="P"),(IF(B39="D",(E39-D39)+(G39-F39),IF(B39="F2",IF(H39&gt;(P$7/2),H39-(P$7/2),0),0))),IF(H39&gt;P$7,H39-P$7,0))</f>
        <v>0</v>
      </c>
      <c r="L39" s="221" t="str">
        <f t="shared" si="8"/>
        <v>DIA NORMAL</v>
      </c>
      <c r="M39" s="162">
        <v>0</v>
      </c>
      <c r="N39" s="24"/>
      <c r="O39" s="163">
        <v>0</v>
      </c>
      <c r="P39" s="701"/>
      <c r="Q39" s="701"/>
      <c r="R39" s="701"/>
      <c r="S39" s="701"/>
      <c r="T39" s="701"/>
      <c r="U39" s="701"/>
      <c r="V39" s="701"/>
      <c r="W39" s="701"/>
    </row>
    <row r="40" spans="1:23" ht="11.1" customHeight="1" x14ac:dyDescent="0.2">
      <c r="A40" s="164">
        <v>21</v>
      </c>
      <c r="B40" s="164" t="s">
        <v>34</v>
      </c>
      <c r="C40" s="10" t="str">
        <f>IF(B40="N","","DOMINGO")</f>
        <v>DOMINGO</v>
      </c>
      <c r="D40" s="172"/>
      <c r="E40" s="172"/>
      <c r="F40" s="172"/>
      <c r="G40" s="172"/>
      <c r="H40" s="1">
        <f t="shared" si="7"/>
        <v>0</v>
      </c>
      <c r="I40" s="4">
        <f t="shared" si="6"/>
        <v>2722.1950000000002</v>
      </c>
      <c r="J40" s="1">
        <f>IF(OR(B40="N",B40="D",B40="F",B40="L",B40="F2",B40="P"),IF(B40="F2",IF(H40&lt;(P$7/2),(P$7/2)-H40,0),0),IF(H40&lt;P$7,P$7-H40,0))</f>
        <v>0</v>
      </c>
      <c r="K40" s="1">
        <f>IF(OR(B40="N",B40="D",B40="F",B40="L",B40="F2",B40="P"),(IF(B40="D",(E40-D40)+(G40-F40),IF(B40="F2",IF(H40&gt;(P$7/2),H40-(P$7/2),0),0))),IF(H40&gt;P$7,H40-P$7,0))</f>
        <v>0</v>
      </c>
      <c r="L40" s="221" t="str">
        <f t="shared" si="8"/>
        <v>DESCANSO LEGAL</v>
      </c>
      <c r="M40" s="162">
        <v>0</v>
      </c>
      <c r="N40" s="24"/>
      <c r="O40" s="163">
        <v>0</v>
      </c>
      <c r="P40" s="701"/>
      <c r="Q40" s="701"/>
      <c r="R40" s="701"/>
      <c r="S40" s="701"/>
      <c r="T40" s="701"/>
      <c r="U40" s="701"/>
      <c r="V40" s="701"/>
      <c r="W40" s="701"/>
    </row>
    <row r="41" spans="1:23" ht="11.1" customHeight="1" x14ac:dyDescent="0.2">
      <c r="A41" s="13"/>
      <c r="B41" s="13"/>
      <c r="C41" s="13"/>
      <c r="D41" s="13"/>
      <c r="E41" s="14"/>
      <c r="F41" s="820" t="s">
        <v>10</v>
      </c>
      <c r="G41" s="820"/>
      <c r="H41" s="2">
        <f>SUM(H34:H40)</f>
        <v>1.8749999999999998</v>
      </c>
      <c r="I41" s="16"/>
      <c r="J41" s="2">
        <f>SUM(J34:J40)</f>
        <v>0</v>
      </c>
      <c r="K41" s="2">
        <f>SUM(K34:K40)</f>
        <v>0</v>
      </c>
      <c r="L41" s="18"/>
      <c r="M41" s="19"/>
      <c r="N41" s="19"/>
      <c r="O41" s="19"/>
      <c r="P41" s="21"/>
      <c r="Q41" s="21"/>
      <c r="R41" s="21"/>
      <c r="S41" s="21"/>
      <c r="T41" s="346"/>
      <c r="U41" s="346"/>
      <c r="V41" s="346"/>
      <c r="W41" s="346"/>
    </row>
    <row r="42" spans="1:23" ht="11.1" customHeight="1" x14ac:dyDescent="0.2">
      <c r="A42" s="293"/>
      <c r="B42" s="293"/>
      <c r="C42" s="293"/>
      <c r="D42" s="293"/>
      <c r="E42" s="293"/>
      <c r="F42" s="820" t="s">
        <v>47</v>
      </c>
      <c r="G42" s="820"/>
      <c r="H42" s="820"/>
      <c r="I42" s="17"/>
      <c r="J42" s="5">
        <f>IF(J41&gt;K41,J41-K41,0)</f>
        <v>0</v>
      </c>
      <c r="K42" s="8">
        <f>IF(K41&gt;J41,K41-J41,0)</f>
        <v>0</v>
      </c>
      <c r="L42" s="20"/>
      <c r="M42" s="19"/>
      <c r="N42" s="19"/>
      <c r="O42" s="19"/>
      <c r="P42" s="21"/>
      <c r="Q42" s="21"/>
      <c r="R42" s="21"/>
      <c r="S42" s="21"/>
      <c r="T42" s="346"/>
      <c r="U42" s="346"/>
      <c r="V42" s="346"/>
      <c r="W42" s="346"/>
    </row>
    <row r="43" spans="1:23" ht="11.1" customHeight="1" x14ac:dyDescent="0.2">
      <c r="A43" s="12"/>
      <c r="B43" s="12"/>
      <c r="C43" s="12"/>
      <c r="D43" s="12"/>
      <c r="E43" s="12"/>
      <c r="F43" s="12"/>
      <c r="G43" s="12"/>
      <c r="H43" s="12"/>
      <c r="I43" s="12"/>
      <c r="J43" s="12"/>
      <c r="K43" s="12"/>
      <c r="L43" s="12"/>
      <c r="M43" s="12"/>
      <c r="N43" s="12"/>
      <c r="O43" s="12"/>
      <c r="P43" s="22"/>
      <c r="Q43" s="22"/>
      <c r="R43" s="22"/>
      <c r="S43" s="22"/>
      <c r="T43" s="346"/>
      <c r="U43" s="346"/>
      <c r="V43" s="346"/>
      <c r="W43" s="346"/>
    </row>
    <row r="44" spans="1:23" ht="11.1" customHeight="1" x14ac:dyDescent="0.2">
      <c r="A44" s="164">
        <v>22</v>
      </c>
      <c r="B44" s="164" t="s">
        <v>26</v>
      </c>
      <c r="C44" s="10" t="str">
        <f>IF(B44="N","","LUNES")</f>
        <v>LUNES</v>
      </c>
      <c r="D44" s="172">
        <v>0.33333333333333331</v>
      </c>
      <c r="E44" s="172">
        <v>0.54166666666666663</v>
      </c>
      <c r="F44" s="172">
        <v>0.625</v>
      </c>
      <c r="G44" s="172">
        <v>0.75</v>
      </c>
      <c r="H44" s="1">
        <f>IF(OR(B44="N",B44="D",B44="F",B44="L",B44="P"),IF(B44="N","",0),(E44-D44)+(G44-F44))</f>
        <v>0.33333333333333331</v>
      </c>
      <c r="I44" s="4">
        <f t="shared" ref="I44:I50" si="9">IF(OR(B44="N",B44="D",B44="F",B44="L",B44="P"),IF(B44="N","",IF(B44="D",F$5*0.0077777,0)),(((F$5/30)*28)/(HorasMensuales*24)))</f>
        <v>1814.8148148148146</v>
      </c>
      <c r="J44" s="1">
        <f>IF(OR(B44="N",B44="D",B44="F",B44="L",B44="F2",B44="P"),IF(B44="F2",IF(H44&lt;(G$7/2),(G$7/2)-H44,0),0),IF(H44&lt;G$7,G$7-H44,0))</f>
        <v>0</v>
      </c>
      <c r="K44" s="1">
        <f>IF(OR(B44="N",B44="D",B44="F",B44="L",B44="F2",B44="P"),(IF(B44="D",(E44-D44)+(G44-F44),IF(B44="F2",IF(H44&gt;(G$7/2),H44-(G$7/2),0),0))),IF(H44&gt;G$7,H44-G$7,0))</f>
        <v>0</v>
      </c>
      <c r="L44" s="221" t="str">
        <f>IF(B44="N","DIA NULO",IF(B44="A","DIA NORMAL",IF(B44="F","FALLA",IF(B44="F2","MEDIO DIA",IF(B44="L","LICENCIA MEDICA",IF(B44="D","DESCANSO LEGAL",IF(B44="P","PERMISO","NO VALIDO")))))))</f>
        <v>DIA NORMAL</v>
      </c>
      <c r="M44" s="162">
        <v>0</v>
      </c>
      <c r="N44" s="24"/>
      <c r="O44" s="163">
        <v>0</v>
      </c>
      <c r="P44" s="701"/>
      <c r="Q44" s="701"/>
      <c r="R44" s="701"/>
      <c r="S44" s="701"/>
      <c r="T44" s="701"/>
      <c r="U44" s="701"/>
      <c r="V44" s="701"/>
      <c r="W44" s="701"/>
    </row>
    <row r="45" spans="1:23" ht="11.1" customHeight="1" x14ac:dyDescent="0.2">
      <c r="A45" s="164">
        <v>23</v>
      </c>
      <c r="B45" s="164" t="s">
        <v>26</v>
      </c>
      <c r="C45" s="10" t="str">
        <f>IF(B45="N","","MARTES")</f>
        <v>MARTES</v>
      </c>
      <c r="D45" s="172">
        <v>0.33333333333333331</v>
      </c>
      <c r="E45" s="172">
        <v>0.54166666666666663</v>
      </c>
      <c r="F45" s="172">
        <v>0.625</v>
      </c>
      <c r="G45" s="172">
        <v>0.75</v>
      </c>
      <c r="H45" s="1">
        <f t="shared" ref="H45:H50" si="10">IF(OR(B45="N",B45="D",B45="F",B45="L",B45="P"),IF(B45="N","",0),(E45-D45)+(G45-F45))</f>
        <v>0.33333333333333331</v>
      </c>
      <c r="I45" s="4">
        <f t="shared" si="9"/>
        <v>1814.8148148148146</v>
      </c>
      <c r="J45" s="1">
        <f>IF(OR(B45="N",B45="D",B45="F",B45="L",B45="F2",B45="P"),IF(B45="F2",IF(H45&lt;(G$7/2),(G$7/2)-H45,0),0),IF(H45&lt;G$7,G$7-H45,0))</f>
        <v>0</v>
      </c>
      <c r="K45" s="1">
        <f>IF(OR(B45="N",B45="D",B45="F",B45="L",B45="F2",B45="P"),(IF(B45="D",(E45-D45)+(G45-F45),IF(B45="F2",IF(H45&gt;(G$7/2),H45-(G$7/2),0),0))),IF(H45&gt;G$7,H45-G$7,0))</f>
        <v>0</v>
      </c>
      <c r="L45" s="221" t="str">
        <f t="shared" ref="L45:L50" si="11">IF(B45="N","DIA NULO",IF(B45="A","DIA NORMAL",IF(B45="F","FALLA",IF(B45="F2","MEDIO DIA",IF(B45="L","LICENCIA MEDICA",IF(B45="D","DESCANSO LEGAL",IF(B45="P","PERMISO","NO VALIDO")))))))</f>
        <v>DIA NORMAL</v>
      </c>
      <c r="M45" s="162">
        <v>0</v>
      </c>
      <c r="N45" s="24"/>
      <c r="O45" s="163">
        <v>0</v>
      </c>
      <c r="P45" s="701"/>
      <c r="Q45" s="701"/>
      <c r="R45" s="701"/>
      <c r="S45" s="701"/>
      <c r="T45" s="701"/>
      <c r="U45" s="701"/>
      <c r="V45" s="701"/>
      <c r="W45" s="701"/>
    </row>
    <row r="46" spans="1:23" ht="11.1" customHeight="1" x14ac:dyDescent="0.2">
      <c r="A46" s="164">
        <v>24</v>
      </c>
      <c r="B46" s="164" t="s">
        <v>26</v>
      </c>
      <c r="C46" s="10" t="str">
        <f>IF(B46="N","","MIERCOLES")</f>
        <v>MIERCOLES</v>
      </c>
      <c r="D46" s="172">
        <v>0.33333333333333331</v>
      </c>
      <c r="E46" s="172">
        <v>0.54166666666666663</v>
      </c>
      <c r="F46" s="172">
        <v>0.625</v>
      </c>
      <c r="G46" s="172">
        <v>0.75</v>
      </c>
      <c r="H46" s="1">
        <f t="shared" si="10"/>
        <v>0.33333333333333331</v>
      </c>
      <c r="I46" s="4">
        <f t="shared" si="9"/>
        <v>1814.8148148148146</v>
      </c>
      <c r="J46" s="1">
        <f>IF(OR(B46="N",B46="D",B46="F",B46="L",B46="F2",B46="P"),IF(B46="F2",IF(H46&lt;(G$7/2),(G$7/2)-H46,0),0),IF(H46&lt;G$7,G$7-H46,0))</f>
        <v>0</v>
      </c>
      <c r="K46" s="1">
        <f>IF(OR(B46="N",B46="D",B46="F",B46="L",B46="F2",B46="P"),(IF(B46="D",(E46-D46)+(G46-F46),IF(B46="F2",IF(H46&gt;(G$7/2),H46-(G$7/2),0),0))),IF(H46&gt;G$7,H46-G$7,0))</f>
        <v>0</v>
      </c>
      <c r="L46" s="221" t="str">
        <f t="shared" si="11"/>
        <v>DIA NORMAL</v>
      </c>
      <c r="M46" s="162">
        <v>0</v>
      </c>
      <c r="N46" s="24"/>
      <c r="O46" s="163">
        <v>0</v>
      </c>
      <c r="P46" s="701"/>
      <c r="Q46" s="701"/>
      <c r="R46" s="701"/>
      <c r="S46" s="701"/>
      <c r="T46" s="701"/>
      <c r="U46" s="701"/>
      <c r="V46" s="701"/>
      <c r="W46" s="701"/>
    </row>
    <row r="47" spans="1:23" ht="11.1" customHeight="1" x14ac:dyDescent="0.2">
      <c r="A47" s="164">
        <v>25</v>
      </c>
      <c r="B47" s="164" t="s">
        <v>26</v>
      </c>
      <c r="C47" s="10" t="str">
        <f>IF(B47="N","","JUEVES")</f>
        <v>JUEVES</v>
      </c>
      <c r="D47" s="172">
        <v>0.33333333333333331</v>
      </c>
      <c r="E47" s="172">
        <v>0.54166666666666663</v>
      </c>
      <c r="F47" s="172">
        <v>0.625</v>
      </c>
      <c r="G47" s="172">
        <v>0.75</v>
      </c>
      <c r="H47" s="1">
        <f t="shared" si="10"/>
        <v>0.33333333333333331</v>
      </c>
      <c r="I47" s="4">
        <f t="shared" si="9"/>
        <v>1814.8148148148146</v>
      </c>
      <c r="J47" s="1">
        <f>IF(OR(B47="N",B47="D",B47="F",B47="L",B47="F2",B47="P"),IF(B47="F2",IF(H47&lt;(G$7/2),(G$7/2)-H47,0),0),IF(H47&lt;G$7,G$7-H47,0))</f>
        <v>0</v>
      </c>
      <c r="K47" s="1">
        <f>IF(OR(B47="N",B47="D",B47="F",B47="L",B47="F2",B47="P"),(IF(B47="D",(E47-D47)+(G47-F47),IF(B47="F2",IF(H47&gt;(G$7/2),H47-(G$7/2),0),0))),IF(H47&gt;G$7,H47-G$7,0))</f>
        <v>0</v>
      </c>
      <c r="L47" s="221" t="str">
        <f t="shared" si="11"/>
        <v>DIA NORMAL</v>
      </c>
      <c r="M47" s="162">
        <v>0</v>
      </c>
      <c r="N47" s="24"/>
      <c r="O47" s="163">
        <v>0</v>
      </c>
      <c r="P47" s="701"/>
      <c r="Q47" s="701"/>
      <c r="R47" s="701"/>
      <c r="S47" s="701"/>
      <c r="T47" s="701"/>
      <c r="U47" s="701"/>
      <c r="V47" s="701"/>
      <c r="W47" s="701"/>
    </row>
    <row r="48" spans="1:23" ht="11.1" customHeight="1" x14ac:dyDescent="0.2">
      <c r="A48" s="164">
        <v>26</v>
      </c>
      <c r="B48" s="164" t="s">
        <v>26</v>
      </c>
      <c r="C48" s="10" t="str">
        <f>IF(B48="N","","VIERNES")</f>
        <v>VIERNES</v>
      </c>
      <c r="D48" s="172">
        <v>0.33333333333333331</v>
      </c>
      <c r="E48" s="172">
        <v>0.54166666666666663</v>
      </c>
      <c r="F48" s="172">
        <v>0.625</v>
      </c>
      <c r="G48" s="172">
        <v>0.75</v>
      </c>
      <c r="H48" s="1">
        <f t="shared" si="10"/>
        <v>0.33333333333333331</v>
      </c>
      <c r="I48" s="4">
        <f t="shared" si="9"/>
        <v>1814.8148148148146</v>
      </c>
      <c r="J48" s="1">
        <f>IF(OR(B48="N",B48="D",B48="F",B48="L",B48="F2",B48="P"),IF(B48="F2",IF(H48&lt;(G$7/2),(G$7/2)-H48,0),0),IF(H48&lt;G$7,G$7-H48,0))</f>
        <v>0</v>
      </c>
      <c r="K48" s="1">
        <f>IF(OR(B48="N",B48="D",B48="F",B48="L",B48="F2",B48="P"),(IF(B48="D",(E48-D48)+(G48-F48),IF(B48="F2",IF(H48&gt;(G$7/2),H48-(G$7/2),0),0))),IF(H48&gt;G$7,H48-G$7,0))</f>
        <v>0</v>
      </c>
      <c r="L48" s="221" t="str">
        <f t="shared" si="11"/>
        <v>DIA NORMAL</v>
      </c>
      <c r="M48" s="162">
        <v>0</v>
      </c>
      <c r="N48" s="24"/>
      <c r="O48" s="163">
        <v>0</v>
      </c>
      <c r="P48" s="701"/>
      <c r="Q48" s="701"/>
      <c r="R48" s="701"/>
      <c r="S48" s="701"/>
      <c r="T48" s="701"/>
      <c r="U48" s="701"/>
      <c r="V48" s="701"/>
      <c r="W48" s="701"/>
    </row>
    <row r="49" spans="1:23" ht="11.1" customHeight="1" x14ac:dyDescent="0.2">
      <c r="A49" s="164">
        <v>27</v>
      </c>
      <c r="B49" s="164" t="s">
        <v>26</v>
      </c>
      <c r="C49" s="10" t="str">
        <f>IF(B49="N","","SABADO")</f>
        <v>SABADO</v>
      </c>
      <c r="D49" s="172">
        <v>0.33333333333333331</v>
      </c>
      <c r="E49" s="172">
        <v>0.54166666666666663</v>
      </c>
      <c r="F49" s="172"/>
      <c r="G49" s="172"/>
      <c r="H49" s="1">
        <f t="shared" si="10"/>
        <v>0.20833333333333331</v>
      </c>
      <c r="I49" s="4">
        <f t="shared" si="9"/>
        <v>1814.8148148148146</v>
      </c>
      <c r="J49" s="1">
        <f>IF(OR(B49="N",B49="D",B49="F",B49="L",B49="F2",B49="P"),IF(B49="F2",IF(H49&lt;(P$7/2),(P$7/2)-H49,0),0),IF(H49&lt;P$7,P$7-H49,0))</f>
        <v>0</v>
      </c>
      <c r="K49" s="1">
        <f>IF(OR(B49="N",B49="D",B49="F",B49="L",B49="F2",B49="P"),(IF(B49="D",(E49-D49)+(G49-F49),IF(B49="F2",IF(H49&gt;(P$7/2),H49-(P$7/2),0),0))),IF(H49&gt;P$7,H49-P$7,0))</f>
        <v>0</v>
      </c>
      <c r="L49" s="221" t="str">
        <f t="shared" si="11"/>
        <v>DIA NORMAL</v>
      </c>
      <c r="M49" s="162">
        <v>0</v>
      </c>
      <c r="N49" s="24"/>
      <c r="O49" s="163">
        <v>0</v>
      </c>
      <c r="P49" s="701"/>
      <c r="Q49" s="701"/>
      <c r="R49" s="701"/>
      <c r="S49" s="701"/>
      <c r="T49" s="701"/>
      <c r="U49" s="701"/>
      <c r="V49" s="701"/>
      <c r="W49" s="701"/>
    </row>
    <row r="50" spans="1:23" ht="11.1" customHeight="1" x14ac:dyDescent="0.2">
      <c r="A50" s="164">
        <v>28</v>
      </c>
      <c r="B50" s="164" t="s">
        <v>34</v>
      </c>
      <c r="C50" s="10" t="str">
        <f>IF(B50="N","","DOMINGO")</f>
        <v>DOMINGO</v>
      </c>
      <c r="D50" s="172"/>
      <c r="E50" s="172"/>
      <c r="F50" s="172"/>
      <c r="G50" s="172"/>
      <c r="H50" s="1">
        <f t="shared" si="10"/>
        <v>0</v>
      </c>
      <c r="I50" s="4">
        <f t="shared" si="9"/>
        <v>2722.1950000000002</v>
      </c>
      <c r="J50" s="1">
        <f>IF(OR(B50="N",B50="D",B50="F",B50="L",B50="F2",B50="P"),IF(B50="F2",IF(H50&lt;(P$7/2),(P$7/2)-H50,0),0),IF(H50&lt;P$7,P$7-H50,0))</f>
        <v>0</v>
      </c>
      <c r="K50" s="1">
        <f>IF(OR(B50="N",B50="D",B50="F",B50="L",B50="F2",B49="P"),(IF(B50="D",(E50-D50)+(G50-F50),IF(B50="F2",IF(H50&gt;(P$7/2),H50-(P$7/2),0),0))),IF(H50&gt;P$7,H50-P$7,0))</f>
        <v>0</v>
      </c>
      <c r="L50" s="221" t="str">
        <f t="shared" si="11"/>
        <v>DESCANSO LEGAL</v>
      </c>
      <c r="M50" s="162">
        <v>0</v>
      </c>
      <c r="N50" s="24"/>
      <c r="O50" s="163">
        <v>0</v>
      </c>
      <c r="P50" s="701"/>
      <c r="Q50" s="701"/>
      <c r="R50" s="701"/>
      <c r="S50" s="701"/>
      <c r="T50" s="701"/>
      <c r="U50" s="701"/>
      <c r="V50" s="701"/>
      <c r="W50" s="701"/>
    </row>
    <row r="51" spans="1:23" ht="11.1" customHeight="1" x14ac:dyDescent="0.2">
      <c r="A51" s="13"/>
      <c r="B51" s="13"/>
      <c r="C51" s="13"/>
      <c r="D51" s="13"/>
      <c r="E51" s="14"/>
      <c r="F51" s="820" t="s">
        <v>10</v>
      </c>
      <c r="G51" s="820"/>
      <c r="H51" s="2">
        <f>SUM(H44:H50)</f>
        <v>1.8749999999999998</v>
      </c>
      <c r="I51" s="16"/>
      <c r="J51" s="2">
        <f>SUM(J44:J50)</f>
        <v>0</v>
      </c>
      <c r="K51" s="2">
        <f>SUM(K44:K50)</f>
        <v>0</v>
      </c>
      <c r="L51" s="18"/>
      <c r="M51" s="19"/>
      <c r="N51" s="19"/>
      <c r="O51" s="19"/>
      <c r="P51" s="21"/>
      <c r="Q51" s="21"/>
      <c r="R51" s="21"/>
      <c r="S51" s="21"/>
      <c r="T51" s="346"/>
      <c r="U51" s="346"/>
      <c r="V51" s="346"/>
      <c r="W51" s="346"/>
    </row>
    <row r="52" spans="1:23" ht="11.1" customHeight="1" x14ac:dyDescent="0.2">
      <c r="A52" s="293"/>
      <c r="B52" s="293"/>
      <c r="C52" s="293"/>
      <c r="D52" s="293"/>
      <c r="E52" s="293"/>
      <c r="F52" s="820" t="s">
        <v>47</v>
      </c>
      <c r="G52" s="820"/>
      <c r="H52" s="820"/>
      <c r="I52" s="17"/>
      <c r="J52" s="5">
        <f>IF(J51&gt;K51,J51-K51,0)</f>
        <v>0</v>
      </c>
      <c r="K52" s="8">
        <f>IF(K51&gt;J51,K51-J51,0)</f>
        <v>0</v>
      </c>
      <c r="L52" s="20"/>
      <c r="M52" s="19"/>
      <c r="N52" s="19"/>
      <c r="O52" s="19"/>
      <c r="P52" s="21"/>
      <c r="Q52" s="21"/>
      <c r="R52" s="21"/>
      <c r="S52" s="21"/>
      <c r="T52" s="346"/>
      <c r="U52" s="346"/>
      <c r="V52" s="346"/>
      <c r="W52" s="346"/>
    </row>
    <row r="53" spans="1:23" ht="11.1" customHeight="1" x14ac:dyDescent="0.2">
      <c r="A53" s="25"/>
      <c r="B53" s="25"/>
      <c r="C53" s="25"/>
      <c r="D53" s="25"/>
      <c r="E53" s="25"/>
      <c r="F53" s="25"/>
      <c r="G53" s="25"/>
      <c r="H53" s="25"/>
      <c r="I53" s="25"/>
      <c r="J53" s="25"/>
      <c r="K53" s="25"/>
      <c r="L53" s="25"/>
      <c r="M53" s="25"/>
      <c r="N53" s="25"/>
      <c r="O53" s="25"/>
      <c r="P53" s="26"/>
      <c r="Q53" s="26"/>
      <c r="R53" s="26"/>
      <c r="S53" s="26"/>
      <c r="T53" s="346"/>
      <c r="U53" s="346"/>
      <c r="V53" s="346"/>
      <c r="W53" s="346"/>
    </row>
    <row r="54" spans="1:23" ht="11.1" customHeight="1" x14ac:dyDescent="0.2">
      <c r="A54" s="164">
        <v>29</v>
      </c>
      <c r="B54" s="164" t="s">
        <v>26</v>
      </c>
      <c r="C54" s="10" t="str">
        <f>IF(B54="N","","LUNES")</f>
        <v>LUNES</v>
      </c>
      <c r="D54" s="172">
        <v>0.33333333333333331</v>
      </c>
      <c r="E54" s="172">
        <v>0.54166666666666663</v>
      </c>
      <c r="F54" s="172">
        <v>0.625</v>
      </c>
      <c r="G54" s="172">
        <v>0.75</v>
      </c>
      <c r="H54" s="1">
        <f>IF(OR(B54="N",B54="D",B54="F",B54="L",B54="P"),IF(B54="N","",0),(E54-D54)+(G54-F54))</f>
        <v>0.33333333333333331</v>
      </c>
      <c r="I54" s="4">
        <f t="shared" ref="I54:I60" si="12">IF(OR(B54="N",B54="D",B54="F",B54="L",B54="P"),IF(B54="N","",IF(B54="D",F$5*0.0077777,0)),(((F$5/30)*28)/(HorasMensuales*24)))</f>
        <v>1814.8148148148146</v>
      </c>
      <c r="J54" s="1">
        <f>IF(OR(B54="N",B54="D",B54="F",B54="L",B54="F2",B54="P"),IF(B54="F2",IF(H54&lt;(G$7/2),(G$7/2)-H54,0),0),IF(H54&lt;G$7,G$7-H54,0))</f>
        <v>0</v>
      </c>
      <c r="K54" s="1">
        <f>IF(OR(B54="N",B54="D",B54="F",B54="L",B54="F2",B54="P"),(IF(B54="D",(E54-D54)+(G54-F54),IF(B54="F2",IF(H54&gt;(G$7/2),H54-(G$7/2),0),0))),IF(H54&gt;G$7,H54-G$7,0))</f>
        <v>0</v>
      </c>
      <c r="L54" s="221" t="str">
        <f>IF(B54="N","DIA NULO",IF(B54="A","DIA NORMAL",IF(B54="F","FALLA",IF(B54="F2","MEDIO DIA",IF(B54="L","LICENCIA MEDICA",IF(B54="D","DESCANSO LEGAL",IF(B54="P","PERMISO","NO VALIDO")))))))</f>
        <v>DIA NORMAL</v>
      </c>
      <c r="M54" s="162">
        <v>0</v>
      </c>
      <c r="N54" s="24"/>
      <c r="O54" s="163">
        <v>0</v>
      </c>
      <c r="P54" s="701"/>
      <c r="Q54" s="701"/>
      <c r="R54" s="701"/>
      <c r="S54" s="701"/>
      <c r="T54" s="701"/>
      <c r="U54" s="701"/>
      <c r="V54" s="701"/>
      <c r="W54" s="701"/>
    </row>
    <row r="55" spans="1:23" ht="11.1" customHeight="1" x14ac:dyDescent="0.2">
      <c r="A55" s="164">
        <v>30</v>
      </c>
      <c r="B55" s="164" t="s">
        <v>26</v>
      </c>
      <c r="C55" s="10" t="str">
        <f>IF(B55="N","","MARTES")</f>
        <v>MARTES</v>
      </c>
      <c r="D55" s="172">
        <v>0.33333333333333331</v>
      </c>
      <c r="E55" s="172">
        <v>0.54166666666666663</v>
      </c>
      <c r="F55" s="172">
        <v>0.625</v>
      </c>
      <c r="G55" s="172">
        <v>0.75</v>
      </c>
      <c r="H55" s="1">
        <f t="shared" ref="H55:H60" si="13">IF(OR(B55="N",B55="D",B55="F",B55="L",B55="P"),IF(B55="N","",0),(E55-D55)+(G55-F55))</f>
        <v>0.33333333333333331</v>
      </c>
      <c r="I55" s="4">
        <f t="shared" si="12"/>
        <v>1814.8148148148146</v>
      </c>
      <c r="J55" s="1">
        <f>IF(OR(B55="N",B55="D",B55="F",B55="L",B55="F2",B55="P"),IF(B55="F2",IF(H55&lt;(G$7/2),(G$7/2)-H55,0),0),IF(H55&lt;G$7,G$7-H55,0))</f>
        <v>0</v>
      </c>
      <c r="K55" s="1">
        <f>IF(OR(B55="N",B55="D",B55="F",B55="L",B55="F2",B55="P"),(IF(B55="D",(E55-D55)+(G55-F55),IF(B55="F2",IF(H55&gt;(G$7/2),H55-(G$7/2),0),0))),IF(H55&gt;G$7,H55-G$7,0))</f>
        <v>0</v>
      </c>
      <c r="L55" s="221" t="str">
        <f t="shared" ref="L55:L60" si="14">IF(B55="N","DIA NULO",IF(B55="A","DIA NORMAL",IF(B55="F","FALLA",IF(B55="F2","MEDIO DIA",IF(B55="L","LICENCIA MEDICA",IF(B55="D","DESCANSO LEGAL",IF(B55="P","PERMISO","NO VALIDO")))))))</f>
        <v>DIA NORMAL</v>
      </c>
      <c r="M55" s="162">
        <v>0</v>
      </c>
      <c r="N55" s="24"/>
      <c r="O55" s="163">
        <v>0</v>
      </c>
      <c r="P55" s="701"/>
      <c r="Q55" s="701"/>
      <c r="R55" s="701"/>
      <c r="S55" s="701"/>
      <c r="T55" s="701"/>
      <c r="U55" s="701"/>
      <c r="V55" s="701"/>
      <c r="W55" s="701"/>
    </row>
    <row r="56" spans="1:23" ht="11.1" customHeight="1" x14ac:dyDescent="0.2">
      <c r="A56" s="164">
        <v>31</v>
      </c>
      <c r="B56" s="164" t="s">
        <v>26</v>
      </c>
      <c r="C56" s="10" t="str">
        <f>IF(B56="N","","MIERCOLES")</f>
        <v>MIERCOLES</v>
      </c>
      <c r="D56" s="172">
        <v>0.33333333333333331</v>
      </c>
      <c r="E56" s="172">
        <v>0.54166666666666663</v>
      </c>
      <c r="F56" s="172">
        <v>0.625</v>
      </c>
      <c r="G56" s="172">
        <v>0.75</v>
      </c>
      <c r="H56" s="1">
        <f t="shared" si="13"/>
        <v>0.33333333333333331</v>
      </c>
      <c r="I56" s="4">
        <f t="shared" si="12"/>
        <v>1814.8148148148146</v>
      </c>
      <c r="J56" s="1">
        <f>IF(OR(B56="N",B56="D",B56="F",B56="L",B56="F2",B56="P"),IF(B56="F2",IF(H56&lt;(G$7/2),(G$7/2)-H56,0),0),IF(H56&lt;G$7,G$7-H56,0))</f>
        <v>0</v>
      </c>
      <c r="K56" s="1">
        <f>IF(OR(B56="N",B56="D",B56="F",B56="L",B56="F2",B56="P"),(IF(B56="D",(E56-D56)+(G56-F56),IF(B56="F2",IF(H56&gt;(G$7/2),H56-(G$7/2),0),0))),IF(H56&gt;G$7,H56-G$7,0))</f>
        <v>0</v>
      </c>
      <c r="L56" s="221" t="str">
        <f t="shared" si="14"/>
        <v>DIA NORMAL</v>
      </c>
      <c r="M56" s="162">
        <v>0</v>
      </c>
      <c r="N56" s="24"/>
      <c r="O56" s="163">
        <v>0</v>
      </c>
      <c r="P56" s="701"/>
      <c r="Q56" s="701"/>
      <c r="R56" s="701"/>
      <c r="S56" s="701"/>
      <c r="T56" s="701"/>
      <c r="U56" s="701"/>
      <c r="V56" s="701"/>
      <c r="W56" s="701"/>
    </row>
    <row r="57" spans="1:23" ht="11.1" hidden="1" customHeight="1" x14ac:dyDescent="0.2">
      <c r="A57" s="164">
        <v>0</v>
      </c>
      <c r="B57" s="164" t="s">
        <v>39</v>
      </c>
      <c r="C57" s="10" t="str">
        <f>IF(B57="N","","JUEVES")</f>
        <v/>
      </c>
      <c r="D57" s="172"/>
      <c r="E57" s="172"/>
      <c r="F57" s="172"/>
      <c r="G57" s="172"/>
      <c r="H57" s="1" t="str">
        <f t="shared" si="13"/>
        <v/>
      </c>
      <c r="I57" s="4" t="str">
        <f t="shared" si="12"/>
        <v/>
      </c>
      <c r="J57" s="1">
        <f>IF(OR(B57="N",B57="D",B57="F",B57="L",B57="F2",B57="P"),IF(B57="F2",IF(H57&lt;(G$7/2),(G$7/2)-H57,0),0),IF(H57&lt;G$7,G$7-H57,0))</f>
        <v>0</v>
      </c>
      <c r="K57" s="1">
        <f>IF(OR(B57="N",B57="D",B57="F",B57="L",B57="F2",B57="P"),(IF(B57="D",(E57-D57)+(G57-F57),IF(B57="F2",IF(H57&gt;(G$7/2),H57-(G$7/2),0),0))),IF(H57&gt;G$7,H57-G$7,0))</f>
        <v>0</v>
      </c>
      <c r="L57" s="221" t="str">
        <f t="shared" si="14"/>
        <v>DIA NULO</v>
      </c>
      <c r="M57" s="162">
        <v>0</v>
      </c>
      <c r="N57" s="24"/>
      <c r="O57" s="163">
        <v>0</v>
      </c>
      <c r="P57" s="790"/>
      <c r="Q57" s="701"/>
      <c r="R57" s="701"/>
      <c r="S57" s="701"/>
      <c r="T57" s="701"/>
      <c r="U57" s="701"/>
      <c r="V57" s="701"/>
      <c r="W57" s="701"/>
    </row>
    <row r="58" spans="1:23" ht="11.1" hidden="1" customHeight="1" x14ac:dyDescent="0.2">
      <c r="A58" s="164">
        <v>0</v>
      </c>
      <c r="B58" s="164" t="s">
        <v>39</v>
      </c>
      <c r="C58" s="10" t="str">
        <f>IF(B58="N","","VIERNES")</f>
        <v/>
      </c>
      <c r="D58" s="172"/>
      <c r="E58" s="172"/>
      <c r="F58" s="172"/>
      <c r="G58" s="172"/>
      <c r="H58" s="1" t="str">
        <f t="shared" si="13"/>
        <v/>
      </c>
      <c r="I58" s="4" t="str">
        <f t="shared" si="12"/>
        <v/>
      </c>
      <c r="J58" s="1">
        <f>IF(OR(B58="N",B58="D",B58="F",B58="L",B58="F2",B58="P"),IF(B58="F2",IF(H58&lt;(G$7/2),(G$7/2)-H58,0),0),IF(H58&lt;G$7,G$7-H58,0))</f>
        <v>0</v>
      </c>
      <c r="K58" s="1">
        <f>IF(OR(B58="N",B58="D",B58="F",B58="L",B58="F2",B58="P"),(IF(B58="D",(E58-D58)+(G58-F58),IF(B58="F2",IF(H58&gt;(G$7/2),H58-(G$7/2),0),0))),IF(H58&gt;G$7,H58-G$7,0))</f>
        <v>0</v>
      </c>
      <c r="L58" s="221" t="str">
        <f t="shared" si="14"/>
        <v>DIA NULO</v>
      </c>
      <c r="M58" s="162">
        <v>0</v>
      </c>
      <c r="N58" s="24"/>
      <c r="O58" s="163">
        <v>0</v>
      </c>
      <c r="P58" s="701"/>
      <c r="Q58" s="701"/>
      <c r="R58" s="701"/>
      <c r="S58" s="701"/>
      <c r="T58" s="701"/>
      <c r="U58" s="701"/>
      <c r="V58" s="701"/>
      <c r="W58" s="701"/>
    </row>
    <row r="59" spans="1:23" ht="11.1" hidden="1" customHeight="1" x14ac:dyDescent="0.2">
      <c r="A59" s="164">
        <v>0</v>
      </c>
      <c r="B59" s="164" t="s">
        <v>39</v>
      </c>
      <c r="C59" s="10" t="str">
        <f>IF(B59="N","","SABADO")</f>
        <v/>
      </c>
      <c r="D59" s="172"/>
      <c r="E59" s="172"/>
      <c r="F59" s="172"/>
      <c r="G59" s="172"/>
      <c r="H59" s="1" t="str">
        <f t="shared" si="13"/>
        <v/>
      </c>
      <c r="I59" s="4" t="str">
        <f t="shared" si="12"/>
        <v/>
      </c>
      <c r="J59" s="1">
        <f>IF(OR(B59="N",B59="D",B59="F",B59="L",B59="F2",B59="P"),IF(B59="F2",IF(H59&lt;(P$7/2),(P$7/2)-H59,0),0),IF(H59&lt;P$7,P$7-H59,0))</f>
        <v>0</v>
      </c>
      <c r="K59" s="1">
        <f>IF(OR(B59="N",B59="D",B59="F",B59="L",B59="F2",B59="P"),(IF(B59="D",(E59-D59)+(G59-F59),IF(B59="F2",IF(H59&gt;(P$7/2),H59-(P$7/2),0),0))),IF(H59&gt;P$7,H59-P$7,0))</f>
        <v>0</v>
      </c>
      <c r="L59" s="221" t="str">
        <f t="shared" si="14"/>
        <v>DIA NULO</v>
      </c>
      <c r="M59" s="162">
        <v>0</v>
      </c>
      <c r="N59" s="24"/>
      <c r="O59" s="163">
        <v>0</v>
      </c>
      <c r="P59" s="701"/>
      <c r="Q59" s="701"/>
      <c r="R59" s="701"/>
      <c r="S59" s="701"/>
      <c r="T59" s="701"/>
      <c r="U59" s="701"/>
      <c r="V59" s="701"/>
      <c r="W59" s="701"/>
    </row>
    <row r="60" spans="1:23" ht="11.1" hidden="1" customHeight="1" x14ac:dyDescent="0.2">
      <c r="A60" s="164">
        <v>0</v>
      </c>
      <c r="B60" s="164" t="s">
        <v>39</v>
      </c>
      <c r="C60" s="10" t="str">
        <f>IF(B60="N","","DOMINGO")</f>
        <v/>
      </c>
      <c r="D60" s="172"/>
      <c r="E60" s="172"/>
      <c r="F60" s="172"/>
      <c r="G60" s="172"/>
      <c r="H60" s="1" t="str">
        <f t="shared" si="13"/>
        <v/>
      </c>
      <c r="I60" s="4" t="str">
        <f t="shared" si="12"/>
        <v/>
      </c>
      <c r="J60" s="1">
        <f>IF(OR(B60="N",B60="D",B60="F",B60="L",B60="F2",B60="P"),IF(B60="F2",IF(H60&lt;(P$7/2),(P$7/2)-H60,0),0),IF(H60&lt;P$7,P$7-H60,0))</f>
        <v>0</v>
      </c>
      <c r="K60" s="1">
        <f>IF(OR(B60="N",B60="D",B60="F",B60="L",B60="F2",B60="P"),(IF(B60="D",(E60-D60)+(G60-F60),IF(B60="F2",IF(H60&gt;(P$7/2),H60-(P$7/2),0),0))),IF(H60&gt;P$7,H60-P$7,0))</f>
        <v>0</v>
      </c>
      <c r="L60" s="221" t="str">
        <f t="shared" si="14"/>
        <v>DIA NULO</v>
      </c>
      <c r="M60" s="162">
        <v>0</v>
      </c>
      <c r="N60" s="24"/>
      <c r="O60" s="163">
        <v>0</v>
      </c>
      <c r="P60" s="701"/>
      <c r="Q60" s="701"/>
      <c r="R60" s="701"/>
      <c r="S60" s="701"/>
      <c r="T60" s="701"/>
      <c r="U60" s="701"/>
      <c r="V60" s="701"/>
      <c r="W60" s="701"/>
    </row>
    <row r="61" spans="1:23" ht="11.1" customHeight="1" x14ac:dyDescent="0.2">
      <c r="A61" s="13"/>
      <c r="B61" s="13"/>
      <c r="C61" s="13"/>
      <c r="D61" s="13"/>
      <c r="E61" s="14"/>
      <c r="F61" s="820" t="s">
        <v>10</v>
      </c>
      <c r="G61" s="820"/>
      <c r="H61" s="2">
        <f>SUM(H54:H60)</f>
        <v>1</v>
      </c>
      <c r="I61" s="16"/>
      <c r="J61" s="2">
        <f>SUM(J54:J60)</f>
        <v>0</v>
      </c>
      <c r="K61" s="2">
        <f>SUM(K54:K60)</f>
        <v>0</v>
      </c>
      <c r="L61" s="18"/>
      <c r="M61" s="19"/>
      <c r="N61" s="19"/>
      <c r="O61" s="19"/>
      <c r="P61" s="21"/>
      <c r="Q61" s="21"/>
      <c r="R61" s="21"/>
      <c r="S61" s="21"/>
      <c r="T61" s="346"/>
      <c r="U61" s="346"/>
      <c r="V61" s="346"/>
      <c r="W61" s="346"/>
    </row>
    <row r="62" spans="1:23" ht="11.1" customHeight="1" x14ac:dyDescent="0.2">
      <c r="A62" s="293"/>
      <c r="B62" s="293"/>
      <c r="C62" s="293"/>
      <c r="D62" s="293"/>
      <c r="E62" s="293"/>
      <c r="F62" s="820" t="s">
        <v>47</v>
      </c>
      <c r="G62" s="820"/>
      <c r="H62" s="820"/>
      <c r="I62" s="17"/>
      <c r="J62" s="5">
        <f>IF(J61&gt;K61,J61-K61,0)</f>
        <v>0</v>
      </c>
      <c r="K62" s="8">
        <f>IF(K61&gt;J61,K61-J61,0)</f>
        <v>0</v>
      </c>
      <c r="L62" s="20"/>
      <c r="M62" s="19"/>
      <c r="N62" s="19"/>
      <c r="O62" s="19"/>
      <c r="P62" s="21"/>
      <c r="Q62" s="21"/>
      <c r="R62" s="21"/>
      <c r="S62" s="21"/>
      <c r="T62" s="346"/>
      <c r="U62" s="346"/>
      <c r="V62" s="346"/>
      <c r="W62" s="346"/>
    </row>
    <row r="63" spans="1:23" s="27" customFormat="1" ht="9.9499999999999993" customHeight="1" x14ac:dyDescent="0.2">
      <c r="P63" s="28"/>
      <c r="Q63" s="28"/>
      <c r="R63" s="28"/>
      <c r="S63" s="28"/>
      <c r="T63" s="28"/>
      <c r="U63" s="28"/>
      <c r="V63" s="28"/>
      <c r="W63" s="28"/>
    </row>
    <row r="64" spans="1:23" ht="10.5" hidden="1" customHeight="1" x14ac:dyDescent="0.2">
      <c r="A64" s="164">
        <v>0</v>
      </c>
      <c r="B64" s="164" t="s">
        <v>39</v>
      </c>
      <c r="C64" s="10" t="str">
        <f>IF(B64="N","","LUNES")</f>
        <v/>
      </c>
      <c r="D64" s="172"/>
      <c r="E64" s="172"/>
      <c r="F64" s="172"/>
      <c r="G64" s="172"/>
      <c r="H64" s="1" t="str">
        <f>IF(OR(B64="N",B64="D",B64="F",B64="L",B64="P"),IF(B64="N","",0),(E64-D64)+(G64-F64))</f>
        <v/>
      </c>
      <c r="I64" s="4" t="str">
        <f t="shared" ref="I64:I70" si="15">IF(OR(B64="N",B64="D",B64="F",B64="L",B64="P"),IF(B64="N","",IF(B64="D",F$5*0.0077777,0)),(((F$5/30)*28)/(HorasMensuales*24)))</f>
        <v/>
      </c>
      <c r="J64" s="1">
        <f>IF(OR(B64="N",B64="D",B64="F",B64="L",B64="F2",B64="P"),IF(B64="F2",IF(H64&lt;(G$7/2),(G$7/2)-H64,0),0),IF(H64&lt;G$7,G$7-H64,0))</f>
        <v>0</v>
      </c>
      <c r="K64" s="1">
        <f>IF(OR(B64="N",B64="D",B64="F",B64="L",B64="F2",B64="P"),(IF(B64="D",(E64-D64)+(G64-F64),IF(B64="F2",IF(H64&gt;(G$7/2),H64-(G$7/2),0),0))),IF(H64&gt;G$7,H64-G$7,0))</f>
        <v>0</v>
      </c>
      <c r="L64" s="221" t="str">
        <f t="shared" ref="L64:L70" si="16">IF(B64="N","DIA NULO",IF(B64="A","DIA NORMAL",IF(B64="F","FALLA",IF(B64="F2","MEDIO DIA",IF(B64="L","LICENCIA MEDICA",IF(B64="D","DESCANSO LEGAL",IF(B64="P","PERMISO","NO VALIDO")))))))</f>
        <v>DIA NULO</v>
      </c>
      <c r="M64" s="162">
        <v>0</v>
      </c>
      <c r="N64" s="24"/>
      <c r="O64" s="163">
        <v>0</v>
      </c>
      <c r="P64" s="701"/>
      <c r="Q64" s="701"/>
      <c r="R64" s="701"/>
      <c r="S64" s="701"/>
      <c r="T64" s="701"/>
      <c r="U64" s="701"/>
      <c r="V64" s="701"/>
      <c r="W64" s="701"/>
    </row>
    <row r="65" spans="1:23" ht="10.5" hidden="1" customHeight="1" x14ac:dyDescent="0.2">
      <c r="A65" s="164">
        <v>0</v>
      </c>
      <c r="B65" s="164" t="s">
        <v>39</v>
      </c>
      <c r="C65" s="10" t="str">
        <f>IF(B65="N","","MARTES")</f>
        <v/>
      </c>
      <c r="D65" s="172"/>
      <c r="E65" s="172"/>
      <c r="F65" s="172"/>
      <c r="G65" s="172"/>
      <c r="H65" s="1" t="str">
        <f t="shared" ref="H65:H70" si="17">IF(OR(B65="N",B65="D",B65="F",B65="L",B65="P"),IF(B65="N","",0),(E65-D65)+(G65-F65))</f>
        <v/>
      </c>
      <c r="I65" s="4" t="str">
        <f t="shared" si="15"/>
        <v/>
      </c>
      <c r="J65" s="1">
        <f>IF(OR(B65="N",B65="D",B65="F",B65="L",B65="F2",B65="P"),IF(B65="F2",IF(H65&lt;(G$7/2),(G$7/2)-H65,0),0),IF(H65&lt;G$7,G$7-H65,0))</f>
        <v>0</v>
      </c>
      <c r="K65" s="1">
        <f>IF(OR(B65="N",B65="D",B65="F",B65="L",B65="F2",B65="P"),(IF(B65="D",(E65-D65)+(G65-F65),IF(B65="F2",IF(H65&gt;(G$7/2),H65-(G$7/2),0),0))),IF(H65&gt;G$7,H65-G$7,0))</f>
        <v>0</v>
      </c>
      <c r="L65" s="221" t="str">
        <f t="shared" si="16"/>
        <v>DIA NULO</v>
      </c>
      <c r="M65" s="162">
        <v>0</v>
      </c>
      <c r="N65" s="24"/>
      <c r="O65" s="163">
        <v>0</v>
      </c>
      <c r="P65" s="701"/>
      <c r="Q65" s="701"/>
      <c r="R65" s="701"/>
      <c r="S65" s="701"/>
      <c r="T65" s="701"/>
      <c r="U65" s="701"/>
      <c r="V65" s="701"/>
      <c r="W65" s="701"/>
    </row>
    <row r="66" spans="1:23" ht="10.5" hidden="1" customHeight="1" x14ac:dyDescent="0.2">
      <c r="A66" s="164">
        <v>0</v>
      </c>
      <c r="B66" s="164" t="s">
        <v>39</v>
      </c>
      <c r="C66" s="10" t="str">
        <f>IF(B66="N","","MIERCOLES")</f>
        <v/>
      </c>
      <c r="D66" s="172"/>
      <c r="E66" s="172"/>
      <c r="F66" s="172"/>
      <c r="G66" s="172"/>
      <c r="H66" s="1" t="str">
        <f t="shared" si="17"/>
        <v/>
      </c>
      <c r="I66" s="4" t="str">
        <f t="shared" si="15"/>
        <v/>
      </c>
      <c r="J66" s="1">
        <f>IF(OR(B66="N",B66="D",B66="F",B66="L",B66="F2",B66="P"),IF(B66="F2",IF(H66&lt;(G$7/2),(G$7/2)-H66,0),0),IF(H66&lt;G$7,G$7-H66,0))</f>
        <v>0</v>
      </c>
      <c r="K66" s="1">
        <f>IF(OR(B66="N",B66="D",B66="F",B66="L",B66="F2",B66="P"),(IF(B66="D",(E66-D66)+(G66-F66),IF(B66="F2",IF(H66&gt;(G$7/2),H66-(G$7/2),0),0))),IF(H66&gt;G$7,H66-G$7,0))</f>
        <v>0</v>
      </c>
      <c r="L66" s="221" t="str">
        <f t="shared" si="16"/>
        <v>DIA NULO</v>
      </c>
      <c r="M66" s="162">
        <v>0</v>
      </c>
      <c r="N66" s="24"/>
      <c r="O66" s="163">
        <v>0</v>
      </c>
      <c r="P66" s="701"/>
      <c r="Q66" s="701"/>
      <c r="R66" s="701"/>
      <c r="S66" s="701"/>
      <c r="T66" s="701"/>
      <c r="U66" s="701"/>
      <c r="V66" s="701"/>
      <c r="W66" s="701"/>
    </row>
    <row r="67" spans="1:23" ht="10.5" hidden="1" customHeight="1" x14ac:dyDescent="0.2">
      <c r="A67" s="164">
        <v>0</v>
      </c>
      <c r="B67" s="164" t="s">
        <v>39</v>
      </c>
      <c r="C67" s="10" t="str">
        <f>IF(B67="N","","JUEVES")</f>
        <v/>
      </c>
      <c r="D67" s="172"/>
      <c r="E67" s="172"/>
      <c r="F67" s="172"/>
      <c r="G67" s="172"/>
      <c r="H67" s="1" t="str">
        <f t="shared" si="17"/>
        <v/>
      </c>
      <c r="I67" s="4" t="str">
        <f t="shared" si="15"/>
        <v/>
      </c>
      <c r="J67" s="1">
        <f>IF(OR(B67="N",B67="D",B67="F",B67="L",B67="F2",B67="P"),IF(B67="F2",IF(H67&lt;(G$7/2),(G$7/2)-H67,0),0),IF(H67&lt;G$7,G$7-H67,0))</f>
        <v>0</v>
      </c>
      <c r="K67" s="1">
        <f>IF(OR(B67="N",B67="D",B67="F",B67="L",B67="F2",B67="P"),(IF(B67="D",(E67-D67)+(G67-F67),IF(B67="F2",IF(H67&gt;(G$7/2),H67-(G$7/2),0),0))),IF(H67&gt;G$7,H67-G$7,0))</f>
        <v>0</v>
      </c>
      <c r="L67" s="221" t="str">
        <f t="shared" si="16"/>
        <v>DIA NULO</v>
      </c>
      <c r="M67" s="162">
        <v>0</v>
      </c>
      <c r="N67" s="24"/>
      <c r="O67" s="163">
        <v>0</v>
      </c>
      <c r="P67" s="701"/>
      <c r="Q67" s="701"/>
      <c r="R67" s="701"/>
      <c r="S67" s="701"/>
      <c r="T67" s="701"/>
      <c r="U67" s="701"/>
      <c r="V67" s="701"/>
      <c r="W67" s="701"/>
    </row>
    <row r="68" spans="1:23" ht="10.5" hidden="1" customHeight="1" x14ac:dyDescent="0.2">
      <c r="A68" s="164">
        <v>0</v>
      </c>
      <c r="B68" s="164" t="s">
        <v>39</v>
      </c>
      <c r="C68" s="10" t="str">
        <f>IF(B68="N","","VIERNES")</f>
        <v/>
      </c>
      <c r="D68" s="172"/>
      <c r="E68" s="172"/>
      <c r="F68" s="172"/>
      <c r="G68" s="172"/>
      <c r="H68" s="1" t="str">
        <f t="shared" si="17"/>
        <v/>
      </c>
      <c r="I68" s="4" t="str">
        <f t="shared" si="15"/>
        <v/>
      </c>
      <c r="J68" s="1">
        <f>IF(OR(B68="N",B68="D",B68="F",B68="L",B68="F2",B68="P"),IF(B68="F2",IF(H68&lt;(G$7/2),(G$7/2)-H68,0),0),IF(H68&lt;G$7,G$7-H68,0))</f>
        <v>0</v>
      </c>
      <c r="K68" s="1">
        <f>IF(OR(B68="N",B68="D",B68="F",B68="L",B68="F2",B68="P"),(IF(B68="D",(E68-D68)+(G68-F68),IF(B68="F2",IF(H68&gt;(G$7/2),H68-(G$7/2),0),0))),IF(H68&gt;G$7,H68-G$7,0))</f>
        <v>0</v>
      </c>
      <c r="L68" s="221" t="str">
        <f t="shared" si="16"/>
        <v>DIA NULO</v>
      </c>
      <c r="M68" s="162">
        <v>0</v>
      </c>
      <c r="N68" s="24"/>
      <c r="O68" s="163">
        <v>0</v>
      </c>
      <c r="P68" s="701"/>
      <c r="Q68" s="701"/>
      <c r="R68" s="701"/>
      <c r="S68" s="701"/>
      <c r="T68" s="701"/>
      <c r="U68" s="701"/>
      <c r="V68" s="701"/>
      <c r="W68" s="701"/>
    </row>
    <row r="69" spans="1:23" ht="10.5" hidden="1" customHeight="1" x14ac:dyDescent="0.2">
      <c r="A69" s="164">
        <v>0</v>
      </c>
      <c r="B69" s="164" t="s">
        <v>39</v>
      </c>
      <c r="C69" s="10" t="str">
        <f>IF(B69="N","","SABADO")</f>
        <v/>
      </c>
      <c r="D69" s="172"/>
      <c r="E69" s="172"/>
      <c r="F69" s="172"/>
      <c r="G69" s="172"/>
      <c r="H69" s="1" t="str">
        <f t="shared" si="17"/>
        <v/>
      </c>
      <c r="I69" s="4" t="str">
        <f t="shared" si="15"/>
        <v/>
      </c>
      <c r="J69" s="1">
        <f>IF(OR(B69="N",B69="D",B69="F",B69="L",B69="F2",B69="P"),IF(B69="F2",IF(H69&lt;(P$7/2),(P$7/2)-H69,0),0),IF(H69&lt;P$7,P$7-H69,0))</f>
        <v>0</v>
      </c>
      <c r="K69" s="1">
        <f>IF(OR(B69="N",B69="D",B69="F",B69="L",B69="F2",B69="P"),(IF(B69="D",(E69-D69)+(G69-F69),IF(B69="F2",IF(H69&gt;(P$7/2),H69-(P$7/2),0),0))),IF(H69&gt;P$7,H69-P$7,0))</f>
        <v>0</v>
      </c>
      <c r="L69" s="221" t="str">
        <f t="shared" si="16"/>
        <v>DIA NULO</v>
      </c>
      <c r="M69" s="162">
        <v>0</v>
      </c>
      <c r="N69" s="24"/>
      <c r="O69" s="163">
        <v>0</v>
      </c>
      <c r="P69" s="701"/>
      <c r="Q69" s="701"/>
      <c r="R69" s="701"/>
      <c r="S69" s="701"/>
      <c r="T69" s="701"/>
      <c r="U69" s="701"/>
      <c r="V69" s="701"/>
      <c r="W69" s="701"/>
    </row>
    <row r="70" spans="1:23" ht="10.5" hidden="1" customHeight="1" x14ac:dyDescent="0.2">
      <c r="A70" s="164">
        <v>0</v>
      </c>
      <c r="B70" s="164" t="s">
        <v>39</v>
      </c>
      <c r="C70" s="10" t="str">
        <f>IF(B70="N","","DOMINGO")</f>
        <v/>
      </c>
      <c r="D70" s="172"/>
      <c r="E70" s="172"/>
      <c r="F70" s="172"/>
      <c r="G70" s="172"/>
      <c r="H70" s="1" t="str">
        <f t="shared" si="17"/>
        <v/>
      </c>
      <c r="I70" s="4" t="str">
        <f t="shared" si="15"/>
        <v/>
      </c>
      <c r="J70" s="1">
        <f>IF(OR(B70="N",B70="D",B70="F",B70="L",B70="F2",B70="P"),IF(B70="F2",IF(H70&lt;(P$7/2),(P$7/2)-H70,0),0),IF(H70&lt;P$7,P$7-H70,0))</f>
        <v>0</v>
      </c>
      <c r="K70" s="1">
        <f>IF(OR(B70="N",B70="D",B70="F",B70="L",B70="F2",B70="P"),(IF(B70="D",(E70-D70)+(G70-F70),IF(B70="F2",IF(H70&gt;(P$7/2),H70-(P$7/2),0),0))),IF(H70&gt;P$7,H70-P$7,0))</f>
        <v>0</v>
      </c>
      <c r="L70" s="221" t="str">
        <f t="shared" si="16"/>
        <v>DIA NULO</v>
      </c>
      <c r="M70" s="162">
        <v>0</v>
      </c>
      <c r="N70" s="24"/>
      <c r="O70" s="163">
        <v>0</v>
      </c>
      <c r="P70" s="701"/>
      <c r="Q70" s="701"/>
      <c r="R70" s="701"/>
      <c r="S70" s="701"/>
      <c r="T70" s="701"/>
      <c r="U70" s="701"/>
      <c r="V70" s="701"/>
      <c r="W70" s="701"/>
    </row>
    <row r="71" spans="1:23" ht="10.5" hidden="1" customHeight="1" x14ac:dyDescent="0.2">
      <c r="A71" s="13"/>
      <c r="B71" s="13"/>
      <c r="C71" s="13"/>
      <c r="D71" s="13"/>
      <c r="E71" s="14"/>
      <c r="F71" s="820" t="s">
        <v>10</v>
      </c>
      <c r="G71" s="820"/>
      <c r="H71" s="2">
        <f>SUM(H64:H70)</f>
        <v>0</v>
      </c>
      <c r="I71" s="16"/>
      <c r="J71" s="2">
        <f>SUM(J64:J70)</f>
        <v>0</v>
      </c>
      <c r="K71" s="2">
        <f>SUM(K64:K70)</f>
        <v>0</v>
      </c>
      <c r="L71" s="18"/>
      <c r="M71" s="19"/>
      <c r="N71" s="19"/>
      <c r="O71" s="19"/>
      <c r="P71" s="19"/>
      <c r="Q71" s="19"/>
      <c r="R71" s="19"/>
      <c r="S71" s="19"/>
    </row>
    <row r="72" spans="1:23" ht="11.1" hidden="1" customHeight="1" x14ac:dyDescent="0.2">
      <c r="A72" s="293"/>
      <c r="B72" s="293"/>
      <c r="C72" s="293"/>
      <c r="D72" s="293"/>
      <c r="E72" s="293"/>
      <c r="F72" s="820" t="s">
        <v>47</v>
      </c>
      <c r="G72" s="820"/>
      <c r="H72" s="820"/>
      <c r="I72" s="17"/>
      <c r="J72" s="5">
        <f>IF(J71&gt;K71,J71-K71,0)</f>
        <v>0</v>
      </c>
      <c r="K72" s="8">
        <f>IF(K71&gt;J71,K71-J71,0)</f>
        <v>0</v>
      </c>
      <c r="L72" s="20"/>
      <c r="M72" s="19"/>
      <c r="N72" s="19"/>
      <c r="O72" s="19"/>
      <c r="P72" s="19"/>
      <c r="Q72" s="19"/>
      <c r="R72" s="19"/>
      <c r="S72" s="19"/>
    </row>
    <row r="73" spans="1:23" ht="9.75" hidden="1" customHeight="1" x14ac:dyDescent="0.2">
      <c r="A73" s="293"/>
      <c r="B73" s="293"/>
      <c r="C73" s="293"/>
      <c r="D73" s="293"/>
      <c r="E73" s="293"/>
      <c r="F73" s="30"/>
      <c r="G73" s="30"/>
      <c r="H73" s="30"/>
      <c r="I73" s="17"/>
      <c r="J73" s="31"/>
      <c r="K73" s="31"/>
      <c r="L73" s="31"/>
      <c r="M73" s="19"/>
      <c r="N73" s="19"/>
      <c r="O73" s="19"/>
      <c r="P73" s="19"/>
      <c r="Q73" s="19"/>
      <c r="R73" s="19"/>
      <c r="S73" s="19"/>
    </row>
    <row r="74" spans="1:23" ht="11.1" customHeight="1" x14ac:dyDescent="0.2">
      <c r="A74" s="293"/>
      <c r="B74" s="293"/>
      <c r="C74" s="293"/>
      <c r="D74" s="293"/>
      <c r="E74" s="293"/>
      <c r="F74" s="785" t="s">
        <v>48</v>
      </c>
      <c r="G74" s="786"/>
      <c r="H74" s="786"/>
      <c r="I74" s="786"/>
      <c r="J74" s="3">
        <f>J21+J31+J41+J51+J61+J71+I81</f>
        <v>0</v>
      </c>
      <c r="K74" s="3">
        <f>K21+K31+K41+K51+K61+K71+I80</f>
        <v>0</v>
      </c>
      <c r="L74" s="798" t="s">
        <v>49</v>
      </c>
      <c r="M74" s="799"/>
      <c r="N74" s="19"/>
      <c r="O74" s="19"/>
      <c r="P74" s="19"/>
      <c r="Q74" s="19"/>
      <c r="R74" s="19"/>
      <c r="S74" s="19"/>
      <c r="T74" s="797" t="s">
        <v>286</v>
      </c>
      <c r="U74" s="797"/>
      <c r="V74" s="797"/>
      <c r="W74" s="797"/>
    </row>
    <row r="75" spans="1:23" ht="11.1" customHeight="1" x14ac:dyDescent="0.2">
      <c r="A75" s="293"/>
      <c r="B75" s="293"/>
      <c r="C75" s="293"/>
      <c r="D75" s="293"/>
      <c r="E75" s="293"/>
      <c r="F75" s="787"/>
      <c r="G75" s="788"/>
      <c r="H75" s="788"/>
      <c r="I75" s="788"/>
      <c r="J75" s="6">
        <f>IF(J74&gt;K74,J74-K74,0)</f>
        <v>0</v>
      </c>
      <c r="K75" s="7">
        <f>IF(K74&gt;J74,K74-J74,0)</f>
        <v>0</v>
      </c>
      <c r="L75" s="715" t="s">
        <v>50</v>
      </c>
      <c r="M75" s="716"/>
      <c r="N75" s="19"/>
      <c r="O75" s="19"/>
      <c r="P75" s="19"/>
      <c r="Q75" s="19"/>
      <c r="R75" s="19"/>
      <c r="S75" s="19"/>
      <c r="T75" s="789" t="s">
        <v>637</v>
      </c>
      <c r="U75" s="789"/>
      <c r="V75" s="789"/>
      <c r="W75" s="789"/>
    </row>
    <row r="76" spans="1:23" ht="11.1" customHeight="1" x14ac:dyDescent="0.2">
      <c r="A76" s="293"/>
      <c r="B76" s="293"/>
      <c r="C76" s="293"/>
      <c r="D76" s="293"/>
      <c r="E76" s="293"/>
      <c r="F76" s="30"/>
      <c r="G76" s="30"/>
      <c r="H76" s="30"/>
      <c r="I76" s="17"/>
      <c r="J76" s="31"/>
      <c r="K76" s="31"/>
      <c r="L76" s="31"/>
      <c r="M76" s="19"/>
      <c r="N76" s="19"/>
      <c r="O76" s="19"/>
      <c r="P76" s="19"/>
      <c r="Q76" s="19"/>
      <c r="R76" s="19"/>
      <c r="S76" s="19"/>
      <c r="T76" s="789" t="s">
        <v>638</v>
      </c>
      <c r="U76" s="789"/>
      <c r="V76" s="789"/>
      <c r="W76" s="789"/>
    </row>
    <row r="77" spans="1:23" ht="11.1" customHeight="1" x14ac:dyDescent="0.2">
      <c r="A77" s="293"/>
      <c r="B77" s="293"/>
      <c r="C77" s="293"/>
      <c r="D77" s="293"/>
      <c r="E77" s="293"/>
      <c r="F77" s="795" t="s">
        <v>287</v>
      </c>
      <c r="G77" s="796"/>
      <c r="H77" s="796"/>
      <c r="I77" s="796"/>
      <c r="J77" s="796"/>
      <c r="K77" s="796"/>
      <c r="L77" s="796"/>
      <c r="M77" s="796"/>
      <c r="N77" s="19"/>
      <c r="O77" s="19"/>
      <c r="R77" s="19"/>
      <c r="S77" s="19"/>
    </row>
    <row r="78" spans="1:23" ht="11.1" customHeight="1" x14ac:dyDescent="0.2">
      <c r="A78" s="293"/>
      <c r="B78" s="293"/>
      <c r="C78" s="293"/>
      <c r="D78" s="293"/>
      <c r="E78" s="293"/>
      <c r="F78" s="795"/>
      <c r="G78" s="796"/>
      <c r="H78" s="796"/>
      <c r="I78" s="796"/>
      <c r="J78" s="796"/>
      <c r="K78" s="796"/>
      <c r="L78" s="796"/>
      <c r="M78" s="796"/>
      <c r="N78" s="19"/>
      <c r="O78" s="19"/>
      <c r="R78" s="19"/>
      <c r="S78" s="19"/>
    </row>
    <row r="79" spans="1:23" ht="11.1" customHeight="1" x14ac:dyDescent="0.2">
      <c r="A79" s="293"/>
      <c r="B79" s="293"/>
      <c r="C79" s="293"/>
      <c r="D79" s="293"/>
      <c r="E79" s="293"/>
      <c r="F79" s="795"/>
      <c r="G79" s="796"/>
      <c r="H79" s="796"/>
      <c r="I79" s="796"/>
      <c r="J79" s="796"/>
      <c r="K79" s="796"/>
      <c r="L79" s="796"/>
      <c r="M79" s="796"/>
      <c r="N79" s="19"/>
      <c r="O79" s="19"/>
      <c r="R79" s="19"/>
      <c r="S79" s="19"/>
    </row>
    <row r="80" spans="1:23" ht="11.1" customHeight="1" x14ac:dyDescent="0.2">
      <c r="A80" s="211"/>
      <c r="B80" s="211"/>
      <c r="C80" s="211"/>
      <c r="D80" s="211"/>
      <c r="E80" s="211"/>
      <c r="F80" s="794" t="s">
        <v>71</v>
      </c>
      <c r="G80" s="794"/>
      <c r="H80" s="794"/>
      <c r="I80" s="159">
        <v>0</v>
      </c>
      <c r="J80" s="18"/>
      <c r="K80" s="798" t="s">
        <v>72</v>
      </c>
      <c r="L80" s="799"/>
      <c r="M80" s="142">
        <v>0</v>
      </c>
      <c r="N80" s="19"/>
      <c r="O80" s="19"/>
      <c r="P80" s="19"/>
      <c r="Q80" s="19"/>
      <c r="R80" s="19"/>
      <c r="S80" s="19"/>
    </row>
    <row r="81" spans="1:23" ht="11.1" customHeight="1" x14ac:dyDescent="0.2">
      <c r="A81" s="211"/>
      <c r="B81" s="211"/>
      <c r="C81" s="211"/>
      <c r="D81" s="211"/>
      <c r="E81" s="211"/>
      <c r="F81" s="791" t="s">
        <v>70</v>
      </c>
      <c r="G81" s="792"/>
      <c r="H81" s="793"/>
      <c r="I81" s="160">
        <v>0</v>
      </c>
      <c r="J81" s="43"/>
      <c r="K81" s="798" t="s">
        <v>73</v>
      </c>
      <c r="L81" s="799"/>
      <c r="M81" s="161">
        <v>0</v>
      </c>
      <c r="N81" s="19"/>
      <c r="O81" s="19"/>
      <c r="P81" s="19"/>
      <c r="Q81" s="19"/>
      <c r="R81" s="19"/>
      <c r="S81" s="19"/>
    </row>
    <row r="82" spans="1:23" ht="10.5" customHeight="1" x14ac:dyDescent="0.2">
      <c r="A82" s="29"/>
      <c r="B82" s="29"/>
      <c r="C82" s="29"/>
      <c r="D82" s="29"/>
      <c r="E82" s="29"/>
      <c r="F82" s="29"/>
      <c r="G82" s="29"/>
      <c r="H82" s="29"/>
      <c r="I82" s="29"/>
      <c r="J82" s="29"/>
      <c r="K82" s="29"/>
      <c r="L82" s="29"/>
      <c r="M82" s="29"/>
      <c r="N82" s="29"/>
      <c r="O82" s="29"/>
      <c r="P82" s="29"/>
      <c r="Q82" s="29"/>
      <c r="R82" s="29"/>
      <c r="S82" s="211"/>
    </row>
    <row r="83" spans="1:23" ht="10.5" customHeight="1" x14ac:dyDescent="0.2">
      <c r="A83" s="821" t="s">
        <v>44</v>
      </c>
      <c r="B83" s="821"/>
      <c r="C83" s="821"/>
      <c r="D83" s="821"/>
      <c r="E83" s="821"/>
      <c r="F83" s="821"/>
      <c r="G83" s="821"/>
      <c r="H83" s="821"/>
      <c r="I83" s="821"/>
      <c r="J83" s="821"/>
      <c r="K83" s="821"/>
      <c r="L83" s="821"/>
      <c r="M83" s="821"/>
      <c r="N83" s="821"/>
      <c r="O83" s="821"/>
      <c r="P83" s="821"/>
      <c r="Q83" s="821"/>
      <c r="R83" s="821"/>
      <c r="S83" s="211"/>
      <c r="T83" s="800" t="s">
        <v>186</v>
      </c>
      <c r="U83" s="801"/>
      <c r="V83" s="801"/>
      <c r="W83" s="802"/>
    </row>
    <row r="84" spans="1:23" ht="10.5" customHeight="1" x14ac:dyDescent="0.2">
      <c r="A84" s="708"/>
      <c r="B84" s="708"/>
      <c r="C84" s="708"/>
      <c r="D84" s="708"/>
      <c r="E84" s="708"/>
      <c r="F84" s="708"/>
      <c r="G84" s="708"/>
      <c r="H84" s="708"/>
      <c r="I84" s="708"/>
      <c r="J84" s="708"/>
      <c r="K84" s="708"/>
      <c r="L84" s="708"/>
      <c r="M84" s="708"/>
      <c r="N84" s="708"/>
      <c r="O84" s="708"/>
      <c r="P84" s="708"/>
      <c r="Q84" s="708"/>
      <c r="R84" s="708"/>
      <c r="S84" s="211"/>
      <c r="T84" s="812" t="str">
        <f>UPPER(IM!C1)</f>
        <v>JULIO DEL 2013</v>
      </c>
      <c r="U84" s="813"/>
      <c r="V84" s="813"/>
      <c r="W84" s="814"/>
    </row>
    <row r="85" spans="1:23" ht="10.5" customHeight="1" x14ac:dyDescent="0.2">
      <c r="A85" s="708"/>
      <c r="B85" s="708"/>
      <c r="C85" s="708"/>
      <c r="D85" s="708"/>
      <c r="E85" s="708"/>
      <c r="F85" s="708"/>
      <c r="G85" s="708"/>
      <c r="H85" s="708"/>
      <c r="I85" s="708"/>
      <c r="J85" s="708"/>
      <c r="K85" s="708"/>
      <c r="L85" s="708"/>
      <c r="M85" s="708"/>
      <c r="N85" s="708"/>
      <c r="O85" s="708"/>
      <c r="P85" s="708"/>
      <c r="Q85" s="708"/>
      <c r="R85" s="708"/>
      <c r="S85" s="211"/>
    </row>
    <row r="86" spans="1:23" ht="10.5" customHeight="1" x14ac:dyDescent="0.2">
      <c r="A86" s="708"/>
      <c r="B86" s="708"/>
      <c r="C86" s="708"/>
      <c r="D86" s="708"/>
      <c r="E86" s="708"/>
      <c r="F86" s="708"/>
      <c r="G86" s="708"/>
      <c r="H86" s="708"/>
      <c r="I86" s="708"/>
      <c r="J86" s="708"/>
      <c r="K86" s="708"/>
      <c r="L86" s="708"/>
      <c r="M86" s="708"/>
      <c r="N86" s="708"/>
      <c r="O86" s="708"/>
      <c r="P86" s="708"/>
      <c r="Q86" s="708"/>
      <c r="R86" s="708"/>
      <c r="S86" s="211"/>
      <c r="T86" s="752" t="s">
        <v>198</v>
      </c>
      <c r="U86" s="752"/>
      <c r="V86" s="752"/>
      <c r="W86" s="752"/>
    </row>
    <row r="87" spans="1:23" ht="10.5" customHeight="1" x14ac:dyDescent="0.2">
      <c r="A87" s="708"/>
      <c r="B87" s="708"/>
      <c r="C87" s="708"/>
      <c r="D87" s="708"/>
      <c r="E87" s="708"/>
      <c r="F87" s="708"/>
      <c r="G87" s="708"/>
      <c r="H87" s="708"/>
      <c r="I87" s="708"/>
      <c r="J87" s="708"/>
      <c r="K87" s="708"/>
      <c r="L87" s="708"/>
      <c r="M87" s="708"/>
      <c r="N87" s="708"/>
      <c r="O87" s="708"/>
      <c r="P87" s="708"/>
      <c r="Q87" s="708"/>
      <c r="R87" s="708"/>
      <c r="S87" s="211"/>
      <c r="T87" s="735"/>
      <c r="U87" s="735"/>
      <c r="V87" s="735"/>
      <c r="W87" s="735"/>
    </row>
    <row r="88" spans="1:23" ht="10.5" customHeight="1" x14ac:dyDescent="0.2">
      <c r="A88" s="708"/>
      <c r="B88" s="708"/>
      <c r="C88" s="708"/>
      <c r="D88" s="708"/>
      <c r="E88" s="708"/>
      <c r="F88" s="708"/>
      <c r="G88" s="708"/>
      <c r="H88" s="708"/>
      <c r="I88" s="708"/>
      <c r="J88" s="708"/>
      <c r="K88" s="708"/>
      <c r="L88" s="708"/>
      <c r="M88" s="708"/>
      <c r="N88" s="708"/>
      <c r="O88" s="708"/>
      <c r="P88" s="708"/>
      <c r="Q88" s="708"/>
      <c r="R88" s="708"/>
      <c r="S88" s="211"/>
      <c r="T88" s="752" t="s">
        <v>197</v>
      </c>
      <c r="U88" s="752"/>
      <c r="V88" s="752"/>
      <c r="W88" s="752"/>
    </row>
    <row r="89" spans="1:23" ht="10.5" customHeight="1" x14ac:dyDescent="0.2">
      <c r="A89" s="211"/>
      <c r="B89" s="211"/>
      <c r="C89" s="211"/>
      <c r="D89" s="211"/>
      <c r="E89" s="211"/>
      <c r="F89" s="211"/>
      <c r="G89" s="211"/>
      <c r="H89" s="211"/>
      <c r="I89" s="17"/>
      <c r="J89" s="211"/>
      <c r="K89" s="211"/>
      <c r="L89" s="211"/>
      <c r="M89" s="124"/>
      <c r="N89" s="211"/>
      <c r="O89" s="124"/>
      <c r="P89" s="211"/>
      <c r="Q89" s="211"/>
      <c r="R89" s="211"/>
      <c r="S89" s="211"/>
      <c r="T89" s="752" t="s">
        <v>218</v>
      </c>
      <c r="U89" s="752"/>
      <c r="V89" s="752"/>
      <c r="W89" s="752"/>
    </row>
    <row r="90" spans="1:23" ht="10.5" customHeight="1" x14ac:dyDescent="0.2">
      <c r="A90" s="810"/>
      <c r="B90" s="810"/>
      <c r="C90" s="810"/>
      <c r="D90" s="810"/>
      <c r="E90" s="810"/>
      <c r="F90" s="810"/>
      <c r="G90" s="810"/>
      <c r="H90" s="810"/>
      <c r="I90" s="810"/>
      <c r="J90" s="810"/>
      <c r="K90" s="810"/>
      <c r="L90" s="810"/>
      <c r="M90" s="810"/>
      <c r="N90" s="810"/>
      <c r="O90" s="810"/>
      <c r="P90" s="810"/>
      <c r="Q90" s="810"/>
      <c r="R90" s="810"/>
      <c r="S90" s="212"/>
      <c r="T90" s="752" t="s">
        <v>219</v>
      </c>
      <c r="U90" s="752"/>
      <c r="V90" s="752"/>
      <c r="W90" s="752"/>
    </row>
    <row r="91" spans="1:23" ht="10.5" customHeight="1" x14ac:dyDescent="0.2">
      <c r="A91" s="759" t="s">
        <v>69</v>
      </c>
      <c r="B91" s="760"/>
      <c r="C91" s="760"/>
      <c r="D91" s="760"/>
      <c r="E91" s="760"/>
      <c r="F91" s="760"/>
      <c r="G91" s="760"/>
      <c r="H91" s="760"/>
      <c r="I91" s="760"/>
      <c r="J91" s="760"/>
      <c r="K91" s="760"/>
      <c r="L91" s="760"/>
      <c r="M91" s="760"/>
      <c r="N91" s="760"/>
      <c r="O91" s="760"/>
      <c r="P91" s="760"/>
      <c r="Q91" s="760"/>
      <c r="R91" s="760"/>
      <c r="S91" s="125"/>
      <c r="T91" s="752" t="s">
        <v>199</v>
      </c>
      <c r="U91" s="752"/>
      <c r="V91" s="752"/>
      <c r="W91" s="752"/>
    </row>
    <row r="92" spans="1:23" ht="10.5" customHeight="1" x14ac:dyDescent="0.2">
      <c r="A92" s="126"/>
      <c r="B92" s="126"/>
      <c r="C92" s="126"/>
      <c r="D92" s="126"/>
      <c r="E92" s="126"/>
      <c r="F92" s="126"/>
      <c r="G92" s="126"/>
      <c r="H92" s="126"/>
      <c r="I92" s="126"/>
      <c r="J92" s="126"/>
      <c r="K92" s="126"/>
      <c r="L92" s="126"/>
      <c r="M92" s="126"/>
      <c r="N92" s="126"/>
      <c r="O92" s="126"/>
      <c r="P92" s="126"/>
      <c r="Q92" s="126"/>
      <c r="R92" s="126"/>
      <c r="S92" s="212"/>
      <c r="T92" s="752" t="s">
        <v>200</v>
      </c>
      <c r="U92" s="752"/>
      <c r="V92" s="752"/>
      <c r="W92" s="752"/>
    </row>
    <row r="93" spans="1:23" ht="10.5" customHeight="1" x14ac:dyDescent="0.2">
      <c r="A93" s="712" t="s">
        <v>36</v>
      </c>
      <c r="B93" s="713"/>
      <c r="C93" s="713"/>
      <c r="D93" s="713"/>
      <c r="E93" s="714"/>
      <c r="F93" s="746" t="s">
        <v>42</v>
      </c>
      <c r="G93" s="746"/>
      <c r="H93" s="746" t="s">
        <v>37</v>
      </c>
      <c r="I93" s="746"/>
      <c r="J93" s="12"/>
      <c r="K93" s="674" t="s">
        <v>14</v>
      </c>
      <c r="L93" s="674"/>
      <c r="M93" s="674"/>
      <c r="N93" s="674"/>
      <c r="O93" s="674"/>
      <c r="P93" s="674"/>
      <c r="Q93" s="674"/>
      <c r="R93" s="674"/>
      <c r="S93" s="35"/>
      <c r="T93" s="752" t="s">
        <v>201</v>
      </c>
      <c r="U93" s="752"/>
      <c r="V93" s="752"/>
      <c r="W93" s="752"/>
    </row>
    <row r="94" spans="1:23" ht="10.5" customHeight="1" x14ac:dyDescent="0.2">
      <c r="A94" s="711" t="s">
        <v>35</v>
      </c>
      <c r="B94" s="711"/>
      <c r="C94" s="711"/>
      <c r="D94" s="106">
        <f>COUNTIF(B14:B70,"F")+M80</f>
        <v>0</v>
      </c>
      <c r="E94" s="107">
        <f>(COUNTIF(B14:B70,"F2"))/2</f>
        <v>0</v>
      </c>
      <c r="F94" s="704">
        <f>ROUND((D94+E94)*(F$5/30),0)</f>
        <v>0</v>
      </c>
      <c r="G94" s="705"/>
      <c r="H94" s="761"/>
      <c r="I94" s="762"/>
      <c r="J94" s="12"/>
      <c r="K94" s="727" t="s">
        <v>5</v>
      </c>
      <c r="L94" s="728"/>
      <c r="M94" s="729"/>
      <c r="N94" s="763">
        <v>4</v>
      </c>
      <c r="O94" s="764"/>
      <c r="P94" s="668">
        <f>IF(T145="3-. BOLETA",0,IF(D94+E94+D97+D96&gt;=30,0,IF(N94=7,0,IF(N94=1,IF((D123*0.25)&gt;((IM!Q59*IM!O59)/12),((IM!Q59*IM!O59)/12),D123*0.25),IF(N94=2,IF((D123*0.25)&gt;((IM!Q60*IM!O59)/12),((IM!Q60*IM!O59)/12),D123*0.25),IF(N94=3,IF((D123*0.25)&gt;((IM!Q61*IM!O59)/12),((IM!Q61*IM!O59)/12),D123*0.25),IF(N94=4,IF(((D123+P95+P96+P97+P98+P99-F95)*0.25)&gt;((IM!Q59*IM!O59)/12),((IM!Q59*IM!O59)/12),((D123+P95+P96+P97+P98+P99-F95)*0.25)),IF(N94=5,IF(((D123+P95+P96+P97+P98+P99-F95)*0.25)&gt;((IM!Q59*IM!O59)/12),((IM!Q59*IM!O59)/12),((D123+P95+P96+P97+P98+P99-F95)*0.25)),IF(N94=6,IF(((D123+P95+P96+P97+P98+P99-F95)*0.25)&gt;((IM!Q61*IM!O59)/12),((IM!Q61*IM!O59)/12),((D123+P95+P96+P97+P98+P99-F95)*0.25)),N94)))))))))</f>
        <v>0</v>
      </c>
      <c r="Q94" s="668"/>
      <c r="R94" s="668"/>
      <c r="S94" s="16"/>
      <c r="T94" s="752" t="s">
        <v>209</v>
      </c>
      <c r="U94" s="752"/>
      <c r="V94" s="752"/>
      <c r="W94" s="752"/>
    </row>
    <row r="95" spans="1:23" ht="10.5" customHeight="1" x14ac:dyDescent="0.2">
      <c r="A95" s="711" t="s">
        <v>43</v>
      </c>
      <c r="B95" s="711"/>
      <c r="C95" s="711"/>
      <c r="D95" s="841">
        <f>IF(IM!R46="ACTIVADO",(J75),(J74))</f>
        <v>0</v>
      </c>
      <c r="E95" s="842"/>
      <c r="F95" s="668">
        <f>ROUND((D95*24)*(((F$5/30)*28)/(HorasMensuales*24)),0)</f>
        <v>0</v>
      </c>
      <c r="G95" s="710"/>
      <c r="H95" s="761"/>
      <c r="I95" s="762"/>
      <c r="J95" s="12"/>
      <c r="K95" s="710" t="s">
        <v>25</v>
      </c>
      <c r="L95" s="710"/>
      <c r="M95" s="710"/>
      <c r="N95" s="806">
        <f>IF(IM!R46="ACTIVADO",(K75),(K74))</f>
        <v>0</v>
      </c>
      <c r="O95" s="807"/>
      <c r="P95" s="668">
        <f>ROUND(IF(N95&gt;0,(F5*0.0077777)*(N95*24),0),0)</f>
        <v>0</v>
      </c>
      <c r="Q95" s="668"/>
      <c r="R95" s="668"/>
      <c r="S95" s="16"/>
      <c r="T95" s="753" t="s">
        <v>202</v>
      </c>
      <c r="U95" s="753"/>
      <c r="V95" s="753"/>
      <c r="W95" s="753"/>
    </row>
    <row r="96" spans="1:23" ht="10.5" customHeight="1" x14ac:dyDescent="0.2">
      <c r="A96" s="765" t="s">
        <v>236</v>
      </c>
      <c r="B96" s="766"/>
      <c r="C96" s="767"/>
      <c r="D96" s="776">
        <f>COUNTIF(B14:B70,"P")</f>
        <v>0</v>
      </c>
      <c r="E96" s="777"/>
      <c r="F96" s="778">
        <f>ROUND(D96*(F$5/30),0)</f>
        <v>0</v>
      </c>
      <c r="G96" s="779"/>
      <c r="H96" s="783" t="s">
        <v>234</v>
      </c>
      <c r="I96" s="784"/>
      <c r="J96" s="12"/>
      <c r="K96" s="727" t="s">
        <v>19</v>
      </c>
      <c r="L96" s="728"/>
      <c r="M96" s="729"/>
      <c r="N96" s="765" t="s">
        <v>235</v>
      </c>
      <c r="O96" s="767"/>
      <c r="P96" s="778">
        <f>ROUND(SUM(M14:M20,M24:M30,M34:M40,M44:M50,M54:M60,M64:M70),0)</f>
        <v>0</v>
      </c>
      <c r="Q96" s="782"/>
      <c r="R96" s="779"/>
      <c r="S96" s="16"/>
      <c r="T96" s="223"/>
      <c r="U96" s="223"/>
      <c r="V96" s="223"/>
      <c r="W96" s="223"/>
    </row>
    <row r="97" spans="1:23" ht="10.5" customHeight="1" x14ac:dyDescent="0.2">
      <c r="A97" s="711" t="s">
        <v>27</v>
      </c>
      <c r="B97" s="711"/>
      <c r="C97" s="711"/>
      <c r="D97" s="780">
        <f>COUNTIF(B14:B70,"L")</f>
        <v>0</v>
      </c>
      <c r="E97" s="781"/>
      <c r="F97" s="668">
        <f>ROUND(D97*(F$5/30),0)</f>
        <v>0</v>
      </c>
      <c r="G97" s="710"/>
      <c r="H97" s="761"/>
      <c r="I97" s="762"/>
      <c r="J97" s="12"/>
      <c r="K97" s="710" t="s">
        <v>6</v>
      </c>
      <c r="L97" s="710"/>
      <c r="M97" s="710"/>
      <c r="N97" s="836">
        <v>0</v>
      </c>
      <c r="O97" s="837"/>
      <c r="P97" s="668">
        <f>ROUND(F$5*N97,0)</f>
        <v>0</v>
      </c>
      <c r="Q97" s="668"/>
      <c r="R97" s="668"/>
      <c r="S97" s="16"/>
      <c r="T97" s="752" t="s">
        <v>220</v>
      </c>
      <c r="U97" s="752"/>
      <c r="V97" s="752"/>
      <c r="W97" s="752"/>
    </row>
    <row r="98" spans="1:23" ht="10.5" customHeight="1" x14ac:dyDescent="0.2">
      <c r="B98" s="37"/>
      <c r="C98" s="37"/>
      <c r="H98" s="12"/>
      <c r="I98" s="12"/>
      <c r="J98" s="12"/>
      <c r="K98" s="710" t="s">
        <v>233</v>
      </c>
      <c r="L98" s="710"/>
      <c r="M98" s="710"/>
      <c r="N98" s="738">
        <f>T151</f>
        <v>0</v>
      </c>
      <c r="O98" s="738"/>
      <c r="P98" s="668">
        <f>ROUND(IF((D94+E94)&lt;0.1,N98,IF((D94+E94)&lt;0.6,(N98/4)*3,IF((D94+E94)&lt;1.1,N98/2,IF((D94+E94)&lt;1.6,N98/4,0)))),0)</f>
        <v>0</v>
      </c>
      <c r="Q98" s="668"/>
      <c r="R98" s="668"/>
      <c r="S98" s="16"/>
      <c r="T98" s="752" t="s">
        <v>203</v>
      </c>
      <c r="U98" s="752"/>
      <c r="V98" s="752"/>
      <c r="W98" s="752"/>
    </row>
    <row r="99" spans="1:23" ht="10.5" customHeight="1" x14ac:dyDescent="0.2">
      <c r="A99" s="746" t="s">
        <v>33</v>
      </c>
      <c r="B99" s="746"/>
      <c r="C99" s="746"/>
      <c r="D99" s="746"/>
      <c r="E99" s="746"/>
      <c r="F99" s="746" t="s">
        <v>37</v>
      </c>
      <c r="G99" s="746"/>
      <c r="H99" s="746"/>
      <c r="I99" s="746"/>
      <c r="J99" s="12"/>
      <c r="K99" s="811" t="s">
        <v>467</v>
      </c>
      <c r="L99" s="811"/>
      <c r="M99" s="811"/>
      <c r="N99" s="730"/>
      <c r="O99" s="730"/>
      <c r="P99" s="668">
        <f>ROUND(N99,0)</f>
        <v>0</v>
      </c>
      <c r="Q99" s="668"/>
      <c r="R99" s="668"/>
      <c r="S99" s="16"/>
      <c r="T99" s="753" t="s">
        <v>214</v>
      </c>
      <c r="U99" s="752"/>
      <c r="V99" s="752"/>
      <c r="W99" s="752"/>
    </row>
    <row r="100" spans="1:23" ht="10.5" customHeight="1" x14ac:dyDescent="0.2">
      <c r="A100" s="669" t="s">
        <v>4</v>
      </c>
      <c r="B100" s="669"/>
      <c r="C100" s="669"/>
      <c r="D100" s="671">
        <v>0</v>
      </c>
      <c r="E100" s="671"/>
      <c r="F100" s="720"/>
      <c r="G100" s="720"/>
      <c r="H100" s="720"/>
      <c r="I100" s="720"/>
      <c r="J100" s="12"/>
      <c r="K100" s="803" t="str">
        <f>IF(T145&lt;&gt;"3-. BOLETA","TOTAL","BOLETA NO APLICA GRATIFICACIONES")</f>
        <v>BOLETA NO APLICA GRATIFICACIONES</v>
      </c>
      <c r="L100" s="804"/>
      <c r="M100" s="805"/>
      <c r="N100" s="823">
        <f>ROUND(SUM(P94:R99),0)</f>
        <v>0</v>
      </c>
      <c r="O100" s="823"/>
      <c r="P100" s="823"/>
      <c r="Q100" s="823"/>
      <c r="R100" s="823"/>
      <c r="S100" s="226"/>
      <c r="T100" s="752" t="s">
        <v>204</v>
      </c>
      <c r="U100" s="752"/>
      <c r="V100" s="752"/>
      <c r="W100" s="752"/>
    </row>
    <row r="101" spans="1:23" ht="10.5" customHeight="1" x14ac:dyDescent="0.2">
      <c r="A101" s="669" t="s">
        <v>11</v>
      </c>
      <c r="B101" s="669"/>
      <c r="C101" s="669"/>
      <c r="D101" s="671">
        <v>0</v>
      </c>
      <c r="E101" s="671"/>
      <c r="F101" s="720"/>
      <c r="G101" s="720"/>
      <c r="H101" s="720"/>
      <c r="I101" s="720"/>
      <c r="J101" s="12"/>
      <c r="K101" s="32"/>
      <c r="L101" s="32"/>
      <c r="M101" s="32"/>
      <c r="N101" s="32"/>
      <c r="O101" s="32"/>
      <c r="P101" s="32"/>
      <c r="Q101" s="32"/>
      <c r="R101" s="32"/>
      <c r="S101" s="32"/>
      <c r="T101" s="752" t="s">
        <v>205</v>
      </c>
      <c r="U101" s="752"/>
      <c r="V101" s="752"/>
      <c r="W101" s="752"/>
    </row>
    <row r="102" spans="1:23" ht="10.5" customHeight="1" x14ac:dyDescent="0.2">
      <c r="A102" s="669" t="s">
        <v>77</v>
      </c>
      <c r="B102" s="669"/>
      <c r="C102" s="669"/>
      <c r="D102" s="706">
        <v>0</v>
      </c>
      <c r="E102" s="707"/>
      <c r="F102" s="720"/>
      <c r="G102" s="720"/>
      <c r="H102" s="720"/>
      <c r="I102" s="720"/>
      <c r="J102" s="12"/>
      <c r="K102" s="674" t="s">
        <v>7</v>
      </c>
      <c r="L102" s="674"/>
      <c r="M102" s="674"/>
      <c r="N102" s="674"/>
      <c r="O102" s="674"/>
      <c r="P102" s="674"/>
      <c r="Q102" s="674"/>
      <c r="R102" s="674"/>
      <c r="S102" s="35"/>
      <c r="T102" s="753" t="s">
        <v>221</v>
      </c>
      <c r="U102" s="753"/>
      <c r="V102" s="753"/>
      <c r="W102" s="753"/>
    </row>
    <row r="103" spans="1:23" ht="10.5" customHeight="1" x14ac:dyDescent="0.15">
      <c r="A103" s="815" t="s">
        <v>78</v>
      </c>
      <c r="B103" s="816"/>
      <c r="C103" s="817"/>
      <c r="D103" s="706">
        <v>0</v>
      </c>
      <c r="E103" s="707"/>
      <c r="F103" s="732"/>
      <c r="G103" s="733"/>
      <c r="H103" s="733"/>
      <c r="I103" s="734"/>
      <c r="J103" s="12"/>
      <c r="K103" s="727" t="s">
        <v>8</v>
      </c>
      <c r="L103" s="728"/>
      <c r="M103" s="729"/>
      <c r="N103" s="748" t="str">
        <f>T152</f>
        <v>1-. NO COTIZA</v>
      </c>
      <c r="O103" s="719"/>
      <c r="P103" s="128">
        <f>LOOKUP((N103),ListadoAFP,IM!B135:B144)</f>
        <v>0</v>
      </c>
      <c r="Q103" s="704">
        <f>ROUND(IF(T$145="3-. BOLETA",0,IF(D$127&gt;IM!O69,IM!O69*P103,D$127*P103)),0)</f>
        <v>0</v>
      </c>
      <c r="R103" s="705"/>
      <c r="S103" s="40"/>
      <c r="T103" s="753" t="s">
        <v>206</v>
      </c>
      <c r="U103" s="753"/>
      <c r="V103" s="753"/>
      <c r="W103" s="753"/>
    </row>
    <row r="104" spans="1:23" ht="10.5" customHeight="1" x14ac:dyDescent="0.15">
      <c r="A104" s="815" t="s">
        <v>76</v>
      </c>
      <c r="B104" s="818"/>
      <c r="C104" s="819"/>
      <c r="D104" s="706">
        <v>0</v>
      </c>
      <c r="E104" s="707"/>
      <c r="F104" s="732"/>
      <c r="G104" s="733"/>
      <c r="H104" s="733"/>
      <c r="I104" s="734"/>
      <c r="J104" s="12"/>
      <c r="K104" s="727" t="s">
        <v>231</v>
      </c>
      <c r="L104" s="728"/>
      <c r="M104" s="729"/>
      <c r="N104" s="748" t="str">
        <f>T153</f>
        <v>11-. NO COTIZA</v>
      </c>
      <c r="O104" s="719"/>
      <c r="P104" s="63">
        <f>LOOKUP((N104),ListadoIsapres,IM!D135:D154)</f>
        <v>0</v>
      </c>
      <c r="Q104" s="704">
        <f>ROUND(IF(T$145="3-. BOLETA",0,IF(D$127&gt;IM!O69,IM!O69*P104,D$127*P104)),0)</f>
        <v>0</v>
      </c>
      <c r="R104" s="705"/>
      <c r="S104" s="40"/>
      <c r="T104" s="753" t="s">
        <v>207</v>
      </c>
      <c r="U104" s="753"/>
      <c r="V104" s="753"/>
      <c r="W104" s="753"/>
    </row>
    <row r="105" spans="1:23" ht="10.5" customHeight="1" x14ac:dyDescent="0.15">
      <c r="A105" s="815" t="s">
        <v>343</v>
      </c>
      <c r="B105" s="816"/>
      <c r="C105" s="817"/>
      <c r="D105" s="706">
        <v>0</v>
      </c>
      <c r="E105" s="707"/>
      <c r="F105" s="732"/>
      <c r="G105" s="733"/>
      <c r="H105" s="733"/>
      <c r="I105" s="734"/>
      <c r="J105" s="12"/>
      <c r="K105" s="669" t="s">
        <v>9</v>
      </c>
      <c r="L105" s="669"/>
      <c r="M105" s="669"/>
      <c r="N105" s="718" t="str">
        <f>T145</f>
        <v>3-. BOLETA</v>
      </c>
      <c r="O105" s="719"/>
      <c r="P105" s="63">
        <f>LOOKUP((N105),TipoContrato,IM!F135:F139)</f>
        <v>0</v>
      </c>
      <c r="Q105" s="704">
        <f>ROUND(IF(T$145="3-. BOLETA",0,IF(D$127&gt;IM!O71,IM!O71*P105,D$127*P105)),0)</f>
        <v>0</v>
      </c>
      <c r="R105" s="705"/>
      <c r="S105" s="40"/>
      <c r="T105" s="753" t="s">
        <v>208</v>
      </c>
      <c r="U105" s="753"/>
      <c r="V105" s="753"/>
      <c r="W105" s="753"/>
    </row>
    <row r="106" spans="1:23" ht="10.5" customHeight="1" x14ac:dyDescent="0.15">
      <c r="A106" s="669" t="s">
        <v>444</v>
      </c>
      <c r="B106" s="669"/>
      <c r="C106" s="669"/>
      <c r="D106" s="671">
        <v>0</v>
      </c>
      <c r="E106" s="671"/>
      <c r="F106" s="720"/>
      <c r="G106" s="720"/>
      <c r="H106" s="720"/>
      <c r="I106" s="720"/>
      <c r="J106" s="12"/>
      <c r="K106" s="727" t="s">
        <v>228</v>
      </c>
      <c r="L106" s="728"/>
      <c r="M106" s="217" t="s">
        <v>229</v>
      </c>
      <c r="N106" s="808" t="s">
        <v>227</v>
      </c>
      <c r="O106" s="809"/>
      <c r="P106" s="147">
        <v>0</v>
      </c>
      <c r="Q106" s="704">
        <f>ROUND(IF(T145="3-. BOLETA",0,IF(P106=0,0,IF((P106*IM!R47)&gt;Q104,(P106*IM!R47)-Q104,0))),0)</f>
        <v>0</v>
      </c>
      <c r="R106" s="705"/>
      <c r="S106" s="40"/>
      <c r="T106" s="213"/>
      <c r="U106" s="213"/>
      <c r="V106" s="213"/>
      <c r="W106" s="213"/>
    </row>
    <row r="107" spans="1:23" ht="10.5" customHeight="1" x14ac:dyDescent="0.15">
      <c r="A107" s="669" t="s">
        <v>444</v>
      </c>
      <c r="B107" s="669"/>
      <c r="C107" s="669"/>
      <c r="D107" s="671">
        <v>0</v>
      </c>
      <c r="E107" s="671"/>
      <c r="F107" s="720"/>
      <c r="G107" s="720"/>
      <c r="H107" s="720"/>
      <c r="I107" s="720"/>
      <c r="J107" s="12"/>
      <c r="K107" s="669" t="s">
        <v>337</v>
      </c>
      <c r="L107" s="669"/>
      <c r="M107" s="669"/>
      <c r="N107" s="748" t="s">
        <v>227</v>
      </c>
      <c r="O107" s="719"/>
      <c r="P107" s="148">
        <v>0</v>
      </c>
      <c r="Q107" s="704">
        <f>ROUND(IF(P107*IM!R47&lt;IM!E65,P107*IM!R47,IM!E65),0)</f>
        <v>0</v>
      </c>
      <c r="R107" s="705"/>
      <c r="S107" s="40"/>
      <c r="T107" s="735" t="s">
        <v>210</v>
      </c>
      <c r="U107" s="735"/>
      <c r="V107" s="735"/>
      <c r="W107" s="735"/>
    </row>
    <row r="108" spans="1:23" ht="10.5" customHeight="1" x14ac:dyDescent="0.15">
      <c r="A108" s="669" t="s">
        <v>344</v>
      </c>
      <c r="B108" s="669"/>
      <c r="C108" s="669"/>
      <c r="D108" s="671">
        <v>0</v>
      </c>
      <c r="E108" s="671"/>
      <c r="F108" s="720"/>
      <c r="G108" s="720"/>
      <c r="H108" s="720"/>
      <c r="I108" s="720"/>
      <c r="J108" s="12"/>
      <c r="K108" s="669" t="s">
        <v>338</v>
      </c>
      <c r="L108" s="669"/>
      <c r="M108" s="669"/>
      <c r="N108" s="748" t="s">
        <v>336</v>
      </c>
      <c r="O108" s="719"/>
      <c r="P108" s="149">
        <v>0</v>
      </c>
      <c r="Q108" s="704">
        <f>ROUND(IF(P108*D127&lt;IM!E65,P108*D127,IM!E65),0)</f>
        <v>0</v>
      </c>
      <c r="R108" s="705"/>
      <c r="S108" s="40"/>
      <c r="T108" s="213"/>
      <c r="U108" s="213"/>
      <c r="V108" s="213"/>
      <c r="W108" s="213"/>
    </row>
    <row r="109" spans="1:23" ht="10.5" customHeight="1" x14ac:dyDescent="0.15">
      <c r="A109" s="717" t="s">
        <v>609</v>
      </c>
      <c r="B109" s="717"/>
      <c r="C109" s="717"/>
      <c r="D109" s="671">
        <v>0</v>
      </c>
      <c r="E109" s="671"/>
      <c r="F109" s="720" t="s">
        <v>610</v>
      </c>
      <c r="G109" s="720"/>
      <c r="H109" s="720"/>
      <c r="I109" s="720"/>
      <c r="J109" s="12"/>
      <c r="K109" s="669" t="s">
        <v>335</v>
      </c>
      <c r="L109" s="669"/>
      <c r="M109" s="669"/>
      <c r="N109" s="748" t="s">
        <v>339</v>
      </c>
      <c r="O109" s="719"/>
      <c r="P109" s="150">
        <v>0</v>
      </c>
      <c r="Q109" s="704">
        <f>ROUND(IF(P109&lt;IM!E65,P109,IM!E65),0)</f>
        <v>0</v>
      </c>
      <c r="R109" s="705"/>
      <c r="S109" s="40"/>
      <c r="T109" s="213"/>
      <c r="U109" s="213"/>
      <c r="V109" s="213"/>
      <c r="W109" s="213"/>
    </row>
    <row r="110" spans="1:23" ht="10.5" customHeight="1" x14ac:dyDescent="0.15">
      <c r="A110" s="669" t="s">
        <v>345</v>
      </c>
      <c r="B110" s="669"/>
      <c r="C110" s="669"/>
      <c r="D110" s="668">
        <f>ROUND(SUM(O14:O20,O24:O30,O34:O40,O44:O50,O54:O60,O64:O70),0)</f>
        <v>0</v>
      </c>
      <c r="E110" s="668"/>
      <c r="F110" s="720"/>
      <c r="G110" s="720"/>
      <c r="H110" s="720"/>
      <c r="I110" s="720"/>
      <c r="J110" s="12"/>
      <c r="K110" s="757"/>
      <c r="L110" s="757"/>
      <c r="M110" s="757"/>
      <c r="N110" s="722"/>
      <c r="O110" s="723"/>
      <c r="P110" s="149">
        <v>0</v>
      </c>
      <c r="Q110" s="704">
        <f>ROUND(IF(T$145="3-. BOLETA",0,D129*P110),0)</f>
        <v>0</v>
      </c>
      <c r="R110" s="705"/>
      <c r="S110" s="40"/>
      <c r="T110" s="213"/>
      <c r="U110" s="213"/>
      <c r="V110" s="213"/>
      <c r="W110" s="213"/>
    </row>
    <row r="111" spans="1:23" ht="10.5" customHeight="1" x14ac:dyDescent="0.2">
      <c r="A111" s="670" t="s">
        <v>21</v>
      </c>
      <c r="B111" s="670"/>
      <c r="C111" s="670"/>
      <c r="D111" s="721">
        <f>ROUND(SUM(D100:E110),0)</f>
        <v>0</v>
      </c>
      <c r="E111" s="721"/>
      <c r="F111" s="720"/>
      <c r="G111" s="720"/>
      <c r="H111" s="720"/>
      <c r="I111" s="720"/>
      <c r="J111" s="12"/>
      <c r="K111" s="702" t="s">
        <v>462</v>
      </c>
      <c r="L111" s="766"/>
      <c r="M111" s="766"/>
      <c r="N111" s="766"/>
      <c r="O111" s="766"/>
      <c r="P111" s="880">
        <f>ROUND(SUM(Q103:R110),0)</f>
        <v>0</v>
      </c>
      <c r="Q111" s="880"/>
      <c r="R111" s="881"/>
      <c r="S111" s="40"/>
      <c r="T111" s="213"/>
      <c r="U111" s="213"/>
      <c r="V111" s="213"/>
      <c r="W111" s="213"/>
    </row>
    <row r="112" spans="1:23" ht="10.5" customHeight="1" x14ac:dyDescent="0.2">
      <c r="E112" s="32"/>
      <c r="F112" s="32"/>
      <c r="H112" s="12"/>
      <c r="I112" s="12"/>
      <c r="J112" s="12"/>
      <c r="K112" s="674" t="s">
        <v>38</v>
      </c>
      <c r="L112" s="674"/>
      <c r="M112" s="674"/>
      <c r="N112" s="674"/>
      <c r="O112" s="674"/>
      <c r="P112" s="674"/>
      <c r="Q112" s="674"/>
      <c r="R112" s="674"/>
      <c r="S112" s="40"/>
    </row>
    <row r="113" spans="1:23" ht="10.5" customHeight="1" x14ac:dyDescent="0.2">
      <c r="A113" s="712" t="s">
        <v>12</v>
      </c>
      <c r="B113" s="713"/>
      <c r="C113" s="713"/>
      <c r="D113" s="713"/>
      <c r="E113" s="714"/>
      <c r="F113" s="746" t="s">
        <v>37</v>
      </c>
      <c r="G113" s="746"/>
      <c r="H113" s="746"/>
      <c r="I113" s="746"/>
      <c r="J113" s="12"/>
      <c r="K113" s="724" t="s">
        <v>326</v>
      </c>
      <c r="L113" s="725"/>
      <c r="M113" s="726"/>
      <c r="N113" s="675">
        <f>ROUND(IF(T$145="3-. BOLETA",0,IF(IM!P74="SI",IF((Q104+Q106)&lt;=(IM!R47*IM!O72),D127-(Q103+Q104+Q105+Q106+Q107+Q108+Q109),D127-((IM!R47*IM!O72)+Q103+Q105+Q107+Q108+Q109)),IF((Q104)&lt;=(IM!R47*IM!O72),D127-(Q103+Q104+Q105),D127-((IM!R47*IM!O72)+Q103+Q105)))),0)</f>
        <v>0</v>
      </c>
      <c r="O113" s="676"/>
      <c r="P113" s="47" t="s">
        <v>124</v>
      </c>
      <c r="Q113" s="878">
        <f>IM!N69</f>
        <v>70.3</v>
      </c>
      <c r="R113" s="879"/>
      <c r="S113" s="40"/>
      <c r="T113" s="774" t="s">
        <v>187</v>
      </c>
      <c r="U113" s="824"/>
      <c r="V113" s="166">
        <v>10</v>
      </c>
      <c r="W113" s="64" t="str">
        <f>IF(V113&lt;= 6,"No Logrado",IF(V113&lt;= 8,"Casi Logrado","Logrado"))</f>
        <v>Logrado</v>
      </c>
    </row>
    <row r="114" spans="1:23" ht="10.5" customHeight="1" x14ac:dyDescent="0.2">
      <c r="A114" s="669" t="s">
        <v>13</v>
      </c>
      <c r="B114" s="669"/>
      <c r="C114" s="669"/>
      <c r="D114" s="704">
        <f>(T149/30)*(30-(D94+E94+D96+D97))</f>
        <v>0</v>
      </c>
      <c r="E114" s="705"/>
      <c r="F114" s="720" t="s">
        <v>232</v>
      </c>
      <c r="G114" s="720"/>
      <c r="H114" s="720"/>
      <c r="I114" s="720"/>
      <c r="J114" s="12"/>
      <c r="K114" s="724" t="s">
        <v>123</v>
      </c>
      <c r="L114" s="726"/>
      <c r="M114" s="341">
        <f>IF(T$145="3-. BOLETA",0,IF((D94+E94+D97+D96)&gt;=30,0,LOOKUP((N113),H142:K149,G142:G149)))</f>
        <v>0</v>
      </c>
      <c r="N114" s="672" t="s">
        <v>92</v>
      </c>
      <c r="O114" s="673"/>
      <c r="P114" s="875">
        <f>ROUND(IF(T$145="3-. BOLETA",0,IF((D94+E94+D97+D96)&gt;=30,0,LOOKUP((N113),H142:K149,O142:O149))),0)</f>
        <v>0</v>
      </c>
      <c r="Q114" s="876"/>
      <c r="R114" s="877"/>
      <c r="S114" s="40"/>
      <c r="T114" s="130" t="s">
        <v>188</v>
      </c>
      <c r="U114" s="131"/>
      <c r="V114" s="166">
        <v>1</v>
      </c>
      <c r="W114" s="64" t="str">
        <f t="shared" ref="W114:W130" si="18">IF(V114&lt;= 6,"No Logrado",IF(V114&lt;= 8,"Casi Logrado","Logrado"))</f>
        <v>No Logrado</v>
      </c>
    </row>
    <row r="115" spans="1:23" ht="10.5" customHeight="1" x14ac:dyDescent="0.2">
      <c r="A115" s="669" t="s">
        <v>129</v>
      </c>
      <c r="B115" s="669"/>
      <c r="C115" s="669"/>
      <c r="D115" s="704">
        <f>(T150/30)*(30-(D94+E94+D96+D97))</f>
        <v>0</v>
      </c>
      <c r="E115" s="705"/>
      <c r="F115" s="720" t="s">
        <v>232</v>
      </c>
      <c r="G115" s="720"/>
      <c r="H115" s="720"/>
      <c r="I115" s="720"/>
      <c r="J115" s="12"/>
      <c r="K115" s="724" t="s">
        <v>357</v>
      </c>
      <c r="L115" s="726"/>
      <c r="M115" s="343">
        <f>ROUND(IF(T$145="3-. BOLETA",0,IM!R47*Q113),0)</f>
        <v>0</v>
      </c>
      <c r="N115" s="672" t="s">
        <v>125</v>
      </c>
      <c r="O115" s="679"/>
      <c r="P115" s="673"/>
      <c r="Q115" s="677">
        <f>ROUND(IF(T$145="3-. BOLETA",0,ROUND((N113*M114)-(P114),0)),0)</f>
        <v>0</v>
      </c>
      <c r="R115" s="678"/>
      <c r="S115" s="40"/>
      <c r="T115" s="130" t="s">
        <v>189</v>
      </c>
      <c r="U115" s="131"/>
      <c r="V115" s="166">
        <v>10</v>
      </c>
      <c r="W115" s="64" t="str">
        <f t="shared" si="18"/>
        <v>Logrado</v>
      </c>
    </row>
    <row r="116" spans="1:23" ht="10.5" customHeight="1" x14ac:dyDescent="0.2">
      <c r="A116" s="757" t="s">
        <v>612</v>
      </c>
      <c r="B116" s="757"/>
      <c r="C116" s="757"/>
      <c r="D116" s="706">
        <v>0</v>
      </c>
      <c r="E116" s="707"/>
      <c r="F116" s="720"/>
      <c r="G116" s="720"/>
      <c r="H116" s="720"/>
      <c r="I116" s="720"/>
      <c r="J116" s="12"/>
      <c r="K116" s="674" t="s">
        <v>75</v>
      </c>
      <c r="L116" s="674"/>
      <c r="M116" s="674"/>
      <c r="N116" s="674"/>
      <c r="O116" s="674"/>
      <c r="P116" s="674"/>
      <c r="Q116" s="674"/>
      <c r="R116" s="674"/>
      <c r="S116" s="40"/>
      <c r="T116" s="774" t="s">
        <v>190</v>
      </c>
      <c r="U116" s="775"/>
      <c r="V116" s="166">
        <v>1</v>
      </c>
      <c r="W116" s="64" t="str">
        <f t="shared" si="18"/>
        <v>No Logrado</v>
      </c>
    </row>
    <row r="117" spans="1:23" ht="10.5" customHeight="1" x14ac:dyDescent="0.2">
      <c r="A117" s="757" t="s">
        <v>350</v>
      </c>
      <c r="B117" s="757"/>
      <c r="C117" s="757"/>
      <c r="D117" s="706">
        <v>0</v>
      </c>
      <c r="E117" s="835"/>
      <c r="F117" s="720"/>
      <c r="G117" s="720"/>
      <c r="H117" s="720"/>
      <c r="I117" s="720"/>
      <c r="J117" s="12"/>
      <c r="K117" s="757" t="s">
        <v>94</v>
      </c>
      <c r="L117" s="757"/>
      <c r="M117" s="757"/>
      <c r="N117" s="825"/>
      <c r="O117" s="826"/>
      <c r="P117" s="771">
        <v>0</v>
      </c>
      <c r="Q117" s="772"/>
      <c r="R117" s="773"/>
      <c r="S117" s="41"/>
      <c r="T117" s="774" t="s">
        <v>191</v>
      </c>
      <c r="U117" s="775"/>
      <c r="V117" s="166">
        <v>10</v>
      </c>
      <c r="W117" s="64" t="str">
        <f t="shared" si="18"/>
        <v>Logrado</v>
      </c>
    </row>
    <row r="118" spans="1:23" ht="10.5" customHeight="1" x14ac:dyDescent="0.2">
      <c r="A118" s="717" t="s">
        <v>609</v>
      </c>
      <c r="B118" s="717"/>
      <c r="C118" s="717"/>
      <c r="D118" s="706">
        <v>0</v>
      </c>
      <c r="E118" s="835"/>
      <c r="F118" s="754" t="s">
        <v>611</v>
      </c>
      <c r="G118" s="755"/>
      <c r="H118" s="755"/>
      <c r="I118" s="756"/>
      <c r="J118" s="12"/>
      <c r="K118" s="669" t="s">
        <v>95</v>
      </c>
      <c r="L118" s="669"/>
      <c r="M118" s="669"/>
      <c r="N118" s="833">
        <v>0.1</v>
      </c>
      <c r="O118" s="834"/>
      <c r="P118" s="768">
        <f>ROUND(IF(T$145="3-. BOLETA",D129*N118,0),0)</f>
        <v>35000</v>
      </c>
      <c r="Q118" s="769"/>
      <c r="R118" s="770"/>
      <c r="S118" s="32"/>
      <c r="T118" s="774" t="s">
        <v>192</v>
      </c>
      <c r="U118" s="775"/>
      <c r="V118" s="166">
        <v>1</v>
      </c>
      <c r="W118" s="64" t="str">
        <f t="shared" si="18"/>
        <v>No Logrado</v>
      </c>
    </row>
    <row r="119" spans="1:23" ht="10.5" customHeight="1" x14ac:dyDescent="0.2">
      <c r="A119" s="776" t="s">
        <v>486</v>
      </c>
      <c r="B119" s="869"/>
      <c r="C119" s="777"/>
      <c r="D119" s="870">
        <v>0</v>
      </c>
      <c r="E119" s="871"/>
      <c r="F119" s="754" t="s">
        <v>492</v>
      </c>
      <c r="G119" s="755"/>
      <c r="H119" s="755"/>
      <c r="I119" s="756"/>
      <c r="J119" s="12"/>
      <c r="K119" s="757" t="s">
        <v>342</v>
      </c>
      <c r="L119" s="757"/>
      <c r="M119" s="757"/>
      <c r="N119" s="873"/>
      <c r="O119" s="874"/>
      <c r="P119" s="872">
        <v>0</v>
      </c>
      <c r="Q119" s="772"/>
      <c r="R119" s="773"/>
      <c r="S119" s="32"/>
      <c r="T119" s="214" t="s">
        <v>434</v>
      </c>
      <c r="U119" s="215"/>
      <c r="V119" s="166">
        <v>6</v>
      </c>
      <c r="W119" s="64" t="str">
        <f t="shared" si="18"/>
        <v>No Logrado</v>
      </c>
    </row>
    <row r="120" spans="1:23" ht="10.5" customHeight="1" x14ac:dyDescent="0.2">
      <c r="A120" s="670" t="s">
        <v>20</v>
      </c>
      <c r="B120" s="670"/>
      <c r="C120" s="670"/>
      <c r="D120" s="860">
        <f>ROUND(SUM(D114:E119),0)</f>
        <v>0</v>
      </c>
      <c r="E120" s="868"/>
      <c r="F120" s="754"/>
      <c r="G120" s="755"/>
      <c r="H120" s="755"/>
      <c r="I120" s="756"/>
      <c r="J120" s="12"/>
      <c r="K120" s="757" t="s">
        <v>429</v>
      </c>
      <c r="L120" s="757"/>
      <c r="M120" s="757"/>
      <c r="N120" s="825"/>
      <c r="O120" s="826"/>
      <c r="P120" s="771">
        <v>0</v>
      </c>
      <c r="Q120" s="772"/>
      <c r="R120" s="773"/>
      <c r="S120" s="211"/>
      <c r="T120" s="774" t="s">
        <v>211</v>
      </c>
      <c r="U120" s="775"/>
      <c r="V120" s="166">
        <v>7</v>
      </c>
      <c r="W120" s="64" t="str">
        <f t="shared" si="18"/>
        <v>Casi Logrado</v>
      </c>
    </row>
    <row r="121" spans="1:23" ht="10.5" customHeight="1" x14ac:dyDescent="0.2">
      <c r="B121" s="37"/>
      <c r="C121" s="37"/>
      <c r="H121" s="12"/>
      <c r="I121" s="12"/>
      <c r="J121" s="12"/>
      <c r="K121" s="32"/>
      <c r="L121" s="32"/>
      <c r="M121" s="32"/>
      <c r="N121" s="46"/>
      <c r="O121" s="32"/>
      <c r="P121" s="32"/>
      <c r="Q121" s="32"/>
      <c r="R121" s="32"/>
      <c r="S121" s="60"/>
      <c r="T121" s="774" t="s">
        <v>193</v>
      </c>
      <c r="U121" s="775"/>
      <c r="V121" s="166">
        <v>1</v>
      </c>
      <c r="W121" s="64" t="str">
        <f t="shared" si="18"/>
        <v>No Logrado</v>
      </c>
    </row>
    <row r="122" spans="1:23" ht="10.5" customHeight="1" x14ac:dyDescent="0.2">
      <c r="A122" s="746" t="s">
        <v>24</v>
      </c>
      <c r="B122" s="746"/>
      <c r="C122" s="746"/>
      <c r="D122" s="746"/>
      <c r="E122" s="746"/>
      <c r="F122" s="712" t="s">
        <v>37</v>
      </c>
      <c r="G122" s="747"/>
      <c r="H122" s="747"/>
      <c r="I122" s="758"/>
      <c r="J122" s="12"/>
      <c r="K122" s="827" t="s">
        <v>593</v>
      </c>
      <c r="L122" s="827"/>
      <c r="M122" s="827"/>
      <c r="N122" s="827"/>
      <c r="O122" s="827"/>
      <c r="P122" s="827"/>
      <c r="Q122" s="827"/>
      <c r="R122" s="827"/>
      <c r="S122" s="61"/>
      <c r="T122" s="774" t="s">
        <v>194</v>
      </c>
      <c r="U122" s="775"/>
      <c r="V122" s="166">
        <v>10</v>
      </c>
      <c r="W122" s="64" t="str">
        <f t="shared" si="18"/>
        <v>Logrado</v>
      </c>
    </row>
    <row r="123" spans="1:23" ht="10.5" customHeight="1" x14ac:dyDescent="0.2">
      <c r="A123" s="830" t="s">
        <v>59</v>
      </c>
      <c r="B123" s="830"/>
      <c r="C123" s="830"/>
      <c r="D123" s="831">
        <f>ROUND((F$5-(F94+F97+F96))+(M81*(F$5/30)),0)</f>
        <v>350000</v>
      </c>
      <c r="E123" s="831"/>
      <c r="F123" s="765" t="str">
        <f>30-(D94+E94+D96+D97) &amp; " DÍAS"</f>
        <v>30 DÍAS</v>
      </c>
      <c r="G123" s="767"/>
      <c r="H123" s="832" t="s">
        <v>74</v>
      </c>
      <c r="I123" s="832"/>
      <c r="J123" s="12"/>
      <c r="K123" s="727" t="s">
        <v>319</v>
      </c>
      <c r="L123" s="728"/>
      <c r="M123" s="729"/>
      <c r="N123" s="702" t="str">
        <f>T$152</f>
        <v>1-. NO COTIZA</v>
      </c>
      <c r="O123" s="703"/>
      <c r="P123" s="140">
        <f>IF($T$145&lt;&gt;IM!$E$138,LOOKUP($N$123,IM!$A$48:$B$57,IM!$D$48:$D$57),0)</f>
        <v>0</v>
      </c>
      <c r="Q123" s="704">
        <f>IF($D$127&lt;IM!$O$69,$D$127*$P$123,IM!$O$69*$P$123)</f>
        <v>0</v>
      </c>
      <c r="R123" s="705"/>
      <c r="S123" s="60"/>
      <c r="T123" s="774" t="s">
        <v>195</v>
      </c>
      <c r="U123" s="775"/>
      <c r="V123" s="166">
        <v>1</v>
      </c>
      <c r="W123" s="64" t="str">
        <f t="shared" si="18"/>
        <v>No Logrado</v>
      </c>
    </row>
    <row r="124" spans="1:23" ht="10.5" customHeight="1" x14ac:dyDescent="0.2">
      <c r="A124" s="224" t="s">
        <v>61</v>
      </c>
      <c r="B124" s="866" t="s">
        <v>64</v>
      </c>
      <c r="C124" s="867"/>
      <c r="D124" s="704">
        <f>ROUND(P95,0)</f>
        <v>0</v>
      </c>
      <c r="E124" s="705"/>
      <c r="F124" s="732"/>
      <c r="G124" s="733"/>
      <c r="H124" s="733"/>
      <c r="I124" s="734"/>
      <c r="J124" s="12"/>
      <c r="K124" s="669" t="s">
        <v>321</v>
      </c>
      <c r="L124" s="669"/>
      <c r="M124" s="669"/>
      <c r="N124" s="699" t="s">
        <v>370</v>
      </c>
      <c r="O124" s="700"/>
      <c r="P124" s="238">
        <v>0</v>
      </c>
      <c r="Q124" s="706">
        <f>$P4/30*$P$124</f>
        <v>0</v>
      </c>
      <c r="R124" s="707"/>
      <c r="S124" s="60"/>
      <c r="T124" s="774" t="s">
        <v>196</v>
      </c>
      <c r="U124" s="775"/>
      <c r="V124" s="166">
        <v>10</v>
      </c>
      <c r="W124" s="64" t="str">
        <f t="shared" si="18"/>
        <v>Logrado</v>
      </c>
    </row>
    <row r="125" spans="1:23" ht="10.5" customHeight="1" x14ac:dyDescent="0.2">
      <c r="A125" s="224" t="s">
        <v>60</v>
      </c>
      <c r="B125" s="866" t="s">
        <v>65</v>
      </c>
      <c r="C125" s="867"/>
      <c r="D125" s="704">
        <f>ROUND(F95,0)</f>
        <v>0</v>
      </c>
      <c r="E125" s="705"/>
      <c r="F125" s="732"/>
      <c r="G125" s="733"/>
      <c r="H125" s="733"/>
      <c r="I125" s="734"/>
      <c r="J125" s="12"/>
      <c r="K125" s="669" t="s">
        <v>320</v>
      </c>
      <c r="L125" s="669"/>
      <c r="M125" s="669"/>
      <c r="N125" s="699" t="s">
        <v>370</v>
      </c>
      <c r="O125" s="700"/>
      <c r="P125" s="238">
        <v>1.25</v>
      </c>
      <c r="Q125" s="706">
        <f>$F$5/30*$P$125</f>
        <v>14583.333333333332</v>
      </c>
      <c r="R125" s="707"/>
      <c r="S125" s="60"/>
      <c r="T125" s="774" t="s">
        <v>212</v>
      </c>
      <c r="U125" s="775"/>
      <c r="V125" s="166">
        <v>1</v>
      </c>
      <c r="W125" s="64" t="str">
        <f t="shared" si="18"/>
        <v>No Logrado</v>
      </c>
    </row>
    <row r="126" spans="1:23" ht="10.5" customHeight="1" x14ac:dyDescent="0.2">
      <c r="A126" s="9" t="s">
        <v>61</v>
      </c>
      <c r="B126" s="866" t="s">
        <v>53</v>
      </c>
      <c r="C126" s="867"/>
      <c r="D126" s="668">
        <f>ROUND((P94+P97+P98+P99+P96),0)</f>
        <v>0</v>
      </c>
      <c r="E126" s="668"/>
      <c r="F126" s="732"/>
      <c r="G126" s="733"/>
      <c r="H126" s="733"/>
      <c r="I126" s="734"/>
      <c r="J126" s="12"/>
      <c r="K126" s="727" t="s">
        <v>322</v>
      </c>
      <c r="L126" s="728"/>
      <c r="M126" s="729"/>
      <c r="N126" s="765" t="str">
        <f>UPPER(T$145)</f>
        <v>3-. BOLETA</v>
      </c>
      <c r="O126" s="767"/>
      <c r="P126" s="140">
        <f ca="1">LOOKUP(($N$126),TipoContrato,IM!$F$140:$F$143)</f>
        <v>0</v>
      </c>
      <c r="Q126" s="704">
        <f ca="1">IF($D$127&gt;IM!$O$71,IM!$O$71*$P$126,$D$127*$P$126)</f>
        <v>0</v>
      </c>
      <c r="R126" s="705"/>
      <c r="S126" s="61"/>
      <c r="T126" s="774" t="s">
        <v>215</v>
      </c>
      <c r="U126" s="775"/>
      <c r="V126" s="166">
        <v>10</v>
      </c>
      <c r="W126" s="64" t="str">
        <f t="shared" si="18"/>
        <v>Logrado</v>
      </c>
    </row>
    <row r="127" spans="1:23" ht="10.5" customHeight="1" x14ac:dyDescent="0.2">
      <c r="A127" s="849" t="s">
        <v>18</v>
      </c>
      <c r="B127" s="894"/>
      <c r="C127" s="850"/>
      <c r="D127" s="831">
        <f>ROUND((D123+D124+D126)-D125,0)</f>
        <v>350000</v>
      </c>
      <c r="E127" s="831"/>
      <c r="F127" s="732"/>
      <c r="G127" s="733"/>
      <c r="H127" s="733"/>
      <c r="I127" s="734"/>
      <c r="J127" s="12"/>
      <c r="K127" s="669" t="s">
        <v>323</v>
      </c>
      <c r="L127" s="669"/>
      <c r="M127" s="669"/>
      <c r="N127" s="699" t="s">
        <v>324</v>
      </c>
      <c r="O127" s="700"/>
      <c r="P127" s="228">
        <v>9.4999999999999998E-3</v>
      </c>
      <c r="Q127" s="704">
        <f>ROUND(IF(T$145="3-. BOLETA",0,IF(D$127&gt;IM!$O$69,IM!$O$69*$P$127,D$127*$P$127)),0)</f>
        <v>0</v>
      </c>
      <c r="R127" s="705"/>
      <c r="S127" s="60"/>
      <c r="T127" s="774" t="s">
        <v>327</v>
      </c>
      <c r="U127" s="775"/>
      <c r="V127" s="166">
        <v>10</v>
      </c>
      <c r="W127" s="64" t="str">
        <f t="shared" si="18"/>
        <v>Logrado</v>
      </c>
    </row>
    <row r="128" spans="1:23" ht="10.5" customHeight="1" x14ac:dyDescent="0.2">
      <c r="A128" s="216" t="s">
        <v>61</v>
      </c>
      <c r="B128" s="849" t="s">
        <v>58</v>
      </c>
      <c r="C128" s="850"/>
      <c r="D128" s="668">
        <f>ROUND((D120),0)</f>
        <v>0</v>
      </c>
      <c r="E128" s="668"/>
      <c r="F128" s="732"/>
      <c r="G128" s="733"/>
      <c r="H128" s="733"/>
      <c r="I128" s="734"/>
      <c r="J128" s="12"/>
      <c r="K128" s="727" t="s">
        <v>464</v>
      </c>
      <c r="L128" s="728"/>
      <c r="M128" s="729"/>
      <c r="N128" s="699"/>
      <c r="O128" s="700"/>
      <c r="P128" s="189"/>
      <c r="Q128" s="706">
        <f>$P$128</f>
        <v>0</v>
      </c>
      <c r="R128" s="707"/>
      <c r="S128" s="60"/>
      <c r="T128" s="774" t="s">
        <v>217</v>
      </c>
      <c r="U128" s="775"/>
      <c r="V128" s="166">
        <v>1</v>
      </c>
      <c r="W128" s="64" t="str">
        <f t="shared" si="18"/>
        <v>No Logrado</v>
      </c>
    </row>
    <row r="129" spans="1:23" ht="10.5" customHeight="1" x14ac:dyDescent="0.2">
      <c r="A129" s="741" t="s">
        <v>17</v>
      </c>
      <c r="B129" s="742"/>
      <c r="C129" s="743"/>
      <c r="D129" s="847">
        <f>ROUND(D127+D128,0)</f>
        <v>350000</v>
      </c>
      <c r="E129" s="848"/>
      <c r="F129" s="732"/>
      <c r="G129" s="733"/>
      <c r="H129" s="733"/>
      <c r="I129" s="734"/>
      <c r="J129" s="12"/>
      <c r="K129" s="669" t="s">
        <v>465</v>
      </c>
      <c r="L129" s="669"/>
      <c r="M129" s="669"/>
      <c r="N129" s="699"/>
      <c r="O129" s="700"/>
      <c r="P129" s="228"/>
      <c r="Q129" s="706">
        <f>$P$129</f>
        <v>0</v>
      </c>
      <c r="R129" s="707"/>
      <c r="S129" s="60"/>
      <c r="T129" s="774" t="s">
        <v>213</v>
      </c>
      <c r="U129" s="775"/>
      <c r="V129" s="166">
        <v>1</v>
      </c>
      <c r="W129" s="64" t="str">
        <f t="shared" si="18"/>
        <v>No Logrado</v>
      </c>
    </row>
    <row r="130" spans="1:23" ht="10.5" customHeight="1" x14ac:dyDescent="0.2">
      <c r="A130" s="222" t="s">
        <v>60</v>
      </c>
      <c r="B130" s="849" t="s">
        <v>127</v>
      </c>
      <c r="C130" s="850"/>
      <c r="D130" s="744">
        <f>ROUND(Q115+P117+P118+P119+P120+P111,0)</f>
        <v>35000</v>
      </c>
      <c r="E130" s="745"/>
      <c r="F130" s="732"/>
      <c r="G130" s="733"/>
      <c r="H130" s="733"/>
      <c r="I130" s="734"/>
      <c r="J130" s="12"/>
      <c r="K130" s="757" t="s">
        <v>466</v>
      </c>
      <c r="L130" s="757"/>
      <c r="M130" s="757"/>
      <c r="N130" s="763"/>
      <c r="O130" s="764"/>
      <c r="P130" s="142"/>
      <c r="Q130" s="706">
        <f>$P$130</f>
        <v>0</v>
      </c>
      <c r="R130" s="862"/>
      <c r="S130" s="60"/>
      <c r="T130" s="774" t="s">
        <v>216</v>
      </c>
      <c r="U130" s="775"/>
      <c r="V130" s="166">
        <v>10</v>
      </c>
      <c r="W130" s="64" t="str">
        <f t="shared" si="18"/>
        <v>Logrado</v>
      </c>
    </row>
    <row r="131" spans="1:23" ht="10.5" customHeight="1" x14ac:dyDescent="0.2">
      <c r="A131" s="222" t="s">
        <v>60</v>
      </c>
      <c r="B131" s="849" t="s">
        <v>126</v>
      </c>
      <c r="C131" s="850"/>
      <c r="D131" s="831">
        <f>ROUND(D111,0)</f>
        <v>0</v>
      </c>
      <c r="E131" s="831"/>
      <c r="F131" s="732"/>
      <c r="G131" s="733"/>
      <c r="H131" s="733"/>
      <c r="I131" s="734"/>
      <c r="J131" s="12"/>
      <c r="K131" s="803" t="s">
        <v>325</v>
      </c>
      <c r="L131" s="804"/>
      <c r="M131" s="804"/>
      <c r="N131" s="804"/>
      <c r="O131" s="804"/>
      <c r="P131" s="805"/>
      <c r="Q131" s="860">
        <f ca="1">SUM(Q123:R130)</f>
        <v>14583.333333333332</v>
      </c>
      <c r="R131" s="861"/>
    </row>
    <row r="132" spans="1:23" ht="10.5" customHeight="1" x14ac:dyDescent="0.2">
      <c r="A132" s="749" t="s">
        <v>326</v>
      </c>
      <c r="B132" s="750"/>
      <c r="C132" s="751"/>
      <c r="D132" s="864">
        <f>(ROUND(N113,0))</f>
        <v>0</v>
      </c>
      <c r="E132" s="865"/>
      <c r="F132" s="754"/>
      <c r="G132" s="755"/>
      <c r="H132" s="755"/>
      <c r="I132" s="756"/>
      <c r="J132" s="12"/>
      <c r="T132" s="735" t="str">
        <f>"EL DESEMPEÑO DEL TRABAJADOR CORRESPONDE A UN " &amp; ROUND((SUM(V113:V130)*100)/170,0) &amp;"%"</f>
        <v>EL DESEMPEÑO DEL TRABAJADOR CORRESPONDE A UN 59%</v>
      </c>
      <c r="U132" s="735"/>
      <c r="V132" s="735"/>
      <c r="W132" s="735"/>
    </row>
    <row r="133" spans="1:23" x14ac:dyDescent="0.2">
      <c r="A133" s="830" t="s">
        <v>463</v>
      </c>
      <c r="B133" s="830"/>
      <c r="C133" s="830"/>
      <c r="D133" s="831">
        <f>ROUND(D129-D130-D131,0)</f>
        <v>315000</v>
      </c>
      <c r="E133" s="831"/>
      <c r="F133" s="732"/>
      <c r="G133" s="733"/>
      <c r="H133" s="733"/>
      <c r="I133" s="734"/>
      <c r="J133" s="12"/>
      <c r="K133" s="712" t="str">
        <f>IF(T$145="3-. BOLETA","T. A PAGAR (MENOS 10% BOLETA)","TOTAL A PAGAR")</f>
        <v>T. A PAGAR (MENOS 10% BOLETA)</v>
      </c>
      <c r="L133" s="747"/>
      <c r="M133" s="713"/>
      <c r="N133" s="713"/>
      <c r="O133" s="714"/>
      <c r="P133" s="859">
        <f>ROUND(D133,0)</f>
        <v>315000</v>
      </c>
      <c r="Q133" s="859"/>
      <c r="R133" s="859"/>
      <c r="S133" s="42"/>
      <c r="T133" s="863"/>
      <c r="U133" s="863"/>
      <c r="V133" s="863"/>
      <c r="W133" s="863"/>
    </row>
    <row r="134" spans="1:23" x14ac:dyDescent="0.2">
      <c r="A134" s="735"/>
      <c r="B134" s="735"/>
      <c r="C134" s="735"/>
      <c r="D134" s="735"/>
      <c r="E134" s="735"/>
      <c r="F134" s="735"/>
      <c r="G134" s="735"/>
      <c r="H134" s="735"/>
      <c r="I134" s="735"/>
      <c r="J134" s="735"/>
      <c r="K134" s="735"/>
      <c r="L134" s="735"/>
      <c r="M134" s="735"/>
      <c r="N134" s="735"/>
      <c r="O134" s="735"/>
      <c r="P134" s="735"/>
      <c r="Q134" s="735"/>
      <c r="R134" s="735"/>
      <c r="S134" s="213"/>
      <c r="T134" s="735"/>
      <c r="U134" s="735"/>
      <c r="V134" s="735"/>
      <c r="W134" s="735"/>
    </row>
    <row r="135" spans="1:23" x14ac:dyDescent="0.2">
      <c r="A135" s="891" t="s">
        <v>91</v>
      </c>
      <c r="B135" s="892"/>
      <c r="C135" s="892"/>
      <c r="D135" s="892"/>
      <c r="E135" s="892"/>
      <c r="F135" s="892"/>
      <c r="G135" s="892"/>
      <c r="H135" s="892"/>
      <c r="I135" s="892"/>
      <c r="J135" s="892"/>
      <c r="K135" s="892"/>
      <c r="L135" s="892"/>
      <c r="M135" s="892"/>
      <c r="N135" s="892"/>
      <c r="O135" s="892"/>
      <c r="P135" s="892"/>
      <c r="Q135" s="892"/>
      <c r="R135" s="893"/>
    </row>
    <row r="136" spans="1:23" x14ac:dyDescent="0.2">
      <c r="A136" s="210"/>
      <c r="B136" s="210"/>
      <c r="C136" s="210"/>
      <c r="D136" s="210"/>
      <c r="E136" s="210"/>
      <c r="F136" s="210"/>
      <c r="G136" s="210"/>
      <c r="H136" s="210"/>
      <c r="I136" s="210"/>
      <c r="J136" s="210"/>
      <c r="K136" s="210"/>
      <c r="L136" s="210"/>
      <c r="M136" s="210"/>
      <c r="N136" s="210"/>
      <c r="O136" s="210"/>
      <c r="P136" s="210"/>
      <c r="Q136" s="210"/>
      <c r="R136" s="210"/>
    </row>
    <row r="137" spans="1:23" ht="10.5" customHeight="1" x14ac:dyDescent="0.2">
      <c r="A137" s="132"/>
      <c r="B137" s="132"/>
      <c r="C137" s="132"/>
      <c r="D137" s="858" t="s">
        <v>222</v>
      </c>
      <c r="E137" s="858"/>
      <c r="F137" s="858"/>
      <c r="G137" s="858"/>
      <c r="H137" s="858"/>
      <c r="I137" s="858"/>
      <c r="J137" s="858"/>
      <c r="K137" s="858"/>
      <c r="L137" s="858"/>
      <c r="M137" s="858"/>
      <c r="N137" s="858"/>
      <c r="O137" s="858"/>
      <c r="P137" s="132"/>
      <c r="Q137" s="132"/>
      <c r="R137" s="132"/>
    </row>
    <row r="138" spans="1:23" x14ac:dyDescent="0.2">
      <c r="A138" s="132"/>
      <c r="B138" s="132"/>
      <c r="C138" s="132"/>
      <c r="D138" s="858"/>
      <c r="E138" s="858"/>
      <c r="F138" s="858"/>
      <c r="G138" s="858"/>
      <c r="H138" s="858"/>
      <c r="I138" s="858"/>
      <c r="J138" s="858"/>
      <c r="K138" s="858"/>
      <c r="L138" s="858"/>
      <c r="M138" s="858"/>
      <c r="N138" s="858"/>
      <c r="O138" s="858"/>
      <c r="P138" s="132"/>
      <c r="Q138" s="132"/>
      <c r="R138" s="132"/>
    </row>
    <row r="140" spans="1:23" ht="10.5" customHeight="1" x14ac:dyDescent="0.2">
      <c r="D140" s="746" t="s">
        <v>87</v>
      </c>
      <c r="E140" s="746"/>
      <c r="F140" s="746"/>
      <c r="G140" s="746"/>
      <c r="H140" s="746"/>
      <c r="I140" s="746"/>
      <c r="J140" s="746"/>
      <c r="K140" s="746"/>
      <c r="L140" s="746"/>
      <c r="M140" s="746"/>
      <c r="N140" s="746"/>
      <c r="O140" s="746"/>
      <c r="P140" s="132"/>
      <c r="Q140" s="646" t="s">
        <v>435</v>
      </c>
      <c r="R140" s="647"/>
      <c r="S140" s="647"/>
      <c r="T140" s="647"/>
      <c r="U140" s="170"/>
      <c r="V140" s="132"/>
      <c r="W140" s="132"/>
    </row>
    <row r="141" spans="1:23" ht="10.5" customHeight="1" x14ac:dyDescent="0.2">
      <c r="D141" s="736" t="s">
        <v>88</v>
      </c>
      <c r="E141" s="736"/>
      <c r="F141" s="218" t="s">
        <v>89</v>
      </c>
      <c r="G141" s="225" t="s">
        <v>90</v>
      </c>
      <c r="H141" s="737" t="s">
        <v>88</v>
      </c>
      <c r="I141" s="737"/>
      <c r="J141" s="736" t="s">
        <v>89</v>
      </c>
      <c r="K141" s="736"/>
      <c r="L141" s="736" t="s">
        <v>92</v>
      </c>
      <c r="M141" s="736"/>
      <c r="N141" s="736" t="s">
        <v>93</v>
      </c>
      <c r="O141" s="736"/>
      <c r="P141" s="133"/>
      <c r="Q141" s="641" t="s">
        <v>114</v>
      </c>
      <c r="R141" s="642"/>
      <c r="S141" s="643"/>
      <c r="T141" s="168" t="str">
        <f>IM!C37</f>
        <v>Nombre del Trabajador</v>
      </c>
      <c r="U141" s="644"/>
      <c r="V141" s="645"/>
      <c r="W141" s="645"/>
    </row>
    <row r="142" spans="1:23" ht="10.5" customHeight="1" x14ac:dyDescent="0.2">
      <c r="D142" s="730">
        <v>0</v>
      </c>
      <c r="E142" s="730"/>
      <c r="F142" s="340">
        <v>13.5</v>
      </c>
      <c r="G142" s="345">
        <v>0</v>
      </c>
      <c r="H142" s="738">
        <f>D142*IM!R$48</f>
        <v>0</v>
      </c>
      <c r="I142" s="738"/>
      <c r="J142" s="739">
        <f>D143*IM!R$48</f>
        <v>541687.5</v>
      </c>
      <c r="K142" s="740"/>
      <c r="L142" s="731">
        <v>0</v>
      </c>
      <c r="M142" s="731"/>
      <c r="N142" s="339">
        <f>L142*$J$7</f>
        <v>0</v>
      </c>
      <c r="O142" s="342">
        <f>L142*IM!R$48</f>
        <v>0</v>
      </c>
      <c r="P142" s="134"/>
      <c r="Q142" s="641" t="s">
        <v>79</v>
      </c>
      <c r="R142" s="642"/>
      <c r="S142" s="643"/>
      <c r="T142" s="168" t="str">
        <f>IM!F37</f>
        <v>15.151.515-9</v>
      </c>
      <c r="U142" s="644"/>
      <c r="V142" s="645"/>
      <c r="W142" s="645"/>
    </row>
    <row r="143" spans="1:23" ht="10.5" customHeight="1" x14ac:dyDescent="0.2">
      <c r="D143" s="730">
        <v>13.5</v>
      </c>
      <c r="E143" s="730"/>
      <c r="F143" s="340">
        <v>30</v>
      </c>
      <c r="G143" s="345">
        <v>0.04</v>
      </c>
      <c r="H143" s="738">
        <f>(D143*IM!R$48)+0.01</f>
        <v>541687.51</v>
      </c>
      <c r="I143" s="738"/>
      <c r="J143" s="739">
        <f>D144*IM!R$48</f>
        <v>1203750</v>
      </c>
      <c r="K143" s="740"/>
      <c r="L143" s="731">
        <v>0.54</v>
      </c>
      <c r="M143" s="731"/>
      <c r="N143" s="339"/>
      <c r="O143" s="342">
        <f>L143*IM!R$48</f>
        <v>21667.5</v>
      </c>
      <c r="P143" s="134"/>
      <c r="Q143" s="641" t="s">
        <v>400</v>
      </c>
      <c r="R143" s="642"/>
      <c r="S143" s="643"/>
      <c r="T143" s="169">
        <f>IM!H37</f>
        <v>0</v>
      </c>
      <c r="U143" s="644"/>
      <c r="V143" s="645"/>
      <c r="W143" s="645"/>
    </row>
    <row r="144" spans="1:23" ht="10.5" customHeight="1" x14ac:dyDescent="0.2">
      <c r="D144" s="730">
        <v>30</v>
      </c>
      <c r="E144" s="730"/>
      <c r="F144" s="340">
        <v>50</v>
      </c>
      <c r="G144" s="345">
        <v>0.08</v>
      </c>
      <c r="H144" s="738">
        <f>(D144*IM!R$48)+0.01</f>
        <v>1203750.01</v>
      </c>
      <c r="I144" s="738"/>
      <c r="J144" s="739">
        <f>D145*IM!R$48</f>
        <v>2006250</v>
      </c>
      <c r="K144" s="740"/>
      <c r="L144" s="731">
        <v>1.74</v>
      </c>
      <c r="M144" s="731"/>
      <c r="N144" s="339"/>
      <c r="O144" s="342">
        <f>L144*IM!R$48</f>
        <v>69817.5</v>
      </c>
      <c r="P144" s="134"/>
      <c r="Q144" s="641" t="s">
        <v>358</v>
      </c>
      <c r="R144" s="642"/>
      <c r="S144" s="643"/>
      <c r="T144" s="168">
        <f>IM!J37</f>
        <v>0</v>
      </c>
      <c r="U144" s="644"/>
      <c r="V144" s="645"/>
      <c r="W144" s="645"/>
    </row>
    <row r="145" spans="4:23" ht="10.5" customHeight="1" x14ac:dyDescent="0.2">
      <c r="D145" s="730">
        <v>50</v>
      </c>
      <c r="E145" s="730"/>
      <c r="F145" s="340">
        <v>70</v>
      </c>
      <c r="G145" s="345">
        <v>0.13500000000000001</v>
      </c>
      <c r="H145" s="738">
        <f>(D145*IM!R$48)+0.01</f>
        <v>2006250.01</v>
      </c>
      <c r="I145" s="738"/>
      <c r="J145" s="739">
        <f>D146*IM!R$48</f>
        <v>2808750</v>
      </c>
      <c r="K145" s="740"/>
      <c r="L145" s="731">
        <v>4.49</v>
      </c>
      <c r="M145" s="731"/>
      <c r="N145" s="339"/>
      <c r="O145" s="342">
        <f>L145*IM!R$48</f>
        <v>180161.25</v>
      </c>
      <c r="P145" s="134"/>
      <c r="Q145" s="641" t="s">
        <v>396</v>
      </c>
      <c r="R145" s="642"/>
      <c r="S145" s="643"/>
      <c r="T145" s="168" t="str">
        <f>UPPER(IM!Q37)</f>
        <v>3-. BOLETA</v>
      </c>
      <c r="U145" s="644"/>
      <c r="V145" s="645"/>
      <c r="W145" s="645"/>
    </row>
    <row r="146" spans="4:23" ht="10.5" customHeight="1" x14ac:dyDescent="0.2">
      <c r="D146" s="730">
        <v>70</v>
      </c>
      <c r="E146" s="730"/>
      <c r="F146" s="340">
        <v>90</v>
      </c>
      <c r="G146" s="345">
        <v>0.23</v>
      </c>
      <c r="H146" s="738">
        <f>(D146*IM!R$48)+0.01</f>
        <v>2808750.01</v>
      </c>
      <c r="I146" s="738"/>
      <c r="J146" s="739">
        <f>D147*IM!R$48</f>
        <v>3611250</v>
      </c>
      <c r="K146" s="740"/>
      <c r="L146" s="731">
        <v>11.14</v>
      </c>
      <c r="M146" s="731"/>
      <c r="N146" s="339"/>
      <c r="O146" s="342">
        <f>L146*IM!R$48</f>
        <v>446992.5</v>
      </c>
      <c r="Q146" s="641" t="s">
        <v>398</v>
      </c>
      <c r="R146" s="642"/>
      <c r="S146" s="643"/>
      <c r="T146" s="168" t="str">
        <f>IM!N37</f>
        <v>Tornero</v>
      </c>
      <c r="U146" s="644"/>
      <c r="V146" s="645"/>
      <c r="W146" s="645"/>
    </row>
    <row r="147" spans="4:23" x14ac:dyDescent="0.2">
      <c r="D147" s="730">
        <v>90</v>
      </c>
      <c r="E147" s="730"/>
      <c r="F147" s="340">
        <v>120</v>
      </c>
      <c r="G147" s="345">
        <v>0.30399999999999999</v>
      </c>
      <c r="H147" s="738">
        <f>(D147*IM!R$48)+0.01</f>
        <v>3611250.01</v>
      </c>
      <c r="I147" s="738"/>
      <c r="J147" s="739">
        <f>D148*IM!R$48</f>
        <v>4815000</v>
      </c>
      <c r="K147" s="740"/>
      <c r="L147" s="731">
        <v>17.8</v>
      </c>
      <c r="M147" s="731"/>
      <c r="N147" s="339"/>
      <c r="O147" s="342">
        <f>L147*IM!R$48</f>
        <v>714225</v>
      </c>
      <c r="Q147" s="641" t="s">
        <v>399</v>
      </c>
      <c r="R147" s="642"/>
      <c r="S147" s="643"/>
      <c r="T147" s="168" t="str">
        <f>IM!AE37</f>
        <v>Mecánica</v>
      </c>
      <c r="U147" s="644"/>
      <c r="V147" s="645"/>
      <c r="W147" s="645"/>
    </row>
    <row r="148" spans="4:23" x14ac:dyDescent="0.2">
      <c r="D148" s="730">
        <v>120</v>
      </c>
      <c r="E148" s="730"/>
      <c r="F148" s="340">
        <v>150</v>
      </c>
      <c r="G148" s="345">
        <v>0.35499999999999998</v>
      </c>
      <c r="H148" s="738">
        <f>(D148*IM!R$48)+0.01</f>
        <v>4815000.01</v>
      </c>
      <c r="I148" s="738"/>
      <c r="J148" s="739">
        <f>D149*IM!R$48</f>
        <v>6018750</v>
      </c>
      <c r="K148" s="740"/>
      <c r="L148" s="731">
        <v>23.92</v>
      </c>
      <c r="M148" s="731"/>
      <c r="N148" s="339"/>
      <c r="O148" s="342">
        <f>L148*IM!R$48</f>
        <v>959790.00000000012</v>
      </c>
      <c r="Q148" s="641" t="s">
        <v>80</v>
      </c>
      <c r="R148" s="642"/>
      <c r="S148" s="643"/>
      <c r="T148" s="167">
        <f>IM!S37</f>
        <v>350000</v>
      </c>
      <c r="U148" s="644"/>
      <c r="V148" s="645"/>
      <c r="W148" s="645"/>
    </row>
    <row r="149" spans="4:23" x14ac:dyDescent="0.2">
      <c r="D149" s="730">
        <v>150</v>
      </c>
      <c r="E149" s="730"/>
      <c r="F149" s="340"/>
      <c r="G149" s="345">
        <v>0.4</v>
      </c>
      <c r="H149" s="738">
        <f>(D149*IM!R$48)+0.01</f>
        <v>6018750.0099999998</v>
      </c>
      <c r="I149" s="738"/>
      <c r="J149" s="739">
        <f>D150*IM!R$48</f>
        <v>0</v>
      </c>
      <c r="K149" s="740"/>
      <c r="L149" s="731">
        <v>30.67</v>
      </c>
      <c r="M149" s="731"/>
      <c r="N149" s="339"/>
      <c r="O149" s="342">
        <f>L149*IM!R$48</f>
        <v>1230633.75</v>
      </c>
      <c r="Q149" s="641" t="s">
        <v>393</v>
      </c>
      <c r="R149" s="642"/>
      <c r="S149" s="643"/>
      <c r="T149" s="167">
        <f>IM!AC37</f>
        <v>0</v>
      </c>
      <c r="U149" s="644"/>
      <c r="V149" s="645"/>
      <c r="W149" s="645"/>
    </row>
    <row r="150" spans="4:23" x14ac:dyDescent="0.2">
      <c r="Q150" s="641" t="s">
        <v>394</v>
      </c>
      <c r="R150" s="642"/>
      <c r="S150" s="643"/>
      <c r="T150" s="167">
        <f>IM!AA37</f>
        <v>0</v>
      </c>
      <c r="U150" s="644"/>
      <c r="V150" s="645"/>
      <c r="W150" s="645"/>
    </row>
    <row r="151" spans="4:23" ht="10.5" customHeight="1" x14ac:dyDescent="0.2">
      <c r="N151" s="12"/>
      <c r="O151" s="12"/>
      <c r="P151" s="12"/>
      <c r="Q151" s="641" t="s">
        <v>395</v>
      </c>
      <c r="R151" s="642"/>
      <c r="S151" s="643"/>
      <c r="T151" s="167">
        <f>IM!Y37</f>
        <v>0</v>
      </c>
      <c r="U151" s="644"/>
      <c r="V151" s="645"/>
      <c r="W151" s="645"/>
    </row>
    <row r="152" spans="4:23" ht="10.5" customHeight="1" x14ac:dyDescent="0.2">
      <c r="D152" s="856" t="s">
        <v>226</v>
      </c>
      <c r="E152" s="857"/>
      <c r="F152" s="857"/>
      <c r="G152" s="857"/>
      <c r="H152" s="857"/>
      <c r="I152" s="857"/>
      <c r="J152" s="857"/>
      <c r="K152" s="857"/>
      <c r="L152" s="857"/>
      <c r="M152" s="857"/>
      <c r="N152" s="857"/>
      <c r="O152" s="857"/>
      <c r="P152" s="12"/>
      <c r="Q152" s="641" t="s">
        <v>100</v>
      </c>
      <c r="R152" s="642"/>
      <c r="S152" s="643"/>
      <c r="T152" s="168" t="str">
        <f>UPPER(IM!U37)</f>
        <v>1-. NO COTIZA</v>
      </c>
      <c r="U152" s="644"/>
      <c r="V152" s="645"/>
      <c r="W152" s="645"/>
    </row>
    <row r="153" spans="4:23" ht="10.5" customHeight="1" x14ac:dyDescent="0.2">
      <c r="D153" s="890"/>
      <c r="E153" s="890"/>
      <c r="F153" s="890"/>
      <c r="G153" s="890"/>
      <c r="H153" s="890"/>
      <c r="I153" s="320"/>
      <c r="J153" s="320"/>
      <c r="K153" s="320"/>
      <c r="L153" s="890"/>
      <c r="M153" s="890"/>
      <c r="N153" s="890"/>
      <c r="O153" s="890"/>
      <c r="P153" s="12"/>
      <c r="Q153" s="641" t="s">
        <v>397</v>
      </c>
      <c r="R153" s="642"/>
      <c r="S153" s="643"/>
      <c r="T153" s="168" t="str">
        <f>UPPER(IM!W37)</f>
        <v>11-. NO COTIZA</v>
      </c>
      <c r="U153" s="644"/>
      <c r="V153" s="645"/>
      <c r="W153" s="645"/>
    </row>
    <row r="154" spans="4:23" ht="10.5" customHeight="1" x14ac:dyDescent="0.2">
      <c r="D154" s="890"/>
      <c r="E154" s="890"/>
      <c r="F154" s="890"/>
      <c r="G154" s="890"/>
      <c r="H154" s="890"/>
      <c r="I154" s="320"/>
      <c r="J154" s="320"/>
      <c r="K154" s="320"/>
      <c r="L154" s="890"/>
      <c r="M154" s="890"/>
      <c r="N154" s="890"/>
      <c r="O154" s="890"/>
      <c r="P154" s="12"/>
      <c r="Q154" s="641" t="s">
        <v>401</v>
      </c>
      <c r="R154" s="642"/>
      <c r="S154" s="643"/>
      <c r="T154" s="169">
        <f>IM!L37</f>
        <v>41235</v>
      </c>
      <c r="U154" s="644"/>
      <c r="V154" s="645"/>
      <c r="W154" s="645"/>
    </row>
    <row r="155" spans="4:23" x14ac:dyDescent="0.2">
      <c r="D155" s="890"/>
      <c r="E155" s="890"/>
      <c r="F155" s="890"/>
      <c r="G155" s="890"/>
      <c r="H155" s="890"/>
      <c r="I155" s="320"/>
      <c r="J155" s="320"/>
      <c r="K155" s="320"/>
      <c r="L155" s="890"/>
      <c r="M155" s="890"/>
      <c r="N155" s="890"/>
      <c r="O155" s="890"/>
    </row>
    <row r="156" spans="4:23" ht="10.5" customHeight="1" x14ac:dyDescent="0.2">
      <c r="D156" s="918" t="str">
        <f>IM!X45</f>
        <v>Nombre de la Empresa</v>
      </c>
      <c r="E156" s="918"/>
      <c r="F156" s="918"/>
      <c r="G156" s="918"/>
      <c r="H156" s="918"/>
      <c r="I156" s="153"/>
      <c r="J156" s="301"/>
      <c r="K156" s="153"/>
      <c r="L156" s="890"/>
      <c r="M156" s="890"/>
      <c r="N156" s="890"/>
      <c r="O156" s="890"/>
      <c r="P156" s="59"/>
      <c r="Q156" s="59"/>
    </row>
    <row r="157" spans="4:23" ht="10.5" customHeight="1" x14ac:dyDescent="0.2">
      <c r="D157" s="851" t="str">
        <f>IM!X46</f>
        <v>70.000.000-0</v>
      </c>
      <c r="E157" s="851"/>
      <c r="F157" s="851"/>
      <c r="G157" s="851"/>
      <c r="H157" s="851"/>
      <c r="I157" s="155"/>
      <c r="J157" s="155"/>
      <c r="K157" s="155"/>
      <c r="L157" s="917" t="str">
        <f>T84</f>
        <v>JULIO DEL 2013</v>
      </c>
      <c r="M157" s="917"/>
      <c r="N157" s="917"/>
      <c r="O157" s="917"/>
      <c r="P157" s="59"/>
      <c r="Q157" s="59"/>
    </row>
    <row r="158" spans="4:23" x14ac:dyDescent="0.2">
      <c r="D158" s="851" t="str">
        <f>IM!X50</f>
        <v>Dirección de la empresa #000</v>
      </c>
      <c r="E158" s="851"/>
      <c r="F158" s="851"/>
      <c r="G158" s="851"/>
      <c r="H158" s="851"/>
      <c r="I158" s="155"/>
      <c r="J158" s="155"/>
      <c r="K158" s="155"/>
      <c r="L158" s="890"/>
      <c r="M158" s="890"/>
      <c r="N158" s="890"/>
      <c r="O158" s="890"/>
      <c r="P158" s="59"/>
      <c r="Q158" s="59"/>
    </row>
    <row r="159" spans="4:23" x14ac:dyDescent="0.2">
      <c r="D159" s="851" t="str">
        <f>IM!X49</f>
        <v>(055) 000 000</v>
      </c>
      <c r="E159" s="851"/>
      <c r="F159" s="851"/>
      <c r="G159" s="851"/>
      <c r="H159" s="851"/>
      <c r="I159" s="155"/>
      <c r="J159" s="155"/>
      <c r="K159" s="155"/>
      <c r="L159" s="890"/>
      <c r="M159" s="890"/>
      <c r="N159" s="890"/>
      <c r="O159" s="890"/>
    </row>
    <row r="160" spans="4:23" ht="12.75" customHeight="1" x14ac:dyDescent="0.2">
      <c r="D160" s="851"/>
      <c r="E160" s="851"/>
      <c r="F160" s="851"/>
      <c r="G160" s="851"/>
      <c r="H160" s="851"/>
      <c r="I160" s="155"/>
      <c r="J160" s="155"/>
      <c r="K160" s="322"/>
      <c r="L160" s="890"/>
      <c r="M160" s="890"/>
      <c r="N160" s="890"/>
      <c r="O160" s="890"/>
    </row>
    <row r="161" spans="4:17" ht="10.5" customHeight="1" x14ac:dyDescent="0.2">
      <c r="D161" s="889" t="str">
        <f>IF(T$145="3-. BOLETA","COMPROBANTE DE PAGO","LIQUIDACIÓN DE SUELDOS")</f>
        <v>COMPROBANTE DE PAGO</v>
      </c>
      <c r="E161" s="889"/>
      <c r="F161" s="889"/>
      <c r="G161" s="889"/>
      <c r="H161" s="889"/>
      <c r="I161" s="889"/>
      <c r="J161" s="889"/>
      <c r="K161" s="889"/>
      <c r="L161" s="889"/>
      <c r="M161" s="889"/>
      <c r="N161" s="889"/>
      <c r="O161" s="889"/>
    </row>
    <row r="162" spans="4:17" ht="10.5" customHeight="1" x14ac:dyDescent="0.2">
      <c r="D162" s="889"/>
      <c r="E162" s="889"/>
      <c r="F162" s="889"/>
      <c r="G162" s="889"/>
      <c r="H162" s="889"/>
      <c r="I162" s="889"/>
      <c r="J162" s="889"/>
      <c r="K162" s="889"/>
      <c r="L162" s="889"/>
      <c r="M162" s="889"/>
      <c r="N162" s="889"/>
      <c r="O162" s="889"/>
      <c r="P162" s="136"/>
      <c r="Q162" s="136"/>
    </row>
    <row r="163" spans="4:17" ht="12.75" customHeight="1" x14ac:dyDescent="0.2">
      <c r="D163" s="889"/>
      <c r="E163" s="889"/>
      <c r="F163" s="889"/>
      <c r="G163" s="889"/>
      <c r="H163" s="889"/>
      <c r="I163" s="889"/>
      <c r="J163" s="889"/>
      <c r="K163" s="889"/>
      <c r="L163" s="889"/>
      <c r="M163" s="889"/>
      <c r="N163" s="889"/>
      <c r="O163" s="889"/>
      <c r="P163" s="136"/>
      <c r="Q163" s="136"/>
    </row>
    <row r="164" spans="4:17" ht="12.75" customHeight="1" x14ac:dyDescent="0.2">
      <c r="D164" s="889"/>
      <c r="E164" s="889"/>
      <c r="F164" s="889"/>
      <c r="G164" s="889"/>
      <c r="H164" s="889"/>
      <c r="I164" s="321"/>
      <c r="J164" s="321"/>
      <c r="K164" s="321"/>
      <c r="L164" s="889"/>
      <c r="M164" s="889"/>
      <c r="N164" s="889"/>
      <c r="O164" s="889"/>
      <c r="P164" s="136"/>
      <c r="Q164" s="136"/>
    </row>
    <row r="165" spans="4:17" ht="12.75" customHeight="1" x14ac:dyDescent="0.2">
      <c r="D165" s="662" t="s">
        <v>331</v>
      </c>
      <c r="E165" s="663"/>
      <c r="F165" s="663"/>
      <c r="G165" s="680" t="str">
        <f>T141</f>
        <v>Nombre del Trabajador</v>
      </c>
      <c r="H165" s="681"/>
      <c r="I165" s="681"/>
      <c r="J165" s="681"/>
      <c r="K165" s="681"/>
      <c r="L165" s="330"/>
      <c r="M165" s="662" t="s">
        <v>227</v>
      </c>
      <c r="N165" s="663"/>
      <c r="O165" s="309">
        <f>IM!R47</f>
        <v>22940.02</v>
      </c>
      <c r="P165" s="136"/>
      <c r="Q165" s="136"/>
    </row>
    <row r="166" spans="4:17" ht="12.75" customHeight="1" x14ac:dyDescent="0.2">
      <c r="D166" s="666" t="s">
        <v>79</v>
      </c>
      <c r="E166" s="667"/>
      <c r="F166" s="667"/>
      <c r="G166" s="682" t="str">
        <f>T142</f>
        <v>15.151.515-9</v>
      </c>
      <c r="H166" s="683"/>
      <c r="I166" s="683"/>
      <c r="J166" s="683"/>
      <c r="K166" s="683"/>
      <c r="L166" s="328"/>
      <c r="M166" s="664" t="s">
        <v>334</v>
      </c>
      <c r="N166" s="665"/>
      <c r="O166" s="310">
        <f>IM!R48</f>
        <v>40125</v>
      </c>
      <c r="P166" s="136"/>
      <c r="Q166" s="136"/>
    </row>
    <row r="167" spans="4:17" ht="12.75" customHeight="1" x14ac:dyDescent="0.2">
      <c r="D167" s="666" t="s">
        <v>268</v>
      </c>
      <c r="E167" s="667"/>
      <c r="F167" s="667"/>
      <c r="G167" s="684">
        <f>T154</f>
        <v>41235</v>
      </c>
      <c r="H167" s="685"/>
      <c r="I167" s="685"/>
      <c r="J167" s="685"/>
      <c r="K167" s="685"/>
      <c r="L167" s="328"/>
      <c r="M167" s="660"/>
      <c r="N167" s="660"/>
      <c r="O167" s="661"/>
      <c r="P167" s="136"/>
      <c r="Q167" s="136"/>
    </row>
    <row r="168" spans="4:17" ht="12.75" customHeight="1" x14ac:dyDescent="0.2">
      <c r="D168" s="666" t="s">
        <v>270</v>
      </c>
      <c r="E168" s="667"/>
      <c r="F168" s="667"/>
      <c r="G168" s="682" t="str">
        <f>IF(T145=IM!E138,IM!E136,T145)</f>
        <v>3-. BOLETA</v>
      </c>
      <c r="H168" s="683"/>
      <c r="I168" s="683"/>
      <c r="J168" s="683"/>
      <c r="K168" s="683"/>
      <c r="L168" s="146"/>
      <c r="M168" s="689" t="str">
        <f>T84</f>
        <v>JULIO DEL 2013</v>
      </c>
      <c r="N168" s="690"/>
      <c r="O168" s="691"/>
      <c r="P168" s="136"/>
      <c r="Q168" s="136"/>
    </row>
    <row r="169" spans="4:17" ht="12.75" customHeight="1" x14ac:dyDescent="0.2">
      <c r="D169" s="666" t="s">
        <v>15</v>
      </c>
      <c r="E169" s="667"/>
      <c r="F169" s="667"/>
      <c r="G169" s="686" t="str">
        <f>T146</f>
        <v>Tornero</v>
      </c>
      <c r="H169" s="683"/>
      <c r="I169" s="683"/>
      <c r="J169" s="683"/>
      <c r="K169" s="683"/>
      <c r="L169" s="146"/>
      <c r="M169" s="692"/>
      <c r="N169" s="693"/>
      <c r="O169" s="694"/>
      <c r="P169" s="136"/>
      <c r="Q169" s="136"/>
    </row>
    <row r="170" spans="4:17" ht="12.75" customHeight="1" x14ac:dyDescent="0.2">
      <c r="D170" s="666" t="s">
        <v>332</v>
      </c>
      <c r="E170" s="667"/>
      <c r="F170" s="667"/>
      <c r="G170" s="686" t="str">
        <f>T147</f>
        <v>Mecánica</v>
      </c>
      <c r="H170" s="683"/>
      <c r="I170" s="683"/>
      <c r="J170" s="683"/>
      <c r="K170" s="683"/>
      <c r="L170" s="146"/>
      <c r="M170" s="695"/>
      <c r="N170" s="696"/>
      <c r="O170" s="697"/>
      <c r="P170" s="136"/>
      <c r="Q170" s="136"/>
    </row>
    <row r="171" spans="4:17" ht="12.75" customHeight="1" x14ac:dyDescent="0.2">
      <c r="D171" s="664" t="s">
        <v>23</v>
      </c>
      <c r="E171" s="665"/>
      <c r="F171" s="665"/>
      <c r="G171" s="687">
        <f>T148</f>
        <v>350000</v>
      </c>
      <c r="H171" s="688"/>
      <c r="I171" s="688"/>
      <c r="J171" s="688"/>
      <c r="K171" s="688"/>
      <c r="L171" s="329"/>
      <c r="M171" s="649"/>
      <c r="N171" s="649"/>
      <c r="O171" s="650"/>
      <c r="P171" s="136"/>
      <c r="Q171" s="136"/>
    </row>
    <row r="172" spans="4:17" ht="12.75" customHeight="1" x14ac:dyDescent="0.2">
      <c r="D172" s="144"/>
      <c r="E172" s="145"/>
      <c r="F172" s="145"/>
      <c r="G172" s="145"/>
      <c r="H172" s="145"/>
      <c r="I172" s="145"/>
      <c r="J172" s="144"/>
      <c r="K172" s="145"/>
      <c r="L172" s="145"/>
      <c r="M172" s="144"/>
      <c r="N172" s="144"/>
      <c r="O172" s="137"/>
      <c r="P172" s="136"/>
      <c r="Q172" s="136"/>
    </row>
    <row r="173" spans="4:17" ht="12.75" customHeight="1" x14ac:dyDescent="0.2">
      <c r="D173" s="888" t="s">
        <v>81</v>
      </c>
      <c r="E173" s="888"/>
      <c r="F173" s="888"/>
      <c r="G173" s="888"/>
      <c r="H173" s="888"/>
      <c r="I173" s="888"/>
      <c r="J173" s="888"/>
      <c r="K173" s="888" t="s">
        <v>82</v>
      </c>
      <c r="L173" s="888"/>
      <c r="M173" s="888"/>
      <c r="N173" s="888"/>
      <c r="O173" s="888"/>
      <c r="P173" s="136"/>
      <c r="Q173" s="136"/>
    </row>
    <row r="174" spans="4:17" ht="12.75" customHeight="1" x14ac:dyDescent="0.15">
      <c r="D174" s="327" t="str">
        <f>F123</f>
        <v>30 DÍAS</v>
      </c>
      <c r="E174" s="882" t="s">
        <v>348</v>
      </c>
      <c r="F174" s="882"/>
      <c r="G174" s="882"/>
      <c r="H174" s="882"/>
      <c r="I174" s="883">
        <f>ROUND(D123,0)</f>
        <v>350000</v>
      </c>
      <c r="J174" s="884"/>
      <c r="K174" s="312"/>
      <c r="L174" s="885" t="s">
        <v>347</v>
      </c>
      <c r="M174" s="885"/>
      <c r="N174" s="886">
        <f>ROUND($P$118,0)</f>
        <v>35000</v>
      </c>
      <c r="O174" s="887"/>
      <c r="P174" s="136"/>
      <c r="Q174" s="136"/>
    </row>
    <row r="175" spans="4:17" ht="12.75" customHeight="1" x14ac:dyDescent="0.15">
      <c r="D175" s="315">
        <f>N95</f>
        <v>0</v>
      </c>
      <c r="E175" s="885" t="s">
        <v>25</v>
      </c>
      <c r="F175" s="885"/>
      <c r="G175" s="885"/>
      <c r="H175" s="885"/>
      <c r="I175" s="886">
        <f>ROUND(P95,0)</f>
        <v>0</v>
      </c>
      <c r="J175" s="887"/>
      <c r="K175" s="314"/>
      <c r="L175" s="885" t="s">
        <v>444</v>
      </c>
      <c r="M175" s="885"/>
      <c r="N175" s="886">
        <f>D111+P111+Q115+P117+P119+P120</f>
        <v>0</v>
      </c>
      <c r="O175" s="887"/>
      <c r="P175" s="136"/>
      <c r="Q175" s="136"/>
    </row>
    <row r="176" spans="4:17" ht="12.75" customHeight="1" x14ac:dyDescent="0.15">
      <c r="D176" s="315"/>
      <c r="E176" s="885" t="s">
        <v>606</v>
      </c>
      <c r="F176" s="885"/>
      <c r="G176" s="885"/>
      <c r="H176" s="885"/>
      <c r="I176" s="886">
        <f>P96+P97+P98+P99+D120</f>
        <v>0</v>
      </c>
      <c r="J176" s="887"/>
      <c r="K176" s="316"/>
      <c r="L176" s="885"/>
      <c r="M176" s="885"/>
      <c r="N176" s="886"/>
      <c r="O176" s="887"/>
      <c r="P176" s="136"/>
      <c r="Q176" s="136"/>
    </row>
    <row r="177" spans="3:17" ht="12.75" customHeight="1" x14ac:dyDescent="0.15">
      <c r="D177" s="325"/>
      <c r="E177" s="885"/>
      <c r="F177" s="885"/>
      <c r="G177" s="885"/>
      <c r="H177" s="885"/>
      <c r="I177" s="886"/>
      <c r="J177" s="887"/>
      <c r="K177" s="314"/>
      <c r="L177" s="885"/>
      <c r="M177" s="885"/>
      <c r="N177" s="886"/>
      <c r="O177" s="887"/>
      <c r="P177" s="136"/>
      <c r="Q177" s="136"/>
    </row>
    <row r="178" spans="3:17" ht="12.75" customHeight="1" x14ac:dyDescent="0.15">
      <c r="D178" s="325"/>
      <c r="E178" s="885"/>
      <c r="F178" s="885"/>
      <c r="G178" s="885"/>
      <c r="H178" s="885"/>
      <c r="I178" s="886"/>
      <c r="J178" s="887"/>
      <c r="K178" s="315"/>
      <c r="L178" s="885"/>
      <c r="M178" s="885"/>
      <c r="N178" s="886"/>
      <c r="O178" s="887"/>
      <c r="P178" s="136"/>
      <c r="Q178" s="136"/>
    </row>
    <row r="179" spans="3:17" ht="12.75" customHeight="1" x14ac:dyDescent="0.15">
      <c r="D179" s="325"/>
      <c r="E179" s="885"/>
      <c r="F179" s="885"/>
      <c r="G179" s="885"/>
      <c r="H179" s="885"/>
      <c r="I179" s="886"/>
      <c r="J179" s="887"/>
      <c r="K179" s="314"/>
      <c r="L179" s="885"/>
      <c r="M179" s="885"/>
      <c r="N179" s="886"/>
      <c r="O179" s="887"/>
      <c r="P179" s="136"/>
      <c r="Q179" s="136"/>
    </row>
    <row r="180" spans="3:17" ht="12.75" customHeight="1" x14ac:dyDescent="0.15">
      <c r="D180" s="325"/>
      <c r="E180" s="885"/>
      <c r="F180" s="885"/>
      <c r="G180" s="885"/>
      <c r="H180" s="885"/>
      <c r="I180" s="886"/>
      <c r="J180" s="887"/>
      <c r="K180" s="325"/>
      <c r="L180" s="885"/>
      <c r="M180" s="885"/>
      <c r="N180" s="886"/>
      <c r="O180" s="887"/>
      <c r="P180" s="136"/>
      <c r="Q180" s="136"/>
    </row>
    <row r="181" spans="3:17" ht="12.75" customHeight="1" x14ac:dyDescent="0.15">
      <c r="D181" s="325"/>
      <c r="E181" s="885"/>
      <c r="F181" s="885"/>
      <c r="G181" s="885"/>
      <c r="H181" s="885"/>
      <c r="I181" s="886"/>
      <c r="J181" s="887"/>
      <c r="K181" s="325"/>
      <c r="L181" s="885"/>
      <c r="M181" s="885"/>
      <c r="N181" s="897"/>
      <c r="O181" s="887"/>
      <c r="P181" s="136"/>
      <c r="Q181" s="136"/>
    </row>
    <row r="182" spans="3:17" ht="12.75" customHeight="1" x14ac:dyDescent="0.15">
      <c r="D182" s="325"/>
      <c r="E182" s="885"/>
      <c r="F182" s="885"/>
      <c r="G182" s="885"/>
      <c r="H182" s="885"/>
      <c r="I182" s="886"/>
      <c r="J182" s="887"/>
      <c r="K182" s="325"/>
      <c r="L182" s="885"/>
      <c r="M182" s="885"/>
      <c r="N182" s="897"/>
      <c r="O182" s="887"/>
      <c r="P182" s="136"/>
      <c r="Q182" s="136"/>
    </row>
    <row r="183" spans="3:17" ht="12.75" customHeight="1" x14ac:dyDescent="0.15">
      <c r="C183" s="37"/>
      <c r="D183" s="325"/>
      <c r="E183" s="885"/>
      <c r="F183" s="885"/>
      <c r="G183" s="885"/>
      <c r="H183" s="885"/>
      <c r="I183" s="886"/>
      <c r="J183" s="887"/>
      <c r="K183" s="325"/>
      <c r="L183" s="885"/>
      <c r="M183" s="885"/>
      <c r="N183" s="886"/>
      <c r="O183" s="887"/>
      <c r="P183" s="136"/>
      <c r="Q183" s="136"/>
    </row>
    <row r="184" spans="3:17" ht="12.75" customHeight="1" x14ac:dyDescent="0.15">
      <c r="C184" s="37"/>
      <c r="D184" s="325"/>
      <c r="E184" s="885"/>
      <c r="F184" s="885"/>
      <c r="G184" s="885"/>
      <c r="H184" s="885"/>
      <c r="I184" s="886"/>
      <c r="J184" s="887"/>
      <c r="K184" s="325"/>
      <c r="L184" s="885"/>
      <c r="M184" s="885"/>
      <c r="N184" s="897"/>
      <c r="O184" s="887"/>
      <c r="P184" s="136"/>
      <c r="Q184" s="136"/>
    </row>
    <row r="185" spans="3:17" ht="12.75" customHeight="1" x14ac:dyDescent="0.15">
      <c r="C185" s="37"/>
      <c r="D185" s="325"/>
      <c r="E185" s="885"/>
      <c r="F185" s="885"/>
      <c r="G185" s="885"/>
      <c r="H185" s="885"/>
      <c r="I185" s="886"/>
      <c r="J185" s="887"/>
      <c r="K185" s="315"/>
      <c r="L185" s="885"/>
      <c r="M185" s="885"/>
      <c r="N185" s="886"/>
      <c r="O185" s="887"/>
      <c r="P185" s="136"/>
      <c r="Q185" s="136"/>
    </row>
    <row r="186" spans="3:17" ht="12.75" customHeight="1" x14ac:dyDescent="0.15">
      <c r="C186" s="37"/>
      <c r="D186" s="325"/>
      <c r="E186" s="885"/>
      <c r="F186" s="885"/>
      <c r="G186" s="885"/>
      <c r="H186" s="885"/>
      <c r="I186" s="886"/>
      <c r="J186" s="887"/>
      <c r="K186" s="325"/>
      <c r="L186" s="885"/>
      <c r="M186" s="885"/>
      <c r="N186" s="886"/>
      <c r="O186" s="887"/>
      <c r="P186" s="136"/>
      <c r="Q186" s="136"/>
    </row>
    <row r="187" spans="3:17" ht="12.75" customHeight="1" x14ac:dyDescent="0.15">
      <c r="C187" s="37"/>
      <c r="D187" s="325"/>
      <c r="E187" s="885"/>
      <c r="F187" s="885"/>
      <c r="G187" s="885"/>
      <c r="H187" s="885"/>
      <c r="I187" s="887"/>
      <c r="J187" s="887"/>
      <c r="K187" s="325"/>
      <c r="L187" s="887"/>
      <c r="M187" s="887"/>
      <c r="N187" s="886"/>
      <c r="O187" s="887"/>
      <c r="P187" s="136"/>
      <c r="Q187" s="136"/>
    </row>
    <row r="188" spans="3:17" ht="12.75" customHeight="1" x14ac:dyDescent="0.15">
      <c r="C188" s="37"/>
      <c r="D188" s="325"/>
      <c r="E188" s="885"/>
      <c r="F188" s="885"/>
      <c r="G188" s="885"/>
      <c r="H188" s="885"/>
      <c r="I188" s="887"/>
      <c r="J188" s="887"/>
      <c r="K188" s="325"/>
      <c r="L188" s="900"/>
      <c r="M188" s="900"/>
      <c r="N188" s="887"/>
      <c r="O188" s="887"/>
      <c r="P188" s="136"/>
      <c r="Q188" s="136"/>
    </row>
    <row r="189" spans="3:17" ht="12.75" customHeight="1" x14ac:dyDescent="0.15">
      <c r="C189" s="37"/>
      <c r="D189" s="325"/>
      <c r="E189" s="885"/>
      <c r="F189" s="885"/>
      <c r="G189" s="885"/>
      <c r="H189" s="885"/>
      <c r="I189" s="887"/>
      <c r="J189" s="887"/>
      <c r="K189" s="325"/>
      <c r="L189" s="900"/>
      <c r="M189" s="900"/>
      <c r="N189" s="887"/>
      <c r="O189" s="887"/>
      <c r="P189" s="136"/>
      <c r="Q189" s="136"/>
    </row>
    <row r="190" spans="3:17" ht="12.75" customHeight="1" x14ac:dyDescent="0.15">
      <c r="C190" s="37"/>
      <c r="D190" s="325"/>
      <c r="E190" s="885"/>
      <c r="F190" s="885"/>
      <c r="G190" s="885"/>
      <c r="H190" s="885"/>
      <c r="I190" s="887"/>
      <c r="J190" s="887"/>
      <c r="K190" s="325"/>
      <c r="L190" s="900"/>
      <c r="M190" s="900"/>
      <c r="N190" s="887"/>
      <c r="O190" s="887"/>
      <c r="P190" s="136"/>
      <c r="Q190" s="136"/>
    </row>
    <row r="191" spans="3:17" ht="12.75" customHeight="1" x14ac:dyDescent="0.15">
      <c r="C191" s="37"/>
      <c r="D191" s="326"/>
      <c r="E191" s="895"/>
      <c r="F191" s="895"/>
      <c r="G191" s="895"/>
      <c r="H191" s="895"/>
      <c r="I191" s="896"/>
      <c r="J191" s="896"/>
      <c r="K191" s="326"/>
      <c r="L191" s="901"/>
      <c r="M191" s="901"/>
      <c r="N191" s="896"/>
      <c r="O191" s="896"/>
      <c r="P191" s="136"/>
      <c r="Q191" s="136"/>
    </row>
    <row r="192" spans="3:17" ht="12.75" customHeight="1" x14ac:dyDescent="0.2">
      <c r="C192" s="37"/>
      <c r="D192" s="902" t="s">
        <v>17</v>
      </c>
      <c r="E192" s="902"/>
      <c r="F192" s="902"/>
      <c r="G192" s="902"/>
      <c r="H192" s="902"/>
      <c r="I192" s="903">
        <f>ROUND(SUM(I174:J191),0)</f>
        <v>350000</v>
      </c>
      <c r="J192" s="903"/>
      <c r="K192" s="902" t="s">
        <v>21</v>
      </c>
      <c r="L192" s="902"/>
      <c r="M192" s="902"/>
      <c r="N192" s="904">
        <f>ROUND(SUM(N174:O191),0)</f>
        <v>35000</v>
      </c>
      <c r="O192" s="904"/>
      <c r="P192" s="136"/>
      <c r="Q192" s="136"/>
    </row>
    <row r="193" spans="3:17" ht="12.75" customHeight="1" x14ac:dyDescent="0.2">
      <c r="C193" s="37"/>
      <c r="D193" s="302"/>
      <c r="E193" s="302"/>
      <c r="F193" s="302"/>
      <c r="G193" s="302"/>
      <c r="H193" s="302"/>
      <c r="I193" s="302"/>
      <c r="J193" s="302"/>
      <c r="K193" s="302"/>
      <c r="L193" s="302"/>
      <c r="M193" s="302"/>
      <c r="N193" s="302"/>
      <c r="O193" s="156"/>
      <c r="P193" s="136"/>
      <c r="Q193" s="136"/>
    </row>
    <row r="194" spans="3:17" ht="12.75" customHeight="1" x14ac:dyDescent="0.2">
      <c r="C194" s="37"/>
      <c r="D194" s="905" t="s">
        <v>607</v>
      </c>
      <c r="E194" s="905"/>
      <c r="F194" s="905"/>
      <c r="G194" s="905"/>
      <c r="H194" s="905"/>
      <c r="I194" s="906">
        <f>ROUND(SUM(I174:J180),0)</f>
        <v>350000</v>
      </c>
      <c r="J194" s="907"/>
      <c r="K194" s="905" t="s">
        <v>17</v>
      </c>
      <c r="L194" s="905"/>
      <c r="M194" s="905"/>
      <c r="N194" s="904">
        <f>ROUND(I192,0)</f>
        <v>350000</v>
      </c>
      <c r="O194" s="904"/>
      <c r="P194" s="136"/>
      <c r="Q194" s="136"/>
    </row>
    <row r="195" spans="3:17" ht="12.75" customHeight="1" x14ac:dyDescent="0.2">
      <c r="C195" s="37"/>
      <c r="D195" s="905" t="s">
        <v>608</v>
      </c>
      <c r="E195" s="905"/>
      <c r="F195" s="905"/>
      <c r="G195" s="905"/>
      <c r="H195" s="905"/>
      <c r="I195" s="906">
        <f>ROUND(IF(IM!Q7="Boleta",0,IF((Q104+Q106)&lt;=(IM!R47*IM!O72),D127-(Q103+Q104+Q105+Q106),D127-(IM!R47*IM!O72)+Q103+Q105)),0)</f>
        <v>350000</v>
      </c>
      <c r="J195" s="907"/>
      <c r="K195" s="905" t="s">
        <v>7</v>
      </c>
      <c r="L195" s="905"/>
      <c r="M195" s="905"/>
      <c r="N195" s="904">
        <f>ROUND(N174+N175+N176+N177+N178+N179+N180+N183,0)</f>
        <v>35000</v>
      </c>
      <c r="O195" s="904"/>
      <c r="P195" s="136"/>
      <c r="Q195" s="136"/>
    </row>
    <row r="196" spans="3:17" ht="12.75" customHeight="1" x14ac:dyDescent="0.2">
      <c r="C196" s="37"/>
      <c r="D196" s="908" t="str">
        <f>N127</f>
        <v>ISP exINP</v>
      </c>
      <c r="E196" s="908"/>
      <c r="F196" s="908" t="s">
        <v>329</v>
      </c>
      <c r="G196" s="908"/>
      <c r="H196" s="908"/>
      <c r="I196" s="905" t="s">
        <v>330</v>
      </c>
      <c r="J196" s="913"/>
      <c r="K196" s="905" t="s">
        <v>328</v>
      </c>
      <c r="L196" s="905"/>
      <c r="M196" s="905"/>
      <c r="N196" s="904">
        <f>ROUND(N181+N182+N184+N185+N186+N187+N188+N189+N190+N191,0)</f>
        <v>0</v>
      </c>
      <c r="O196" s="904"/>
      <c r="P196" s="136"/>
      <c r="Q196" s="136"/>
    </row>
    <row r="197" spans="3:17" ht="12.75" customHeight="1" x14ac:dyDescent="0.2">
      <c r="C197" s="37"/>
      <c r="D197" s="906">
        <f>ROUND(Q127,0)</f>
        <v>0</v>
      </c>
      <c r="E197" s="911"/>
      <c r="F197" s="906">
        <f ca="1">ROUND(Q126,0)</f>
        <v>0</v>
      </c>
      <c r="G197" s="911"/>
      <c r="H197" s="911"/>
      <c r="I197" s="906">
        <f>ROUND(Q123,0)</f>
        <v>0</v>
      </c>
      <c r="J197" s="907"/>
      <c r="K197" s="905" t="s">
        <v>493</v>
      </c>
      <c r="L197" s="905"/>
      <c r="M197" s="905"/>
      <c r="N197" s="904">
        <f>ROUND(N194-N195-N196,0)</f>
        <v>315000</v>
      </c>
      <c r="O197" s="904"/>
      <c r="P197" s="136"/>
      <c r="Q197" s="136"/>
    </row>
    <row r="198" spans="3:17" ht="12.75" customHeight="1" x14ac:dyDescent="0.2">
      <c r="C198" s="37"/>
      <c r="D198" s="323"/>
      <c r="E198" s="324"/>
      <c r="F198" s="914" t="s">
        <v>509</v>
      </c>
      <c r="G198" s="914"/>
      <c r="H198" s="914"/>
      <c r="I198" s="906">
        <f>N199+N196</f>
        <v>315000</v>
      </c>
      <c r="J198" s="915"/>
      <c r="K198" s="905" t="s">
        <v>486</v>
      </c>
      <c r="L198" s="905"/>
      <c r="M198" s="905"/>
      <c r="N198" s="904">
        <f>ROUND(D119,0)</f>
        <v>0</v>
      </c>
      <c r="O198" s="904"/>
      <c r="P198" s="136"/>
      <c r="Q198" s="136"/>
    </row>
    <row r="199" spans="3:17" ht="12.75" customHeight="1" x14ac:dyDescent="0.2">
      <c r="C199" s="37"/>
      <c r="D199" s="922"/>
      <c r="E199" s="923"/>
      <c r="F199" s="909"/>
      <c r="G199" s="910"/>
      <c r="H199" s="910"/>
      <c r="I199" s="909"/>
      <c r="J199" s="910"/>
      <c r="K199" s="905" t="s">
        <v>491</v>
      </c>
      <c r="L199" s="905"/>
      <c r="M199" s="905"/>
      <c r="N199" s="904">
        <f>ROUND(IF(N194-N195-N196&gt;0,(N194+N198)-N195-N196,N198),0)</f>
        <v>315000</v>
      </c>
      <c r="O199" s="904"/>
      <c r="P199" s="136"/>
      <c r="Q199" s="136"/>
    </row>
    <row r="200" spans="3:17" ht="12.75" customHeight="1" x14ac:dyDescent="0.2">
      <c r="C200" s="37"/>
      <c r="D200" s="323"/>
      <c r="E200" s="324"/>
      <c r="F200" s="323"/>
      <c r="G200" s="324"/>
      <c r="H200" s="324"/>
      <c r="I200" s="323"/>
      <c r="J200" s="324"/>
      <c r="K200" s="905" t="s">
        <v>351</v>
      </c>
      <c r="L200" s="905"/>
      <c r="M200" s="905"/>
      <c r="N200" s="912">
        <f>ROUND(IF(N194-N195-N196&lt;0,N194-N195-N196,0),0)</f>
        <v>0</v>
      </c>
      <c r="O200" s="912"/>
      <c r="P200" s="136"/>
      <c r="Q200" s="136"/>
    </row>
    <row r="201" spans="3:17" ht="12.75" customHeight="1" x14ac:dyDescent="0.2">
      <c r="C201" s="37"/>
      <c r="D201" s="144"/>
      <c r="E201" s="144"/>
      <c r="F201" s="144"/>
      <c r="G201" s="144"/>
      <c r="H201" s="144"/>
      <c r="I201" s="144"/>
      <c r="J201" s="144"/>
      <c r="K201" s="145"/>
      <c r="L201" s="145"/>
      <c r="M201" s="145"/>
      <c r="N201" s="144"/>
      <c r="O201" s="137"/>
      <c r="P201" s="136"/>
      <c r="Q201" s="136"/>
    </row>
    <row r="202" spans="3:17" ht="12.75" customHeight="1" x14ac:dyDescent="0.2">
      <c r="C202" s="37"/>
      <c r="D202" s="919" t="str">
        <f>D229</f>
        <v>SON: TRESCIENTOS QUINCE MIL  PESOS 00/100 CLP</v>
      </c>
      <c r="E202" s="920"/>
      <c r="F202" s="920"/>
      <c r="G202" s="920"/>
      <c r="H202" s="920"/>
      <c r="I202" s="920"/>
      <c r="J202" s="920"/>
      <c r="K202" s="920"/>
      <c r="L202" s="920"/>
      <c r="M202" s="920"/>
      <c r="N202" s="920"/>
      <c r="O202" s="921"/>
      <c r="P202" s="136"/>
      <c r="Q202" s="136"/>
    </row>
    <row r="203" spans="3:17" ht="12" customHeight="1" x14ac:dyDescent="0.2">
      <c r="C203" s="37"/>
      <c r="D203" s="151"/>
      <c r="E203" s="151"/>
      <c r="F203" s="151"/>
      <c r="G203" s="151"/>
      <c r="H203" s="151"/>
      <c r="I203" s="152"/>
      <c r="J203" s="151"/>
      <c r="K203" s="151"/>
      <c r="L203" s="151"/>
      <c r="M203" s="151"/>
      <c r="N203" s="151"/>
      <c r="O203" s="151"/>
      <c r="P203" s="136"/>
      <c r="Q203" s="136"/>
    </row>
    <row r="204" spans="3:17" x14ac:dyDescent="0.2">
      <c r="C204" s="37"/>
      <c r="D204" s="916"/>
      <c r="E204" s="916"/>
      <c r="F204" s="916"/>
      <c r="G204" s="916"/>
      <c r="H204" s="916"/>
      <c r="I204" s="916"/>
      <c r="J204" s="916"/>
      <c r="K204" s="916"/>
      <c r="L204" s="916"/>
      <c r="M204" s="916"/>
      <c r="N204" s="916"/>
      <c r="O204" s="916"/>
    </row>
    <row r="205" spans="3:17" x14ac:dyDescent="0.2">
      <c r="C205" s="37"/>
      <c r="D205" s="851" t="s">
        <v>86</v>
      </c>
      <c r="E205" s="851"/>
      <c r="F205" s="851"/>
      <c r="G205" s="851"/>
      <c r="H205" s="851"/>
      <c r="I205" s="851"/>
      <c r="J205" s="851"/>
      <c r="K205" s="851"/>
      <c r="L205" s="851"/>
      <c r="M205" s="851"/>
      <c r="N205" s="851"/>
      <c r="O205" s="851"/>
    </row>
    <row r="206" spans="3:17" x14ac:dyDescent="0.2">
      <c r="C206" s="37"/>
      <c r="D206" s="851" t="s">
        <v>83</v>
      </c>
      <c r="E206" s="851"/>
      <c r="F206" s="851"/>
      <c r="G206" s="851"/>
      <c r="H206" s="851"/>
      <c r="I206" s="851"/>
      <c r="J206" s="851"/>
      <c r="K206" s="851"/>
      <c r="L206" s="851"/>
      <c r="M206" s="851"/>
      <c r="N206" s="851"/>
      <c r="O206" s="851"/>
    </row>
    <row r="207" spans="3:17" x14ac:dyDescent="0.2">
      <c r="C207" s="37"/>
      <c r="D207" s="851" t="s">
        <v>230</v>
      </c>
      <c r="E207" s="851"/>
      <c r="F207" s="851"/>
      <c r="G207" s="851"/>
      <c r="H207" s="851"/>
      <c r="I207" s="851"/>
      <c r="J207" s="851"/>
      <c r="K207" s="851"/>
      <c r="L207" s="851"/>
      <c r="M207" s="851"/>
      <c r="N207" s="851"/>
      <c r="O207" s="851"/>
    </row>
    <row r="208" spans="3:17" x14ac:dyDescent="0.2">
      <c r="C208" s="37"/>
      <c r="D208" s="851" t="s">
        <v>84</v>
      </c>
      <c r="E208" s="851"/>
      <c r="F208" s="851"/>
      <c r="G208" s="851"/>
      <c r="H208" s="851"/>
      <c r="I208" s="851"/>
      <c r="J208" s="851"/>
      <c r="K208" s="851"/>
      <c r="L208" s="851"/>
      <c r="M208" s="851"/>
      <c r="N208" s="851"/>
      <c r="O208" s="851"/>
    </row>
    <row r="209" spans="3:15" x14ac:dyDescent="0.2">
      <c r="C209" s="37"/>
      <c r="D209" s="151"/>
      <c r="E209" s="151"/>
      <c r="F209" s="151"/>
      <c r="G209" s="151"/>
      <c r="H209" s="151"/>
      <c r="I209" s="152"/>
      <c r="J209" s="151"/>
      <c r="K209" s="151"/>
      <c r="L209" s="151"/>
      <c r="M209" s="151"/>
      <c r="N209" s="151"/>
      <c r="O209" s="151"/>
    </row>
    <row r="210" spans="3:15" x14ac:dyDescent="0.2">
      <c r="C210" s="37"/>
      <c r="D210" s="322"/>
      <c r="E210" s="322"/>
      <c r="F210" s="322"/>
      <c r="G210" s="322"/>
      <c r="H210" s="322"/>
      <c r="I210" s="322"/>
      <c r="J210" s="322"/>
      <c r="K210" s="322"/>
      <c r="L210" s="322"/>
      <c r="M210" s="322"/>
      <c r="N210" s="322"/>
      <c r="O210" s="153"/>
    </row>
    <row r="211" spans="3:15" x14ac:dyDescent="0.2">
      <c r="C211" s="37"/>
      <c r="D211" s="299"/>
      <c r="E211" s="299"/>
      <c r="F211" s="299"/>
      <c r="G211" s="299"/>
      <c r="H211" s="299"/>
      <c r="I211" s="299"/>
      <c r="J211" s="299"/>
      <c r="K211" s="299"/>
      <c r="L211" s="299"/>
      <c r="M211" s="299"/>
      <c r="N211" s="299"/>
      <c r="O211" s="32"/>
    </row>
    <row r="212" spans="3:15" x14ac:dyDescent="0.2">
      <c r="C212" s="37"/>
      <c r="D212" s="299"/>
      <c r="E212" s="299"/>
      <c r="F212" s="299"/>
      <c r="G212" s="299"/>
      <c r="H212" s="299"/>
      <c r="I212" s="299"/>
      <c r="J212" s="299"/>
      <c r="K212" s="299"/>
      <c r="L212" s="299"/>
      <c r="M212" s="299"/>
      <c r="N212" s="299"/>
      <c r="O212" s="32"/>
    </row>
    <row r="213" spans="3:15" x14ac:dyDescent="0.2">
      <c r="C213" s="37"/>
      <c r="D213" s="851" t="s">
        <v>85</v>
      </c>
      <c r="E213" s="851"/>
      <c r="F213" s="851"/>
      <c r="G213" s="155"/>
      <c r="H213" s="155"/>
      <c r="I213" s="155"/>
      <c r="J213" s="155"/>
      <c r="K213" s="155"/>
      <c r="L213" s="155"/>
      <c r="M213" s="851" t="s">
        <v>85</v>
      </c>
      <c r="N213" s="851"/>
      <c r="O213" s="851"/>
    </row>
    <row r="214" spans="3:15" x14ac:dyDescent="0.2">
      <c r="C214" s="37"/>
      <c r="D214" s="852" t="s">
        <v>185</v>
      </c>
      <c r="E214" s="852"/>
      <c r="F214" s="852"/>
      <c r="G214" s="155"/>
      <c r="H214" s="155"/>
      <c r="I214" s="155"/>
      <c r="J214" s="155"/>
      <c r="K214" s="155"/>
      <c r="L214" s="155"/>
      <c r="M214" s="852" t="s">
        <v>128</v>
      </c>
      <c r="N214" s="852"/>
      <c r="O214" s="852"/>
    </row>
    <row r="215" spans="3:15" x14ac:dyDescent="0.2">
      <c r="C215" s="37"/>
      <c r="D215" s="853" t="str">
        <f>IM!X47</f>
        <v>Nombre del representante</v>
      </c>
      <c r="E215" s="853"/>
      <c r="F215" s="853"/>
      <c r="G215" s="156"/>
      <c r="H215" s="156"/>
      <c r="I215" s="156"/>
      <c r="J215" s="156"/>
      <c r="K215" s="156"/>
      <c r="L215" s="156"/>
      <c r="M215" s="854" t="str">
        <f>T141</f>
        <v>Nombre del Trabajador</v>
      </c>
      <c r="N215" s="853"/>
      <c r="O215" s="853"/>
    </row>
    <row r="216" spans="3:15" x14ac:dyDescent="0.2">
      <c r="C216" s="37"/>
      <c r="D216" s="851" t="str">
        <f>IM!X48</f>
        <v>10.000.000-0</v>
      </c>
      <c r="E216" s="851"/>
      <c r="F216" s="851"/>
      <c r="G216" s="155"/>
      <c r="H216" s="155"/>
      <c r="I216" s="155"/>
      <c r="J216" s="155"/>
      <c r="K216" s="155"/>
      <c r="L216" s="155"/>
      <c r="M216" s="855" t="str">
        <f>T142</f>
        <v>15.151.515-9</v>
      </c>
      <c r="N216" s="851"/>
      <c r="O216" s="851"/>
    </row>
    <row r="217" spans="3:15" x14ac:dyDescent="0.2">
      <c r="C217" s="37"/>
      <c r="D217" s="151"/>
      <c r="E217" s="151"/>
      <c r="F217" s="151"/>
      <c r="G217" s="151"/>
      <c r="H217" s="151"/>
      <c r="I217" s="152"/>
      <c r="J217" s="151"/>
      <c r="K217" s="151"/>
      <c r="L217" s="151"/>
      <c r="M217" s="151"/>
      <c r="N217" s="151"/>
      <c r="O217" s="151"/>
    </row>
    <row r="218" spans="3:15" x14ac:dyDescent="0.2">
      <c r="C218" s="37"/>
    </row>
    <row r="219" spans="3:15" x14ac:dyDescent="0.2">
      <c r="C219" s="135"/>
      <c r="D219" s="59"/>
      <c r="E219" s="59"/>
      <c r="F219" s="59"/>
      <c r="G219" s="59"/>
      <c r="H219" s="59"/>
      <c r="I219" s="59"/>
      <c r="J219" s="59"/>
      <c r="K219" s="59"/>
      <c r="L219" s="59"/>
      <c r="M219" s="59"/>
      <c r="N219" s="59"/>
      <c r="O219" s="32"/>
    </row>
    <row r="220" spans="3:15" x14ac:dyDescent="0.2">
      <c r="C220" s="135"/>
      <c r="D220" s="135"/>
      <c r="E220" s="135"/>
      <c r="F220" s="135"/>
      <c r="G220" s="135"/>
      <c r="H220" s="135"/>
      <c r="I220" s="135"/>
      <c r="J220" s="59"/>
      <c r="K220" s="59"/>
      <c r="L220" s="59"/>
      <c r="M220" s="59"/>
      <c r="N220" s="59"/>
    </row>
    <row r="221" spans="3:15" ht="12.75" x14ac:dyDescent="0.2">
      <c r="C221" s="138"/>
    </row>
    <row r="225" spans="1:27" hidden="1" x14ac:dyDescent="0.15">
      <c r="A225" s="48"/>
      <c r="B225" s="48"/>
      <c r="C225" s="48" t="s">
        <v>131</v>
      </c>
      <c r="D225" s="49" t="s">
        <v>132</v>
      </c>
      <c r="E225" s="48"/>
      <c r="F225" s="48"/>
      <c r="G225" s="48"/>
      <c r="H225" s="48"/>
      <c r="I225" s="48"/>
      <c r="J225" s="48"/>
      <c r="K225" s="48"/>
      <c r="L225" s="48"/>
      <c r="M225" s="48"/>
      <c r="N225" s="48"/>
      <c r="O225" s="48"/>
      <c r="P225" s="48"/>
      <c r="Q225" s="48"/>
      <c r="R225" s="48"/>
      <c r="S225" s="48"/>
      <c r="T225" s="48"/>
      <c r="U225" s="48"/>
      <c r="V225" s="48"/>
      <c r="W225" s="48"/>
      <c r="X225" s="48"/>
      <c r="Y225" s="48"/>
      <c r="Z225" s="48"/>
      <c r="AA225" s="48"/>
    </row>
    <row r="226" spans="1:27" hidden="1" x14ac:dyDescent="0.15">
      <c r="A226" s="48"/>
      <c r="B226" s="48"/>
      <c r="C226" s="48" t="s">
        <v>133</v>
      </c>
      <c r="D226" s="50" t="s">
        <v>184</v>
      </c>
      <c r="E226" s="48"/>
      <c r="F226" s="48"/>
      <c r="G226" s="48"/>
      <c r="H226" s="48"/>
      <c r="I226" s="48"/>
      <c r="J226" s="48"/>
      <c r="K226" s="48"/>
      <c r="L226" s="48"/>
      <c r="M226" s="48"/>
      <c r="N226" s="48"/>
      <c r="O226" s="48"/>
      <c r="P226" s="48"/>
      <c r="Q226" s="48"/>
      <c r="R226" s="48"/>
      <c r="S226" s="48"/>
      <c r="T226" s="48"/>
      <c r="U226" s="48"/>
      <c r="V226" s="48"/>
      <c r="W226" s="48"/>
      <c r="X226" s="48"/>
      <c r="Y226" s="48"/>
      <c r="Z226" s="48"/>
      <c r="AA226" s="48"/>
    </row>
    <row r="227" spans="1:27" ht="11.25" hidden="1" thickBot="1" x14ac:dyDescent="0.2">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row>
    <row r="228" spans="1:27" ht="11.25" hidden="1" thickBot="1" x14ac:dyDescent="0.2">
      <c r="A228" s="48"/>
      <c r="B228" s="48"/>
      <c r="C228" s="51">
        <f>N199</f>
        <v>315000</v>
      </c>
      <c r="D228" s="648" t="str">
        <f>W231&amp;X231&amp;W232&amp;X232&amp;W233&amp;X233&amp;W234&amp;X234&amp;W235&amp;X235&amp;W236&amp;X236&amp;W237&amp;X237&amp;W238&amp;X238&amp;W239&amp;X239&amp;" "&amp;IF(W240="UN","Peso",D225)&amp;" "&amp;C231&amp;D226</f>
        <v>trescientos quince mil  pesos 00/100 CLP</v>
      </c>
      <c r="E228" s="648"/>
      <c r="F228" s="648"/>
      <c r="G228" s="648"/>
      <c r="H228" s="648"/>
      <c r="I228" s="648"/>
      <c r="J228" s="648"/>
      <c r="K228" s="648"/>
      <c r="L228" s="648"/>
      <c r="M228" s="648"/>
      <c r="N228" s="648"/>
      <c r="O228" s="648"/>
      <c r="P228" s="648"/>
      <c r="Q228" s="648"/>
      <c r="R228" s="648"/>
      <c r="S228" s="648"/>
      <c r="T228" s="648"/>
      <c r="U228" s="648"/>
      <c r="V228" s="648"/>
      <c r="W228" s="48"/>
      <c r="X228" s="48"/>
      <c r="Y228" s="48"/>
      <c r="Z228" s="48"/>
      <c r="AA228" s="48"/>
    </row>
    <row r="229" spans="1:27" hidden="1" x14ac:dyDescent="0.15">
      <c r="A229" s="48"/>
      <c r="B229" s="48"/>
      <c r="C229" s="52">
        <f>ROUNDDOWN(C228,0)</f>
        <v>315000</v>
      </c>
      <c r="D229" s="48" t="str">
        <f>"SON: " &amp; UPPER(D228)</f>
        <v>SON: TRESCIENTOS QUINCE MIL  PESOS 00/100 CLP</v>
      </c>
      <c r="E229" s="48"/>
      <c r="F229" s="48"/>
      <c r="G229" s="48"/>
      <c r="H229" s="48"/>
      <c r="I229" s="48"/>
      <c r="J229" s="48"/>
      <c r="K229" s="48"/>
      <c r="L229" s="48"/>
      <c r="M229" s="48"/>
      <c r="N229" s="48"/>
      <c r="O229" s="48"/>
      <c r="P229" s="48"/>
      <c r="Q229" s="48"/>
      <c r="R229" s="48"/>
      <c r="S229" s="48"/>
      <c r="T229" s="48"/>
      <c r="U229" s="48"/>
      <c r="V229" s="48"/>
      <c r="W229" s="48"/>
      <c r="X229" s="48"/>
      <c r="Y229" s="48"/>
      <c r="Z229" s="48"/>
      <c r="AA229" s="48"/>
    </row>
    <row r="230" spans="1:27" hidden="1" x14ac:dyDescent="0.15">
      <c r="A230" s="48"/>
      <c r="B230" s="48"/>
      <c r="C230" s="52">
        <f>ROUND(+C228-C229,2)</f>
        <v>0</v>
      </c>
      <c r="D230" s="48"/>
      <c r="E230" s="48"/>
      <c r="F230" s="48"/>
      <c r="G230" s="48"/>
      <c r="H230" s="48"/>
      <c r="I230" s="48"/>
      <c r="J230" s="48"/>
      <c r="K230" s="48"/>
      <c r="L230" s="48"/>
      <c r="M230" s="48"/>
      <c r="N230" s="48"/>
      <c r="O230" s="48"/>
      <c r="P230" s="48"/>
      <c r="Q230" s="48"/>
      <c r="R230" s="48"/>
      <c r="S230" s="48"/>
      <c r="T230" s="48"/>
      <c r="U230" s="48"/>
      <c r="V230" s="53">
        <f>IF(V231&lt;&gt;0,1,7)</f>
        <v>7</v>
      </c>
      <c r="W230" s="48"/>
      <c r="X230" s="48"/>
      <c r="Y230" s="48"/>
      <c r="Z230" s="48"/>
      <c r="AA230" s="48"/>
    </row>
    <row r="231" spans="1:27" hidden="1" x14ac:dyDescent="0.15">
      <c r="A231" s="48"/>
      <c r="B231" s="48"/>
      <c r="C231" s="53" t="str">
        <f>IF(C230=0,"00",TEXT(C230*100,"00"))</f>
        <v>00</v>
      </c>
      <c r="D231" s="48" t="s">
        <v>134</v>
      </c>
      <c r="E231" s="54">
        <f>IF(C228&gt;99999999.99,ROUNDDOWN(C228/100000000,0),0)</f>
        <v>0</v>
      </c>
      <c r="F231" s="55" t="str">
        <f>TEXT(E231,"0")</f>
        <v>0</v>
      </c>
      <c r="G231" s="48"/>
      <c r="H231" s="48"/>
      <c r="I231" s="48"/>
      <c r="J231" s="48"/>
      <c r="K231" s="48"/>
      <c r="L231" s="48"/>
      <c r="M231" s="48"/>
      <c r="N231" s="48"/>
      <c r="O231" s="48"/>
      <c r="P231" s="48"/>
      <c r="Q231" s="48"/>
      <c r="R231" s="48"/>
      <c r="S231" s="48"/>
      <c r="T231" s="48"/>
      <c r="U231" s="48"/>
      <c r="V231" s="54">
        <f>SUM(E231:U231)</f>
        <v>0</v>
      </c>
      <c r="W231" s="48" t="str">
        <f>IF(V231=0,"",IF(AA233=100,"cien",IF(V231=1,"ciento",VLOOKUP(V231,A281:C289,3,FALSE))))</f>
        <v/>
      </c>
      <c r="X231" s="48" t="str">
        <f>IF(W231&lt;&gt;""," ","")</f>
        <v/>
      </c>
      <c r="Y231" s="48"/>
      <c r="Z231" s="48"/>
      <c r="AA231" s="48"/>
    </row>
    <row r="232" spans="1:27" hidden="1" x14ac:dyDescent="0.15">
      <c r="A232" s="48"/>
      <c r="B232" s="48"/>
      <c r="C232" s="54"/>
      <c r="D232" s="48" t="s">
        <v>135</v>
      </c>
      <c r="E232" s="48">
        <f>IF(E231=0,0,IF(E231&lt;&gt;0,MID(C228,2,1),C228/10000000))</f>
        <v>0</v>
      </c>
      <c r="F232" s="56">
        <f>VALUE(E232)</f>
        <v>0</v>
      </c>
      <c r="G232" s="227">
        <f>IF(C228&lt;=99999999.99,ROUNDDOWN(C228/10000000,0),0)</f>
        <v>0</v>
      </c>
      <c r="H232" s="55" t="str">
        <f>TEXT(G232,"0")</f>
        <v>0</v>
      </c>
      <c r="I232" s="48"/>
      <c r="J232" s="48"/>
      <c r="K232" s="48"/>
      <c r="L232" s="48"/>
      <c r="M232" s="48"/>
      <c r="N232" s="48"/>
      <c r="O232" s="48"/>
      <c r="P232" s="48"/>
      <c r="Q232" s="48"/>
      <c r="R232" s="48"/>
      <c r="S232" s="48"/>
      <c r="T232" s="48"/>
      <c r="U232" s="48"/>
      <c r="V232" s="54">
        <f t="shared" ref="V232:V239" si="19">SUM(E232:U232)</f>
        <v>0</v>
      </c>
      <c r="W232" s="48" t="str">
        <f>IF(V232=0,"",IF(V232&gt;=3,VLOOKUP(V232,A273:C279,3,FALSE),IF(V232&lt;=2,VLOOKUP(Y233,B243:C271,2,FALSE))))</f>
        <v/>
      </c>
      <c r="X232" s="48" t="str">
        <f>IF(AA233=0,"",IF(Z233=0," millones ",IF(V233=0," millones ",IF(Y233&gt;=30," y ",IF(V232=0,"",IF(Y233&lt;30," millones ",""))))))</f>
        <v/>
      </c>
      <c r="Y232" s="48"/>
      <c r="Z232" s="48"/>
      <c r="AA232" s="48"/>
    </row>
    <row r="233" spans="1:27" hidden="1" x14ac:dyDescent="0.15">
      <c r="A233" s="48"/>
      <c r="B233" s="48"/>
      <c r="C233" s="48"/>
      <c r="D233" s="48" t="s">
        <v>136</v>
      </c>
      <c r="E233" s="48">
        <f>IF(E231=0,0,IF(E232&gt;=1,MID(C228,3,1),C228/1000000))</f>
        <v>0</v>
      </c>
      <c r="F233" s="56">
        <f t="shared" ref="F233:H239" si="20">VALUE(E233)</f>
        <v>0</v>
      </c>
      <c r="G233" s="48">
        <f>IF(G232=0,0,IF(G232&lt;&gt;0,MID(C228,2,1),C228/1000000))</f>
        <v>0</v>
      </c>
      <c r="H233" s="56">
        <f t="shared" si="20"/>
        <v>0</v>
      </c>
      <c r="I233" s="227">
        <f>IF(C228&lt;=9999999.99,ROUNDDOWN(C228/1000000,0),0)</f>
        <v>0</v>
      </c>
      <c r="J233" s="55" t="str">
        <f>TEXT(I233,"0")</f>
        <v>0</v>
      </c>
      <c r="K233" s="48"/>
      <c r="L233" s="48"/>
      <c r="M233" s="48"/>
      <c r="N233" s="48"/>
      <c r="O233" s="48"/>
      <c r="P233" s="48"/>
      <c r="Q233" s="48"/>
      <c r="R233" s="48"/>
      <c r="S233" s="48"/>
      <c r="T233" s="48"/>
      <c r="U233" s="48"/>
      <c r="V233" s="54">
        <f t="shared" si="19"/>
        <v>0</v>
      </c>
      <c r="W233" s="48" t="str">
        <f>IF(V233=0,"",IF(Y233&lt;10,VLOOKUP(V233,B243:C251,2,FALSE),IF(Y233&lt;=30,"",IF(Y233=11,"",IF(V233=1,"un ",VLOOKUP(V233,B243:C251,2,FALSE))))))</f>
        <v/>
      </c>
      <c r="X233" s="48" t="str">
        <f>IF(AA233=1," millon ",IF(W233&lt;&gt;""," millones ",""))</f>
        <v/>
      </c>
      <c r="Y233" s="48">
        <f>+V232*10+V233</f>
        <v>0</v>
      </c>
      <c r="Z233" s="54">
        <f>+V232+V233</f>
        <v>0</v>
      </c>
      <c r="AA233" s="48">
        <f>+V231*100+V232*10+V233*1</f>
        <v>0</v>
      </c>
    </row>
    <row r="234" spans="1:27" hidden="1" x14ac:dyDescent="0.15">
      <c r="A234" s="48"/>
      <c r="B234" s="48"/>
      <c r="C234" s="48"/>
      <c r="D234" s="48" t="s">
        <v>137</v>
      </c>
      <c r="E234" s="48">
        <f>IF(E231=0,0,IF(E233&gt;=1,MID(C228,4,1),C228/100000))</f>
        <v>0</v>
      </c>
      <c r="F234" s="56">
        <f t="shared" si="20"/>
        <v>0</v>
      </c>
      <c r="G234" s="48">
        <f>IF(G232=0,0,IF(G233&gt;=1,MID(C228,3,1),C228/100000))</f>
        <v>0</v>
      </c>
      <c r="H234" s="56">
        <f t="shared" si="20"/>
        <v>0</v>
      </c>
      <c r="I234" s="48">
        <f>IF(I233=0,0,IF(I233&gt;=1,MID(C228,2,1),C228/100000))</f>
        <v>0</v>
      </c>
      <c r="J234" s="56">
        <f t="shared" ref="J234:J239" si="21">VALUE(I234)</f>
        <v>0</v>
      </c>
      <c r="K234" s="57">
        <f>IF(C228&lt;=999999.99,ROUNDDOWN(C228/100000,0),0)</f>
        <v>3</v>
      </c>
      <c r="L234" s="55" t="str">
        <f>TEXT(K234,"0")</f>
        <v>3</v>
      </c>
      <c r="M234" s="48"/>
      <c r="N234" s="48"/>
      <c r="O234" s="48"/>
      <c r="P234" s="48"/>
      <c r="Q234" s="48"/>
      <c r="R234" s="48"/>
      <c r="S234" s="48"/>
      <c r="T234" s="48"/>
      <c r="U234" s="48"/>
      <c r="V234" s="54">
        <f t="shared" si="19"/>
        <v>3</v>
      </c>
      <c r="W234" s="48" t="str">
        <f>IF(V234=0,"",IF(AA236=100," cien",IF(V234=1," ciento",VLOOKUP(V234,A281:C289,3,FALSE))))</f>
        <v>trescientos</v>
      </c>
      <c r="X234" s="48" t="s">
        <v>138</v>
      </c>
      <c r="Y234" s="48"/>
      <c r="Z234" s="48"/>
      <c r="AA234" s="48"/>
    </row>
    <row r="235" spans="1:27" hidden="1" x14ac:dyDescent="0.15">
      <c r="A235" s="48"/>
      <c r="B235" s="48"/>
      <c r="C235" s="48"/>
      <c r="D235" s="48" t="s">
        <v>139</v>
      </c>
      <c r="E235" s="48">
        <f>IF(E231=0,0,IF(E234&gt;=1,MID(C228,5,1),C228/10000))</f>
        <v>0</v>
      </c>
      <c r="F235" s="56">
        <f t="shared" si="20"/>
        <v>0</v>
      </c>
      <c r="G235" s="48">
        <f>IF(G232=0,0,IF(G234&gt;=1,MID(C228,4,1),C228/10000))</f>
        <v>0</v>
      </c>
      <c r="H235" s="56">
        <f t="shared" si="20"/>
        <v>0</v>
      </c>
      <c r="I235" s="48">
        <f>IF(I233=0,0,IF(I234&gt;=1,MID(C228,3,1),C228/10000))</f>
        <v>0</v>
      </c>
      <c r="J235" s="56">
        <f t="shared" si="21"/>
        <v>0</v>
      </c>
      <c r="K235" s="48" t="str">
        <f>IF(K234=0,0,IF(K234&lt;&gt;0,MID(C228,2,1),C228/10000))</f>
        <v>1</v>
      </c>
      <c r="L235" s="56">
        <f>VALUE(K235)</f>
        <v>1</v>
      </c>
      <c r="M235" s="227">
        <f>IF(C228&lt;=99999.99,ROUNDDOWN(C228/10000,0),0)</f>
        <v>0</v>
      </c>
      <c r="N235" s="55" t="str">
        <f>TEXT(M235,"0")</f>
        <v>0</v>
      </c>
      <c r="O235" s="48"/>
      <c r="P235" s="48"/>
      <c r="Q235" s="48"/>
      <c r="R235" s="48"/>
      <c r="S235" s="48"/>
      <c r="T235" s="48"/>
      <c r="U235" s="48"/>
      <c r="V235" s="54">
        <f t="shared" si="19"/>
        <v>1</v>
      </c>
      <c r="W235" s="48" t="str">
        <f>IF(V235=0,"",IF(V235&gt;=3,VLOOKUP(V235,A273:C279,3,FALSE),IF(V235&lt;=2,VLOOKUP(Y236,B243:C271,2,FALSE))))</f>
        <v>quince</v>
      </c>
      <c r="X235" s="48" t="str">
        <f>IF(AA236=0,"",IF(Z236=V235," mil ",IF(Y236&gt;=30," y ","")))</f>
        <v/>
      </c>
      <c r="Y235" s="48"/>
      <c r="Z235" s="48"/>
      <c r="AA235" s="48"/>
    </row>
    <row r="236" spans="1:27" hidden="1" x14ac:dyDescent="0.15">
      <c r="A236" s="48"/>
      <c r="B236" s="48"/>
      <c r="C236" s="48"/>
      <c r="D236" s="48" t="s">
        <v>140</v>
      </c>
      <c r="E236" s="48">
        <f>IF(E231=0,0,IF(E235&gt;=1,MID(C228,6,1),C228/1000))</f>
        <v>0</v>
      </c>
      <c r="F236" s="56">
        <f t="shared" si="20"/>
        <v>0</v>
      </c>
      <c r="G236" s="48">
        <f>IF(G232=0,0,IF(G235&gt;=1,MID(C228,5,1),C228/1000))</f>
        <v>0</v>
      </c>
      <c r="H236" s="56">
        <f t="shared" si="20"/>
        <v>0</v>
      </c>
      <c r="I236" s="48">
        <f>IF(I233=0,0,IF(I235&gt;=1,MID(C228,4,1),C228/1000))</f>
        <v>0</v>
      </c>
      <c r="J236" s="56">
        <f t="shared" si="21"/>
        <v>0</v>
      </c>
      <c r="K236" s="48" t="str">
        <f>IF(K234=0,0,IF(K235&gt;=1,MID(C228,3,1),C228/1000))</f>
        <v>5</v>
      </c>
      <c r="L236" s="56">
        <f>VALUE(K236)</f>
        <v>5</v>
      </c>
      <c r="M236" s="48">
        <f>IF(M235=0,0,IF(M235&gt;=1,MID(C228,2,1),C228/1000))</f>
        <v>0</v>
      </c>
      <c r="N236" s="56">
        <f>VALUE(M236)</f>
        <v>0</v>
      </c>
      <c r="O236" s="227">
        <f>IF(C228&lt;=9999.99,ROUNDDOWN(C228/1000,0),0)</f>
        <v>0</v>
      </c>
      <c r="P236" s="55" t="str">
        <f>TEXT(O236,"0")</f>
        <v>0</v>
      </c>
      <c r="Q236" s="48"/>
      <c r="R236" s="48"/>
      <c r="S236" s="48"/>
      <c r="T236" s="48"/>
      <c r="U236" s="48"/>
      <c r="V236" s="54">
        <f t="shared" si="19"/>
        <v>5</v>
      </c>
      <c r="W236" s="48" t="str">
        <f>IF(V236=0,"",IF(Y236&lt;10,VLOOKUP(V236,B243:C251,2,FALSE),IF(Y236=21,"",IF(Y236=11,"",IF(V236=1,"un",IF(Y236&lt;=30,"",VLOOKUP(V236,B243:C251,2,FALSE)))))))</f>
        <v/>
      </c>
      <c r="X236" s="48" t="str">
        <f>IF(AA236=0,"",IF(X235=" mil ","",IF(Z236=0," mil ",IF(V236&lt;&gt;0," mil ",IF(Y236&lt;30," mil ","")))))</f>
        <v xml:space="preserve"> mil </v>
      </c>
      <c r="Y236" s="48">
        <f>+V235*10+V236</f>
        <v>15</v>
      </c>
      <c r="Z236" s="54">
        <f>+V235+V236</f>
        <v>6</v>
      </c>
      <c r="AA236" s="48">
        <f>+V234*100+V235*10+V236*1</f>
        <v>315</v>
      </c>
    </row>
    <row r="237" spans="1:27" hidden="1" x14ac:dyDescent="0.15">
      <c r="A237" s="48"/>
      <c r="B237" s="48"/>
      <c r="C237" s="48"/>
      <c r="D237" s="48" t="s">
        <v>141</v>
      </c>
      <c r="E237" s="48">
        <f>IF(E231=0,0,IF(E236&gt;=1,MID(C228,7,1),C228/100))</f>
        <v>0</v>
      </c>
      <c r="F237" s="56">
        <f t="shared" si="20"/>
        <v>0</v>
      </c>
      <c r="G237" s="48">
        <f>IF(G232=0,0,IF(G236&gt;=1,MID(C228,6,1),C228/100))</f>
        <v>0</v>
      </c>
      <c r="H237" s="56">
        <f t="shared" si="20"/>
        <v>0</v>
      </c>
      <c r="I237" s="48">
        <f>IF(I233=0,0,IF(I236&gt;=1,MID(C228,5,1),C228/100))</f>
        <v>0</v>
      </c>
      <c r="J237" s="56">
        <f t="shared" si="21"/>
        <v>0</v>
      </c>
      <c r="K237" s="48" t="str">
        <f>IF(K234=0,0,IF(K236&gt;=1,MID(C228,4,1),C228/100))</f>
        <v>0</v>
      </c>
      <c r="L237" s="56">
        <f>VALUE(K237)</f>
        <v>0</v>
      </c>
      <c r="M237" s="48">
        <f>IF(M235=0,0,IF(M236&gt;=1,MID(C228,3,1),C228/100))</f>
        <v>0</v>
      </c>
      <c r="N237" s="56">
        <f>VALUE(M237)</f>
        <v>0</v>
      </c>
      <c r="O237" s="48">
        <f>IF(O236=0,0,IF(O236&gt;=1,MID(C228,2,1),C228/100))</f>
        <v>0</v>
      </c>
      <c r="P237" s="56">
        <f>VALUE(O237)</f>
        <v>0</v>
      </c>
      <c r="Q237" s="227">
        <f>IF(C228&lt;=999.99,ROUNDDOWN(C228/100,0),0)</f>
        <v>0</v>
      </c>
      <c r="R237" s="55" t="str">
        <f>TEXT(Q237,"0")</f>
        <v>0</v>
      </c>
      <c r="S237" s="48"/>
      <c r="T237" s="48"/>
      <c r="U237" s="48"/>
      <c r="V237" s="54">
        <f t="shared" si="19"/>
        <v>0</v>
      </c>
      <c r="W237" s="48" t="str">
        <f>IF(V237=0,"",IF(Z239=100,"cien",IF(V237=1,"ciento",VLOOKUP(V237,A281:C289,3,FALSE))))</f>
        <v/>
      </c>
      <c r="X237" s="48" t="str">
        <f>IF(W237&lt;&gt;""," ","")</f>
        <v/>
      </c>
      <c r="Y237" s="48"/>
      <c r="Z237" s="48"/>
      <c r="AA237" s="48"/>
    </row>
    <row r="238" spans="1:27" hidden="1" x14ac:dyDescent="0.15">
      <c r="A238" s="48"/>
      <c r="B238" s="48"/>
      <c r="C238" s="48"/>
      <c r="D238" s="48" t="s">
        <v>142</v>
      </c>
      <c r="E238" s="48">
        <f>IF(E231=0,0,IF(E237&gt;=1,MID(C228,8,1),C228/10))</f>
        <v>0</v>
      </c>
      <c r="F238" s="56">
        <f t="shared" si="20"/>
        <v>0</v>
      </c>
      <c r="G238" s="48">
        <f>IF(G232=0,0,IF(G237&gt;=1,MID(C228,7,1),C228/10))</f>
        <v>0</v>
      </c>
      <c r="H238" s="56">
        <f t="shared" si="20"/>
        <v>0</v>
      </c>
      <c r="I238" s="48">
        <f>IF(I233=0,0,IF(I237&gt;=1,MID(C228,6,1),C228/10))</f>
        <v>0</v>
      </c>
      <c r="J238" s="56">
        <f t="shared" si="21"/>
        <v>0</v>
      </c>
      <c r="K238" s="48" t="str">
        <f>IF(K234=0,0,IF(K237&gt;=1,MID(C228,5,1),C228/10))</f>
        <v>0</v>
      </c>
      <c r="L238" s="56">
        <f>VALUE(K238)</f>
        <v>0</v>
      </c>
      <c r="M238" s="48">
        <f>IF(M235=0,0,IF(M237&gt;=1,MID(C228,4,1),C228/10))</f>
        <v>0</v>
      </c>
      <c r="N238" s="56">
        <f>VALUE(M238)</f>
        <v>0</v>
      </c>
      <c r="O238" s="48">
        <f>IF(O236=0,0,IF(O237&gt;=1,MID(C228,3,1),C228/10))</f>
        <v>0</v>
      </c>
      <c r="P238" s="56">
        <f>VALUE(O238)</f>
        <v>0</v>
      </c>
      <c r="Q238" s="48">
        <f>IF(Q237=0,0,IF(Q237&lt;&gt;0,MID(C228,2,1),C228/10))</f>
        <v>0</v>
      </c>
      <c r="R238" s="56">
        <f>VALUE(Q238)</f>
        <v>0</v>
      </c>
      <c r="S238" s="227">
        <f>IF(C228&lt;=99.99,ROUNDDOWN(C228/10,0),0)</f>
        <v>0</v>
      </c>
      <c r="T238" s="55" t="str">
        <f>TEXT(S238,"0")</f>
        <v>0</v>
      </c>
      <c r="U238" s="48"/>
      <c r="V238" s="54">
        <f t="shared" si="19"/>
        <v>0</v>
      </c>
      <c r="W238" s="48" t="str">
        <f>IF(V238=0,"",IF(V238&gt;=3,VLOOKUP(V238,A273:C279,3,FALSE),IF(V238&lt;=2,VLOOKUP(Y239,B243:C271,2,FALSE))))</f>
        <v/>
      </c>
      <c r="X238" s="48" t="str">
        <f>IF(V238=0,"",IF(V239=0,"",IF(Y239&gt;=30," y ","")))</f>
        <v/>
      </c>
      <c r="Y238" s="48"/>
      <c r="Z238" s="48"/>
      <c r="AA238" s="48"/>
    </row>
    <row r="239" spans="1:27" hidden="1" x14ac:dyDescent="0.15">
      <c r="A239" s="48"/>
      <c r="B239" s="48"/>
      <c r="C239" s="48"/>
      <c r="D239" s="48" t="s">
        <v>143</v>
      </c>
      <c r="E239" s="48">
        <f>IF(E231=0,0,IF(E238&gt;=1,MID(C228,9,1),C228/10))</f>
        <v>0</v>
      </c>
      <c r="F239" s="56">
        <f t="shared" si="20"/>
        <v>0</v>
      </c>
      <c r="G239" s="48">
        <f>IF(G232=0,0,IF(G238&gt;=1,MID(C228,8,1),C228/10))</f>
        <v>0</v>
      </c>
      <c r="H239" s="56">
        <f t="shared" si="20"/>
        <v>0</v>
      </c>
      <c r="I239" s="48">
        <f>IF(I233=0,0,IF(I238&gt;=1,MID(C228,7,1),C228/10))</f>
        <v>0</v>
      </c>
      <c r="J239" s="56">
        <f t="shared" si="21"/>
        <v>0</v>
      </c>
      <c r="K239" s="48" t="str">
        <f>IF(K234=0,0,IF(K238&gt;=1,MID(C228,6,1),C228/10))</f>
        <v>0</v>
      </c>
      <c r="L239" s="56">
        <f>VALUE(K239)</f>
        <v>0</v>
      </c>
      <c r="M239" s="48">
        <f>IF(M235=0,0,IF(M238&gt;=1,MID(C228,5,1),C228/10))</f>
        <v>0</v>
      </c>
      <c r="N239" s="56">
        <f>VALUE(M239)</f>
        <v>0</v>
      </c>
      <c r="O239" s="48">
        <f>IF(O236=0,0,IF(O238&gt;=1,MID(C228,4,1),C228/10))</f>
        <v>0</v>
      </c>
      <c r="P239" s="56">
        <f>VALUE(O239)</f>
        <v>0</v>
      </c>
      <c r="Q239" s="48">
        <f>IF(Q237=0,0,IF(Q238&gt;=1,MID(C228,3,1),C228/10))</f>
        <v>0</v>
      </c>
      <c r="R239" s="56">
        <f>VALUE(Q239)</f>
        <v>0</v>
      </c>
      <c r="S239" s="48">
        <f>IF(S238=0,0,IF(S238&gt;=1,MID(C228,2,1),C228/1))</f>
        <v>0</v>
      </c>
      <c r="T239" s="56">
        <f>VALUE(S239)</f>
        <v>0</v>
      </c>
      <c r="U239" s="227">
        <f>IF(C228&lt;=9.99,ROUNDDOWN(C228/1,0),0)</f>
        <v>0</v>
      </c>
      <c r="V239" s="54">
        <f t="shared" si="19"/>
        <v>0</v>
      </c>
      <c r="W239" s="48" t="str">
        <f>IF(C228&lt;1,"CERO ",IF(V239=0,"",IF(Y239&lt;10,VLOOKUP(V239,B243:C251,2,FALSE),IF(Y239&lt;=30,"",VLOOKUP(V239,B243:C251,2,FALSE)))))</f>
        <v/>
      </c>
      <c r="X239" s="48"/>
      <c r="Y239" s="48">
        <f>+V238*10+V239</f>
        <v>0</v>
      </c>
      <c r="Z239" s="54">
        <f>+V237*100+V238*10+V239*1</f>
        <v>0</v>
      </c>
      <c r="AA239" s="48"/>
    </row>
    <row r="240" spans="1:27" hidden="1" x14ac:dyDescent="0.15">
      <c r="A240" s="48"/>
      <c r="B240" s="48"/>
      <c r="C240" s="48"/>
      <c r="D240" s="48"/>
      <c r="E240" s="48"/>
      <c r="F240" s="48"/>
      <c r="G240" s="48"/>
      <c r="H240" s="48"/>
      <c r="I240" s="48"/>
      <c r="J240" s="48"/>
      <c r="K240" s="48"/>
      <c r="L240" s="48"/>
      <c r="M240" s="48"/>
      <c r="N240" s="48"/>
      <c r="O240" s="48"/>
      <c r="P240" s="48"/>
      <c r="Q240" s="48"/>
      <c r="R240" s="48"/>
      <c r="S240" s="48"/>
      <c r="T240" s="48"/>
      <c r="U240" s="48"/>
      <c r="V240" s="48"/>
      <c r="W240" s="48" t="str">
        <f>TEXT(W239,"")</f>
        <v/>
      </c>
      <c r="X240" s="48"/>
      <c r="Y240" s="48"/>
      <c r="Z240" s="48"/>
      <c r="AA240" s="48"/>
    </row>
    <row r="241" spans="1:27" hidden="1" x14ac:dyDescent="0.1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row>
    <row r="242" spans="1:27" hidden="1" x14ac:dyDescent="0.1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row>
    <row r="243" spans="1:27" hidden="1" x14ac:dyDescent="0.15">
      <c r="A243" s="48"/>
      <c r="B243" s="48">
        <v>1</v>
      </c>
      <c r="C243" s="48" t="s">
        <v>144</v>
      </c>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row>
    <row r="244" spans="1:27" hidden="1" x14ac:dyDescent="0.15">
      <c r="A244" s="48"/>
      <c r="B244" s="48">
        <f>+B243+1</f>
        <v>2</v>
      </c>
      <c r="C244" s="48" t="s">
        <v>145</v>
      </c>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row>
    <row r="245" spans="1:27" hidden="1" x14ac:dyDescent="0.15">
      <c r="A245" s="48"/>
      <c r="B245" s="48">
        <f t="shared" ref="B245:B271" si="22">+B244+1</f>
        <v>3</v>
      </c>
      <c r="C245" s="48" t="s">
        <v>146</v>
      </c>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row>
    <row r="246" spans="1:27" hidden="1" x14ac:dyDescent="0.15">
      <c r="A246" s="48"/>
      <c r="B246" s="48">
        <f t="shared" si="22"/>
        <v>4</v>
      </c>
      <c r="C246" s="48" t="s">
        <v>147</v>
      </c>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row>
    <row r="247" spans="1:27" hidden="1" x14ac:dyDescent="0.15">
      <c r="A247" s="48"/>
      <c r="B247" s="48">
        <f t="shared" si="22"/>
        <v>5</v>
      </c>
      <c r="C247" s="48" t="s">
        <v>148</v>
      </c>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row>
    <row r="248" spans="1:27" hidden="1" x14ac:dyDescent="0.15">
      <c r="A248" s="48"/>
      <c r="B248" s="48">
        <f t="shared" si="22"/>
        <v>6</v>
      </c>
      <c r="C248" s="48" t="s">
        <v>149</v>
      </c>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row>
    <row r="249" spans="1:27" hidden="1" x14ac:dyDescent="0.15">
      <c r="A249" s="48"/>
      <c r="B249" s="48">
        <f t="shared" si="22"/>
        <v>7</v>
      </c>
      <c r="C249" s="48" t="s">
        <v>150</v>
      </c>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row>
    <row r="250" spans="1:27" hidden="1" x14ac:dyDescent="0.15">
      <c r="A250" s="48"/>
      <c r="B250" s="48">
        <f t="shared" si="22"/>
        <v>8</v>
      </c>
      <c r="C250" s="48" t="s">
        <v>151</v>
      </c>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row>
    <row r="251" spans="1:27" hidden="1" x14ac:dyDescent="0.15">
      <c r="A251" s="48"/>
      <c r="B251" s="48">
        <f t="shared" si="22"/>
        <v>9</v>
      </c>
      <c r="C251" s="48" t="s">
        <v>152</v>
      </c>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row>
    <row r="252" spans="1:27" hidden="1" x14ac:dyDescent="0.15">
      <c r="A252" s="48"/>
      <c r="B252" s="48">
        <f t="shared" si="22"/>
        <v>10</v>
      </c>
      <c r="C252" s="48" t="s">
        <v>153</v>
      </c>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row>
    <row r="253" spans="1:27" hidden="1" x14ac:dyDescent="0.15">
      <c r="A253" s="48"/>
      <c r="B253" s="48">
        <f t="shared" si="22"/>
        <v>11</v>
      </c>
      <c r="C253" s="48" t="s">
        <v>154</v>
      </c>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row>
    <row r="254" spans="1:27" hidden="1" x14ac:dyDescent="0.15">
      <c r="A254" s="48"/>
      <c r="B254" s="48">
        <f t="shared" si="22"/>
        <v>12</v>
      </c>
      <c r="C254" s="48" t="s">
        <v>155</v>
      </c>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row>
    <row r="255" spans="1:27" hidden="1" x14ac:dyDescent="0.15">
      <c r="A255" s="48"/>
      <c r="B255" s="48">
        <f t="shared" si="22"/>
        <v>13</v>
      </c>
      <c r="C255" s="48" t="s">
        <v>156</v>
      </c>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row>
    <row r="256" spans="1:27" hidden="1" x14ac:dyDescent="0.15">
      <c r="A256" s="48"/>
      <c r="B256" s="48">
        <f t="shared" si="22"/>
        <v>14</v>
      </c>
      <c r="C256" s="48" t="s">
        <v>436</v>
      </c>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row>
    <row r="257" spans="1:27" hidden="1" x14ac:dyDescent="0.15">
      <c r="A257" s="48"/>
      <c r="B257" s="48">
        <f t="shared" si="22"/>
        <v>15</v>
      </c>
      <c r="C257" s="48" t="s">
        <v>157</v>
      </c>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row>
    <row r="258" spans="1:27" hidden="1" x14ac:dyDescent="0.15">
      <c r="A258" s="48"/>
      <c r="B258" s="48">
        <f t="shared" si="22"/>
        <v>16</v>
      </c>
      <c r="C258" s="48" t="s">
        <v>437</v>
      </c>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row>
    <row r="259" spans="1:27" hidden="1" x14ac:dyDescent="0.15">
      <c r="A259" s="48"/>
      <c r="B259" s="48">
        <f t="shared" si="22"/>
        <v>17</v>
      </c>
      <c r="C259" s="48" t="s">
        <v>158</v>
      </c>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row>
    <row r="260" spans="1:27" hidden="1" x14ac:dyDescent="0.15">
      <c r="A260" s="48"/>
      <c r="B260" s="48">
        <f t="shared" si="22"/>
        <v>18</v>
      </c>
      <c r="C260" s="48" t="s">
        <v>159</v>
      </c>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row>
    <row r="261" spans="1:27" hidden="1" x14ac:dyDescent="0.15">
      <c r="A261" s="48"/>
      <c r="B261" s="48">
        <f t="shared" si="22"/>
        <v>19</v>
      </c>
      <c r="C261" s="48" t="s">
        <v>160</v>
      </c>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row>
    <row r="262" spans="1:27" hidden="1" x14ac:dyDescent="0.15">
      <c r="A262" s="48"/>
      <c r="B262" s="48">
        <f t="shared" si="22"/>
        <v>20</v>
      </c>
      <c r="C262" s="48" t="s">
        <v>161</v>
      </c>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row>
    <row r="263" spans="1:27" hidden="1" x14ac:dyDescent="0.15">
      <c r="A263" s="48"/>
      <c r="B263" s="48">
        <f t="shared" si="22"/>
        <v>21</v>
      </c>
      <c r="C263" s="48" t="s">
        <v>438</v>
      </c>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row>
    <row r="264" spans="1:27" hidden="1" x14ac:dyDescent="0.15">
      <c r="A264" s="48"/>
      <c r="B264" s="48">
        <f t="shared" si="22"/>
        <v>22</v>
      </c>
      <c r="C264" s="48" t="s">
        <v>439</v>
      </c>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row>
    <row r="265" spans="1:27" hidden="1" x14ac:dyDescent="0.15">
      <c r="A265" s="48"/>
      <c r="B265" s="48">
        <f t="shared" si="22"/>
        <v>23</v>
      </c>
      <c r="C265" s="48" t="s">
        <v>440</v>
      </c>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row>
    <row r="266" spans="1:27" hidden="1" x14ac:dyDescent="0.15">
      <c r="A266" s="48"/>
      <c r="B266" s="48">
        <f t="shared" si="22"/>
        <v>24</v>
      </c>
      <c r="C266" s="48" t="s">
        <v>162</v>
      </c>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row>
    <row r="267" spans="1:27" hidden="1" x14ac:dyDescent="0.15">
      <c r="A267" s="48"/>
      <c r="B267" s="48">
        <f t="shared" si="22"/>
        <v>25</v>
      </c>
      <c r="C267" s="48" t="s">
        <v>163</v>
      </c>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row>
    <row r="268" spans="1:27" hidden="1" x14ac:dyDescent="0.15">
      <c r="A268" s="48"/>
      <c r="B268" s="48">
        <f t="shared" si="22"/>
        <v>26</v>
      </c>
      <c r="C268" s="48" t="s">
        <v>441</v>
      </c>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row>
    <row r="269" spans="1:27" hidden="1" x14ac:dyDescent="0.15">
      <c r="A269" s="48"/>
      <c r="B269" s="48">
        <f t="shared" si="22"/>
        <v>27</v>
      </c>
      <c r="C269" s="48" t="s">
        <v>164</v>
      </c>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row>
    <row r="270" spans="1:27" hidden="1" x14ac:dyDescent="0.15">
      <c r="A270" s="48"/>
      <c r="B270" s="48">
        <f t="shared" si="22"/>
        <v>28</v>
      </c>
      <c r="C270" s="48" t="s">
        <v>165</v>
      </c>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row>
    <row r="271" spans="1:27" hidden="1" x14ac:dyDescent="0.15">
      <c r="A271" s="48"/>
      <c r="B271" s="48">
        <f t="shared" si="22"/>
        <v>29</v>
      </c>
      <c r="C271" s="48" t="s">
        <v>166</v>
      </c>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row>
    <row r="272" spans="1:27" hidden="1" x14ac:dyDescent="0.1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row>
    <row r="273" spans="1:27" hidden="1" x14ac:dyDescent="0.15">
      <c r="A273" s="48">
        <v>3</v>
      </c>
      <c r="B273" s="48">
        <v>30</v>
      </c>
      <c r="C273" s="48" t="s">
        <v>167</v>
      </c>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row>
    <row r="274" spans="1:27" hidden="1" x14ac:dyDescent="0.15">
      <c r="A274" s="48">
        <v>4</v>
      </c>
      <c r="B274" s="48">
        <v>40</v>
      </c>
      <c r="C274" s="48" t="s">
        <v>168</v>
      </c>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row>
    <row r="275" spans="1:27" hidden="1" x14ac:dyDescent="0.15">
      <c r="A275" s="48">
        <v>5</v>
      </c>
      <c r="B275" s="48">
        <v>50</v>
      </c>
      <c r="C275" s="48" t="s">
        <v>169</v>
      </c>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row>
    <row r="276" spans="1:27" hidden="1" x14ac:dyDescent="0.15">
      <c r="A276" s="48">
        <v>6</v>
      </c>
      <c r="B276" s="48">
        <v>60</v>
      </c>
      <c r="C276" s="48" t="s">
        <v>170</v>
      </c>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row>
    <row r="277" spans="1:27" hidden="1" x14ac:dyDescent="0.15">
      <c r="A277" s="48">
        <v>7</v>
      </c>
      <c r="B277" s="48">
        <v>70</v>
      </c>
      <c r="C277" s="48" t="s">
        <v>171</v>
      </c>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row>
    <row r="278" spans="1:27" hidden="1" x14ac:dyDescent="0.15">
      <c r="A278" s="48">
        <v>8</v>
      </c>
      <c r="B278" s="48">
        <v>80</v>
      </c>
      <c r="C278" s="48" t="s">
        <v>172</v>
      </c>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row>
    <row r="279" spans="1:27" hidden="1" x14ac:dyDescent="0.15">
      <c r="A279" s="48">
        <v>9</v>
      </c>
      <c r="B279" s="48">
        <v>90</v>
      </c>
      <c r="C279" s="48" t="s">
        <v>173</v>
      </c>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row>
    <row r="280" spans="1:27" hidden="1" x14ac:dyDescent="0.1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row>
    <row r="281" spans="1:27" hidden="1" x14ac:dyDescent="0.15">
      <c r="A281" s="48">
        <v>1</v>
      </c>
      <c r="B281" s="48">
        <v>100</v>
      </c>
      <c r="C281" s="48" t="s">
        <v>174</v>
      </c>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row>
    <row r="282" spans="1:27" hidden="1" x14ac:dyDescent="0.15">
      <c r="A282" s="48">
        <v>2</v>
      </c>
      <c r="B282" s="48">
        <v>200</v>
      </c>
      <c r="C282" s="48" t="s">
        <v>175</v>
      </c>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row>
    <row r="283" spans="1:27" hidden="1" x14ac:dyDescent="0.15">
      <c r="A283" s="48">
        <v>3</v>
      </c>
      <c r="B283" s="48">
        <v>300</v>
      </c>
      <c r="C283" s="48" t="s">
        <v>176</v>
      </c>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row>
    <row r="284" spans="1:27" hidden="1" x14ac:dyDescent="0.15">
      <c r="A284" s="48">
        <v>4</v>
      </c>
      <c r="B284" s="48">
        <v>400</v>
      </c>
      <c r="C284" s="48" t="s">
        <v>177</v>
      </c>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row>
    <row r="285" spans="1:27" hidden="1" x14ac:dyDescent="0.15">
      <c r="A285" s="48">
        <v>5</v>
      </c>
      <c r="B285" s="48">
        <v>500</v>
      </c>
      <c r="C285" s="48" t="s">
        <v>178</v>
      </c>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row>
    <row r="286" spans="1:27" hidden="1" x14ac:dyDescent="0.15">
      <c r="A286" s="48">
        <v>6</v>
      </c>
      <c r="B286" s="48">
        <v>600</v>
      </c>
      <c r="C286" s="48" t="s">
        <v>179</v>
      </c>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row>
    <row r="287" spans="1:27" hidden="1" x14ac:dyDescent="0.15">
      <c r="A287" s="48">
        <v>7</v>
      </c>
      <c r="B287" s="48">
        <v>700</v>
      </c>
      <c r="C287" s="48" t="s">
        <v>180</v>
      </c>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row>
    <row r="288" spans="1:27" hidden="1" x14ac:dyDescent="0.15">
      <c r="A288" s="48">
        <v>8</v>
      </c>
      <c r="B288" s="48">
        <v>800</v>
      </c>
      <c r="C288" s="48" t="s">
        <v>181</v>
      </c>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row>
    <row r="289" spans="1:27" hidden="1" x14ac:dyDescent="0.15">
      <c r="A289" s="48">
        <v>9</v>
      </c>
      <c r="B289" s="48">
        <v>900</v>
      </c>
      <c r="C289" s="48" t="s">
        <v>182</v>
      </c>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row>
    <row r="290" spans="1:27" hidden="1" x14ac:dyDescent="0.15">
      <c r="A290" s="48"/>
      <c r="B290" s="48">
        <v>1000</v>
      </c>
      <c r="C290" s="48" t="s">
        <v>183</v>
      </c>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row>
  </sheetData>
  <sheetProtection algorithmName="SHA-512" hashValue="u5iIp4bHmclvi//rsoIwn2lB5ytK9kTjj0DjxzLmvfL50FJ4q2ioUfiMXTHVjmWeisRQYw045tRPOvsFOYgCPA==" saltValue="bBInxxV2qMkxXPixe+gBNA==" spinCount="100000" sheet="1" objects="1" scenarios="1" formatCells="0" formatColumns="0" formatRows="0" selectLockedCells="1" pivotTables="0"/>
  <customSheetViews>
    <customSheetView guid="{1394C1FB-D78B-475F-959C-B8ED403A6673}" showGridLines="0" printArea="1" hiddenRows="1">
      <pane ySplit="8" topLeftCell="A9" activePane="bottomLeft" state="frozen"/>
      <selection pane="bottomLeft" activeCell="D19" sqref="D19"/>
      <pageMargins left="0" right="0" top="0" bottom="0" header="0.51180555555555551" footer="0.51180555555555551"/>
      <printOptions horizontalCentered="1"/>
      <pageSetup firstPageNumber="0" orientation="portrait" horizontalDpi="300" verticalDpi="300" r:id="rId1"/>
      <headerFooter alignWithMargins="0"/>
    </customSheetView>
    <customSheetView guid="{1BFFD2B6-AC36-4A58-AF65-CEA0131A94F3}" showGridLines="0" hiddenRows="1">
      <pane ySplit="8" topLeftCell="A9" activePane="bottomLeft" state="frozen"/>
      <selection pane="bottomLeft" activeCell="D18" sqref="D18"/>
      <pageMargins left="0" right="0" top="0" bottom="0" header="0.51180555555555551" footer="0.51180555555555551"/>
      <printOptions horizontalCentered="1"/>
      <pageSetup firstPageNumber="0" orientation="portrait" horizontalDpi="300" verticalDpi="300" r:id="rId2"/>
      <headerFooter alignWithMargins="0"/>
    </customSheetView>
  </customSheetViews>
  <mergeCells count="575">
    <mergeCell ref="D208:O208"/>
    <mergeCell ref="D216:F216"/>
    <mergeCell ref="M216:O216"/>
    <mergeCell ref="D228:V228"/>
    <mergeCell ref="N130:O130"/>
    <mergeCell ref="D199:E199"/>
    <mergeCell ref="F199:H199"/>
    <mergeCell ref="I199:J199"/>
    <mergeCell ref="K200:M200"/>
    <mergeCell ref="N200:O200"/>
    <mergeCell ref="D202:O202"/>
    <mergeCell ref="D213:F213"/>
    <mergeCell ref="M213:O213"/>
    <mergeCell ref="D214:F214"/>
    <mergeCell ref="M214:O214"/>
    <mergeCell ref="D215:F215"/>
    <mergeCell ref="M215:O215"/>
    <mergeCell ref="D204:O204"/>
    <mergeCell ref="D205:O205"/>
    <mergeCell ref="D206:O206"/>
    <mergeCell ref="D207:O207"/>
    <mergeCell ref="K198:M198"/>
    <mergeCell ref="N198:O198"/>
    <mergeCell ref="K199:M199"/>
    <mergeCell ref="N199:O199"/>
    <mergeCell ref="D196:E196"/>
    <mergeCell ref="F196:H196"/>
    <mergeCell ref="I196:J196"/>
    <mergeCell ref="K196:M196"/>
    <mergeCell ref="N196:O196"/>
    <mergeCell ref="D197:E197"/>
    <mergeCell ref="F197:H197"/>
    <mergeCell ref="I197:J197"/>
    <mergeCell ref="K197:M197"/>
    <mergeCell ref="N197:O197"/>
    <mergeCell ref="F198:H198"/>
    <mergeCell ref="I198:J198"/>
    <mergeCell ref="D194:H194"/>
    <mergeCell ref="I194:J194"/>
    <mergeCell ref="K194:M194"/>
    <mergeCell ref="N194:O194"/>
    <mergeCell ref="D195:H195"/>
    <mergeCell ref="I195:J195"/>
    <mergeCell ref="K195:M195"/>
    <mergeCell ref="N195:O195"/>
    <mergeCell ref="E191:H191"/>
    <mergeCell ref="I191:J191"/>
    <mergeCell ref="L191:M191"/>
    <mergeCell ref="N191:O191"/>
    <mergeCell ref="D192:H192"/>
    <mergeCell ref="I192:J192"/>
    <mergeCell ref="K192:M192"/>
    <mergeCell ref="N192:O192"/>
    <mergeCell ref="E189:H189"/>
    <mergeCell ref="I189:J189"/>
    <mergeCell ref="L189:M189"/>
    <mergeCell ref="N189:O189"/>
    <mergeCell ref="E190:H190"/>
    <mergeCell ref="I190:J190"/>
    <mergeCell ref="L190:M190"/>
    <mergeCell ref="N190:O190"/>
    <mergeCell ref="E187:H187"/>
    <mergeCell ref="I187:J187"/>
    <mergeCell ref="L187:M187"/>
    <mergeCell ref="N187:O187"/>
    <mergeCell ref="E188:H188"/>
    <mergeCell ref="I188:J188"/>
    <mergeCell ref="L188:M188"/>
    <mergeCell ref="N188:O188"/>
    <mergeCell ref="E185:H185"/>
    <mergeCell ref="I185:J185"/>
    <mergeCell ref="L185:M185"/>
    <mergeCell ref="N185:O185"/>
    <mergeCell ref="E186:H186"/>
    <mergeCell ref="I186:J186"/>
    <mergeCell ref="L186:M186"/>
    <mergeCell ref="N186:O186"/>
    <mergeCell ref="E183:H183"/>
    <mergeCell ref="I183:J183"/>
    <mergeCell ref="L183:M183"/>
    <mergeCell ref="N183:O183"/>
    <mergeCell ref="E184:H184"/>
    <mergeCell ref="I184:J184"/>
    <mergeCell ref="L184:M184"/>
    <mergeCell ref="N184:O184"/>
    <mergeCell ref="E181:H181"/>
    <mergeCell ref="I181:J181"/>
    <mergeCell ref="L181:M181"/>
    <mergeCell ref="N181:O181"/>
    <mergeCell ref="E182:H182"/>
    <mergeCell ref="I182:J182"/>
    <mergeCell ref="L182:M182"/>
    <mergeCell ref="N182:O182"/>
    <mergeCell ref="E179:H179"/>
    <mergeCell ref="I179:J179"/>
    <mergeCell ref="L179:M179"/>
    <mergeCell ref="N179:O179"/>
    <mergeCell ref="E180:H180"/>
    <mergeCell ref="I180:J180"/>
    <mergeCell ref="L180:M180"/>
    <mergeCell ref="N180:O180"/>
    <mergeCell ref="E177:H177"/>
    <mergeCell ref="I177:J177"/>
    <mergeCell ref="L177:M177"/>
    <mergeCell ref="N177:O177"/>
    <mergeCell ref="E178:H178"/>
    <mergeCell ref="I178:J178"/>
    <mergeCell ref="L178:M178"/>
    <mergeCell ref="N178:O178"/>
    <mergeCell ref="E175:H175"/>
    <mergeCell ref="I175:J175"/>
    <mergeCell ref="L175:M175"/>
    <mergeCell ref="N175:O175"/>
    <mergeCell ref="E176:H176"/>
    <mergeCell ref="I176:J176"/>
    <mergeCell ref="L176:M176"/>
    <mergeCell ref="N176:O176"/>
    <mergeCell ref="D171:F171"/>
    <mergeCell ref="G171:K171"/>
    <mergeCell ref="M171:O171"/>
    <mergeCell ref="D173:J173"/>
    <mergeCell ref="K173:O173"/>
    <mergeCell ref="E174:H174"/>
    <mergeCell ref="I174:J174"/>
    <mergeCell ref="L174:M174"/>
    <mergeCell ref="N174:O174"/>
    <mergeCell ref="D168:F168"/>
    <mergeCell ref="G168:K168"/>
    <mergeCell ref="M168:O170"/>
    <mergeCell ref="D169:F169"/>
    <mergeCell ref="G169:K169"/>
    <mergeCell ref="D170:F170"/>
    <mergeCell ref="G170:K170"/>
    <mergeCell ref="D166:F166"/>
    <mergeCell ref="G166:K166"/>
    <mergeCell ref="M166:N166"/>
    <mergeCell ref="D167:F167"/>
    <mergeCell ref="G167:K167"/>
    <mergeCell ref="M167:O167"/>
    <mergeCell ref="D161:O163"/>
    <mergeCell ref="D164:H164"/>
    <mergeCell ref="L164:O164"/>
    <mergeCell ref="D165:F165"/>
    <mergeCell ref="G165:K165"/>
    <mergeCell ref="M165:N165"/>
    <mergeCell ref="D158:H158"/>
    <mergeCell ref="L158:O158"/>
    <mergeCell ref="D159:H159"/>
    <mergeCell ref="L159:O159"/>
    <mergeCell ref="D160:H160"/>
    <mergeCell ref="L160:O160"/>
    <mergeCell ref="D155:H155"/>
    <mergeCell ref="L155:O155"/>
    <mergeCell ref="D156:H156"/>
    <mergeCell ref="L156:O156"/>
    <mergeCell ref="D157:H157"/>
    <mergeCell ref="L157:O157"/>
    <mergeCell ref="D153:H153"/>
    <mergeCell ref="L153:O153"/>
    <mergeCell ref="Q153:S153"/>
    <mergeCell ref="U153:W153"/>
    <mergeCell ref="D154:H154"/>
    <mergeCell ref="L154:O154"/>
    <mergeCell ref="Q154:S154"/>
    <mergeCell ref="U154:W154"/>
    <mergeCell ref="Q150:S150"/>
    <mergeCell ref="U150:W150"/>
    <mergeCell ref="Q151:S151"/>
    <mergeCell ref="U151:W151"/>
    <mergeCell ref="D152:O152"/>
    <mergeCell ref="Q152:S152"/>
    <mergeCell ref="U152:W152"/>
    <mergeCell ref="D149:E149"/>
    <mergeCell ref="H149:I149"/>
    <mergeCell ref="J149:K149"/>
    <mergeCell ref="L149:M149"/>
    <mergeCell ref="Q149:S149"/>
    <mergeCell ref="U149:W149"/>
    <mergeCell ref="D148:E148"/>
    <mergeCell ref="H148:I148"/>
    <mergeCell ref="J148:K148"/>
    <mergeCell ref="L148:M148"/>
    <mergeCell ref="Q148:S148"/>
    <mergeCell ref="U148:W148"/>
    <mergeCell ref="D147:E147"/>
    <mergeCell ref="H147:I147"/>
    <mergeCell ref="J147:K147"/>
    <mergeCell ref="L147:M147"/>
    <mergeCell ref="Q147:S147"/>
    <mergeCell ref="U147:W147"/>
    <mergeCell ref="D146:E146"/>
    <mergeCell ref="H146:I146"/>
    <mergeCell ref="J146:K146"/>
    <mergeCell ref="L146:M146"/>
    <mergeCell ref="Q146:S146"/>
    <mergeCell ref="U146:W146"/>
    <mergeCell ref="D145:E145"/>
    <mergeCell ref="H145:I145"/>
    <mergeCell ref="J145:K145"/>
    <mergeCell ref="L145:M145"/>
    <mergeCell ref="Q145:S145"/>
    <mergeCell ref="U145:W145"/>
    <mergeCell ref="D144:E144"/>
    <mergeCell ref="H144:I144"/>
    <mergeCell ref="J144:K144"/>
    <mergeCell ref="L144:M144"/>
    <mergeCell ref="Q144:S144"/>
    <mergeCell ref="U144:W144"/>
    <mergeCell ref="D143:E143"/>
    <mergeCell ref="H143:I143"/>
    <mergeCell ref="J143:K143"/>
    <mergeCell ref="L143:M143"/>
    <mergeCell ref="Q143:S143"/>
    <mergeCell ref="U143:W143"/>
    <mergeCell ref="U141:W141"/>
    <mergeCell ref="D142:E142"/>
    <mergeCell ref="H142:I142"/>
    <mergeCell ref="J142:K142"/>
    <mergeCell ref="L142:M142"/>
    <mergeCell ref="Q142:S142"/>
    <mergeCell ref="U142:W142"/>
    <mergeCell ref="D141:E141"/>
    <mergeCell ref="H141:I141"/>
    <mergeCell ref="J141:K141"/>
    <mergeCell ref="L141:M141"/>
    <mergeCell ref="N141:O141"/>
    <mergeCell ref="Q141:S141"/>
    <mergeCell ref="A134:R134"/>
    <mergeCell ref="T134:W134"/>
    <mergeCell ref="A135:R135"/>
    <mergeCell ref="D137:O138"/>
    <mergeCell ref="D140:O140"/>
    <mergeCell ref="Q140:T140"/>
    <mergeCell ref="T132:W132"/>
    <mergeCell ref="A133:C133"/>
    <mergeCell ref="D133:E133"/>
    <mergeCell ref="F133:I133"/>
    <mergeCell ref="K133:O133"/>
    <mergeCell ref="P133:R133"/>
    <mergeCell ref="T133:W133"/>
    <mergeCell ref="B131:C131"/>
    <mergeCell ref="D131:E131"/>
    <mergeCell ref="F131:I131"/>
    <mergeCell ref="K131:P131"/>
    <mergeCell ref="Q131:R131"/>
    <mergeCell ref="A132:C132"/>
    <mergeCell ref="D132:E132"/>
    <mergeCell ref="F132:I132"/>
    <mergeCell ref="T129:U129"/>
    <mergeCell ref="B130:C130"/>
    <mergeCell ref="D130:E130"/>
    <mergeCell ref="F130:I130"/>
    <mergeCell ref="K130:M130"/>
    <mergeCell ref="Q130:R130"/>
    <mergeCell ref="T130:U130"/>
    <mergeCell ref="A129:C129"/>
    <mergeCell ref="D129:E129"/>
    <mergeCell ref="F129:I129"/>
    <mergeCell ref="K129:M129"/>
    <mergeCell ref="N129:O129"/>
    <mergeCell ref="Q129:R129"/>
    <mergeCell ref="T127:U127"/>
    <mergeCell ref="B128:C128"/>
    <mergeCell ref="D128:E128"/>
    <mergeCell ref="F128:I128"/>
    <mergeCell ref="K128:M128"/>
    <mergeCell ref="N128:O128"/>
    <mergeCell ref="Q128:R128"/>
    <mergeCell ref="T128:U128"/>
    <mergeCell ref="A127:C127"/>
    <mergeCell ref="D127:E127"/>
    <mergeCell ref="F127:I127"/>
    <mergeCell ref="K127:M127"/>
    <mergeCell ref="N127:O127"/>
    <mergeCell ref="Q127:R127"/>
    <mergeCell ref="T125:U125"/>
    <mergeCell ref="B126:C126"/>
    <mergeCell ref="D126:E126"/>
    <mergeCell ref="F126:I126"/>
    <mergeCell ref="K126:M126"/>
    <mergeCell ref="N126:O126"/>
    <mergeCell ref="Q126:R126"/>
    <mergeCell ref="T126:U126"/>
    <mergeCell ref="B125:C125"/>
    <mergeCell ref="D125:E125"/>
    <mergeCell ref="F125:I125"/>
    <mergeCell ref="K125:M125"/>
    <mergeCell ref="N125:O125"/>
    <mergeCell ref="Q125:R125"/>
    <mergeCell ref="Q123:R123"/>
    <mergeCell ref="T123:U123"/>
    <mergeCell ref="B124:C124"/>
    <mergeCell ref="D124:E124"/>
    <mergeCell ref="F124:I124"/>
    <mergeCell ref="K124:M124"/>
    <mergeCell ref="N124:O124"/>
    <mergeCell ref="Q124:R124"/>
    <mergeCell ref="T124:U124"/>
    <mergeCell ref="A123:C123"/>
    <mergeCell ref="D123:E123"/>
    <mergeCell ref="F123:G123"/>
    <mergeCell ref="H123:I123"/>
    <mergeCell ref="K123:M123"/>
    <mergeCell ref="N123:O123"/>
    <mergeCell ref="T120:U120"/>
    <mergeCell ref="T121:U121"/>
    <mergeCell ref="A122:E122"/>
    <mergeCell ref="F122:I122"/>
    <mergeCell ref="K122:R122"/>
    <mergeCell ref="T122:U122"/>
    <mergeCell ref="A120:C120"/>
    <mergeCell ref="D120:E120"/>
    <mergeCell ref="F120:I120"/>
    <mergeCell ref="K120:M120"/>
    <mergeCell ref="N120:O120"/>
    <mergeCell ref="P120:R120"/>
    <mergeCell ref="A119:C119"/>
    <mergeCell ref="D119:E119"/>
    <mergeCell ref="F119:I119"/>
    <mergeCell ref="K119:M119"/>
    <mergeCell ref="N119:O119"/>
    <mergeCell ref="P119:R119"/>
    <mergeCell ref="P117:R117"/>
    <mergeCell ref="T117:U117"/>
    <mergeCell ref="A118:C118"/>
    <mergeCell ref="D118:E118"/>
    <mergeCell ref="F118:I118"/>
    <mergeCell ref="K118:M118"/>
    <mergeCell ref="N118:O118"/>
    <mergeCell ref="P118:R118"/>
    <mergeCell ref="T118:U118"/>
    <mergeCell ref="A116:C116"/>
    <mergeCell ref="D116:E116"/>
    <mergeCell ref="F116:I116"/>
    <mergeCell ref="K116:R116"/>
    <mergeCell ref="T116:U116"/>
    <mergeCell ref="A117:C117"/>
    <mergeCell ref="D117:E117"/>
    <mergeCell ref="F117:I117"/>
    <mergeCell ref="K117:M117"/>
    <mergeCell ref="N117:O117"/>
    <mergeCell ref="A115:C115"/>
    <mergeCell ref="D115:E115"/>
    <mergeCell ref="F115:I115"/>
    <mergeCell ref="K115:L115"/>
    <mergeCell ref="N115:P115"/>
    <mergeCell ref="Q115:R115"/>
    <mergeCell ref="A114:C114"/>
    <mergeCell ref="D114:E114"/>
    <mergeCell ref="F114:I114"/>
    <mergeCell ref="K114:L114"/>
    <mergeCell ref="N114:O114"/>
    <mergeCell ref="P114:R114"/>
    <mergeCell ref="A113:E113"/>
    <mergeCell ref="F113:I113"/>
    <mergeCell ref="K113:M113"/>
    <mergeCell ref="N113:O113"/>
    <mergeCell ref="Q113:R113"/>
    <mergeCell ref="T113:U113"/>
    <mergeCell ref="A111:C111"/>
    <mergeCell ref="D111:E111"/>
    <mergeCell ref="F111:I111"/>
    <mergeCell ref="K111:O111"/>
    <mergeCell ref="P111:R111"/>
    <mergeCell ref="K112:R112"/>
    <mergeCell ref="A110:C110"/>
    <mergeCell ref="D110:E110"/>
    <mergeCell ref="F110:I110"/>
    <mergeCell ref="K110:M110"/>
    <mergeCell ref="N110:O110"/>
    <mergeCell ref="Q110:R110"/>
    <mergeCell ref="A109:C109"/>
    <mergeCell ref="D109:E109"/>
    <mergeCell ref="F109:I109"/>
    <mergeCell ref="K109:M109"/>
    <mergeCell ref="N109:O109"/>
    <mergeCell ref="Q109:R109"/>
    <mergeCell ref="T107:W107"/>
    <mergeCell ref="A108:C108"/>
    <mergeCell ref="D108:E108"/>
    <mergeCell ref="F108:I108"/>
    <mergeCell ref="K108:M108"/>
    <mergeCell ref="N108:O108"/>
    <mergeCell ref="Q108:R108"/>
    <mergeCell ref="A107:C107"/>
    <mergeCell ref="D107:E107"/>
    <mergeCell ref="F107:I107"/>
    <mergeCell ref="K107:M107"/>
    <mergeCell ref="N107:O107"/>
    <mergeCell ref="Q107:R107"/>
    <mergeCell ref="T105:W105"/>
    <mergeCell ref="A106:C106"/>
    <mergeCell ref="D106:E106"/>
    <mergeCell ref="F106:I106"/>
    <mergeCell ref="K106:L106"/>
    <mergeCell ref="N106:O106"/>
    <mergeCell ref="Q106:R106"/>
    <mergeCell ref="A105:C105"/>
    <mergeCell ref="D105:E105"/>
    <mergeCell ref="F105:I105"/>
    <mergeCell ref="K105:M105"/>
    <mergeCell ref="N105:O105"/>
    <mergeCell ref="Q105:R105"/>
    <mergeCell ref="T103:W103"/>
    <mergeCell ref="A104:C104"/>
    <mergeCell ref="D104:E104"/>
    <mergeCell ref="F104:I104"/>
    <mergeCell ref="K104:M104"/>
    <mergeCell ref="N104:O104"/>
    <mergeCell ref="Q104:R104"/>
    <mergeCell ref="T104:W104"/>
    <mergeCell ref="A103:C103"/>
    <mergeCell ref="D103:E103"/>
    <mergeCell ref="F103:I103"/>
    <mergeCell ref="K103:M103"/>
    <mergeCell ref="N103:O103"/>
    <mergeCell ref="Q103:R103"/>
    <mergeCell ref="A101:C101"/>
    <mergeCell ref="D101:E101"/>
    <mergeCell ref="F101:I101"/>
    <mergeCell ref="T101:W101"/>
    <mergeCell ref="A102:C102"/>
    <mergeCell ref="D102:E102"/>
    <mergeCell ref="F102:I102"/>
    <mergeCell ref="K102:R102"/>
    <mergeCell ref="T102:W102"/>
    <mergeCell ref="T99:W99"/>
    <mergeCell ref="A100:C100"/>
    <mergeCell ref="D100:E100"/>
    <mergeCell ref="F100:I100"/>
    <mergeCell ref="K100:M100"/>
    <mergeCell ref="N100:R100"/>
    <mergeCell ref="T100:W100"/>
    <mergeCell ref="T97:W97"/>
    <mergeCell ref="K98:M98"/>
    <mergeCell ref="N98:O98"/>
    <mergeCell ref="P98:R98"/>
    <mergeCell ref="T98:W98"/>
    <mergeCell ref="A99:E99"/>
    <mergeCell ref="F99:I99"/>
    <mergeCell ref="K99:M99"/>
    <mergeCell ref="N99:O99"/>
    <mergeCell ref="P99:R99"/>
    <mergeCell ref="P96:R96"/>
    <mergeCell ref="A97:C97"/>
    <mergeCell ref="D97:E97"/>
    <mergeCell ref="F97:G97"/>
    <mergeCell ref="H97:I97"/>
    <mergeCell ref="K97:M97"/>
    <mergeCell ref="N97:O97"/>
    <mergeCell ref="P97:R97"/>
    <mergeCell ref="A96:C96"/>
    <mergeCell ref="D96:E96"/>
    <mergeCell ref="F96:G96"/>
    <mergeCell ref="H96:I96"/>
    <mergeCell ref="K96:M96"/>
    <mergeCell ref="N96:O96"/>
    <mergeCell ref="T94:W94"/>
    <mergeCell ref="A95:C95"/>
    <mergeCell ref="D95:E95"/>
    <mergeCell ref="F95:G95"/>
    <mergeCell ref="H95:I95"/>
    <mergeCell ref="K95:M95"/>
    <mergeCell ref="N95:O95"/>
    <mergeCell ref="P95:R95"/>
    <mergeCell ref="T95:W95"/>
    <mergeCell ref="A94:C94"/>
    <mergeCell ref="F94:G94"/>
    <mergeCell ref="H94:I94"/>
    <mergeCell ref="K94:M94"/>
    <mergeCell ref="N94:O94"/>
    <mergeCell ref="P94:R94"/>
    <mergeCell ref="A91:R91"/>
    <mergeCell ref="T91:W91"/>
    <mergeCell ref="T92:W92"/>
    <mergeCell ref="A93:E93"/>
    <mergeCell ref="F93:G93"/>
    <mergeCell ref="H93:I93"/>
    <mergeCell ref="K93:R93"/>
    <mergeCell ref="T93:W93"/>
    <mergeCell ref="A87:R87"/>
    <mergeCell ref="T87:W87"/>
    <mergeCell ref="A88:R88"/>
    <mergeCell ref="T88:W88"/>
    <mergeCell ref="T89:W89"/>
    <mergeCell ref="A90:R90"/>
    <mergeCell ref="T90:W90"/>
    <mergeCell ref="T83:W83"/>
    <mergeCell ref="A84:R84"/>
    <mergeCell ref="T84:W84"/>
    <mergeCell ref="A85:R85"/>
    <mergeCell ref="A86:R86"/>
    <mergeCell ref="T86:W86"/>
    <mergeCell ref="F77:M79"/>
    <mergeCell ref="F80:H80"/>
    <mergeCell ref="K80:L80"/>
    <mergeCell ref="F81:H81"/>
    <mergeCell ref="K81:L81"/>
    <mergeCell ref="A83:R83"/>
    <mergeCell ref="F74:I75"/>
    <mergeCell ref="L74:M74"/>
    <mergeCell ref="T74:W74"/>
    <mergeCell ref="L75:M75"/>
    <mergeCell ref="T75:W75"/>
    <mergeCell ref="T76:W76"/>
    <mergeCell ref="P67:W67"/>
    <mergeCell ref="P68:W68"/>
    <mergeCell ref="P69:W69"/>
    <mergeCell ref="P70:W70"/>
    <mergeCell ref="F71:G71"/>
    <mergeCell ref="F72:H72"/>
    <mergeCell ref="P60:W60"/>
    <mergeCell ref="F61:G61"/>
    <mergeCell ref="F62:H62"/>
    <mergeCell ref="P64:W64"/>
    <mergeCell ref="P65:W65"/>
    <mergeCell ref="P66:W66"/>
    <mergeCell ref="P54:W54"/>
    <mergeCell ref="P55:W55"/>
    <mergeCell ref="P56:W56"/>
    <mergeCell ref="P57:W57"/>
    <mergeCell ref="P58:W58"/>
    <mergeCell ref="P59:W59"/>
    <mergeCell ref="P47:W47"/>
    <mergeCell ref="P48:W48"/>
    <mergeCell ref="P49:W49"/>
    <mergeCell ref="P50:W50"/>
    <mergeCell ref="F51:G51"/>
    <mergeCell ref="F52:H52"/>
    <mergeCell ref="P40:W40"/>
    <mergeCell ref="F41:G41"/>
    <mergeCell ref="F42:H42"/>
    <mergeCell ref="P44:W44"/>
    <mergeCell ref="P45:W45"/>
    <mergeCell ref="P46:W46"/>
    <mergeCell ref="P34:W34"/>
    <mergeCell ref="P35:W35"/>
    <mergeCell ref="P36:W36"/>
    <mergeCell ref="P37:W37"/>
    <mergeCell ref="P38:W38"/>
    <mergeCell ref="P39:W39"/>
    <mergeCell ref="P27:W27"/>
    <mergeCell ref="P28:W28"/>
    <mergeCell ref="P29:W29"/>
    <mergeCell ref="P30:W30"/>
    <mergeCell ref="F31:G31"/>
    <mergeCell ref="F32:H32"/>
    <mergeCell ref="P20:W20"/>
    <mergeCell ref="F21:G21"/>
    <mergeCell ref="F22:H22"/>
    <mergeCell ref="P24:W24"/>
    <mergeCell ref="P25:W25"/>
    <mergeCell ref="P26:W26"/>
    <mergeCell ref="P14:W14"/>
    <mergeCell ref="P15:W15"/>
    <mergeCell ref="P16:W16"/>
    <mergeCell ref="P17:W17"/>
    <mergeCell ref="P18:W18"/>
    <mergeCell ref="P19:W19"/>
    <mergeCell ref="C7:F7"/>
    <mergeCell ref="G7:H7"/>
    <mergeCell ref="M7:O7"/>
    <mergeCell ref="P7:Q7"/>
    <mergeCell ref="B9:W11"/>
    <mergeCell ref="P13:W13"/>
    <mergeCell ref="A1:R3"/>
    <mergeCell ref="C4:E4"/>
    <mergeCell ref="F4:H4"/>
    <mergeCell ref="I4:L7"/>
    <mergeCell ref="M4:O4"/>
    <mergeCell ref="P4:Q4"/>
    <mergeCell ref="C5:E5"/>
    <mergeCell ref="F5:H5"/>
    <mergeCell ref="M5:O5"/>
    <mergeCell ref="P5:Q5"/>
  </mergeCells>
  <dataValidations count="4">
    <dataValidation allowBlank="1" showErrorMessage="1" promptTitle="Seleccione una AFP" prompt="Favor seleccione una AFP, de las entregadas en la siguiente lista." sqref="N103:O103"/>
    <dataValidation allowBlank="1" showInputMessage="1" showErrorMessage="1" promptTitle="Seleccione una AFP" prompt="Favor seleccione una AFP, de las entregadas en la siguiente lista." sqref="N123:O123"/>
    <dataValidation errorStyle="information" allowBlank="1" errorTitle="Solo numeros" error="Por favor ingrese numeros enteros entre el 1 al 10" sqref="W113:W130"/>
    <dataValidation type="whole" showInputMessage="1" showErrorMessage="1" errorTitle="Solo numeros" error="Por favor ingrese numeros enteros entre el 1 al 10" sqref="V113:V130">
      <formula1>1</formula1>
      <formula2>10</formula2>
    </dataValidation>
  </dataValidations>
  <hyperlinks>
    <hyperlink ref="A1:R3" r:id="rId3" display="PLANILLA DE REMUNERACIONES EN EXCEL"/>
    <hyperlink ref="T76" r:id="rId4"/>
    <hyperlink ref="T76:W76" r:id="rId5" display="http://www.apoyoti.com"/>
  </hyperlinks>
  <printOptions horizontalCentered="1"/>
  <pageMargins left="0" right="0" top="0" bottom="0" header="0.51180555555555551" footer="0.51180555555555551"/>
  <pageSetup firstPageNumber="0" orientation="portrait" horizontalDpi="300" verticalDpi="300" r:id="rId6"/>
  <headerFooter alignWithMargins="0"/>
  <drawing r:id="rId7"/>
  <legacyDrawing r:id="rId8"/>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sheetPr>
  <dimension ref="A1:AK38"/>
  <sheetViews>
    <sheetView workbookViewId="0">
      <pane ySplit="1" topLeftCell="A2" activePane="bottomLeft" state="frozen"/>
      <selection pane="bottomLeft" activeCell="A3" sqref="A3"/>
    </sheetView>
  </sheetViews>
  <sheetFormatPr baseColWidth="10" defaultRowHeight="12.75" x14ac:dyDescent="0.2"/>
  <cols>
    <col min="1" max="1" width="12.7109375" style="190" customWidth="1"/>
    <col min="2" max="2" width="18.7109375" style="190" customWidth="1"/>
    <col min="3" max="3" width="12.7109375" style="190" customWidth="1"/>
    <col min="4" max="4" width="12.7109375" style="190" hidden="1" customWidth="1"/>
    <col min="5" max="5" width="11.28515625" style="190" customWidth="1"/>
    <col min="6" max="6" width="11.42578125" style="190" customWidth="1"/>
    <col min="7" max="7" width="11.85546875" style="190" customWidth="1"/>
    <col min="8" max="8" width="12.140625" style="190" customWidth="1"/>
    <col min="9" max="9" width="11.140625" style="190" customWidth="1"/>
    <col min="10" max="10" width="11.5703125" style="190" customWidth="1"/>
    <col min="11" max="11" width="11" style="190" customWidth="1"/>
    <col min="12" max="12" width="12.28515625" style="190" customWidth="1"/>
    <col min="13" max="13" width="12.42578125" style="190" customWidth="1"/>
    <col min="14" max="14" width="12.7109375" style="190" customWidth="1"/>
    <col min="15" max="15" width="13.28515625" style="190" customWidth="1"/>
    <col min="16" max="16" width="15.140625" style="190" customWidth="1"/>
    <col min="17" max="17" width="15.140625" style="190" hidden="1" customWidth="1"/>
    <col min="18" max="18" width="9.28515625" style="190" customWidth="1"/>
    <col min="19" max="19" width="12.140625" style="190" customWidth="1"/>
    <col min="20" max="21" width="11.42578125" style="190"/>
    <col min="22" max="22" width="0" style="190" hidden="1" customWidth="1"/>
    <col min="23" max="27" width="11.42578125" style="190"/>
    <col min="28" max="28" width="10.5703125" style="190" customWidth="1"/>
    <col min="29" max="29" width="10.42578125" style="190" customWidth="1"/>
    <col min="30" max="32" width="11.42578125" style="190"/>
    <col min="33" max="33" width="12.7109375" style="190" customWidth="1"/>
    <col min="34" max="34" width="11.140625" style="190" customWidth="1"/>
    <col min="35" max="36" width="11.42578125" style="190"/>
    <col min="37" max="37" width="10.5703125" style="190" customWidth="1"/>
    <col min="38" max="16384" width="11.42578125" style="190"/>
  </cols>
  <sheetData>
    <row r="1" spans="1:37" ht="26.25" thickBot="1" x14ac:dyDescent="0.25">
      <c r="A1" s="239" t="s">
        <v>79</v>
      </c>
      <c r="B1" s="240" t="s">
        <v>416</v>
      </c>
      <c r="C1" s="240" t="s">
        <v>418</v>
      </c>
      <c r="D1" s="240" t="s">
        <v>499</v>
      </c>
      <c r="E1" s="240" t="s">
        <v>419</v>
      </c>
      <c r="F1" s="240" t="s">
        <v>279</v>
      </c>
      <c r="G1" s="240" t="s">
        <v>420</v>
      </c>
      <c r="H1" s="240" t="s">
        <v>421</v>
      </c>
      <c r="I1" s="269" t="s">
        <v>445</v>
      </c>
      <c r="J1" s="274" t="s">
        <v>485</v>
      </c>
      <c r="K1" s="232"/>
      <c r="L1" s="193" t="s">
        <v>79</v>
      </c>
      <c r="M1" s="240" t="s">
        <v>281</v>
      </c>
      <c r="N1" s="240" t="s">
        <v>280</v>
      </c>
      <c r="O1" s="269" t="s">
        <v>520</v>
      </c>
      <c r="P1" s="274" t="s">
        <v>424</v>
      </c>
      <c r="Q1" s="279" t="s">
        <v>497</v>
      </c>
      <c r="R1" s="232"/>
      <c r="S1" s="193" t="s">
        <v>79</v>
      </c>
      <c r="T1" s="243" t="s">
        <v>100</v>
      </c>
      <c r="U1" s="243" t="s">
        <v>423</v>
      </c>
      <c r="V1" s="243" t="s">
        <v>498</v>
      </c>
      <c r="W1" s="243" t="s">
        <v>519</v>
      </c>
      <c r="X1" s="243" t="s">
        <v>603</v>
      </c>
      <c r="Y1" s="243" t="s">
        <v>600</v>
      </c>
      <c r="Z1" s="243" t="s">
        <v>495</v>
      </c>
      <c r="AA1" s="243" t="s">
        <v>422</v>
      </c>
      <c r="AB1" s="243" t="s">
        <v>487</v>
      </c>
      <c r="AC1" s="243" t="s">
        <v>496</v>
      </c>
      <c r="AD1" s="269" t="s">
        <v>521</v>
      </c>
      <c r="AE1" s="274" t="s">
        <v>477</v>
      </c>
      <c r="AF1" s="232"/>
      <c r="AG1" s="193" t="s">
        <v>79</v>
      </c>
      <c r="AH1" s="240" t="s">
        <v>488</v>
      </c>
      <c r="AI1" s="240" t="s">
        <v>105</v>
      </c>
      <c r="AJ1" s="240" t="s">
        <v>489</v>
      </c>
      <c r="AK1" s="240" t="s">
        <v>490</v>
      </c>
    </row>
    <row r="2" spans="1:37" ht="13.5" thickBot="1" x14ac:dyDescent="0.25">
      <c r="A2" s="203" t="str">
        <f>IF('1'!$T$142=0,"",'1'!$T$142)</f>
        <v>4.548.566-2</v>
      </c>
      <c r="B2" s="204" t="str">
        <f>IF('1'!$T$141=0,"",'1'!$T$141)</f>
        <v>Nombre del Trabajador</v>
      </c>
      <c r="C2" s="245" t="str">
        <f>IF(B2&lt;&gt;"",'1'!$F$123,"")</f>
        <v>30 DÍAS</v>
      </c>
      <c r="D2" s="245" t="str">
        <f>IF(B2&lt;&gt;"",'1'!$T$147,"")</f>
        <v>Gerencia</v>
      </c>
      <c r="E2" s="196">
        <f>IF(B2&lt;&gt;"",ROUND('1'!$I$174,0),"")</f>
        <v>1000000</v>
      </c>
      <c r="F2" s="196">
        <f>IF(B2&lt;&gt;"",ROUND('1'!$I$175,0),"")</f>
        <v>76396</v>
      </c>
      <c r="G2" s="196">
        <f>IF(B2&lt;&gt;"",ROUND('1'!$I$176,0),"")</f>
        <v>0</v>
      </c>
      <c r="H2" s="196">
        <f>IF(B2&lt;&gt;"",ROUND('1'!$P$96+'1'!$P$97+'1'!$P$98+'1'!$P$99,0),"")</f>
        <v>0</v>
      </c>
      <c r="I2" s="270">
        <f>IF(B2&lt;&gt;"",ROUND('1'!$F$95,0),"")</f>
        <v>0</v>
      </c>
      <c r="J2" s="275">
        <f>IF(B2&lt;&gt;"",ROUND(SUM(E2:H2)-I2,0),"")</f>
        <v>1076396</v>
      </c>
      <c r="K2" s="234"/>
      <c r="L2" s="272" t="str">
        <f t="shared" ref="L2:L26" si="0">A2</f>
        <v>4.548.566-2</v>
      </c>
      <c r="M2" s="196">
        <f>IF(B2&lt;&gt;"",ROUND('1'!$D$114,0),"")</f>
        <v>0</v>
      </c>
      <c r="N2" s="196">
        <f>IF(L2&lt;&gt;"",ROUND('1'!$D$115,0),"")</f>
        <v>0</v>
      </c>
      <c r="O2" s="270">
        <f>IF(L2&lt;&gt;"",ROUND('1'!$D$116+'1'!$D$117+'1'!$D$118,0),"")</f>
        <v>0</v>
      </c>
      <c r="P2" s="283">
        <f t="shared" ref="P2:P26" si="1">IF(L2&lt;&gt;"",ROUND(J2+M2+N2+O2,0),"")</f>
        <v>1076396</v>
      </c>
      <c r="Q2" s="280" t="str">
        <f>IF(L2&lt;&gt;"",'1'!$N$103,"")</f>
        <v>4-. HÁBITAT</v>
      </c>
      <c r="R2" s="281"/>
      <c r="S2" s="272" t="str">
        <f t="shared" ref="S2:S26" si="2">A2</f>
        <v>4.548.566-2</v>
      </c>
      <c r="T2" s="196">
        <f>IF(L2&lt;&gt;"",ROUND('1'!$Q$103,0),"")</f>
        <v>121310</v>
      </c>
      <c r="U2" s="196">
        <f>IF(L2&lt;&gt;"",ROUND(SUM('1'!$Q$107:$Q$109),0),"")</f>
        <v>0</v>
      </c>
      <c r="V2" s="247" t="str">
        <f>IF(L2&lt;&gt;"",'1'!$N$104,"")</f>
        <v>15-. CONSALUD</v>
      </c>
      <c r="W2" s="196">
        <f>IF(L2&lt;&gt;"",ROUND('1'!$Q$104,0),"")</f>
        <v>75348</v>
      </c>
      <c r="X2" s="196">
        <f>IF(L2&lt;&gt;"",ROUND('1'!$Q$106,0),"")</f>
        <v>33617</v>
      </c>
      <c r="Y2" s="196">
        <f>'1'!$Q$110</f>
        <v>0</v>
      </c>
      <c r="Z2" s="196">
        <f>IF(L2&lt;&gt;"",ROUND('1'!$Q$105,0),"")</f>
        <v>0</v>
      </c>
      <c r="AA2" s="196">
        <f>IF(L2&lt;&gt;"",ROUND('1'!$Q$115,0),"")</f>
        <v>12177</v>
      </c>
      <c r="AB2" s="196">
        <f>IF(S2&lt;&gt;"",ROUND('1'!$P$117+'1'!$P$119+'1'!$P$120,0),"")</f>
        <v>0</v>
      </c>
      <c r="AC2" s="196">
        <f>IF(S2&lt;&gt;"",ROUND('1'!$D$100,0),"")</f>
        <v>0</v>
      </c>
      <c r="AD2" s="270">
        <f>IF(S2&lt;&gt;"",ROUND(SUM('1'!$D$101:$D$110),0),"")</f>
        <v>0</v>
      </c>
      <c r="AE2" s="286">
        <f>IF(S2&lt;&gt;"",ROUND(T2+U2+W2+X2+Y2+Z2+AA2+AB2+AC2+AD2,0),"")</f>
        <v>242452</v>
      </c>
      <c r="AF2" s="285"/>
      <c r="AG2" s="272" t="str">
        <f>A2</f>
        <v>4.548.566-2</v>
      </c>
      <c r="AH2" s="197">
        <f>IF(AE2&lt;&gt;"",ROUND(P2-AE2,0),"")</f>
        <v>833944</v>
      </c>
      <c r="AI2" s="196">
        <f>IF(S2&lt;&gt;"",ROUND('1'!$D$119,0),"")</f>
        <v>0</v>
      </c>
      <c r="AJ2" s="197">
        <f>IF(S2&lt;&gt;"",ROUND(IF(AH2&gt;0,AH2+AI2,AI2),0),"")</f>
        <v>833944</v>
      </c>
      <c r="AK2" s="197">
        <f>IF(S2&lt;&gt;"",ROUND(IF(AH2&lt;0,AH2,0),0),"")</f>
        <v>0</v>
      </c>
    </row>
    <row r="3" spans="1:37" ht="13.5" thickBot="1" x14ac:dyDescent="0.25">
      <c r="A3" s="203" t="str">
        <f>IF('2'!$T$142=0,"",'2'!$T$142)</f>
        <v>5.977.069-3</v>
      </c>
      <c r="B3" s="204" t="str">
        <f>IF('2'!$T$141=0,"",'2'!$T$141)</f>
        <v>Nombre del Trabajador</v>
      </c>
      <c r="C3" s="245" t="str">
        <f>IF(B3&lt;&gt;"",'2'!$F$123,"")</f>
        <v>30 DÍAS</v>
      </c>
      <c r="D3" s="245" t="str">
        <f>IF(B3&lt;&gt;"",'2'!$T$147,"")</f>
        <v>Administración</v>
      </c>
      <c r="E3" s="196">
        <f>IF(B3&lt;&gt;"",ROUND('2'!$I$174,0),"")</f>
        <v>200000</v>
      </c>
      <c r="F3" s="196">
        <f>IF(B3&lt;&gt;"",ROUND('2'!$I$175,0),"")</f>
        <v>62500</v>
      </c>
      <c r="G3" s="196">
        <f>IF(B3&lt;&gt;"",ROUND('2'!$I$176,0),"")</f>
        <v>0</v>
      </c>
      <c r="H3" s="196">
        <f>IF(B3&lt;&gt;"",ROUND('2'!$P$96+'2'!$P$97+'2'!$P$98+'2'!$P$99,0),"")</f>
        <v>50000</v>
      </c>
      <c r="I3" s="270">
        <f>IF(B3&lt;&gt;"",ROUND('2'!$F$95,0),"")</f>
        <v>0</v>
      </c>
      <c r="J3" s="275">
        <f t="shared" ref="J3:J26" si="3">IF(B3&lt;&gt;"",ROUND(SUM(E3:H3)-I3,0),"")</f>
        <v>312500</v>
      </c>
      <c r="K3" s="234"/>
      <c r="L3" s="272" t="str">
        <f t="shared" si="0"/>
        <v>5.977.069-3</v>
      </c>
      <c r="M3" s="196">
        <f>IF(B3&lt;&gt;"",ROUND('2'!$D$114,0),"")</f>
        <v>74000</v>
      </c>
      <c r="N3" s="196">
        <f>IF(L3&lt;&gt;"",ROUND('2'!$D$115,0),"")</f>
        <v>74000</v>
      </c>
      <c r="O3" s="270">
        <f>IF(L3&lt;&gt;"",ROUND('2'!$D$116+'2'!$D$117+'2'!$D$118,0),"")</f>
        <v>0</v>
      </c>
      <c r="P3" s="283">
        <f t="shared" si="1"/>
        <v>460500</v>
      </c>
      <c r="Q3" s="280" t="str">
        <f>IF(L3&lt;&gt;"",'2'!$N$103,"")</f>
        <v>6-. PRÓVIDA</v>
      </c>
      <c r="R3" s="281"/>
      <c r="S3" s="272" t="str">
        <f t="shared" si="2"/>
        <v>5.977.069-3</v>
      </c>
      <c r="T3" s="196">
        <f>IF(L3&lt;&gt;"",ROUND('2'!$Q$103,0),"")</f>
        <v>36063</v>
      </c>
      <c r="U3" s="196">
        <f>IF(L3&lt;&gt;"",ROUND(SUM('2'!$Q$107:$Q$109),0),"")</f>
        <v>0</v>
      </c>
      <c r="V3" s="247" t="str">
        <f>IF(L3&lt;&gt;"",'2'!$N$104,"")</f>
        <v>16-. CRUZ BLANCA</v>
      </c>
      <c r="W3" s="196">
        <f>IF(L3&lt;&gt;"",ROUND('2'!$Q$104,0),"")</f>
        <v>21875</v>
      </c>
      <c r="X3" s="196">
        <f>IF(L3&lt;&gt;"",ROUND('2'!$Q$106,0),"")</f>
        <v>0</v>
      </c>
      <c r="Y3" s="196">
        <f>'2'!$Q$110</f>
        <v>0</v>
      </c>
      <c r="Z3" s="196">
        <f>IF(L3&lt;&gt;"",ROUND('2'!$Q$105,0),"")</f>
        <v>0</v>
      </c>
      <c r="AA3" s="196">
        <f>IF(L3&lt;&gt;"",ROUND('2'!$Q$115,0),"")</f>
        <v>0</v>
      </c>
      <c r="AB3" s="196">
        <f>IF(S3&lt;&gt;"",ROUND('2'!$P$117+'2'!$P$119+'2'!$P$120,0),"")</f>
        <v>0</v>
      </c>
      <c r="AC3" s="196">
        <f>IF(S3&lt;&gt;"",ROUND('2'!$D$100,0),"")</f>
        <v>0</v>
      </c>
      <c r="AD3" s="270">
        <f>IF(S3&lt;&gt;"",ROUND(SUM('2'!$D$101:$D$110),0),"")</f>
        <v>0</v>
      </c>
      <c r="AE3" s="286">
        <f t="shared" ref="AE3:AE26" si="4">IF(S3&lt;&gt;"",ROUND(T3+U3+W3+X3+Y3+Z3+AA3+AB3+AC3+AD3,0),"")</f>
        <v>57938</v>
      </c>
      <c r="AF3" s="285"/>
      <c r="AG3" s="272" t="str">
        <f t="shared" ref="AG3:AG26" si="5">A3</f>
        <v>5.977.069-3</v>
      </c>
      <c r="AH3" s="197">
        <f t="shared" ref="AH3:AH26" si="6">IF(AE3&lt;&gt;"",ROUND(P3-AE3,0),"")</f>
        <v>402562</v>
      </c>
      <c r="AI3" s="196">
        <f>IF(S3&lt;&gt;"",ROUND('2'!$D$119,0),"")</f>
        <v>0</v>
      </c>
      <c r="AJ3" s="197">
        <f t="shared" ref="AJ3:AJ26" si="7">IF(S3&lt;&gt;"",ROUND(IF(AH3&gt;0,AH3+AI3,AI3),0),"")</f>
        <v>402562</v>
      </c>
      <c r="AK3" s="197">
        <f t="shared" ref="AK3:AK26" si="8">IF(S3&lt;&gt;"",ROUND(IF(AH3&lt;0,AH3,0),0),"")</f>
        <v>0</v>
      </c>
    </row>
    <row r="4" spans="1:37" ht="13.5" thickBot="1" x14ac:dyDescent="0.25">
      <c r="A4" s="203" t="str">
        <f>IF('3'!$T$142=0,"",'3'!$T$142)</f>
        <v>15.021.000-1</v>
      </c>
      <c r="B4" s="204" t="str">
        <f>IF('3'!$T$141=0,"",'3'!$T$141)</f>
        <v>Nombre del Trabajador</v>
      </c>
      <c r="C4" s="245" t="str">
        <f>IF(B4&lt;&gt;"",'3'!$F$123,"")</f>
        <v>30 DÍAS</v>
      </c>
      <c r="D4" s="245" t="str">
        <f>IF(B4&lt;&gt;"",'3'!$T$147,"")</f>
        <v>Adquisiciones</v>
      </c>
      <c r="E4" s="196">
        <f>IF(B4&lt;&gt;"",ROUND('3'!$I$174,0),"")</f>
        <v>350000</v>
      </c>
      <c r="F4" s="196">
        <f>IF(B4&lt;&gt;"",ROUND('3'!$I$175,0),"")</f>
        <v>76396</v>
      </c>
      <c r="G4" s="196">
        <f>IF(B4&lt;&gt;"",ROUND('3'!$I$176,0),"")</f>
        <v>0</v>
      </c>
      <c r="H4" s="196">
        <f>IF(B4&lt;&gt;"",ROUND('3'!$P$96+'3'!$P$97+'3'!$P$98+'3'!$P$99,0),"")</f>
        <v>50000</v>
      </c>
      <c r="I4" s="270">
        <f>IF(B4&lt;&gt;"",ROUND('3'!$F$95,0),"")</f>
        <v>0</v>
      </c>
      <c r="J4" s="275">
        <f t="shared" si="3"/>
        <v>476396</v>
      </c>
      <c r="K4" s="234"/>
      <c r="L4" s="272" t="str">
        <f t="shared" si="0"/>
        <v>15.021.000-1</v>
      </c>
      <c r="M4" s="196">
        <f>IF(B4&lt;&gt;"",ROUND('3'!$D$114,0),"")</f>
        <v>74000</v>
      </c>
      <c r="N4" s="196">
        <f>IF(L4&lt;&gt;"",ROUND('3'!$D$115,0),"")</f>
        <v>74000</v>
      </c>
      <c r="O4" s="270">
        <f>IF(L4&lt;&gt;"",ROUND('3'!$D$116+'3'!$D$117+'3'!$D$118,0),"")</f>
        <v>0</v>
      </c>
      <c r="P4" s="283">
        <f t="shared" si="1"/>
        <v>624396</v>
      </c>
      <c r="Q4" s="280" t="str">
        <f>IF(L4&lt;&gt;"",'3'!$N$103,"")</f>
        <v>4-. HÁBITAT</v>
      </c>
      <c r="R4" s="281"/>
      <c r="S4" s="272" t="str">
        <f t="shared" si="2"/>
        <v>15.021.000-1</v>
      </c>
      <c r="T4" s="196">
        <f>IF(L4&lt;&gt;"",ROUND('3'!$Q$103,0),"")</f>
        <v>53690</v>
      </c>
      <c r="U4" s="196">
        <f>IF(L4&lt;&gt;"",ROUND(SUM('3'!$Q$107:$Q$109),0),"")</f>
        <v>0</v>
      </c>
      <c r="V4" s="247" t="str">
        <f>IF(L4&lt;&gt;"",'3'!$N$104,"")</f>
        <v>12-. FONASA</v>
      </c>
      <c r="W4" s="196">
        <f>IF(L4&lt;&gt;"",ROUND('3'!$Q$104,0),"")</f>
        <v>33348</v>
      </c>
      <c r="X4" s="196">
        <f>IF(L4&lt;&gt;"",ROUND('3'!$Q$106,0),"")</f>
        <v>0</v>
      </c>
      <c r="Y4" s="196">
        <f>'3'!$Q$110</f>
        <v>0</v>
      </c>
      <c r="Z4" s="196">
        <f>IF(L4&lt;&gt;"",ROUND('3'!$Q$105,0),"")</f>
        <v>2858</v>
      </c>
      <c r="AA4" s="196">
        <f>IF(L4&lt;&gt;"",ROUND('3'!$Q$115,0),"")</f>
        <v>0</v>
      </c>
      <c r="AB4" s="196">
        <f>IF(S4&lt;&gt;"",ROUND('3'!$P$117+'3'!$P$119+'3'!$P$120,0),"")</f>
        <v>0</v>
      </c>
      <c r="AC4" s="196">
        <f>IF(S4&lt;&gt;"",ROUND('3'!$D$100,0),"")</f>
        <v>0</v>
      </c>
      <c r="AD4" s="270">
        <f>IF(S4&lt;&gt;"",ROUND(SUM('3'!$D$101:$D$110),0),"")</f>
        <v>0</v>
      </c>
      <c r="AE4" s="286">
        <f t="shared" si="4"/>
        <v>89896</v>
      </c>
      <c r="AF4" s="285"/>
      <c r="AG4" s="272" t="str">
        <f t="shared" si="5"/>
        <v>15.021.000-1</v>
      </c>
      <c r="AH4" s="197">
        <f t="shared" si="6"/>
        <v>534500</v>
      </c>
      <c r="AI4" s="196">
        <f>IF(S4&lt;&gt;"",ROUND('3'!$D$119,0),"")</f>
        <v>0</v>
      </c>
      <c r="AJ4" s="197">
        <f t="shared" si="7"/>
        <v>534500</v>
      </c>
      <c r="AK4" s="197">
        <f t="shared" si="8"/>
        <v>0</v>
      </c>
    </row>
    <row r="5" spans="1:37" ht="13.5" thickBot="1" x14ac:dyDescent="0.25">
      <c r="A5" s="203" t="str">
        <f>IF('4'!$T$142=0,"",'4'!$T$142)</f>
        <v>15.021.000-1</v>
      </c>
      <c r="B5" s="204" t="str">
        <f>IF('4'!$T$141=0,"",'4'!$T$141)</f>
        <v>Nombre del Trabajador</v>
      </c>
      <c r="C5" s="245" t="str">
        <f>IF(B5&lt;&gt;"",'4'!$F$123,"")</f>
        <v>30 DÍAS</v>
      </c>
      <c r="D5" s="245" t="str">
        <f>IF(B5&lt;&gt;"",'4'!$T$147,"")</f>
        <v>Estructuraciones</v>
      </c>
      <c r="E5" s="196">
        <f>IF(B5&lt;&gt;"",ROUND('4'!$I$174,0),"")</f>
        <v>350000</v>
      </c>
      <c r="F5" s="196">
        <f>IF(B5&lt;&gt;"",ROUND('4'!$I$175,0),"")</f>
        <v>76396</v>
      </c>
      <c r="G5" s="196">
        <f>IF(B5&lt;&gt;"",ROUND('4'!$I$176,0),"")</f>
        <v>0</v>
      </c>
      <c r="H5" s="196">
        <f>IF(B5&lt;&gt;"",ROUND('4'!$P$96+'4'!$P$97+'4'!$P$98+'4'!$P$99,0),"")</f>
        <v>0</v>
      </c>
      <c r="I5" s="270">
        <f>IF(B5&lt;&gt;"",ROUND('4'!$F$95,0),"")</f>
        <v>0</v>
      </c>
      <c r="J5" s="275">
        <f t="shared" si="3"/>
        <v>426396</v>
      </c>
      <c r="K5" s="234"/>
      <c r="L5" s="272" t="str">
        <f t="shared" si="0"/>
        <v>15.021.000-1</v>
      </c>
      <c r="M5" s="196">
        <f>IF(B5&lt;&gt;"",ROUND('4'!$D$114,0),"")</f>
        <v>74000</v>
      </c>
      <c r="N5" s="196">
        <f>IF(L5&lt;&gt;"",ROUND('4'!$D$115,0),"")</f>
        <v>74000</v>
      </c>
      <c r="O5" s="270">
        <f>IF(L5&lt;&gt;"",ROUND('4'!$D$116+'4'!$D$117+'4'!$D$118,0),"")</f>
        <v>0</v>
      </c>
      <c r="P5" s="283">
        <f t="shared" si="1"/>
        <v>574396</v>
      </c>
      <c r="Q5" s="280" t="str">
        <f>IF(L5&lt;&gt;"",'4'!$N$103,"")</f>
        <v>7-. MODELO</v>
      </c>
      <c r="R5" s="281"/>
      <c r="S5" s="272" t="str">
        <f t="shared" si="2"/>
        <v>15.021.000-1</v>
      </c>
      <c r="T5" s="196">
        <f>IF(L5&lt;&gt;"",ROUND('4'!$Q$103,0),"")</f>
        <v>45923</v>
      </c>
      <c r="U5" s="196">
        <f>IF(L5&lt;&gt;"",ROUND(SUM('4'!$Q$107:$Q$109),0),"")</f>
        <v>0</v>
      </c>
      <c r="V5" s="247" t="str">
        <f>IF(L5&lt;&gt;"",'4'!$N$104,"")</f>
        <v>12-. FONASA</v>
      </c>
      <c r="W5" s="196">
        <f>IF(L5&lt;&gt;"",ROUND('4'!$Q$104,0),"")</f>
        <v>29848</v>
      </c>
      <c r="X5" s="196">
        <f>IF(L5&lt;&gt;"",ROUND('4'!$Q$106,0),"")</f>
        <v>0</v>
      </c>
      <c r="Y5" s="196">
        <f>'4'!$Q$110</f>
        <v>0</v>
      </c>
      <c r="Z5" s="196">
        <f>IF(L5&lt;&gt;"",ROUND('4'!$Q$105,0),"")</f>
        <v>2558</v>
      </c>
      <c r="AA5" s="196">
        <f>IF(L5&lt;&gt;"",ROUND('4'!$Q$115,0),"")</f>
        <v>0</v>
      </c>
      <c r="AB5" s="196">
        <f>IF(S5&lt;&gt;"",ROUND('4'!$P$117+'4'!$P$119+'4'!$P$120,0),"")</f>
        <v>0</v>
      </c>
      <c r="AC5" s="196">
        <f>IF(S5&lt;&gt;"",ROUND('4'!$D$100,0),"")</f>
        <v>0</v>
      </c>
      <c r="AD5" s="270">
        <f>IF(S5&lt;&gt;"",ROUND(SUM('4'!$D$101:$D$110),0),"")</f>
        <v>0</v>
      </c>
      <c r="AE5" s="286">
        <f t="shared" si="4"/>
        <v>78329</v>
      </c>
      <c r="AF5" s="285"/>
      <c r="AG5" s="272" t="str">
        <f t="shared" si="5"/>
        <v>15.021.000-1</v>
      </c>
      <c r="AH5" s="197">
        <f t="shared" si="6"/>
        <v>496067</v>
      </c>
      <c r="AI5" s="196">
        <f>IF(S5&lt;&gt;"",ROUND('4'!$D$119,0),"")</f>
        <v>0</v>
      </c>
      <c r="AJ5" s="197">
        <f t="shared" si="7"/>
        <v>496067</v>
      </c>
      <c r="AK5" s="197">
        <f t="shared" si="8"/>
        <v>0</v>
      </c>
    </row>
    <row r="6" spans="1:37" ht="13.5" thickBot="1" x14ac:dyDescent="0.25">
      <c r="A6" s="203" t="str">
        <f>IF('5'!$T$142=0,"",'5'!$T$142)</f>
        <v>15.021.000-1</v>
      </c>
      <c r="B6" s="204" t="str">
        <f>IF('5'!$T$141=0,"",'5'!$T$141)</f>
        <v>Nombre del Trabajador</v>
      </c>
      <c r="C6" s="245" t="str">
        <f>IF(B6&lt;&gt;"",'5'!$F$123,"")</f>
        <v>30 DÍAS</v>
      </c>
      <c r="D6" s="245" t="str">
        <f>IF(B6&lt;&gt;"",'5'!$T$147,"")</f>
        <v>Estructuraciones</v>
      </c>
      <c r="E6" s="196">
        <f>IF(B6&lt;&gt;"",ROUND('5'!$I$174,0),"")</f>
        <v>350000</v>
      </c>
      <c r="F6" s="196">
        <f>IF(B6&lt;&gt;"",ROUND('5'!$I$175,0),"")</f>
        <v>76396</v>
      </c>
      <c r="G6" s="196">
        <f>IF(B6&lt;&gt;"",ROUND('5'!$I$176,0),"")</f>
        <v>0</v>
      </c>
      <c r="H6" s="196">
        <f>IF(B6&lt;&gt;"",ROUND('5'!$P$96+'5'!$P$97+'5'!$P$98+'5'!$P$99,0),"")</f>
        <v>0</v>
      </c>
      <c r="I6" s="270">
        <f>IF(B6&lt;&gt;"",ROUND('5'!$F$95,0),"")</f>
        <v>0</v>
      </c>
      <c r="J6" s="275">
        <f t="shared" si="3"/>
        <v>426396</v>
      </c>
      <c r="K6" s="234"/>
      <c r="L6" s="272" t="str">
        <f t="shared" si="0"/>
        <v>15.021.000-1</v>
      </c>
      <c r="M6" s="196">
        <f>IF(B6&lt;&gt;"",ROUND('5'!$D$114,0),"")</f>
        <v>74000</v>
      </c>
      <c r="N6" s="196">
        <f>IF(L6&lt;&gt;"",ROUND('5'!$D$115,0),"")</f>
        <v>74000</v>
      </c>
      <c r="O6" s="270">
        <f>IF(L6&lt;&gt;"",ROUND('5'!$D$116+'5'!$D$117+'5'!$D$118,0),"")</f>
        <v>0</v>
      </c>
      <c r="P6" s="283">
        <f t="shared" si="1"/>
        <v>574396</v>
      </c>
      <c r="Q6" s="280" t="str">
        <f>IF(L6&lt;&gt;"",'5'!$N$103,"")</f>
        <v xml:space="preserve">2-. CAPITAL </v>
      </c>
      <c r="R6" s="281"/>
      <c r="S6" s="272" t="str">
        <f t="shared" si="2"/>
        <v>15.021.000-1</v>
      </c>
      <c r="T6" s="196">
        <f>IF(L6&lt;&gt;"",ROUND('5'!$Q$103,0),"")</f>
        <v>48780</v>
      </c>
      <c r="U6" s="196">
        <f>IF(L6&lt;&gt;"",ROUND(SUM('5'!$Q$107:$Q$109),0),"")</f>
        <v>0</v>
      </c>
      <c r="V6" s="247" t="str">
        <f>IF(L6&lt;&gt;"",'5'!$N$104,"")</f>
        <v>12-. FONASA</v>
      </c>
      <c r="W6" s="196">
        <f>IF(L6&lt;&gt;"",ROUND('5'!$Q$104,0),"")</f>
        <v>29848</v>
      </c>
      <c r="X6" s="196">
        <f>IF(L6&lt;&gt;"",ROUND('5'!$Q$106,0),"")</f>
        <v>0</v>
      </c>
      <c r="Y6" s="196">
        <f>'5'!$Q$110</f>
        <v>0</v>
      </c>
      <c r="Z6" s="196">
        <f>IF(L6&lt;&gt;"",ROUND('5'!$Q$105,0),"")</f>
        <v>2558</v>
      </c>
      <c r="AA6" s="196">
        <f>IF(L6&lt;&gt;"",ROUND('5'!$Q$115,0),"")</f>
        <v>0</v>
      </c>
      <c r="AB6" s="196">
        <f>IF(S6&lt;&gt;"",ROUND('5'!$P$117+'5'!$P$119+'5'!$P$120,0),"")</f>
        <v>0</v>
      </c>
      <c r="AC6" s="196">
        <f>IF(S6&lt;&gt;"",ROUND('5'!$D$100,0),"")</f>
        <v>0</v>
      </c>
      <c r="AD6" s="270">
        <f>IF(S6&lt;&gt;"",ROUND(SUM('5'!$D$101:$D$110),0),"")</f>
        <v>0</v>
      </c>
      <c r="AE6" s="286">
        <f t="shared" si="4"/>
        <v>81186</v>
      </c>
      <c r="AF6" s="285"/>
      <c r="AG6" s="272" t="str">
        <f t="shared" si="5"/>
        <v>15.021.000-1</v>
      </c>
      <c r="AH6" s="197">
        <f t="shared" si="6"/>
        <v>493210</v>
      </c>
      <c r="AI6" s="196">
        <f>IF(S6&lt;&gt;"",ROUND('5'!$D$119,0),"")</f>
        <v>0</v>
      </c>
      <c r="AJ6" s="197">
        <f t="shared" si="7"/>
        <v>493210</v>
      </c>
      <c r="AK6" s="197">
        <f t="shared" si="8"/>
        <v>0</v>
      </c>
    </row>
    <row r="7" spans="1:37" ht="13.5" thickBot="1" x14ac:dyDescent="0.25">
      <c r="A7" s="203" t="str">
        <f>IF('6'!$T$142=0,"",'6'!$T$142)</f>
        <v>15.021.000-1</v>
      </c>
      <c r="B7" s="204" t="str">
        <f>IF('6'!$T$141=0,"",'6'!$T$141)</f>
        <v>Nombre del Trabajador</v>
      </c>
      <c r="C7" s="245" t="str">
        <f>IF(B7&lt;&gt;"",'6'!$F$123,"")</f>
        <v>30 DÍAS</v>
      </c>
      <c r="D7" s="245" t="str">
        <f>IF(B7&lt;&gt;"",'6'!$T$147,"")</f>
        <v>Estructuraciones</v>
      </c>
      <c r="E7" s="196">
        <f>IF(B7&lt;&gt;"",ROUND('6'!$I$174,0),"")</f>
        <v>350000</v>
      </c>
      <c r="F7" s="196">
        <f>IF(B7&lt;&gt;"",ROUND('6'!$I$175,0),"")</f>
        <v>76396</v>
      </c>
      <c r="G7" s="196">
        <f>IF(B7&lt;&gt;"",ROUND('6'!$I$176,0),"")</f>
        <v>0</v>
      </c>
      <c r="H7" s="196">
        <f>IF(B7&lt;&gt;"",ROUND('6'!$P$96+'6'!$P$97+'6'!$P$98+'6'!$P$99,0),"")</f>
        <v>0</v>
      </c>
      <c r="I7" s="270">
        <f>IF(B7&lt;&gt;"",ROUND('6'!$F$95,0),"")</f>
        <v>0</v>
      </c>
      <c r="J7" s="275">
        <f t="shared" si="3"/>
        <v>426396</v>
      </c>
      <c r="K7" s="234"/>
      <c r="L7" s="272" t="str">
        <f t="shared" si="0"/>
        <v>15.021.000-1</v>
      </c>
      <c r="M7" s="196">
        <f>IF(B7&lt;&gt;"",ROUND('6'!$D$114,0),"")</f>
        <v>74000</v>
      </c>
      <c r="N7" s="196">
        <f>IF(L7&lt;&gt;"",ROUND('6'!$D$115,0),"")</f>
        <v>74000</v>
      </c>
      <c r="O7" s="270">
        <f>IF(L7&lt;&gt;"",ROUND('6'!$D$116+'6'!$D$117+'6'!$D$118,0),"")</f>
        <v>0</v>
      </c>
      <c r="P7" s="283">
        <f t="shared" si="1"/>
        <v>574396</v>
      </c>
      <c r="Q7" s="280" t="str">
        <f>IF(L7&lt;&gt;"",'6'!$N$103,"")</f>
        <v>6-. PRÓVIDA</v>
      </c>
      <c r="R7" s="281"/>
      <c r="S7" s="272" t="str">
        <f t="shared" si="2"/>
        <v>15.021.000-1</v>
      </c>
      <c r="T7" s="196">
        <f>IF(L7&lt;&gt;"",ROUND('6'!$Q$103,0),"")</f>
        <v>49206</v>
      </c>
      <c r="U7" s="196">
        <f>IF(L7&lt;&gt;"",ROUND(SUM('6'!$Q$107:$Q$109),0),"")</f>
        <v>0</v>
      </c>
      <c r="V7" s="247" t="str">
        <f>IF(L7&lt;&gt;"",'6'!$N$104,"")</f>
        <v>12-. FONASA</v>
      </c>
      <c r="W7" s="196">
        <f>IF(L7&lt;&gt;"",ROUND('6'!$Q$104,0),"")</f>
        <v>29848</v>
      </c>
      <c r="X7" s="196">
        <f>IF(L7&lt;&gt;"",ROUND('6'!$Q$106,0),"")</f>
        <v>0</v>
      </c>
      <c r="Y7" s="196">
        <f>'6'!$Q$110</f>
        <v>0</v>
      </c>
      <c r="Z7" s="196">
        <f>IF(L7&lt;&gt;"",ROUND('6'!$Q$105,0),"")</f>
        <v>2558</v>
      </c>
      <c r="AA7" s="196">
        <f>IF(L7&lt;&gt;"",ROUND('6'!$Q$115,0),"")</f>
        <v>0</v>
      </c>
      <c r="AB7" s="196">
        <f>IF(S7&lt;&gt;"",ROUND('6'!$P$117+'6'!$P$119+'6'!$P$120,0),"")</f>
        <v>0</v>
      </c>
      <c r="AC7" s="196">
        <f>IF(S7&lt;&gt;"",ROUND('6'!$D$100,0),"")</f>
        <v>0</v>
      </c>
      <c r="AD7" s="270">
        <f>IF(S7&lt;&gt;"",ROUND(SUM('6'!$D$101:$D$110),0),"")</f>
        <v>0</v>
      </c>
      <c r="AE7" s="286">
        <f t="shared" si="4"/>
        <v>81612</v>
      </c>
      <c r="AF7" s="285"/>
      <c r="AG7" s="272" t="str">
        <f t="shared" si="5"/>
        <v>15.021.000-1</v>
      </c>
      <c r="AH7" s="197">
        <f t="shared" si="6"/>
        <v>492784</v>
      </c>
      <c r="AI7" s="196">
        <f>IF(S7&lt;&gt;"",ROUND('6'!$D$119,0),"")</f>
        <v>0</v>
      </c>
      <c r="AJ7" s="197">
        <f t="shared" si="7"/>
        <v>492784</v>
      </c>
      <c r="AK7" s="197">
        <f t="shared" si="8"/>
        <v>0</v>
      </c>
    </row>
    <row r="8" spans="1:37" ht="13.5" thickBot="1" x14ac:dyDescent="0.25">
      <c r="A8" s="203" t="str">
        <f>IF('7'!$T$142=0,"",'7'!$T$142)</f>
        <v>15.021.000-1</v>
      </c>
      <c r="B8" s="204" t="str">
        <f>IF('7'!$T$141=0,"",'7'!$T$141)</f>
        <v>Nombre del Trabajador</v>
      </c>
      <c r="C8" s="245" t="str">
        <f>IF(B8&lt;&gt;"",'7'!$F$123,"")</f>
        <v>30 DÍAS</v>
      </c>
      <c r="D8" s="245" t="str">
        <f>IF(B8&lt;&gt;"",'7'!$T$147,"")</f>
        <v>Estructuraciones</v>
      </c>
      <c r="E8" s="196">
        <f>IF(B8&lt;&gt;"",ROUND('7'!$I$174,0),"")</f>
        <v>350000</v>
      </c>
      <c r="F8" s="196">
        <f>IF(B8&lt;&gt;"",ROUND('7'!$I$175,0),"")</f>
        <v>76396</v>
      </c>
      <c r="G8" s="196">
        <f>IF(B8&lt;&gt;"",ROUND('7'!$I$176,0),"")</f>
        <v>0</v>
      </c>
      <c r="H8" s="196">
        <f>IF(B8&lt;&gt;"",ROUND('7'!$P$96+'7'!$P$97+'7'!$P$98+'7'!$P$99,0),"")</f>
        <v>0</v>
      </c>
      <c r="I8" s="270">
        <f>IF(B8&lt;&gt;"",ROUND('7'!$F$95,0),"")</f>
        <v>0</v>
      </c>
      <c r="J8" s="275">
        <f t="shared" si="3"/>
        <v>426396</v>
      </c>
      <c r="K8" s="234"/>
      <c r="L8" s="272" t="str">
        <f t="shared" si="0"/>
        <v>15.021.000-1</v>
      </c>
      <c r="M8" s="196">
        <f>IF(B8&lt;&gt;"",ROUND('7'!$D$114,0),"")</f>
        <v>74000</v>
      </c>
      <c r="N8" s="196">
        <f>IF(L8&lt;&gt;"",ROUND('7'!$D$115,0),"")</f>
        <v>74000</v>
      </c>
      <c r="O8" s="270">
        <f>IF(L8&lt;&gt;"",ROUND('7'!$D$116+'7'!$D$117+'7'!$D$118,0),"")</f>
        <v>0</v>
      </c>
      <c r="P8" s="283">
        <f t="shared" si="1"/>
        <v>574396</v>
      </c>
      <c r="Q8" s="280" t="str">
        <f>IF(L8&lt;&gt;"",'7'!$N$103,"")</f>
        <v>7-. MODELO</v>
      </c>
      <c r="R8" s="281"/>
      <c r="S8" s="272" t="str">
        <f t="shared" si="2"/>
        <v>15.021.000-1</v>
      </c>
      <c r="T8" s="196">
        <f>IF(L8&lt;&gt;"",ROUND('7'!$Q$103,0),"")</f>
        <v>45923</v>
      </c>
      <c r="U8" s="196">
        <f>IF(L8&lt;&gt;"",ROUND(SUM('7'!$Q$107:$Q$109),0),"")</f>
        <v>0</v>
      </c>
      <c r="V8" s="247" t="str">
        <f>IF(L8&lt;&gt;"",'7'!$N$104,"")</f>
        <v>12-. FONASA</v>
      </c>
      <c r="W8" s="196">
        <f>IF(L8&lt;&gt;"",ROUND('7'!$Q$104,0),"")</f>
        <v>29848</v>
      </c>
      <c r="X8" s="196">
        <f>IF(L8&lt;&gt;"",ROUND('7'!$Q$106,0),"")</f>
        <v>0</v>
      </c>
      <c r="Y8" s="196">
        <f>'7'!$Q$110</f>
        <v>0</v>
      </c>
      <c r="Z8" s="196">
        <f>IF(L8&lt;&gt;"",ROUND('7'!$Q$105,0),"")</f>
        <v>2558</v>
      </c>
      <c r="AA8" s="196">
        <f>IF(L8&lt;&gt;"",ROUND('7'!$Q$115,0),"")</f>
        <v>0</v>
      </c>
      <c r="AB8" s="196">
        <f>IF(S8&lt;&gt;"",ROUND('7'!$P$117+'7'!$P$119+'7'!$P$120,0),"")</f>
        <v>0</v>
      </c>
      <c r="AC8" s="196">
        <f>IF(S8&lt;&gt;"",ROUND('7'!$D$100,0),"")</f>
        <v>0</v>
      </c>
      <c r="AD8" s="270">
        <f>IF(S8&lt;&gt;"",ROUND(SUM('7'!$D$101:$D$110),0),"")</f>
        <v>0</v>
      </c>
      <c r="AE8" s="286">
        <f t="shared" si="4"/>
        <v>78329</v>
      </c>
      <c r="AF8" s="285"/>
      <c r="AG8" s="272" t="str">
        <f t="shared" si="5"/>
        <v>15.021.000-1</v>
      </c>
      <c r="AH8" s="197">
        <f t="shared" si="6"/>
        <v>496067</v>
      </c>
      <c r="AI8" s="196">
        <f>IF(S8&lt;&gt;"",ROUND('7'!$D$119,0),"")</f>
        <v>0</v>
      </c>
      <c r="AJ8" s="197">
        <f t="shared" si="7"/>
        <v>496067</v>
      </c>
      <c r="AK8" s="197">
        <f t="shared" si="8"/>
        <v>0</v>
      </c>
    </row>
    <row r="9" spans="1:37" ht="13.5" thickBot="1" x14ac:dyDescent="0.25">
      <c r="A9" s="203" t="str">
        <f>IF('8'!$T$142=0,"",'8'!$T$142)</f>
        <v>15.021.000-1</v>
      </c>
      <c r="B9" s="204" t="str">
        <f>IF('8'!$T$141=0,"",'8'!$T$141)</f>
        <v>Nombre del Trabajador</v>
      </c>
      <c r="C9" s="245" t="str">
        <f>IF(B9&lt;&gt;"",'8'!$F$123,"")</f>
        <v>30 DÍAS</v>
      </c>
      <c r="D9" s="245" t="str">
        <f>IF(B9&lt;&gt;"",'8'!$T$147,"")</f>
        <v>Administración</v>
      </c>
      <c r="E9" s="196">
        <f>IF(B9&lt;&gt;"",ROUND('8'!$I$174,0),"")</f>
        <v>350000</v>
      </c>
      <c r="F9" s="196">
        <f>IF(B9&lt;&gt;"",ROUND('8'!$I$175,0),"")</f>
        <v>76396</v>
      </c>
      <c r="G9" s="196">
        <f>IF(B9&lt;&gt;"",ROUND('8'!$I$176,0),"")</f>
        <v>0</v>
      </c>
      <c r="H9" s="196">
        <f>IF(B9&lt;&gt;"",ROUND('8'!$P$96+'8'!$P$97+'8'!$P$98+'8'!$P$99,0),"")</f>
        <v>0</v>
      </c>
      <c r="I9" s="270">
        <f>IF(B9&lt;&gt;"",ROUND('8'!$F$95,0),"")</f>
        <v>0</v>
      </c>
      <c r="J9" s="275">
        <f t="shared" si="3"/>
        <v>426396</v>
      </c>
      <c r="K9" s="234"/>
      <c r="L9" s="272" t="str">
        <f t="shared" si="0"/>
        <v>15.021.000-1</v>
      </c>
      <c r="M9" s="196">
        <f>IF(B9&lt;&gt;"",ROUND('8'!$D$114,0),"")</f>
        <v>74000</v>
      </c>
      <c r="N9" s="196">
        <f>IF(L9&lt;&gt;"",ROUND('8'!$D$115,0),"")</f>
        <v>74000</v>
      </c>
      <c r="O9" s="270">
        <f>IF(L9&lt;&gt;"",ROUND('8'!$D$116+'8'!$D$117+'8'!$D$118,0),"")</f>
        <v>0</v>
      </c>
      <c r="P9" s="283">
        <f t="shared" si="1"/>
        <v>574396</v>
      </c>
      <c r="Q9" s="280" t="str">
        <f>IF(L9&lt;&gt;"",'8'!$N$103,"")</f>
        <v xml:space="preserve">2-. CAPITAL </v>
      </c>
      <c r="R9" s="281"/>
      <c r="S9" s="272" t="str">
        <f t="shared" si="2"/>
        <v>15.021.000-1</v>
      </c>
      <c r="T9" s="196">
        <f>IF(L9&lt;&gt;"",ROUND('8'!$Q$103,0),"")</f>
        <v>48780</v>
      </c>
      <c r="U9" s="196">
        <f>IF(L9&lt;&gt;"",ROUND(SUM('8'!$Q$107:$Q$109),0),"")</f>
        <v>0</v>
      </c>
      <c r="V9" s="247" t="str">
        <f>IF(L9&lt;&gt;"",'8'!$N$104,"")</f>
        <v>13-. BANMEDICA</v>
      </c>
      <c r="W9" s="196">
        <f>IF(L9&lt;&gt;"",ROUND('8'!$Q$104,0),"")</f>
        <v>29848</v>
      </c>
      <c r="X9" s="196">
        <f>IF(L9&lt;&gt;"",ROUND('8'!$Q$106,0),"")</f>
        <v>0</v>
      </c>
      <c r="Y9" s="196">
        <f>'8'!$Q$110</f>
        <v>0</v>
      </c>
      <c r="Z9" s="196">
        <f>IF(L9&lt;&gt;"",ROUND('8'!$Q$105,0),"")</f>
        <v>2558</v>
      </c>
      <c r="AA9" s="196">
        <f>IF(L9&lt;&gt;"",ROUND('8'!$Q$115,0),"")</f>
        <v>0</v>
      </c>
      <c r="AB9" s="196">
        <f>IF(S9&lt;&gt;"",ROUND('8'!$P$117+'8'!$P$119+'8'!$P$120,0),"")</f>
        <v>0</v>
      </c>
      <c r="AC9" s="196">
        <f>IF(S9&lt;&gt;"",ROUND('8'!$D$100,0),"")</f>
        <v>0</v>
      </c>
      <c r="AD9" s="270">
        <f>IF(S9&lt;&gt;"",ROUND(SUM('8'!$D$101:$D$110),0),"")</f>
        <v>0</v>
      </c>
      <c r="AE9" s="286">
        <f t="shared" si="4"/>
        <v>81186</v>
      </c>
      <c r="AF9" s="285"/>
      <c r="AG9" s="272" t="str">
        <f t="shared" si="5"/>
        <v>15.021.000-1</v>
      </c>
      <c r="AH9" s="197">
        <f t="shared" si="6"/>
        <v>493210</v>
      </c>
      <c r="AI9" s="196">
        <f>IF(S9&lt;&gt;"",ROUND('8'!$D$119,0),"")</f>
        <v>0</v>
      </c>
      <c r="AJ9" s="197">
        <f t="shared" si="7"/>
        <v>493210</v>
      </c>
      <c r="AK9" s="197">
        <f t="shared" si="8"/>
        <v>0</v>
      </c>
    </row>
    <row r="10" spans="1:37" ht="13.5" thickBot="1" x14ac:dyDescent="0.25">
      <c r="A10" s="203" t="str">
        <f>IF('9'!$T$142=0,"",'9'!$T$142)</f>
        <v>15.021.000-1</v>
      </c>
      <c r="B10" s="204" t="str">
        <f>IF('9'!$T$141=0,"",'9'!$T$141)</f>
        <v>Nombre del Trabajador</v>
      </c>
      <c r="C10" s="245" t="str">
        <f>IF(B10&lt;&gt;"",'9'!$F$123,"")</f>
        <v>30 DÍAS</v>
      </c>
      <c r="D10" s="245" t="str">
        <f>IF(B10&lt;&gt;"",'9'!$T$147,"")</f>
        <v>Administración</v>
      </c>
      <c r="E10" s="196">
        <f>IF(B10&lt;&gt;"",ROUND('9'!$I$174,0),"")</f>
        <v>350000</v>
      </c>
      <c r="F10" s="196">
        <f>IF(B10&lt;&gt;"",ROUND('9'!$I$175,0),"")</f>
        <v>76396</v>
      </c>
      <c r="G10" s="196">
        <f>IF(B10&lt;&gt;"",ROUND('9'!$I$176,0),"")</f>
        <v>0</v>
      </c>
      <c r="H10" s="196">
        <f>IF(B10&lt;&gt;"",ROUND('9'!$P$96+'9'!$P$97+'9'!$P$98+'9'!$P$99,0),"")</f>
        <v>0</v>
      </c>
      <c r="I10" s="270">
        <f>IF(B10&lt;&gt;"",ROUND('9'!$F$95,0),"")</f>
        <v>0</v>
      </c>
      <c r="J10" s="275">
        <f t="shared" si="3"/>
        <v>426396</v>
      </c>
      <c r="K10" s="234"/>
      <c r="L10" s="272" t="str">
        <f t="shared" si="0"/>
        <v>15.021.000-1</v>
      </c>
      <c r="M10" s="196">
        <f>IF(B10&lt;&gt;"",ROUND('9'!$D$114,0),"")</f>
        <v>74000</v>
      </c>
      <c r="N10" s="196">
        <f>IF(L10&lt;&gt;"",ROUND('9'!$D$115,0),"")</f>
        <v>74000</v>
      </c>
      <c r="O10" s="270">
        <f>IF(L10&lt;&gt;"",ROUND('9'!$D$116+'9'!$D$117+'9'!$D$118,0),"")</f>
        <v>0</v>
      </c>
      <c r="P10" s="283">
        <f t="shared" si="1"/>
        <v>574396</v>
      </c>
      <c r="Q10" s="280" t="str">
        <f>IF(L10&lt;&gt;"",'9'!$N$103,"")</f>
        <v>6-. PRÓVIDA</v>
      </c>
      <c r="R10" s="281"/>
      <c r="S10" s="272" t="str">
        <f t="shared" si="2"/>
        <v>15.021.000-1</v>
      </c>
      <c r="T10" s="196">
        <f>IF(L10&lt;&gt;"",ROUND('9'!$Q$103,0),"")</f>
        <v>49206</v>
      </c>
      <c r="U10" s="196">
        <f>IF(L10&lt;&gt;"",ROUND(SUM('9'!$Q$107:$Q$109),0),"")</f>
        <v>0</v>
      </c>
      <c r="V10" s="247" t="str">
        <f>IF(L10&lt;&gt;"",'9'!$N$104,"")</f>
        <v>12-. FONASA</v>
      </c>
      <c r="W10" s="196">
        <f>IF(L10&lt;&gt;"",ROUND('9'!$Q$104,0),"")</f>
        <v>29848</v>
      </c>
      <c r="X10" s="196">
        <f>IF(L10&lt;&gt;"",ROUND('9'!$Q$106,0),"")</f>
        <v>0</v>
      </c>
      <c r="Y10" s="196">
        <f>'9'!$Q$110</f>
        <v>0</v>
      </c>
      <c r="Z10" s="196">
        <f>IF(L10&lt;&gt;"",ROUND('9'!$Q$105,0),"")</f>
        <v>2558</v>
      </c>
      <c r="AA10" s="196">
        <f>IF(L10&lt;&gt;"",ROUND('9'!$Q$115,0),"")</f>
        <v>0</v>
      </c>
      <c r="AB10" s="196">
        <f>IF(S10&lt;&gt;"",ROUND('9'!$P$117+'9'!$P$119+'9'!$P$120,0),"")</f>
        <v>0</v>
      </c>
      <c r="AC10" s="196">
        <f>IF(S10&lt;&gt;"",ROUND('9'!$D$100,0),"")</f>
        <v>0</v>
      </c>
      <c r="AD10" s="270">
        <f>IF(S10&lt;&gt;"",ROUND(SUM('9'!$D$101:$D$110),0),"")</f>
        <v>0</v>
      </c>
      <c r="AE10" s="286">
        <f t="shared" si="4"/>
        <v>81612</v>
      </c>
      <c r="AF10" s="285"/>
      <c r="AG10" s="272" t="str">
        <f t="shared" si="5"/>
        <v>15.021.000-1</v>
      </c>
      <c r="AH10" s="197">
        <f t="shared" si="6"/>
        <v>492784</v>
      </c>
      <c r="AI10" s="196">
        <f>IF(S10&lt;&gt;"",ROUND('9'!$D$119,0),"")</f>
        <v>0</v>
      </c>
      <c r="AJ10" s="197">
        <f t="shared" si="7"/>
        <v>492784</v>
      </c>
      <c r="AK10" s="197">
        <f t="shared" si="8"/>
        <v>0</v>
      </c>
    </row>
    <row r="11" spans="1:37" ht="13.5" thickBot="1" x14ac:dyDescent="0.25">
      <c r="A11" s="203" t="str">
        <f>IF('10'!$T$142=0,"",'10'!$T$142)</f>
        <v>15.021.000-1</v>
      </c>
      <c r="B11" s="204" t="str">
        <f>IF('10'!$T$141=0,"",'10'!$T$141)</f>
        <v>Nombre del Trabajador</v>
      </c>
      <c r="C11" s="245" t="str">
        <f>IF(B11&lt;&gt;"",'10'!$F$123,"")</f>
        <v>30 DÍAS</v>
      </c>
      <c r="D11" s="245" t="str">
        <f>IF(B11&lt;&gt;"",'10'!$T$147,"")</f>
        <v>Administración</v>
      </c>
      <c r="E11" s="196">
        <f>IF(B11&lt;&gt;"",ROUND('10'!$I$174,0),"")</f>
        <v>300000</v>
      </c>
      <c r="F11" s="196">
        <f>IF(B11&lt;&gt;"",ROUND('10'!$I$175,0),"")</f>
        <v>75000</v>
      </c>
      <c r="G11" s="196">
        <f>IF(B11&lt;&gt;"",ROUND('10'!$I$176,0),"")</f>
        <v>0</v>
      </c>
      <c r="H11" s="196">
        <f>IF(B11&lt;&gt;"",ROUND('10'!$P$96+'10'!$P$97+'10'!$P$98+'10'!$P$99,0),"")</f>
        <v>0</v>
      </c>
      <c r="I11" s="270">
        <f>IF(B11&lt;&gt;"",ROUND('10'!$F$95,0),"")</f>
        <v>0</v>
      </c>
      <c r="J11" s="275">
        <f t="shared" si="3"/>
        <v>375000</v>
      </c>
      <c r="K11" s="234"/>
      <c r="L11" s="272" t="str">
        <f t="shared" si="0"/>
        <v>15.021.000-1</v>
      </c>
      <c r="M11" s="196">
        <f>IF(B11&lt;&gt;"",ROUND('10'!$D$114,0),"")</f>
        <v>54000</v>
      </c>
      <c r="N11" s="196">
        <f>IF(L11&lt;&gt;"",ROUND('10'!$D$115,0),"")</f>
        <v>40000</v>
      </c>
      <c r="O11" s="270">
        <f>IF(L11&lt;&gt;"",ROUND('10'!$D$116+'10'!$D$117+'10'!$D$118,0),"")</f>
        <v>0</v>
      </c>
      <c r="P11" s="283">
        <f t="shared" si="1"/>
        <v>469000</v>
      </c>
      <c r="Q11" s="280" t="str">
        <f>IF(L11&lt;&gt;"",'10'!$N$103,"")</f>
        <v>7-. MODELO</v>
      </c>
      <c r="R11" s="281"/>
      <c r="S11" s="272" t="str">
        <f t="shared" si="2"/>
        <v>15.021.000-1</v>
      </c>
      <c r="T11" s="196">
        <f>IF(L11&lt;&gt;"",ROUND('10'!$Q$103,0),"")</f>
        <v>40388</v>
      </c>
      <c r="U11" s="196">
        <f>IF(L11&lt;&gt;"",ROUND(SUM('10'!$Q$107:$Q$109),0),"")</f>
        <v>0</v>
      </c>
      <c r="V11" s="247" t="str">
        <f>IF(L11&lt;&gt;"",'10'!$N$104,"")</f>
        <v>12-. FONASA</v>
      </c>
      <c r="W11" s="196">
        <f>IF(L11&lt;&gt;"",ROUND('10'!$Q$104,0),"")</f>
        <v>26250</v>
      </c>
      <c r="X11" s="196">
        <f>IF(L11&lt;&gt;"",ROUND('10'!$Q$106,0),"")</f>
        <v>0</v>
      </c>
      <c r="Y11" s="196">
        <f>'10'!$Q$110</f>
        <v>0</v>
      </c>
      <c r="Z11" s="196">
        <f>IF(L11&lt;&gt;"",ROUND('10'!$Q$105,0),"")</f>
        <v>2250</v>
      </c>
      <c r="AA11" s="196">
        <f>IF(L11&lt;&gt;"",ROUND('10'!$Q$115,0),"")</f>
        <v>0</v>
      </c>
      <c r="AB11" s="196">
        <f>IF(S11&lt;&gt;"",ROUND('10'!$P$117+'10'!$P$119+'10'!$P$120,0),"")</f>
        <v>0</v>
      </c>
      <c r="AC11" s="196">
        <f>IF(S11&lt;&gt;"",ROUND('10'!$D$100,0),"")</f>
        <v>0</v>
      </c>
      <c r="AD11" s="270">
        <f>IF(S11&lt;&gt;"",ROUND(SUM('10'!$D$101:$D$110),0),"")</f>
        <v>0</v>
      </c>
      <c r="AE11" s="286">
        <f t="shared" si="4"/>
        <v>68888</v>
      </c>
      <c r="AF11" s="285"/>
      <c r="AG11" s="272" t="str">
        <f t="shared" si="5"/>
        <v>15.021.000-1</v>
      </c>
      <c r="AH11" s="197">
        <f t="shared" si="6"/>
        <v>400112</v>
      </c>
      <c r="AI11" s="196">
        <f>IF(S11&lt;&gt;"",ROUND('10'!$D$119,0),"")</f>
        <v>0</v>
      </c>
      <c r="AJ11" s="197">
        <f t="shared" si="7"/>
        <v>400112</v>
      </c>
      <c r="AK11" s="197">
        <f t="shared" si="8"/>
        <v>0</v>
      </c>
    </row>
    <row r="12" spans="1:37" ht="13.5" thickBot="1" x14ac:dyDescent="0.25">
      <c r="A12" s="203" t="str">
        <f>IF('11'!$T$142=0,"",'11'!$T$142)</f>
        <v>15.021.000-1</v>
      </c>
      <c r="B12" s="204" t="str">
        <f>IF('11'!$T$141=0,"",'11'!$T$141)</f>
        <v>Nombre del Trabajador</v>
      </c>
      <c r="C12" s="245" t="str">
        <f>IF(B12&lt;&gt;"",'11'!$F$123,"")</f>
        <v>30 DÍAS</v>
      </c>
      <c r="D12" s="245" t="str">
        <f>IF(B12&lt;&gt;"",'11'!$T$147,"")</f>
        <v>Mecánica</v>
      </c>
      <c r="E12" s="196">
        <f>IF(B12&lt;&gt;"",ROUND('11'!$I$174,0),"")</f>
        <v>350000</v>
      </c>
      <c r="F12" s="196">
        <f>IF(B12&lt;&gt;"",ROUND('11'!$I$175,0),"")</f>
        <v>76396</v>
      </c>
      <c r="G12" s="196">
        <f>IF(B12&lt;&gt;"",ROUND('11'!$I$176,0),"")</f>
        <v>0</v>
      </c>
      <c r="H12" s="196">
        <f>IF(B12&lt;&gt;"",ROUND('11'!$P$96+'11'!$P$97+'11'!$P$98+'11'!$P$99,0),"")</f>
        <v>0</v>
      </c>
      <c r="I12" s="270">
        <f>IF(B12&lt;&gt;"",ROUND('11'!$F$95,0),"")</f>
        <v>0</v>
      </c>
      <c r="J12" s="275">
        <f t="shared" si="3"/>
        <v>426396</v>
      </c>
      <c r="K12" s="234"/>
      <c r="L12" s="272" t="str">
        <f t="shared" si="0"/>
        <v>15.021.000-1</v>
      </c>
      <c r="M12" s="196">
        <f>IF(B12&lt;&gt;"",ROUND('11'!$D$114,0),"")</f>
        <v>74000</v>
      </c>
      <c r="N12" s="196">
        <f>IF(L12&lt;&gt;"",ROUND('11'!$D$115,0),"")</f>
        <v>74000</v>
      </c>
      <c r="O12" s="270">
        <f>IF(L12&lt;&gt;"",ROUND('11'!$D$116+'11'!$D$117+'11'!$D$118,0),"")</f>
        <v>0</v>
      </c>
      <c r="P12" s="283">
        <f t="shared" si="1"/>
        <v>574396</v>
      </c>
      <c r="Q12" s="280" t="str">
        <f>IF(L12&lt;&gt;"",'11'!$N$103,"")</f>
        <v>6-. PRÓVIDA</v>
      </c>
      <c r="R12" s="281"/>
      <c r="S12" s="272" t="str">
        <f t="shared" si="2"/>
        <v>15.021.000-1</v>
      </c>
      <c r="T12" s="196">
        <f>IF(L12&lt;&gt;"",ROUND('11'!$Q$103,0),"")</f>
        <v>49206</v>
      </c>
      <c r="U12" s="196">
        <f>IF(L12&lt;&gt;"",ROUND(SUM('11'!$Q$107:$Q$109),0),"")</f>
        <v>0</v>
      </c>
      <c r="V12" s="247" t="str">
        <f>IF(L12&lt;&gt;"",'11'!$N$104,"")</f>
        <v>12-. FONASA</v>
      </c>
      <c r="W12" s="196">
        <f>IF(L12&lt;&gt;"",ROUND('11'!$Q$104,0),"")</f>
        <v>29848</v>
      </c>
      <c r="X12" s="196">
        <f>IF(L12&lt;&gt;"",ROUND('11'!$Q$106,0),"")</f>
        <v>0</v>
      </c>
      <c r="Y12" s="196">
        <f>'11'!$Q$110</f>
        <v>0</v>
      </c>
      <c r="Z12" s="196">
        <f>IF(L12&lt;&gt;"",ROUND('11'!$Q$105,0),"")</f>
        <v>2558</v>
      </c>
      <c r="AA12" s="196">
        <f>IF(L12&lt;&gt;"",ROUND('11'!$Q$115,0),"")</f>
        <v>0</v>
      </c>
      <c r="AB12" s="196">
        <f>IF(S12&lt;&gt;"",ROUND('11'!$P$117+'11'!$P$119+'11'!$P$120,0),"")</f>
        <v>0</v>
      </c>
      <c r="AC12" s="196">
        <f>IF(S12&lt;&gt;"",ROUND('11'!$D$100,0),"")</f>
        <v>0</v>
      </c>
      <c r="AD12" s="270">
        <f>IF(S12&lt;&gt;"",ROUND(SUM('11'!$D$101:$D$110),0),"")</f>
        <v>0</v>
      </c>
      <c r="AE12" s="286">
        <f t="shared" si="4"/>
        <v>81612</v>
      </c>
      <c r="AF12" s="285"/>
      <c r="AG12" s="272" t="str">
        <f t="shared" si="5"/>
        <v>15.021.000-1</v>
      </c>
      <c r="AH12" s="197">
        <f t="shared" si="6"/>
        <v>492784</v>
      </c>
      <c r="AI12" s="196">
        <f>IF(S12&lt;&gt;"",ROUND('11'!$D$119,0),"")</f>
        <v>0</v>
      </c>
      <c r="AJ12" s="197">
        <f t="shared" si="7"/>
        <v>492784</v>
      </c>
      <c r="AK12" s="197">
        <f t="shared" si="8"/>
        <v>0</v>
      </c>
    </row>
    <row r="13" spans="1:37" ht="13.5" thickBot="1" x14ac:dyDescent="0.25">
      <c r="A13" s="203" t="str">
        <f>IF('12'!$T$142=0,"",'12'!$T$142)</f>
        <v>15.021.000-1</v>
      </c>
      <c r="B13" s="204" t="str">
        <f>IF('12'!$T$141=0,"",'12'!$T$141)</f>
        <v>Nombre del Trabajador</v>
      </c>
      <c r="C13" s="245" t="str">
        <f>IF(B13&lt;&gt;"",'12'!$F$123,"")</f>
        <v>30 DÍAS</v>
      </c>
      <c r="D13" s="245" t="str">
        <f>IF(B13&lt;&gt;"",'12'!$T$147,"")</f>
        <v>Estructuraciones</v>
      </c>
      <c r="E13" s="196">
        <f>IF(B13&lt;&gt;"",ROUND('12'!$I$174,0),"")</f>
        <v>350000</v>
      </c>
      <c r="F13" s="196">
        <f>IF(B13&lt;&gt;"",ROUND('12'!$I$175,0),"")</f>
        <v>76396</v>
      </c>
      <c r="G13" s="196">
        <f>IF(B13&lt;&gt;"",ROUND('12'!$I$176,0),"")</f>
        <v>0</v>
      </c>
      <c r="H13" s="196">
        <f>IF(B13&lt;&gt;"",ROUND('12'!$P$96+'12'!$P$97+'12'!$P$98+'12'!$P$99,0),"")</f>
        <v>0</v>
      </c>
      <c r="I13" s="270">
        <f>IF(B13&lt;&gt;"",ROUND('12'!$F$95,0),"")</f>
        <v>0</v>
      </c>
      <c r="J13" s="275">
        <f t="shared" si="3"/>
        <v>426396</v>
      </c>
      <c r="K13" s="234"/>
      <c r="L13" s="272" t="str">
        <f t="shared" si="0"/>
        <v>15.021.000-1</v>
      </c>
      <c r="M13" s="196">
        <f>IF(B13&lt;&gt;"",ROUND('12'!$D$114,0),"")</f>
        <v>74000</v>
      </c>
      <c r="N13" s="196">
        <f>IF(L13&lt;&gt;"",ROUND('12'!$D$115,0),"")</f>
        <v>74000</v>
      </c>
      <c r="O13" s="270">
        <f>IF(L13&lt;&gt;"",ROUND('12'!$D$116+'12'!$D$117+'12'!$D$118,0),"")</f>
        <v>0</v>
      </c>
      <c r="P13" s="283">
        <f t="shared" si="1"/>
        <v>574396</v>
      </c>
      <c r="Q13" s="280" t="str">
        <f>IF(L13&lt;&gt;"",'12'!$N$103,"")</f>
        <v xml:space="preserve">5-. PLANVITAL </v>
      </c>
      <c r="R13" s="281"/>
      <c r="S13" s="272" t="str">
        <f t="shared" si="2"/>
        <v>15.021.000-1</v>
      </c>
      <c r="T13" s="196">
        <f>IF(L13&lt;&gt;"",ROUND('12'!$Q$103,0),"")</f>
        <v>52703</v>
      </c>
      <c r="U13" s="196">
        <f>IF(L13&lt;&gt;"",ROUND(SUM('12'!$Q$107:$Q$109),0),"")</f>
        <v>0</v>
      </c>
      <c r="V13" s="247" t="str">
        <f>IF(L13&lt;&gt;"",'12'!$N$104,"")</f>
        <v>12-. FONASA</v>
      </c>
      <c r="W13" s="196">
        <f>IF(L13&lt;&gt;"",ROUND('12'!$Q$104,0),"")</f>
        <v>29848</v>
      </c>
      <c r="X13" s="196">
        <f>IF(L13&lt;&gt;"",ROUND('12'!$Q$106,0),"")</f>
        <v>0</v>
      </c>
      <c r="Y13" s="196">
        <f>'12'!$Q$110</f>
        <v>0</v>
      </c>
      <c r="Z13" s="196">
        <f>IF(L13&lt;&gt;"",ROUND('12'!$Q$105,0),"")</f>
        <v>2558</v>
      </c>
      <c r="AA13" s="196">
        <f>IF(L13&lt;&gt;"",ROUND('12'!$Q$115,0),"")</f>
        <v>0</v>
      </c>
      <c r="AB13" s="196">
        <f>IF(S13&lt;&gt;"",ROUND('12'!$P$117+'12'!$P$119+'12'!$P$120,0),"")</f>
        <v>0</v>
      </c>
      <c r="AC13" s="196">
        <f>IF(S13&lt;&gt;"",ROUND('12'!$D$100,0),"")</f>
        <v>0</v>
      </c>
      <c r="AD13" s="270">
        <f>IF(S13&lt;&gt;"",ROUND(SUM('12'!$D$101:$D$110),0),"")</f>
        <v>0</v>
      </c>
      <c r="AE13" s="286">
        <f t="shared" si="4"/>
        <v>85109</v>
      </c>
      <c r="AF13" s="285"/>
      <c r="AG13" s="272" t="str">
        <f t="shared" si="5"/>
        <v>15.021.000-1</v>
      </c>
      <c r="AH13" s="197">
        <f t="shared" si="6"/>
        <v>489287</v>
      </c>
      <c r="AI13" s="196">
        <f>IF(S13&lt;&gt;"",ROUND('12'!$D$119,0),"")</f>
        <v>0</v>
      </c>
      <c r="AJ13" s="197">
        <f t="shared" si="7"/>
        <v>489287</v>
      </c>
      <c r="AK13" s="197">
        <f t="shared" si="8"/>
        <v>0</v>
      </c>
    </row>
    <row r="14" spans="1:37" ht="13.5" thickBot="1" x14ac:dyDescent="0.25">
      <c r="A14" s="203" t="str">
        <f>IF('13'!$T$142=0,"",'13'!$T$142)</f>
        <v>15.021.000-1</v>
      </c>
      <c r="B14" s="204" t="str">
        <f>IF('13'!$T$141=0,"",'13'!$T$141)</f>
        <v>Nombre del Trabajador</v>
      </c>
      <c r="C14" s="245" t="str">
        <f>IF(B14&lt;&gt;"",'13'!$F$123,"")</f>
        <v>30 DÍAS</v>
      </c>
      <c r="D14" s="245" t="str">
        <f>IF(B14&lt;&gt;"",'13'!$T$147,"")</f>
        <v>Adquisiciones</v>
      </c>
      <c r="E14" s="196">
        <f>IF(B14&lt;&gt;"",ROUND('13'!$I$174,0),"")</f>
        <v>350000</v>
      </c>
      <c r="F14" s="196">
        <f>IF(B14&lt;&gt;"",ROUND('13'!$I$175,0),"")</f>
        <v>76396</v>
      </c>
      <c r="G14" s="196">
        <f>IF(B14&lt;&gt;"",ROUND('13'!$I$176,0),"")</f>
        <v>0</v>
      </c>
      <c r="H14" s="196">
        <f>IF(B14&lt;&gt;"",ROUND('13'!$P$96+'13'!$P$97+'13'!$P$98+'13'!$P$99,0),"")</f>
        <v>0</v>
      </c>
      <c r="I14" s="270">
        <f>IF(B14&lt;&gt;"",ROUND('13'!$F$95,0),"")</f>
        <v>0</v>
      </c>
      <c r="J14" s="275">
        <f t="shared" si="3"/>
        <v>426396</v>
      </c>
      <c r="K14" s="234"/>
      <c r="L14" s="272" t="str">
        <f t="shared" si="0"/>
        <v>15.021.000-1</v>
      </c>
      <c r="M14" s="196">
        <f>IF(B14&lt;&gt;"",ROUND('13'!$D$114,0),"")</f>
        <v>74000</v>
      </c>
      <c r="N14" s="196">
        <f>IF(L14&lt;&gt;"",ROUND('13'!$D$115,0),"")</f>
        <v>74000</v>
      </c>
      <c r="O14" s="270">
        <f>IF(L14&lt;&gt;"",ROUND('13'!$D$116+'13'!$D$117+'13'!$D$118,0),"")</f>
        <v>0</v>
      </c>
      <c r="P14" s="283">
        <f t="shared" si="1"/>
        <v>574396</v>
      </c>
      <c r="Q14" s="280" t="str">
        <f>IF(L14&lt;&gt;"",'13'!$N$103,"")</f>
        <v>7-. MODELO</v>
      </c>
      <c r="R14" s="281"/>
      <c r="S14" s="272" t="str">
        <f t="shared" si="2"/>
        <v>15.021.000-1</v>
      </c>
      <c r="T14" s="196">
        <f>IF(L14&lt;&gt;"",ROUND('13'!$Q$103,0),"")</f>
        <v>45923</v>
      </c>
      <c r="U14" s="196">
        <f>IF(L14&lt;&gt;"",ROUND(SUM('13'!$Q$107:$Q$109),0),"")</f>
        <v>0</v>
      </c>
      <c r="V14" s="247" t="str">
        <f>IF(L14&lt;&gt;"",'13'!$N$104,"")</f>
        <v>12-. FONASA</v>
      </c>
      <c r="W14" s="196">
        <f>IF(L14&lt;&gt;"",ROUND('13'!$Q$104,0),"")</f>
        <v>29848</v>
      </c>
      <c r="X14" s="196">
        <f>IF(L14&lt;&gt;"",ROUND('13'!$Q$106,0),"")</f>
        <v>0</v>
      </c>
      <c r="Y14" s="196">
        <f>'13'!$Q$110</f>
        <v>0</v>
      </c>
      <c r="Z14" s="196">
        <f>IF(L14&lt;&gt;"",ROUND('13'!$Q$105,0),"")</f>
        <v>2558</v>
      </c>
      <c r="AA14" s="196">
        <f>IF(L14&lt;&gt;"",ROUND('13'!$Q$115,0),"")</f>
        <v>0</v>
      </c>
      <c r="AB14" s="196">
        <f>IF(S14&lt;&gt;"",ROUND('13'!$P$117+'13'!$P$119+'13'!$P$120,0),"")</f>
        <v>0</v>
      </c>
      <c r="AC14" s="196">
        <f>IF(S14&lt;&gt;"",ROUND('13'!$D$100,0),"")</f>
        <v>0</v>
      </c>
      <c r="AD14" s="270">
        <f>IF(S14&lt;&gt;"",ROUND(SUM('13'!$D$101:$D$110),0),"")</f>
        <v>0</v>
      </c>
      <c r="AE14" s="286">
        <f t="shared" si="4"/>
        <v>78329</v>
      </c>
      <c r="AF14" s="285"/>
      <c r="AG14" s="272" t="str">
        <f t="shared" si="5"/>
        <v>15.021.000-1</v>
      </c>
      <c r="AH14" s="197">
        <f t="shared" si="6"/>
        <v>496067</v>
      </c>
      <c r="AI14" s="196">
        <f>IF(S14&lt;&gt;"",ROUND('13'!$D$119,0),"")</f>
        <v>0</v>
      </c>
      <c r="AJ14" s="197">
        <f t="shared" si="7"/>
        <v>496067</v>
      </c>
      <c r="AK14" s="197">
        <f t="shared" si="8"/>
        <v>0</v>
      </c>
    </row>
    <row r="15" spans="1:37" ht="13.5" thickBot="1" x14ac:dyDescent="0.25">
      <c r="A15" s="203" t="str">
        <f>IF('14'!$T$142=0,"",'14'!$T$142)</f>
        <v>15.021.000-1</v>
      </c>
      <c r="B15" s="204" t="str">
        <f>IF('14'!$T$141=0,"",'14'!$T$141)</f>
        <v>Nombre del Trabajador</v>
      </c>
      <c r="C15" s="245" t="str">
        <f>IF(B15&lt;&gt;"",'14'!$F$123,"")</f>
        <v>30 DÍAS</v>
      </c>
      <c r="D15" s="245" t="str">
        <f>IF(B15&lt;&gt;"",'14'!$T$147,"")</f>
        <v>Estructuraciones</v>
      </c>
      <c r="E15" s="196">
        <f>IF(B15&lt;&gt;"",ROUND('14'!$I$174,0),"")</f>
        <v>350000</v>
      </c>
      <c r="F15" s="196">
        <f>IF(B15&lt;&gt;"",ROUND('14'!$I$175,0),"")</f>
        <v>76396</v>
      </c>
      <c r="G15" s="196">
        <f>IF(B15&lt;&gt;"",ROUND('14'!$I$176,0),"")</f>
        <v>0</v>
      </c>
      <c r="H15" s="196">
        <f>IF(B15&lt;&gt;"",ROUND('14'!$P$96+'14'!$P$97+'14'!$P$98+'14'!$P$99,0),"")</f>
        <v>0</v>
      </c>
      <c r="I15" s="270">
        <f>IF(B15&lt;&gt;"",ROUND('14'!$F$95,0),"")</f>
        <v>0</v>
      </c>
      <c r="J15" s="275">
        <f t="shared" si="3"/>
        <v>426396</v>
      </c>
      <c r="K15" s="234"/>
      <c r="L15" s="272" t="str">
        <f t="shared" si="0"/>
        <v>15.021.000-1</v>
      </c>
      <c r="M15" s="196">
        <f>IF(B15&lt;&gt;"",ROUND('14'!$D$114,0),"")</f>
        <v>74000</v>
      </c>
      <c r="N15" s="196">
        <f>IF(L15&lt;&gt;"",ROUND('14'!$D$115,0),"")</f>
        <v>74000</v>
      </c>
      <c r="O15" s="270">
        <f>IF(L15&lt;&gt;"",ROUND('14'!$D$116+'14'!$D$117+'14'!$D$118,0),"")</f>
        <v>0</v>
      </c>
      <c r="P15" s="283">
        <f t="shared" si="1"/>
        <v>574396</v>
      </c>
      <c r="Q15" s="280" t="str">
        <f>IF(L15&lt;&gt;"",'14'!$N$103,"")</f>
        <v>6-. PRÓVIDA</v>
      </c>
      <c r="R15" s="281"/>
      <c r="S15" s="272" t="str">
        <f t="shared" si="2"/>
        <v>15.021.000-1</v>
      </c>
      <c r="T15" s="196">
        <f>IF(L15&lt;&gt;"",ROUND('14'!$Q$103,0),"")</f>
        <v>49206</v>
      </c>
      <c r="U15" s="196">
        <f>IF(L15&lt;&gt;"",ROUND(SUM('14'!$Q$107:$Q$109),0),"")</f>
        <v>0</v>
      </c>
      <c r="V15" s="247" t="str">
        <f>IF(L15&lt;&gt;"",'14'!$N$104,"")</f>
        <v>12-. FONASA</v>
      </c>
      <c r="W15" s="196">
        <f>IF(L15&lt;&gt;"",ROUND('14'!$Q$104,0),"")</f>
        <v>29848</v>
      </c>
      <c r="X15" s="196">
        <f>IF(L15&lt;&gt;"",ROUND('14'!$Q$106,0),"")</f>
        <v>0</v>
      </c>
      <c r="Y15" s="196">
        <f>'14'!$Q$110</f>
        <v>0</v>
      </c>
      <c r="Z15" s="196">
        <f>IF(L15&lt;&gt;"",ROUND('14'!$Q$105,0),"")</f>
        <v>2558</v>
      </c>
      <c r="AA15" s="196">
        <f>IF(L15&lt;&gt;"",ROUND('14'!$Q$115,0),"")</f>
        <v>0</v>
      </c>
      <c r="AB15" s="196">
        <f>IF(S15&lt;&gt;"",ROUND('14'!$P$117+'14'!$P$119+'14'!$P$120,0),"")</f>
        <v>0</v>
      </c>
      <c r="AC15" s="196">
        <f>IF(S15&lt;&gt;"",ROUND('14'!$D$100,0),"")</f>
        <v>0</v>
      </c>
      <c r="AD15" s="270">
        <f>IF(S15&lt;&gt;"",ROUND(SUM('14'!$D$101:$D$110),0),"")</f>
        <v>0</v>
      </c>
      <c r="AE15" s="286">
        <f t="shared" si="4"/>
        <v>81612</v>
      </c>
      <c r="AF15" s="285"/>
      <c r="AG15" s="272" t="str">
        <f t="shared" si="5"/>
        <v>15.021.000-1</v>
      </c>
      <c r="AH15" s="197">
        <f t="shared" si="6"/>
        <v>492784</v>
      </c>
      <c r="AI15" s="196">
        <f>IF(S15&lt;&gt;"",ROUND('14'!$D$119,0),"")</f>
        <v>0</v>
      </c>
      <c r="AJ15" s="197">
        <f t="shared" si="7"/>
        <v>492784</v>
      </c>
      <c r="AK15" s="197">
        <f t="shared" si="8"/>
        <v>0</v>
      </c>
    </row>
    <row r="16" spans="1:37" ht="13.5" thickBot="1" x14ac:dyDescent="0.25">
      <c r="A16" s="203" t="str">
        <f>IF('15'!$T$142=0,"",'15'!$T$142)</f>
        <v>15.021.000-1</v>
      </c>
      <c r="B16" s="204" t="str">
        <f>IF('15'!$T$141=0,"",'15'!$T$141)</f>
        <v>Nombre del Trabajador</v>
      </c>
      <c r="C16" s="245" t="str">
        <f>IF(B16&lt;&gt;"",'15'!$F$123,"")</f>
        <v>30 DÍAS</v>
      </c>
      <c r="D16" s="245" t="str">
        <f>IF(B16&lt;&gt;"",'15'!$T$147,"")</f>
        <v>Administración</v>
      </c>
      <c r="E16" s="196">
        <f>IF(B16&lt;&gt;"",ROUND('15'!$I$174,0),"")</f>
        <v>350000</v>
      </c>
      <c r="F16" s="196">
        <f>IF(B16&lt;&gt;"",ROUND('15'!$I$175,0),"")</f>
        <v>76396</v>
      </c>
      <c r="G16" s="196">
        <f>IF(B16&lt;&gt;"",ROUND('15'!$I$176,0),"")</f>
        <v>0</v>
      </c>
      <c r="H16" s="196">
        <f>IF(B16&lt;&gt;"",ROUND('15'!$P$96+'15'!$P$97+'15'!$P$98+'15'!$P$99,0),"")</f>
        <v>0</v>
      </c>
      <c r="I16" s="270">
        <f>IF(B16&lt;&gt;"",ROUND('15'!$F$95,0),"")</f>
        <v>0</v>
      </c>
      <c r="J16" s="275">
        <f t="shared" si="3"/>
        <v>426396</v>
      </c>
      <c r="K16" s="234"/>
      <c r="L16" s="272" t="str">
        <f t="shared" si="0"/>
        <v>15.021.000-1</v>
      </c>
      <c r="M16" s="196">
        <f>IF(B16&lt;&gt;"",ROUND('15'!$D$114,0),"")</f>
        <v>74000</v>
      </c>
      <c r="N16" s="196">
        <f>IF(L16&lt;&gt;"",ROUND('15'!$D$115,0),"")</f>
        <v>74000</v>
      </c>
      <c r="O16" s="270">
        <f>IF(L16&lt;&gt;"",ROUND('15'!$D$116+'15'!$D$117+'15'!$D$118,0),"")</f>
        <v>0</v>
      </c>
      <c r="P16" s="283">
        <f t="shared" si="1"/>
        <v>574396</v>
      </c>
      <c r="Q16" s="280" t="str">
        <f>IF(L16&lt;&gt;"",'15'!$N$103,"")</f>
        <v>6-. PRÓVIDA</v>
      </c>
      <c r="R16" s="281"/>
      <c r="S16" s="272" t="str">
        <f t="shared" si="2"/>
        <v>15.021.000-1</v>
      </c>
      <c r="T16" s="196">
        <f>IF(L16&lt;&gt;"",ROUND('15'!$Q$103,0),"")</f>
        <v>49206</v>
      </c>
      <c r="U16" s="196">
        <f>IF(L16&lt;&gt;"",ROUND(SUM('15'!$Q$107:$Q$109),0),"")</f>
        <v>0</v>
      </c>
      <c r="V16" s="247" t="str">
        <f>IF(L16&lt;&gt;"",'15'!$N$104,"")</f>
        <v>12-. FONASA</v>
      </c>
      <c r="W16" s="196">
        <f>IF(L16&lt;&gt;"",ROUND('15'!$Q$104,0),"")</f>
        <v>29848</v>
      </c>
      <c r="X16" s="196">
        <f>IF(L16&lt;&gt;"",ROUND('15'!$Q$106,0),"")</f>
        <v>0</v>
      </c>
      <c r="Y16" s="196">
        <f>'15'!$Q$110</f>
        <v>0</v>
      </c>
      <c r="Z16" s="196">
        <f>IF(L16&lt;&gt;"",ROUND('15'!$Q$105,0),"")</f>
        <v>2558</v>
      </c>
      <c r="AA16" s="196">
        <f>IF(L16&lt;&gt;"",ROUND('15'!$Q$115,0),"")</f>
        <v>0</v>
      </c>
      <c r="AB16" s="196">
        <f>IF(S16&lt;&gt;"",ROUND('15'!$P$117+'15'!$P$119+'15'!$P$120,0),"")</f>
        <v>0</v>
      </c>
      <c r="AC16" s="196">
        <f>IF(S16&lt;&gt;"",ROUND('15'!$D$100,0),"")</f>
        <v>0</v>
      </c>
      <c r="AD16" s="270">
        <f>IF(S16&lt;&gt;"",ROUND(SUM('15'!$D$101:$D$110),0),"")</f>
        <v>0</v>
      </c>
      <c r="AE16" s="286">
        <f t="shared" si="4"/>
        <v>81612</v>
      </c>
      <c r="AF16" s="285"/>
      <c r="AG16" s="272" t="str">
        <f t="shared" si="5"/>
        <v>15.021.000-1</v>
      </c>
      <c r="AH16" s="197">
        <f t="shared" si="6"/>
        <v>492784</v>
      </c>
      <c r="AI16" s="196">
        <f>IF(S16&lt;&gt;"",ROUND('15'!$D$119,0),"")</f>
        <v>0</v>
      </c>
      <c r="AJ16" s="197">
        <f t="shared" si="7"/>
        <v>492784</v>
      </c>
      <c r="AK16" s="197">
        <f t="shared" si="8"/>
        <v>0</v>
      </c>
    </row>
    <row r="17" spans="1:37" ht="13.5" thickBot="1" x14ac:dyDescent="0.25">
      <c r="A17" s="203" t="str">
        <f>IF('16'!$T$142=0,"",'16'!$T$142)</f>
        <v>15.021.000-1</v>
      </c>
      <c r="B17" s="204" t="str">
        <f>IF('16'!$T$141=0,"",'16'!$T$141)</f>
        <v>Nombre del Trabajador</v>
      </c>
      <c r="C17" s="245" t="str">
        <f>IF(B17&lt;&gt;"",'16'!$F$123,"")</f>
        <v>30 DÍAS</v>
      </c>
      <c r="D17" s="245" t="str">
        <f>IF(B17&lt;&gt;"",'16'!$T$147,"")</f>
        <v>Mecánica</v>
      </c>
      <c r="E17" s="196">
        <f>IF(B17&lt;&gt;"",ROUND('16'!$I$174,0),"")</f>
        <v>350000</v>
      </c>
      <c r="F17" s="196">
        <f>IF(B17&lt;&gt;"",ROUND('16'!$I$175,0),"")</f>
        <v>76396</v>
      </c>
      <c r="G17" s="196">
        <f>IF(B17&lt;&gt;"",ROUND('16'!$I$176,0),"")</f>
        <v>0</v>
      </c>
      <c r="H17" s="196">
        <f>IF(B17&lt;&gt;"",ROUND('16'!$P$96+'16'!$P$97+'16'!$P$98+'16'!$P$99,0),"")</f>
        <v>0</v>
      </c>
      <c r="I17" s="270">
        <f>IF(B17&lt;&gt;"",ROUND('16'!$F$95,0),"")</f>
        <v>0</v>
      </c>
      <c r="J17" s="275">
        <f t="shared" si="3"/>
        <v>426396</v>
      </c>
      <c r="K17" s="234"/>
      <c r="L17" s="272" t="str">
        <f t="shared" si="0"/>
        <v>15.021.000-1</v>
      </c>
      <c r="M17" s="196">
        <f>IF(B17&lt;&gt;"",ROUND('16'!$D$114,0),"")</f>
        <v>74000</v>
      </c>
      <c r="N17" s="196">
        <f>IF(L17&lt;&gt;"",ROUND('16'!$D$115,0),"")</f>
        <v>74000</v>
      </c>
      <c r="O17" s="270">
        <f>IF(L17&lt;&gt;"",ROUND('16'!$D$116+'16'!$D$117+'16'!$D$118,0),"")</f>
        <v>0</v>
      </c>
      <c r="P17" s="283">
        <f t="shared" si="1"/>
        <v>574396</v>
      </c>
      <c r="Q17" s="280" t="str">
        <f>IF(L17&lt;&gt;"",'16'!$N$103,"")</f>
        <v>7-. MODELO</v>
      </c>
      <c r="R17" s="281"/>
      <c r="S17" s="272" t="str">
        <f t="shared" si="2"/>
        <v>15.021.000-1</v>
      </c>
      <c r="T17" s="196">
        <f>IF(L17&lt;&gt;"",ROUND('16'!$Q$103,0),"")</f>
        <v>45923</v>
      </c>
      <c r="U17" s="196">
        <f>IF(L17&lt;&gt;"",ROUND(SUM('16'!$Q$107:$Q$109),0),"")</f>
        <v>0</v>
      </c>
      <c r="V17" s="247" t="str">
        <f>IF(L17&lt;&gt;"",'16'!$N$104,"")</f>
        <v>12-. FONASA</v>
      </c>
      <c r="W17" s="196">
        <f>IF(L17&lt;&gt;"",ROUND('16'!$Q$104,0),"")</f>
        <v>29848</v>
      </c>
      <c r="X17" s="196">
        <f>IF(L17&lt;&gt;"",ROUND('16'!$Q$106,0),"")</f>
        <v>0</v>
      </c>
      <c r="Y17" s="196">
        <f>'16'!$Q$110</f>
        <v>0</v>
      </c>
      <c r="Z17" s="196">
        <f>IF(L17&lt;&gt;"",ROUND('16'!$Q$105,0),"")</f>
        <v>2558</v>
      </c>
      <c r="AA17" s="196">
        <f>IF(L17&lt;&gt;"",ROUND('16'!$Q$115,0),"")</f>
        <v>0</v>
      </c>
      <c r="AB17" s="196">
        <f>IF(S17&lt;&gt;"",ROUND('16'!$P$117+'16'!$P$119+'16'!$P$120,0),"")</f>
        <v>0</v>
      </c>
      <c r="AC17" s="196">
        <f>IF(S17&lt;&gt;"",ROUND('16'!$D$100,0),"")</f>
        <v>0</v>
      </c>
      <c r="AD17" s="270">
        <f>IF(S17&lt;&gt;"",ROUND(SUM('16'!$D$101:$D$110),0),"")</f>
        <v>0</v>
      </c>
      <c r="AE17" s="286">
        <f t="shared" si="4"/>
        <v>78329</v>
      </c>
      <c r="AF17" s="285"/>
      <c r="AG17" s="272" t="str">
        <f t="shared" si="5"/>
        <v>15.021.000-1</v>
      </c>
      <c r="AH17" s="197">
        <f t="shared" si="6"/>
        <v>496067</v>
      </c>
      <c r="AI17" s="196">
        <f>IF(S17&lt;&gt;"",ROUND('16'!$D$119,0),"")</f>
        <v>0</v>
      </c>
      <c r="AJ17" s="197">
        <f t="shared" si="7"/>
        <v>496067</v>
      </c>
      <c r="AK17" s="197">
        <f t="shared" si="8"/>
        <v>0</v>
      </c>
    </row>
    <row r="18" spans="1:37" ht="13.5" thickBot="1" x14ac:dyDescent="0.25">
      <c r="A18" s="203" t="str">
        <f>IF('17'!$T$142=0,"",'17'!$T$142)</f>
        <v>15.021.000-1</v>
      </c>
      <c r="B18" s="204" t="str">
        <f>IF('17'!$T$141=0,"",'17'!$T$141)</f>
        <v>Nombre del Trabajador</v>
      </c>
      <c r="C18" s="245" t="str">
        <f>IF(B18&lt;&gt;"",'17'!$F$123,"")</f>
        <v>30 DÍAS</v>
      </c>
      <c r="D18" s="245" t="str">
        <f>IF(B18&lt;&gt;"",'17'!$T$147,"")</f>
        <v>Tornería</v>
      </c>
      <c r="E18" s="196">
        <f>IF(B18&lt;&gt;"",ROUND('17'!$I$174,0),"")</f>
        <v>350000</v>
      </c>
      <c r="F18" s="196">
        <f>IF(B18&lt;&gt;"",ROUND('17'!$I$175,0),"")</f>
        <v>76396</v>
      </c>
      <c r="G18" s="196">
        <f>IF(B18&lt;&gt;"",ROUND('17'!$I$176,0),"")</f>
        <v>0</v>
      </c>
      <c r="H18" s="196">
        <f>IF(B18&lt;&gt;"",ROUND('17'!$P$96+'17'!$P$97+'17'!$P$98+'17'!$P$99,0),"")</f>
        <v>0</v>
      </c>
      <c r="I18" s="270">
        <f>IF(B18&lt;&gt;"",ROUND('17'!$F$95,0),"")</f>
        <v>0</v>
      </c>
      <c r="J18" s="275">
        <f t="shared" si="3"/>
        <v>426396</v>
      </c>
      <c r="K18" s="234"/>
      <c r="L18" s="272" t="str">
        <f t="shared" si="0"/>
        <v>15.021.000-1</v>
      </c>
      <c r="M18" s="196">
        <f>IF(B18&lt;&gt;"",ROUND('17'!$D$114,0),"")</f>
        <v>74000</v>
      </c>
      <c r="N18" s="196">
        <f>IF(L18&lt;&gt;"",ROUND('17'!$D$115,0),"")</f>
        <v>74000</v>
      </c>
      <c r="O18" s="270">
        <f>IF(L18&lt;&gt;"",ROUND('17'!$D$116+'17'!$D$117+'17'!$D$118,0),"")</f>
        <v>0</v>
      </c>
      <c r="P18" s="283">
        <f t="shared" si="1"/>
        <v>574396</v>
      </c>
      <c r="Q18" s="280" t="str">
        <f>IF(L18&lt;&gt;"",'17'!$N$103,"")</f>
        <v xml:space="preserve">2-. CAPITAL </v>
      </c>
      <c r="R18" s="281"/>
      <c r="S18" s="272" t="str">
        <f t="shared" si="2"/>
        <v>15.021.000-1</v>
      </c>
      <c r="T18" s="196">
        <f>IF(L18&lt;&gt;"",ROUND('17'!$Q$103,0),"")</f>
        <v>48780</v>
      </c>
      <c r="U18" s="196">
        <f>IF(L18&lt;&gt;"",ROUND(SUM('17'!$Q$107:$Q$109),0),"")</f>
        <v>0</v>
      </c>
      <c r="V18" s="247" t="str">
        <f>IF(L18&lt;&gt;"",'17'!$N$104,"")</f>
        <v>12-. FONASA</v>
      </c>
      <c r="W18" s="196">
        <f>IF(L18&lt;&gt;"",ROUND('17'!$Q$104,0),"")</f>
        <v>29848</v>
      </c>
      <c r="X18" s="196">
        <f>IF(L18&lt;&gt;"",ROUND('17'!$Q$106,0),"")</f>
        <v>0</v>
      </c>
      <c r="Y18" s="196">
        <f>'17'!$Q$110</f>
        <v>0</v>
      </c>
      <c r="Z18" s="196">
        <f>IF(L18&lt;&gt;"",ROUND('17'!$Q$105,0),"")</f>
        <v>2558</v>
      </c>
      <c r="AA18" s="196">
        <f>IF(L18&lt;&gt;"",ROUND('17'!$Q$115,0),"")</f>
        <v>0</v>
      </c>
      <c r="AB18" s="196">
        <f>IF(S18&lt;&gt;"",ROUND('17'!$P$117+'17'!$P$119+'17'!$P$120,0),"")</f>
        <v>0</v>
      </c>
      <c r="AC18" s="196">
        <f>IF(S18&lt;&gt;"",ROUND('17'!$D$100,0),"")</f>
        <v>0</v>
      </c>
      <c r="AD18" s="270">
        <f>IF(S18&lt;&gt;"",ROUND(SUM('17'!$D$101:$D$110),0),"")</f>
        <v>0</v>
      </c>
      <c r="AE18" s="286">
        <f t="shared" si="4"/>
        <v>81186</v>
      </c>
      <c r="AF18" s="285"/>
      <c r="AG18" s="272" t="str">
        <f t="shared" si="5"/>
        <v>15.021.000-1</v>
      </c>
      <c r="AH18" s="197">
        <f t="shared" si="6"/>
        <v>493210</v>
      </c>
      <c r="AI18" s="196">
        <f>IF(S18&lt;&gt;"",ROUND('17'!$D$119,0),"")</f>
        <v>0</v>
      </c>
      <c r="AJ18" s="197">
        <f t="shared" si="7"/>
        <v>493210</v>
      </c>
      <c r="AK18" s="197">
        <f t="shared" si="8"/>
        <v>0</v>
      </c>
    </row>
    <row r="19" spans="1:37" ht="13.5" thickBot="1" x14ac:dyDescent="0.25">
      <c r="A19" s="203" t="str">
        <f>IF('18'!$T$142=0,"",'18'!$T$142)</f>
        <v>15.021.000-1</v>
      </c>
      <c r="B19" s="204" t="str">
        <f>IF('18'!$T$141=0,"",'18'!$T$141)</f>
        <v>Nombre del Trabajador</v>
      </c>
      <c r="C19" s="245" t="str">
        <f>IF(B19&lt;&gt;"",'18'!$F$123,"")</f>
        <v>30 DÍAS</v>
      </c>
      <c r="D19" s="245" t="str">
        <f>IF(B19&lt;&gt;"",'18'!$T$147,"")</f>
        <v>Tornería</v>
      </c>
      <c r="E19" s="196">
        <f>IF(B19&lt;&gt;"",ROUND('18'!$I$174,0),"")</f>
        <v>350000</v>
      </c>
      <c r="F19" s="196">
        <f>IF(B19&lt;&gt;"",ROUND('18'!$I$175,0),"")</f>
        <v>76396</v>
      </c>
      <c r="G19" s="196">
        <f>IF(B19&lt;&gt;"",ROUND('18'!$I$176,0),"")</f>
        <v>0</v>
      </c>
      <c r="H19" s="196">
        <f>IF(B19&lt;&gt;"",ROUND('18'!$P$96+'18'!$P$97+'18'!$P$98+'18'!$P$99,0),"")</f>
        <v>0</v>
      </c>
      <c r="I19" s="270">
        <f>IF(B19&lt;&gt;"",ROUND('18'!$F$95,0),"")</f>
        <v>0</v>
      </c>
      <c r="J19" s="275">
        <f t="shared" si="3"/>
        <v>426396</v>
      </c>
      <c r="K19" s="234"/>
      <c r="L19" s="272" t="str">
        <f t="shared" si="0"/>
        <v>15.021.000-1</v>
      </c>
      <c r="M19" s="196">
        <f>IF(B19&lt;&gt;"",ROUND('18'!$D$114,0),"")</f>
        <v>74000</v>
      </c>
      <c r="N19" s="196">
        <f>IF(L19&lt;&gt;"",ROUND('18'!$D$115,0),"")</f>
        <v>74000</v>
      </c>
      <c r="O19" s="270">
        <f>IF(L19&lt;&gt;"",ROUND('18'!$D$116+'18'!$D$117+'18'!$D$118,0),"")</f>
        <v>0</v>
      </c>
      <c r="P19" s="283">
        <f t="shared" si="1"/>
        <v>574396</v>
      </c>
      <c r="Q19" s="280" t="str">
        <f>IF(L19&lt;&gt;"",'18'!$N$103,"")</f>
        <v>7-. MODELO</v>
      </c>
      <c r="R19" s="281"/>
      <c r="S19" s="272" t="str">
        <f t="shared" si="2"/>
        <v>15.021.000-1</v>
      </c>
      <c r="T19" s="196">
        <f>IF(L19&lt;&gt;"",ROUND('18'!$Q$103,0),"")</f>
        <v>45923</v>
      </c>
      <c r="U19" s="196">
        <f>IF(L19&lt;&gt;"",ROUND(SUM('18'!$Q$107:$Q$109),0),"")</f>
        <v>0</v>
      </c>
      <c r="V19" s="247" t="str">
        <f>IF(L19&lt;&gt;"",'18'!$N$104,"")</f>
        <v>12-. FONASA</v>
      </c>
      <c r="W19" s="196">
        <f>IF(L19&lt;&gt;"",ROUND('18'!$Q$104,0),"")</f>
        <v>29848</v>
      </c>
      <c r="X19" s="196">
        <f>IF(L19&lt;&gt;"",ROUND('18'!$Q$106,0),"")</f>
        <v>0</v>
      </c>
      <c r="Y19" s="196">
        <f>'18'!$Q$110</f>
        <v>0</v>
      </c>
      <c r="Z19" s="196">
        <f>IF(L19&lt;&gt;"",ROUND('18'!$Q$105,0),"")</f>
        <v>2558</v>
      </c>
      <c r="AA19" s="196">
        <f>IF(L19&lt;&gt;"",ROUND('18'!$Q$115,0),"")</f>
        <v>0</v>
      </c>
      <c r="AB19" s="196">
        <f>IF(S19&lt;&gt;"",ROUND('18'!$P$117+'18'!$P$119+'18'!$P$120,0),"")</f>
        <v>0</v>
      </c>
      <c r="AC19" s="196">
        <f>IF(S19&lt;&gt;"",ROUND('18'!$D$100,0),"")</f>
        <v>0</v>
      </c>
      <c r="AD19" s="270">
        <f>IF(S19&lt;&gt;"",ROUND(SUM('18'!$D$101:$D$110),0),"")</f>
        <v>0</v>
      </c>
      <c r="AE19" s="286">
        <f t="shared" si="4"/>
        <v>78329</v>
      </c>
      <c r="AF19" s="285"/>
      <c r="AG19" s="272" t="str">
        <f t="shared" si="5"/>
        <v>15.021.000-1</v>
      </c>
      <c r="AH19" s="197">
        <f t="shared" si="6"/>
        <v>496067</v>
      </c>
      <c r="AI19" s="196">
        <f>IF(S19&lt;&gt;"",ROUND('18'!$D$119,0),"")</f>
        <v>0</v>
      </c>
      <c r="AJ19" s="197">
        <f t="shared" si="7"/>
        <v>496067</v>
      </c>
      <c r="AK19" s="197">
        <f t="shared" si="8"/>
        <v>0</v>
      </c>
    </row>
    <row r="20" spans="1:37" ht="13.5" thickBot="1" x14ac:dyDescent="0.25">
      <c r="A20" s="203" t="str">
        <f>IF('19'!$T$142=0,"",'19'!$T$142)</f>
        <v>15.021.000-1</v>
      </c>
      <c r="B20" s="204" t="str">
        <f>IF('19'!$T$141=0,"",'19'!$T$141)</f>
        <v>Nombre del Trabajador</v>
      </c>
      <c r="C20" s="245" t="str">
        <f>IF(B20&lt;&gt;"",'19'!$F$123,"")</f>
        <v>30 DÍAS</v>
      </c>
      <c r="D20" s="245" t="str">
        <f>IF(B20&lt;&gt;"",'19'!$T$147,"")</f>
        <v>Tornería</v>
      </c>
      <c r="E20" s="196">
        <f>IF(B20&lt;&gt;"",ROUND('19'!$I$174,0),"")</f>
        <v>350000</v>
      </c>
      <c r="F20" s="196">
        <f>IF(B20&lt;&gt;"",ROUND('19'!$I$175,0),"")</f>
        <v>76396</v>
      </c>
      <c r="G20" s="196">
        <f>IF(B20&lt;&gt;"",ROUND('19'!$I$176,0),"")</f>
        <v>0</v>
      </c>
      <c r="H20" s="196">
        <f>IF(B20&lt;&gt;"",ROUND('19'!$P$96+'19'!$P$97+'19'!$P$98+'19'!$P$99,0),"")</f>
        <v>0</v>
      </c>
      <c r="I20" s="270">
        <f>IF(B20&lt;&gt;"",ROUND('19'!$F$95,0),"")</f>
        <v>0</v>
      </c>
      <c r="J20" s="275">
        <f t="shared" si="3"/>
        <v>426396</v>
      </c>
      <c r="K20" s="234"/>
      <c r="L20" s="272" t="str">
        <f t="shared" si="0"/>
        <v>15.021.000-1</v>
      </c>
      <c r="M20" s="196">
        <f>IF(B20&lt;&gt;"",ROUND('19'!$D$114,0),"")</f>
        <v>74000</v>
      </c>
      <c r="N20" s="196">
        <f>IF(L20&lt;&gt;"",ROUND('19'!$D$115,0),"")</f>
        <v>74000</v>
      </c>
      <c r="O20" s="270">
        <f>IF(L20&lt;&gt;"",ROUND('19'!$D$116+'19'!$D$117+'19'!$D$118,0),"")</f>
        <v>0</v>
      </c>
      <c r="P20" s="283">
        <f t="shared" si="1"/>
        <v>574396</v>
      </c>
      <c r="Q20" s="280" t="str">
        <f>IF(L20&lt;&gt;"",'19'!$N$103,"")</f>
        <v>4-. HÁBITAT</v>
      </c>
      <c r="R20" s="281"/>
      <c r="S20" s="272" t="str">
        <f t="shared" si="2"/>
        <v>15.021.000-1</v>
      </c>
      <c r="T20" s="196">
        <f>IF(L20&lt;&gt;"",ROUND('19'!$Q$103,0),"")</f>
        <v>48055</v>
      </c>
      <c r="U20" s="196">
        <f>IF(L20&lt;&gt;"",ROUND(SUM('19'!$Q$107:$Q$109),0),"")</f>
        <v>0</v>
      </c>
      <c r="V20" s="247" t="str">
        <f>IF(L20&lt;&gt;"",'19'!$N$104,"")</f>
        <v>12-. FONASA</v>
      </c>
      <c r="W20" s="196">
        <f>IF(L20&lt;&gt;"",ROUND('19'!$Q$104,0),"")</f>
        <v>29848</v>
      </c>
      <c r="X20" s="196">
        <f>IF(L20&lt;&gt;"",ROUND('19'!$Q$106,0),"")</f>
        <v>0</v>
      </c>
      <c r="Y20" s="196">
        <f>'19'!$Q$110</f>
        <v>0</v>
      </c>
      <c r="Z20" s="196">
        <f>IF(L20&lt;&gt;"",ROUND('19'!$Q$105,0),"")</f>
        <v>2558</v>
      </c>
      <c r="AA20" s="196">
        <f>IF(L20&lt;&gt;"",ROUND('19'!$Q$115,0),"")</f>
        <v>0</v>
      </c>
      <c r="AB20" s="196">
        <f>IF(S20&lt;&gt;"",ROUND('19'!$P$117+'19'!$P$119+'19'!$P$120,0),"")</f>
        <v>0</v>
      </c>
      <c r="AC20" s="196">
        <f>IF(S20&lt;&gt;"",ROUND('19'!$D$100,0),"")</f>
        <v>0</v>
      </c>
      <c r="AD20" s="270">
        <f>IF(S20&lt;&gt;"",ROUND(SUM('19'!$D$101:$D$110),0),"")</f>
        <v>0</v>
      </c>
      <c r="AE20" s="286">
        <f t="shared" si="4"/>
        <v>80461</v>
      </c>
      <c r="AF20" s="285"/>
      <c r="AG20" s="272" t="str">
        <f t="shared" si="5"/>
        <v>15.021.000-1</v>
      </c>
      <c r="AH20" s="197">
        <f t="shared" si="6"/>
        <v>493935</v>
      </c>
      <c r="AI20" s="196">
        <f>IF(S20&lt;&gt;"",ROUND('19'!$D$119,0),"")</f>
        <v>0</v>
      </c>
      <c r="AJ20" s="197">
        <f t="shared" si="7"/>
        <v>493935</v>
      </c>
      <c r="AK20" s="197">
        <f t="shared" si="8"/>
        <v>0</v>
      </c>
    </row>
    <row r="21" spans="1:37" ht="13.5" thickBot="1" x14ac:dyDescent="0.25">
      <c r="A21" s="203" t="str">
        <f>IF('20'!$T$142=0,"",'20'!$T$142)</f>
        <v>15.021.000-1</v>
      </c>
      <c r="B21" s="204" t="str">
        <f>IF('20'!$T$141=0,"",'20'!$T$141)</f>
        <v>Nombre del Trabajador</v>
      </c>
      <c r="C21" s="245" t="str">
        <f>IF(B21&lt;&gt;"",'20'!$F$123,"")</f>
        <v>30 DÍAS</v>
      </c>
      <c r="D21" s="245" t="str">
        <f>IF(B21&lt;&gt;"",'20'!$T$147,"")</f>
        <v>Tornería</v>
      </c>
      <c r="E21" s="196">
        <f>IF(B21&lt;&gt;"",ROUND('20'!$I$174,0),"")</f>
        <v>350000</v>
      </c>
      <c r="F21" s="196">
        <f>IF(B21&lt;&gt;"",ROUND('20'!$I$175,0),"")</f>
        <v>76396</v>
      </c>
      <c r="G21" s="196">
        <f>IF(B21&lt;&gt;"",ROUND('20'!$I$176,0),"")</f>
        <v>0</v>
      </c>
      <c r="H21" s="196">
        <f>IF(B21&lt;&gt;"",ROUND('20'!$P$96+'20'!$P$97+'20'!$P$98+'20'!$P$99,0),"")</f>
        <v>0</v>
      </c>
      <c r="I21" s="270">
        <f>IF(B21&lt;&gt;"",ROUND('20'!$F$95,0),"")</f>
        <v>0</v>
      </c>
      <c r="J21" s="275">
        <f t="shared" si="3"/>
        <v>426396</v>
      </c>
      <c r="K21" s="234"/>
      <c r="L21" s="272" t="str">
        <f t="shared" si="0"/>
        <v>15.021.000-1</v>
      </c>
      <c r="M21" s="196">
        <f>IF(B21&lt;&gt;"",ROUND('20'!$D$114,0),"")</f>
        <v>74000</v>
      </c>
      <c r="N21" s="196">
        <f>IF(L21&lt;&gt;"",ROUND('20'!$D$115,0),"")</f>
        <v>74000</v>
      </c>
      <c r="O21" s="270">
        <f>IF(L21&lt;&gt;"",ROUND('20'!$D$116+'20'!$D$117+'20'!$D$118,0),"")</f>
        <v>0</v>
      </c>
      <c r="P21" s="283">
        <f t="shared" si="1"/>
        <v>574396</v>
      </c>
      <c r="Q21" s="280" t="str">
        <f>IF(L21&lt;&gt;"",'20'!$N$103,"")</f>
        <v>4-. HÁBITAT</v>
      </c>
      <c r="R21" s="281"/>
      <c r="S21" s="272" t="str">
        <f t="shared" si="2"/>
        <v>15.021.000-1</v>
      </c>
      <c r="T21" s="196">
        <f>IF(L21&lt;&gt;"",ROUND('20'!$Q$103,0),"")</f>
        <v>48055</v>
      </c>
      <c r="U21" s="196">
        <f>IF(L21&lt;&gt;"",ROUND(SUM('20'!$Q$107:$Q$109),0),"")</f>
        <v>0</v>
      </c>
      <c r="V21" s="247" t="str">
        <f>IF(L21&lt;&gt;"",'20'!$N$104,"")</f>
        <v>12-. FONASA</v>
      </c>
      <c r="W21" s="196">
        <f>IF(L21&lt;&gt;"",ROUND('20'!$Q$104,0),"")</f>
        <v>29848</v>
      </c>
      <c r="X21" s="196">
        <f>IF(L21&lt;&gt;"",ROUND('20'!$Q$106,0),"")</f>
        <v>0</v>
      </c>
      <c r="Y21" s="196">
        <f>'20'!$Q$110</f>
        <v>0</v>
      </c>
      <c r="Z21" s="196">
        <f>IF(L21&lt;&gt;"",ROUND('20'!$Q$105,0),"")</f>
        <v>0</v>
      </c>
      <c r="AA21" s="196">
        <f>IF(L21&lt;&gt;"",ROUND('20'!$Q$115,0),"")</f>
        <v>0</v>
      </c>
      <c r="AB21" s="196">
        <f>IF(S21&lt;&gt;"",ROUND('20'!$P$117+'20'!$P$119+'20'!$P$120,0),"")</f>
        <v>0</v>
      </c>
      <c r="AC21" s="196">
        <f>IF(S21&lt;&gt;"",ROUND('20'!$D$100,0),"")</f>
        <v>0</v>
      </c>
      <c r="AD21" s="270">
        <f>IF(S21&lt;&gt;"",ROUND(SUM('20'!$D$101:$D$110),0),"")</f>
        <v>0</v>
      </c>
      <c r="AE21" s="286">
        <f t="shared" si="4"/>
        <v>77903</v>
      </c>
      <c r="AF21" s="285"/>
      <c r="AG21" s="272" t="str">
        <f t="shared" si="5"/>
        <v>15.021.000-1</v>
      </c>
      <c r="AH21" s="197">
        <f t="shared" si="6"/>
        <v>496493</v>
      </c>
      <c r="AI21" s="196">
        <f>IF(S21&lt;&gt;"",ROUND('20'!$D$119,0),"")</f>
        <v>0</v>
      </c>
      <c r="AJ21" s="197">
        <f t="shared" si="7"/>
        <v>496493</v>
      </c>
      <c r="AK21" s="197">
        <f t="shared" si="8"/>
        <v>0</v>
      </c>
    </row>
    <row r="22" spans="1:37" ht="13.5" thickBot="1" x14ac:dyDescent="0.25">
      <c r="A22" s="203" t="str">
        <f>IF('21'!$T$142=0,"",'21'!$T$142)</f>
        <v>15.021.000-1</v>
      </c>
      <c r="B22" s="204" t="str">
        <f>IF('21'!$T$141=0,"",'21'!$T$141)</f>
        <v>Nombre del Trabajador</v>
      </c>
      <c r="C22" s="245" t="str">
        <f>IF(B22&lt;&gt;"",'21'!$F$123,"")</f>
        <v>30 DÍAS</v>
      </c>
      <c r="D22" s="245" t="str">
        <f>IF(B22&lt;&gt;"",'21'!$T$147,"")</f>
        <v>Administración</v>
      </c>
      <c r="E22" s="196">
        <f>IF(B22&lt;&gt;"",ROUND('21'!$I$174,0),"")</f>
        <v>350000</v>
      </c>
      <c r="F22" s="196">
        <f>IF(B22&lt;&gt;"",ROUND('21'!$I$175,0),"")</f>
        <v>76396</v>
      </c>
      <c r="G22" s="196">
        <f>IF(B22&lt;&gt;"",ROUND('21'!$I$176,0),"")</f>
        <v>0</v>
      </c>
      <c r="H22" s="196">
        <f>IF(B22&lt;&gt;"",ROUND('21'!$P$96+'21'!$P$97+'21'!$P$98+'21'!$P$99,0),"")</f>
        <v>0</v>
      </c>
      <c r="I22" s="270">
        <f>IF(B22&lt;&gt;"",ROUND('21'!$F$95,0),"")</f>
        <v>0</v>
      </c>
      <c r="J22" s="275">
        <f t="shared" si="3"/>
        <v>426396</v>
      </c>
      <c r="K22" s="234"/>
      <c r="L22" s="272" t="str">
        <f t="shared" si="0"/>
        <v>15.021.000-1</v>
      </c>
      <c r="M22" s="196">
        <f>IF(B22&lt;&gt;"",ROUND('21'!$D$114,0),"")</f>
        <v>74000</v>
      </c>
      <c r="N22" s="196">
        <f>IF(L22&lt;&gt;"",ROUND('21'!$D$115,0),"")</f>
        <v>74000</v>
      </c>
      <c r="O22" s="270">
        <f>IF(L22&lt;&gt;"",ROUND('21'!$D$116+'21'!$D$117+'21'!$D$118,0),"")</f>
        <v>0</v>
      </c>
      <c r="P22" s="283">
        <f t="shared" si="1"/>
        <v>574396</v>
      </c>
      <c r="Q22" s="280" t="str">
        <f>IF(L22&lt;&gt;"",'21'!$N$103,"")</f>
        <v xml:space="preserve">2-. CAPITAL </v>
      </c>
      <c r="R22" s="281"/>
      <c r="S22" s="272" t="str">
        <f t="shared" si="2"/>
        <v>15.021.000-1</v>
      </c>
      <c r="T22" s="196">
        <f>IF(L22&lt;&gt;"",ROUND('21'!$Q$103,0),"")</f>
        <v>48780</v>
      </c>
      <c r="U22" s="196">
        <f>IF(L22&lt;&gt;"",ROUND(SUM('21'!$Q$107:$Q$109),0),"")</f>
        <v>0</v>
      </c>
      <c r="V22" s="247" t="str">
        <f>IF(L22&lt;&gt;"",'21'!$N$104,"")</f>
        <v>12-. FONASA</v>
      </c>
      <c r="W22" s="196">
        <f>IF(L22&lt;&gt;"",ROUND('21'!$Q$104,0),"")</f>
        <v>29848</v>
      </c>
      <c r="X22" s="196">
        <f>IF(L22&lt;&gt;"",ROUND('21'!$Q$106,0),"")</f>
        <v>0</v>
      </c>
      <c r="Y22" s="196">
        <f>'21'!$Q$110</f>
        <v>0</v>
      </c>
      <c r="Z22" s="196">
        <f>IF(L22&lt;&gt;"",ROUND('21'!$Q$105,0),"")</f>
        <v>2558</v>
      </c>
      <c r="AA22" s="196">
        <f>IF(L22&lt;&gt;"",ROUND('21'!$Q$115,0),"")</f>
        <v>0</v>
      </c>
      <c r="AB22" s="196">
        <f>IF(S22&lt;&gt;"",ROUND('21'!$P$117+'21'!$P$119+'21'!$P$120,0),"")</f>
        <v>0</v>
      </c>
      <c r="AC22" s="196">
        <f>IF(S22&lt;&gt;"",ROUND('21'!$D$100,0),"")</f>
        <v>0</v>
      </c>
      <c r="AD22" s="270">
        <f>IF(S22&lt;&gt;"",ROUND(SUM('21'!$D$101:$D$110),0),"")</f>
        <v>0</v>
      </c>
      <c r="AE22" s="286">
        <f t="shared" si="4"/>
        <v>81186</v>
      </c>
      <c r="AF22" s="285"/>
      <c r="AG22" s="272" t="str">
        <f t="shared" si="5"/>
        <v>15.021.000-1</v>
      </c>
      <c r="AH22" s="197">
        <f t="shared" si="6"/>
        <v>493210</v>
      </c>
      <c r="AI22" s="196">
        <f>IF(S22&lt;&gt;"",ROUND('21'!$D$119,0),"")</f>
        <v>0</v>
      </c>
      <c r="AJ22" s="197">
        <f t="shared" si="7"/>
        <v>493210</v>
      </c>
      <c r="AK22" s="197">
        <f t="shared" si="8"/>
        <v>0</v>
      </c>
    </row>
    <row r="23" spans="1:37" ht="13.5" thickBot="1" x14ac:dyDescent="0.25">
      <c r="A23" s="203" t="str">
        <f>IF('22'!$T$142=0,"",'22'!$T$142)</f>
        <v>15.021.000-1</v>
      </c>
      <c r="B23" s="204" t="str">
        <f>IF('22'!$T$141=0,"",'22'!$T$141)</f>
        <v>Nombre del Trabajador</v>
      </c>
      <c r="C23" s="245" t="str">
        <f>IF(B23&lt;&gt;"",'22'!$F$123,"")</f>
        <v>30 DÍAS</v>
      </c>
      <c r="D23" s="245" t="str">
        <f>IF(B23&lt;&gt;"",'22'!$T$147,"")</f>
        <v>Administración</v>
      </c>
      <c r="E23" s="196">
        <f>IF(B23&lt;&gt;"",ROUND('22'!$I$174,0),"")</f>
        <v>350000</v>
      </c>
      <c r="F23" s="196">
        <f>IF(B23&lt;&gt;"",ROUND('22'!$I$175,0),"")</f>
        <v>76396</v>
      </c>
      <c r="G23" s="196">
        <f>IF(B23&lt;&gt;"",ROUND('22'!$I$176,0),"")</f>
        <v>0</v>
      </c>
      <c r="H23" s="196">
        <f>IF(B23&lt;&gt;"",ROUND('22'!$P$96+'22'!$P$97+'22'!$P$98+'22'!$P$99,0),"")</f>
        <v>0</v>
      </c>
      <c r="I23" s="270">
        <f>IF(B23&lt;&gt;"",ROUND('22'!$F$95,0),"")</f>
        <v>0</v>
      </c>
      <c r="J23" s="275">
        <f t="shared" si="3"/>
        <v>426396</v>
      </c>
      <c r="K23" s="234"/>
      <c r="L23" s="272" t="str">
        <f t="shared" si="0"/>
        <v>15.021.000-1</v>
      </c>
      <c r="M23" s="196">
        <f>IF(B23&lt;&gt;"",ROUND('22'!$D$114,0),"")</f>
        <v>74000</v>
      </c>
      <c r="N23" s="196">
        <f>IF(L23&lt;&gt;"",ROUND('22'!$D$115,0),"")</f>
        <v>74000</v>
      </c>
      <c r="O23" s="270">
        <f>IF(L23&lt;&gt;"",ROUND('22'!$D$116+'22'!$D$117+'22'!$D$118,0),"")</f>
        <v>0</v>
      </c>
      <c r="P23" s="283">
        <f t="shared" si="1"/>
        <v>574396</v>
      </c>
      <c r="Q23" s="280" t="str">
        <f>IF(L23&lt;&gt;"",'22'!$N$103,"")</f>
        <v>3-. CUPRUM</v>
      </c>
      <c r="R23" s="281"/>
      <c r="S23" s="272" t="str">
        <f t="shared" si="2"/>
        <v>15.021.000-1</v>
      </c>
      <c r="T23" s="196">
        <f>IF(L23&lt;&gt;"",ROUND('22'!$Q$103,0),"")</f>
        <v>48950</v>
      </c>
      <c r="U23" s="196">
        <f>IF(L23&lt;&gt;"",ROUND(SUM('22'!$Q$107:$Q$109),0),"")</f>
        <v>0</v>
      </c>
      <c r="V23" s="247" t="str">
        <f>IF(L23&lt;&gt;"",'22'!$N$104,"")</f>
        <v>12-. FONASA</v>
      </c>
      <c r="W23" s="196">
        <f>IF(L23&lt;&gt;"",ROUND('22'!$Q$104,0),"")</f>
        <v>29848</v>
      </c>
      <c r="X23" s="196">
        <f>IF(L23&lt;&gt;"",ROUND('22'!$Q$106,0),"")</f>
        <v>0</v>
      </c>
      <c r="Y23" s="196">
        <f>'22'!$Q$110</f>
        <v>0</v>
      </c>
      <c r="Z23" s="196">
        <f>IF(L23&lt;&gt;"",ROUND('22'!$Q$105,0),"")</f>
        <v>2558</v>
      </c>
      <c r="AA23" s="196">
        <f>IF(L23&lt;&gt;"",ROUND('22'!$Q$115,0),"")</f>
        <v>0</v>
      </c>
      <c r="AB23" s="196">
        <f>IF(S23&lt;&gt;"",ROUND('22'!$P$117+'22'!$P$119+'22'!$P$120,0),"")</f>
        <v>0</v>
      </c>
      <c r="AC23" s="196">
        <f>IF(S23&lt;&gt;"",ROUND('22'!$D$100,0),"")</f>
        <v>0</v>
      </c>
      <c r="AD23" s="270">
        <f>IF(S23&lt;&gt;"",ROUND(SUM('22'!$D$101:$D$110),0),"")</f>
        <v>0</v>
      </c>
      <c r="AE23" s="286">
        <f t="shared" si="4"/>
        <v>81356</v>
      </c>
      <c r="AF23" s="285"/>
      <c r="AG23" s="272" t="str">
        <f t="shared" si="5"/>
        <v>15.021.000-1</v>
      </c>
      <c r="AH23" s="197">
        <f t="shared" si="6"/>
        <v>493040</v>
      </c>
      <c r="AI23" s="196">
        <f>IF(S23&lt;&gt;"",ROUND('22'!$D$119,0),"")</f>
        <v>0</v>
      </c>
      <c r="AJ23" s="197">
        <f t="shared" si="7"/>
        <v>493040</v>
      </c>
      <c r="AK23" s="197">
        <f t="shared" si="8"/>
        <v>0</v>
      </c>
    </row>
    <row r="24" spans="1:37" ht="13.5" thickBot="1" x14ac:dyDescent="0.25">
      <c r="A24" s="203" t="str">
        <f>IF('23'!$T$142=0,"",'23'!$T$142)</f>
        <v>15.021.000-1</v>
      </c>
      <c r="B24" s="204" t="str">
        <f>IF('23'!$T$141=0,"",'23'!$T$141)</f>
        <v>Nombre del Trabajador</v>
      </c>
      <c r="C24" s="245" t="str">
        <f>IF(B24&lt;&gt;"",'23'!$F$123,"")</f>
        <v>30 DÍAS</v>
      </c>
      <c r="D24" s="245" t="str">
        <f>IF(B24&lt;&gt;"",'23'!$T$147,"")</f>
        <v>Administración</v>
      </c>
      <c r="E24" s="196">
        <f>IF(B24&lt;&gt;"",ROUND('23'!$I$174,0),"")</f>
        <v>350000</v>
      </c>
      <c r="F24" s="196">
        <f>IF(B24&lt;&gt;"",ROUND('23'!$I$175,0),"")</f>
        <v>76396</v>
      </c>
      <c r="G24" s="196">
        <f>IF(B24&lt;&gt;"",ROUND('23'!$I$176,0),"")</f>
        <v>0</v>
      </c>
      <c r="H24" s="196">
        <f>IF(B24&lt;&gt;"",ROUND('23'!$P$96+'23'!$P$97+'23'!$P$98+'23'!$P$99,0),"")</f>
        <v>0</v>
      </c>
      <c r="I24" s="270">
        <f>IF(B24&lt;&gt;"",ROUND('23'!$F$95,0),"")</f>
        <v>0</v>
      </c>
      <c r="J24" s="275">
        <f t="shared" si="3"/>
        <v>426396</v>
      </c>
      <c r="K24" s="234"/>
      <c r="L24" s="272" t="str">
        <f t="shared" si="0"/>
        <v>15.021.000-1</v>
      </c>
      <c r="M24" s="196">
        <f>IF(B24&lt;&gt;"",ROUND('23'!$D$114,0),"")</f>
        <v>74000</v>
      </c>
      <c r="N24" s="196">
        <f>IF(L24&lt;&gt;"",ROUND('23'!$D$115,0),"")</f>
        <v>74000</v>
      </c>
      <c r="O24" s="270">
        <f>IF(L24&lt;&gt;"",ROUND('23'!$D$116+'23'!$D$117+'23'!$D$118,0),"")</f>
        <v>0</v>
      </c>
      <c r="P24" s="283">
        <f t="shared" si="1"/>
        <v>574396</v>
      </c>
      <c r="Q24" s="280" t="str">
        <f>IF(L24&lt;&gt;"",'23'!$N$103,"")</f>
        <v xml:space="preserve">5-. PLANVITAL </v>
      </c>
      <c r="R24" s="281"/>
      <c r="S24" s="272" t="str">
        <f t="shared" si="2"/>
        <v>15.021.000-1</v>
      </c>
      <c r="T24" s="196">
        <f>IF(L24&lt;&gt;"",ROUND('23'!$Q$103,0),"")</f>
        <v>52703</v>
      </c>
      <c r="U24" s="196">
        <f>IF(L24&lt;&gt;"",ROUND(SUM('23'!$Q$107:$Q$109),0),"")</f>
        <v>0</v>
      </c>
      <c r="V24" s="247" t="str">
        <f>IF(L24&lt;&gt;"",'23'!$N$104,"")</f>
        <v>12-. FONASA</v>
      </c>
      <c r="W24" s="196">
        <f>IF(L24&lt;&gt;"",ROUND('23'!$Q$104,0),"")</f>
        <v>29848</v>
      </c>
      <c r="X24" s="196">
        <f>IF(L24&lt;&gt;"",ROUND('23'!$Q$106,0),"")</f>
        <v>0</v>
      </c>
      <c r="Y24" s="196">
        <f>'23'!$Q$110</f>
        <v>0</v>
      </c>
      <c r="Z24" s="196">
        <f>IF(L24&lt;&gt;"",ROUND('23'!$Q$105,0),"")</f>
        <v>2558</v>
      </c>
      <c r="AA24" s="196">
        <f>IF(L24&lt;&gt;"",ROUND('23'!$Q$115,0),"")</f>
        <v>0</v>
      </c>
      <c r="AB24" s="196">
        <f>IF(S24&lt;&gt;"",ROUND('23'!$P$117+'23'!$P$119+'23'!$P$120,0),"")</f>
        <v>0</v>
      </c>
      <c r="AC24" s="196">
        <f>IF(S24&lt;&gt;"",ROUND('23'!$D$100,0),"")</f>
        <v>0</v>
      </c>
      <c r="AD24" s="270">
        <f>IF(S24&lt;&gt;"",ROUND(SUM('23'!$D$101:$D$110),0),"")</f>
        <v>0</v>
      </c>
      <c r="AE24" s="286">
        <f t="shared" si="4"/>
        <v>85109</v>
      </c>
      <c r="AF24" s="285"/>
      <c r="AG24" s="272" t="str">
        <f t="shared" si="5"/>
        <v>15.021.000-1</v>
      </c>
      <c r="AH24" s="197">
        <f t="shared" si="6"/>
        <v>489287</v>
      </c>
      <c r="AI24" s="196">
        <f>IF(S24&lt;&gt;"",ROUND('23'!$D$119,0),"")</f>
        <v>0</v>
      </c>
      <c r="AJ24" s="197">
        <f t="shared" si="7"/>
        <v>489287</v>
      </c>
      <c r="AK24" s="197">
        <f t="shared" si="8"/>
        <v>0</v>
      </c>
    </row>
    <row r="25" spans="1:37" ht="13.5" thickBot="1" x14ac:dyDescent="0.25">
      <c r="A25" s="203" t="str">
        <f>IF('24'!$T$142=0,"",'24'!$T$142)</f>
        <v>15.021.000-1</v>
      </c>
      <c r="B25" s="204" t="str">
        <f>IF('24'!$T$141=0,"",'24'!$T$141)</f>
        <v>Nombre del Trabajador</v>
      </c>
      <c r="C25" s="245" t="str">
        <f>IF(B25&lt;&gt;"",'24'!$F$123,"")</f>
        <v>30 DÍAS</v>
      </c>
      <c r="D25" s="245" t="str">
        <f>IF(B25&lt;&gt;"",'24'!$T$147,"")</f>
        <v>Administración</v>
      </c>
      <c r="E25" s="196">
        <f>IF(B25&lt;&gt;"",ROUND('24'!$I$174,0),"")</f>
        <v>350000</v>
      </c>
      <c r="F25" s="196">
        <f>IF(B25&lt;&gt;"",ROUND('24'!$I$175,0),"")</f>
        <v>76396</v>
      </c>
      <c r="G25" s="196">
        <f>IF(B25&lt;&gt;"",ROUND('24'!$I$176,0),"")</f>
        <v>0</v>
      </c>
      <c r="H25" s="196">
        <f>IF(B25&lt;&gt;"",ROUND('24'!$P$96+'24'!$P$97+'24'!$P$98+'24'!$P$99,0),"")</f>
        <v>0</v>
      </c>
      <c r="I25" s="270">
        <f>IF(B25&lt;&gt;"",ROUND('24'!$F$95,0),"")</f>
        <v>0</v>
      </c>
      <c r="J25" s="275">
        <f t="shared" si="3"/>
        <v>426396</v>
      </c>
      <c r="K25" s="234"/>
      <c r="L25" s="272" t="str">
        <f t="shared" si="0"/>
        <v>15.021.000-1</v>
      </c>
      <c r="M25" s="196">
        <f>IF(B25&lt;&gt;"",ROUND('24'!$D$114,0),"")</f>
        <v>74000</v>
      </c>
      <c r="N25" s="196">
        <f>IF(L25&lt;&gt;"",ROUND('24'!$D$115,0),"")</f>
        <v>74000</v>
      </c>
      <c r="O25" s="270">
        <f>IF(L25&lt;&gt;"",ROUND('24'!$D$116+'24'!$D$117+'24'!$D$118,0),"")</f>
        <v>0</v>
      </c>
      <c r="P25" s="283">
        <f t="shared" si="1"/>
        <v>574396</v>
      </c>
      <c r="Q25" s="280" t="str">
        <f>IF(L25&lt;&gt;"",'24'!$N$103,"")</f>
        <v xml:space="preserve">5-. PLANVITAL </v>
      </c>
      <c r="R25" s="281"/>
      <c r="S25" s="272" t="str">
        <f t="shared" si="2"/>
        <v>15.021.000-1</v>
      </c>
      <c r="T25" s="196">
        <f>IF(L25&lt;&gt;"",ROUND('24'!$Q$103,0),"")</f>
        <v>52703</v>
      </c>
      <c r="U25" s="196">
        <f>IF(L25&lt;&gt;"",ROUND(SUM('24'!$Q$107:$Q$109),0),"")</f>
        <v>0</v>
      </c>
      <c r="V25" s="247" t="str">
        <f>IF(L25&lt;&gt;"",'24'!$N$104,"")</f>
        <v>12-. FONASA</v>
      </c>
      <c r="W25" s="196">
        <f>IF(L25&lt;&gt;"",ROUND('24'!$Q$104,0),"")</f>
        <v>29848</v>
      </c>
      <c r="X25" s="196">
        <f>IF(L25&lt;&gt;"",ROUND('24'!$Q$106,0),"")</f>
        <v>0</v>
      </c>
      <c r="Y25" s="196">
        <f>'24'!$Q$110</f>
        <v>0</v>
      </c>
      <c r="Z25" s="196">
        <f>IF(L25&lt;&gt;"",ROUND('24'!$Q$105,0),"")</f>
        <v>2558</v>
      </c>
      <c r="AA25" s="196">
        <f>IF(L25&lt;&gt;"",ROUND('24'!$Q$115,0),"")</f>
        <v>0</v>
      </c>
      <c r="AB25" s="196">
        <f>IF(S25&lt;&gt;"",ROUND('24'!$P$117+'24'!$P$119+'24'!$P$120,0),"")</f>
        <v>0</v>
      </c>
      <c r="AC25" s="196">
        <f>IF(S25&lt;&gt;"",ROUND('24'!$D$100,0),"")</f>
        <v>0</v>
      </c>
      <c r="AD25" s="270">
        <f>IF(S25&lt;&gt;"",ROUND(SUM('24'!$D$101:$D$110),0),"")</f>
        <v>0</v>
      </c>
      <c r="AE25" s="286">
        <f t="shared" si="4"/>
        <v>85109</v>
      </c>
      <c r="AF25" s="285"/>
      <c r="AG25" s="272" t="str">
        <f t="shared" si="5"/>
        <v>15.021.000-1</v>
      </c>
      <c r="AH25" s="197">
        <f t="shared" si="6"/>
        <v>489287</v>
      </c>
      <c r="AI25" s="196">
        <f>IF(S25&lt;&gt;"",ROUND('24'!$D$119,0),"")</f>
        <v>0</v>
      </c>
      <c r="AJ25" s="197">
        <f t="shared" si="7"/>
        <v>489287</v>
      </c>
      <c r="AK25" s="197">
        <f t="shared" si="8"/>
        <v>0</v>
      </c>
    </row>
    <row r="26" spans="1:37" ht="13.5" thickBot="1" x14ac:dyDescent="0.25">
      <c r="A26" s="203" t="str">
        <f>IF('25'!$T$142=0,"",'25'!$T$142)</f>
        <v>15.021.000-1</v>
      </c>
      <c r="B26" s="204" t="str">
        <f>IF('25'!$T$141=0,"",'25'!$T$141)</f>
        <v>Nombre del Trabajador</v>
      </c>
      <c r="C26" s="245" t="str">
        <f>IF(B26&lt;&gt;"",'25'!$F$123,"")</f>
        <v>30 DÍAS</v>
      </c>
      <c r="D26" s="245" t="str">
        <f>IF(B26&lt;&gt;"",'25'!$T$147,"")</f>
        <v>Administración</v>
      </c>
      <c r="E26" s="196">
        <f>IF(B26&lt;&gt;"",ROUND('25'!$I$174,0),"")</f>
        <v>350000</v>
      </c>
      <c r="F26" s="196">
        <f>IF(B26&lt;&gt;"",ROUND('25'!$I$175,0),"")</f>
        <v>76396</v>
      </c>
      <c r="G26" s="196">
        <f>IF(B26&lt;&gt;"",ROUND('25'!$I$176,0),"")</f>
        <v>0</v>
      </c>
      <c r="H26" s="196">
        <f>IF(B26&lt;&gt;"",ROUND('25'!$P$96+'25'!$P$97+'25'!$P$98+'25'!$P$99,0),"")</f>
        <v>0</v>
      </c>
      <c r="I26" s="270">
        <f>IF(B26&lt;&gt;"",ROUND('25'!$F$95,0),"")</f>
        <v>0</v>
      </c>
      <c r="J26" s="275">
        <f t="shared" si="3"/>
        <v>426396</v>
      </c>
      <c r="K26" s="234"/>
      <c r="L26" s="272" t="str">
        <f t="shared" si="0"/>
        <v>15.021.000-1</v>
      </c>
      <c r="M26" s="196">
        <f>IF(B26&lt;&gt;"",ROUND('25'!$D$114,0),"")</f>
        <v>74000</v>
      </c>
      <c r="N26" s="196">
        <f>IF(L26&lt;&gt;"",ROUND('25'!$D$115,0),"")</f>
        <v>74000</v>
      </c>
      <c r="O26" s="270">
        <f>IF(L26&lt;&gt;"",ROUND('25'!$D$116+'25'!$D$117+'25'!$D$118,0),"")</f>
        <v>0</v>
      </c>
      <c r="P26" s="283">
        <f t="shared" si="1"/>
        <v>574396</v>
      </c>
      <c r="Q26" s="280" t="str">
        <f>IF(L26&lt;&gt;"",'25'!$N$103,"")</f>
        <v>7-. MODELO</v>
      </c>
      <c r="R26" s="281"/>
      <c r="S26" s="272" t="str">
        <f t="shared" si="2"/>
        <v>15.021.000-1</v>
      </c>
      <c r="T26" s="196">
        <f>IF(L26&lt;&gt;"",ROUND('25'!$Q$103,0),"")</f>
        <v>45923</v>
      </c>
      <c r="U26" s="196">
        <f>IF(L26&lt;&gt;"",ROUND(SUM('25'!$Q$107:$Q$109),0),"")</f>
        <v>0</v>
      </c>
      <c r="V26" s="247" t="str">
        <f>IF(L26&lt;&gt;"",'25'!$N$104,"")</f>
        <v>12-. FONASA</v>
      </c>
      <c r="W26" s="196">
        <f>IF(L26&lt;&gt;"",ROUND('25'!$Q$104,0),"")</f>
        <v>29848</v>
      </c>
      <c r="X26" s="196">
        <f>IF(L26&lt;&gt;"",ROUND('25'!$Q$106,0),"")</f>
        <v>0</v>
      </c>
      <c r="Y26" s="196">
        <f>'25'!$Q$110</f>
        <v>0</v>
      </c>
      <c r="Z26" s="196">
        <f>IF(L26&lt;&gt;"",ROUND('25'!$Q$105,0),"")</f>
        <v>2558</v>
      </c>
      <c r="AA26" s="196">
        <f>IF(L26&lt;&gt;"",ROUND('25'!$Q$115,0),"")</f>
        <v>0</v>
      </c>
      <c r="AB26" s="196">
        <f>IF(S26&lt;&gt;"",ROUND('25'!$P$117+'25'!$P$119+'25'!$P$120,0),"")</f>
        <v>0</v>
      </c>
      <c r="AC26" s="196">
        <f>IF(S26&lt;&gt;"",ROUND('25'!$D$100,0),"")</f>
        <v>0</v>
      </c>
      <c r="AD26" s="270">
        <f>IF(S26&lt;&gt;"",ROUND(SUM('25'!$D$101:$D$110),0),"")</f>
        <v>0</v>
      </c>
      <c r="AE26" s="286">
        <f t="shared" si="4"/>
        <v>78329</v>
      </c>
      <c r="AF26" s="285"/>
      <c r="AG26" s="272" t="str">
        <f t="shared" si="5"/>
        <v>15.021.000-1</v>
      </c>
      <c r="AH26" s="197">
        <f t="shared" si="6"/>
        <v>496067</v>
      </c>
      <c r="AI26" s="196">
        <f>IF(S26&lt;&gt;"",ROUND('25'!$D$119,0),"")</f>
        <v>0</v>
      </c>
      <c r="AJ26" s="197">
        <f t="shared" si="7"/>
        <v>496067</v>
      </c>
      <c r="AK26" s="197">
        <f t="shared" si="8"/>
        <v>0</v>
      </c>
    </row>
    <row r="27" spans="1:37" ht="13.5" thickBot="1" x14ac:dyDescent="0.25">
      <c r="A27" s="925" t="s">
        <v>446</v>
      </c>
      <c r="B27" s="926"/>
      <c r="C27" s="927"/>
      <c r="D27" s="251"/>
      <c r="E27" s="241">
        <f t="shared" ref="E27:J27" si="9">ROUND(SUM(E2:E26),0)</f>
        <v>9200000</v>
      </c>
      <c r="F27" s="241">
        <f t="shared" si="9"/>
        <v>1894608</v>
      </c>
      <c r="G27" s="241">
        <f t="shared" si="9"/>
        <v>0</v>
      </c>
      <c r="H27" s="241">
        <f t="shared" si="9"/>
        <v>100000</v>
      </c>
      <c r="I27" s="271">
        <f t="shared" si="9"/>
        <v>0</v>
      </c>
      <c r="J27" s="276">
        <f t="shared" si="9"/>
        <v>11194608</v>
      </c>
      <c r="K27" s="268"/>
      <c r="L27" s="273" t="s">
        <v>428</v>
      </c>
      <c r="M27" s="241">
        <f>ROUND(SUM(M2:M26),0)</f>
        <v>1756000</v>
      </c>
      <c r="N27" s="241">
        <f>ROUND(SUM(N2:N26),0)</f>
        <v>1742000</v>
      </c>
      <c r="O27" s="246">
        <f>ROUND(SUM(O2:O26),0)</f>
        <v>0</v>
      </c>
      <c r="P27" s="284">
        <f>ROUND(SUM(P2:P26),0)</f>
        <v>14692608</v>
      </c>
      <c r="Q27" s="278"/>
      <c r="R27" s="282"/>
      <c r="S27" s="273" t="s">
        <v>494</v>
      </c>
      <c r="T27" s="241">
        <f>ROUND(SUM(T2:T26),0)</f>
        <v>1271308</v>
      </c>
      <c r="U27" s="241">
        <f>ROUND(SUM(U2:U26),0)</f>
        <v>0</v>
      </c>
      <c r="V27" s="248"/>
      <c r="W27" s="241">
        <f>ROUND(SUM(W2:W26),0)</f>
        <v>783629</v>
      </c>
      <c r="X27" s="241">
        <f>ROUND(SUM(X2:X26),0)</f>
        <v>33617</v>
      </c>
      <c r="Y27" s="241">
        <f>SUM(Y2:Y26)</f>
        <v>0</v>
      </c>
      <c r="Z27" s="241">
        <f>ROUND(SUM(Z2:Z26),0)</f>
        <v>56268</v>
      </c>
      <c r="AA27" s="241">
        <f>ROUND(SUM(AA2:AA26),0)</f>
        <v>12177</v>
      </c>
      <c r="AB27" s="241">
        <f t="shared" ref="AB27:AK27" si="10">ROUND(SUM(AB2:AB26),0)</f>
        <v>0</v>
      </c>
      <c r="AC27" s="241">
        <f t="shared" si="10"/>
        <v>0</v>
      </c>
      <c r="AD27" s="271">
        <f t="shared" si="10"/>
        <v>0</v>
      </c>
      <c r="AE27" s="276">
        <f t="shared" si="10"/>
        <v>2156999</v>
      </c>
      <c r="AF27" s="268"/>
      <c r="AG27" s="273" t="s">
        <v>522</v>
      </c>
      <c r="AH27" s="242">
        <f t="shared" si="10"/>
        <v>12535609</v>
      </c>
      <c r="AI27" s="242">
        <f t="shared" si="10"/>
        <v>0</v>
      </c>
      <c r="AJ27" s="242">
        <f t="shared" si="10"/>
        <v>12535609</v>
      </c>
      <c r="AK27" s="242">
        <f t="shared" si="10"/>
        <v>0</v>
      </c>
    </row>
    <row r="29" spans="1:37" x14ac:dyDescent="0.2">
      <c r="I29" s="231"/>
      <c r="J29" s="231"/>
      <c r="K29" s="231"/>
      <c r="L29" s="231"/>
      <c r="M29" s="231"/>
      <c r="AG29" s="231"/>
    </row>
    <row r="30" spans="1:37" ht="13.5" thickBot="1" x14ac:dyDescent="0.25">
      <c r="I30" s="231"/>
      <c r="J30" s="230"/>
      <c r="K30" s="230"/>
      <c r="L30" s="230"/>
      <c r="M30" s="230"/>
      <c r="N30" s="230"/>
      <c r="O30" s="230"/>
      <c r="P30" s="230"/>
      <c r="Q30" s="230"/>
      <c r="R30" s="230"/>
      <c r="S30" s="230"/>
      <c r="T30" s="230"/>
      <c r="U30" s="230"/>
      <c r="V30" s="230"/>
      <c r="AG30" s="230"/>
    </row>
    <row r="31" spans="1:37" ht="13.5" thickBot="1" x14ac:dyDescent="0.25">
      <c r="A31" s="401" t="s">
        <v>479</v>
      </c>
      <c r="B31" s="402"/>
      <c r="C31" s="402"/>
      <c r="D31" s="402"/>
      <c r="E31" s="402"/>
      <c r="F31" s="402"/>
      <c r="G31" s="402"/>
      <c r="H31" s="402"/>
      <c r="I31" s="402"/>
      <c r="J31" s="402"/>
      <c r="K31" s="402"/>
      <c r="L31" s="403"/>
      <c r="M31" s="232"/>
      <c r="N31" s="232"/>
      <c r="O31" s="233"/>
      <c r="P31" s="233"/>
      <c r="Q31" s="233"/>
      <c r="R31" s="233"/>
      <c r="AG31" s="232"/>
    </row>
    <row r="32" spans="1:37" ht="26.25" thickBot="1" x14ac:dyDescent="0.25">
      <c r="A32" s="239" t="s">
        <v>79</v>
      </c>
      <c r="B32" s="240" t="s">
        <v>416</v>
      </c>
      <c r="C32" s="240" t="s">
        <v>418</v>
      </c>
      <c r="D32" s="240" t="s">
        <v>499</v>
      </c>
      <c r="E32" s="240" t="s">
        <v>419</v>
      </c>
      <c r="F32" s="240" t="s">
        <v>480</v>
      </c>
      <c r="G32" s="240" t="s">
        <v>476</v>
      </c>
      <c r="H32" s="240" t="s">
        <v>477</v>
      </c>
      <c r="I32" s="240" t="s">
        <v>478</v>
      </c>
      <c r="J32" s="240" t="s">
        <v>524</v>
      </c>
      <c r="K32" s="240" t="s">
        <v>525</v>
      </c>
      <c r="L32" s="240" t="s">
        <v>523</v>
      </c>
      <c r="M32" s="234"/>
      <c r="N32" s="235"/>
      <c r="O32" s="233"/>
      <c r="P32" s="233"/>
      <c r="Q32" s="233"/>
      <c r="R32" s="233"/>
      <c r="AG32" s="234"/>
    </row>
    <row r="33" spans="1:33" ht="13.5" thickBot="1" x14ac:dyDescent="0.25">
      <c r="A33" s="194" t="str">
        <f>IF(IM!F33=0,"",IM!F33)</f>
        <v>10.159.159-1</v>
      </c>
      <c r="B33" s="195" t="str">
        <f>IF(IM!C33=0,"",IM!C33)</f>
        <v>Nombre del Trabajador</v>
      </c>
      <c r="C33" s="191" t="str">
        <f>IF(B33&lt;&gt;"",'26'!$F$123,"")</f>
        <v>30 DÍAS</v>
      </c>
      <c r="D33" s="191" t="str">
        <f>IF(B33&lt;&gt;0,'26'!$T$147,"")</f>
        <v>Electricidad</v>
      </c>
      <c r="E33" s="196">
        <f>IF(B33&lt;&gt;"",ROUND('26'!$I$174,0),"")</f>
        <v>350000</v>
      </c>
      <c r="F33" s="196">
        <f>IF(B33&lt;&gt;"",ROUND('26'!$I$175,0),"")</f>
        <v>0</v>
      </c>
      <c r="G33" s="196">
        <f>IF(B33&lt;&gt;"",ROUND('26'!$I$192-'26'!$I$174-'26'!$I$175,0),"")</f>
        <v>0</v>
      </c>
      <c r="H33" s="196">
        <f>IF(B33&lt;&gt;"",ROUND(('26'!$N$192-'26'!$N$174),0),"")</f>
        <v>0</v>
      </c>
      <c r="I33" s="196">
        <f>IF(B33&lt;&gt;"",ROUND('26'!$P$118,0),"")</f>
        <v>35000</v>
      </c>
      <c r="J33" s="196">
        <f>IF(B33&lt;&gt;"",ROUND((E33+F33+G33)-H33-I33,0),"")</f>
        <v>315000</v>
      </c>
      <c r="K33" s="196">
        <f>IF(B33&lt;&gt;"",IF(J33&lt;0,0,J33),"")</f>
        <v>315000</v>
      </c>
      <c r="L33" s="196">
        <f>IF(B33&lt;&gt;"",IF(J33&lt;0,J33,0),"")</f>
        <v>0</v>
      </c>
      <c r="M33" s="234"/>
      <c r="N33" s="235"/>
      <c r="O33" s="233"/>
      <c r="P33" s="233"/>
      <c r="Q33" s="233"/>
      <c r="R33" s="233"/>
      <c r="AG33" s="234"/>
    </row>
    <row r="34" spans="1:33" ht="13.5" thickBot="1" x14ac:dyDescent="0.25">
      <c r="A34" s="194" t="str">
        <f>IF(IM!F34=0,"",IM!F34)</f>
        <v>15.151.515-6</v>
      </c>
      <c r="B34" s="195" t="str">
        <f>IF(IM!C34=0,"",IM!C34)</f>
        <v>Nombre del Trabajador</v>
      </c>
      <c r="C34" s="191" t="str">
        <f>IF(B34&lt;&gt;"",'27'!$F$123,"")</f>
        <v>30 DÍAS</v>
      </c>
      <c r="D34" s="191" t="str">
        <f>IF(B34&lt;&gt;0,'26'!$T$147,"")</f>
        <v>Electricidad</v>
      </c>
      <c r="E34" s="196">
        <f>IF(B34&lt;&gt;"",ROUND('27'!$I$174,0),"")</f>
        <v>350000</v>
      </c>
      <c r="F34" s="196">
        <f>IF(B34&lt;&gt;"",ROUND('27'!$I$175,0),"")</f>
        <v>0</v>
      </c>
      <c r="G34" s="196">
        <f>IF(B34&lt;&gt;"",ROUND('27'!$I$192-'27'!$I$174-'27'!$I$175,0),"")</f>
        <v>0</v>
      </c>
      <c r="H34" s="196">
        <f>IF(B34&lt;&gt;"",ROUND(('27'!$N$192-'27'!$N$174),0),"")</f>
        <v>0</v>
      </c>
      <c r="I34" s="196">
        <f>IF(B34&lt;&gt;"",ROUND('27'!$P$118,0),"")</f>
        <v>35000</v>
      </c>
      <c r="J34" s="196">
        <f t="shared" ref="J34:J37" si="11">IF(B34&lt;&gt;"",ROUND((E34+F34+G34)-H34-I34,0),"")</f>
        <v>315000</v>
      </c>
      <c r="K34" s="196">
        <f t="shared" ref="K34:K37" si="12">IF(B34&lt;&gt;"",IF(J34&lt;0,0,J34),"")</f>
        <v>315000</v>
      </c>
      <c r="L34" s="196">
        <f t="shared" ref="L34:L37" si="13">IF(B34&lt;&gt;"",IF(J34&lt;0,J34,0),"")</f>
        <v>0</v>
      </c>
      <c r="M34" s="234"/>
      <c r="N34" s="235"/>
      <c r="O34" s="233"/>
      <c r="P34" s="233"/>
      <c r="Q34" s="233"/>
      <c r="R34" s="233"/>
      <c r="AG34" s="234"/>
    </row>
    <row r="35" spans="1:33" ht="13.5" thickBot="1" x14ac:dyDescent="0.25">
      <c r="A35" s="194" t="str">
        <f>IF(IM!F35=0,"",IM!F35)</f>
        <v>15.151.515-7</v>
      </c>
      <c r="B35" s="195" t="str">
        <f>IF(IM!C35=0,"",IM!C35)</f>
        <v>Nombre del Trabajador</v>
      </c>
      <c r="C35" s="191" t="str">
        <f>IF(B35&lt;&gt;"",'28'!$F$123,"")</f>
        <v>30 DÍAS</v>
      </c>
      <c r="D35" s="191" t="str">
        <f>IF(B35&lt;&gt;0,'26'!$T$147,"")</f>
        <v>Electricidad</v>
      </c>
      <c r="E35" s="196">
        <f>IF(B35&lt;&gt;"",ROUND('28'!$I$174,0),"")</f>
        <v>350000</v>
      </c>
      <c r="F35" s="196">
        <f>IF(B35&lt;&gt;"",ROUND('28'!$I$175,0),"")</f>
        <v>0</v>
      </c>
      <c r="G35" s="196">
        <f>IF(B35&lt;&gt;"",ROUND('28'!$I$192-'28'!$I$174-'28'!$I$175,0),"")</f>
        <v>0</v>
      </c>
      <c r="H35" s="196">
        <f>IF(B35&lt;&gt;"",ROUND(('28'!$N$192-'28'!$N$174),0),"")</f>
        <v>0</v>
      </c>
      <c r="I35" s="196">
        <f>IF(B35&lt;&gt;"",ROUND('28'!$P$118,0),"")</f>
        <v>35000</v>
      </c>
      <c r="J35" s="196">
        <f t="shared" si="11"/>
        <v>315000</v>
      </c>
      <c r="K35" s="196">
        <f t="shared" si="12"/>
        <v>315000</v>
      </c>
      <c r="L35" s="196">
        <f t="shared" si="13"/>
        <v>0</v>
      </c>
      <c r="M35" s="234"/>
      <c r="N35" s="235"/>
      <c r="O35" s="233"/>
      <c r="P35" s="233"/>
      <c r="Q35" s="233"/>
      <c r="R35" s="233"/>
      <c r="AG35" s="234"/>
    </row>
    <row r="36" spans="1:33" ht="13.5" thickBot="1" x14ac:dyDescent="0.25">
      <c r="A36" s="194" t="str">
        <f>IF(IM!F36=0,"",IM!F36)</f>
        <v>15.151.515-8</v>
      </c>
      <c r="B36" s="195" t="str">
        <f>IF(IM!C36=0,"",IM!C36)</f>
        <v>Nombre del Trabajador</v>
      </c>
      <c r="C36" s="191" t="str">
        <f>IF(B36&lt;&gt;"",'29'!$F$123,"")</f>
        <v>30 DÍAS</v>
      </c>
      <c r="D36" s="191" t="str">
        <f>IF(B36&lt;&gt;0,'26'!$T$147,"")</f>
        <v>Electricidad</v>
      </c>
      <c r="E36" s="196">
        <f>IF(B36&lt;&gt;"",ROUND('29'!$I$174,0),"")</f>
        <v>350000</v>
      </c>
      <c r="F36" s="196">
        <f>IF(B36&lt;&gt;"",ROUND('29'!$I$175,0),"")</f>
        <v>0</v>
      </c>
      <c r="G36" s="196">
        <f>IF(B36&lt;&gt;"",ROUND('29'!$I$192-'29'!$I$174-'29'!$I$175,0),"")</f>
        <v>0</v>
      </c>
      <c r="H36" s="196">
        <f>IF(B36&lt;&gt;"",ROUND(('29'!$N$192-'29'!$N$174),0),"")</f>
        <v>0</v>
      </c>
      <c r="I36" s="196">
        <f>IF(B36&lt;&gt;"",ROUND('29'!$P$118,0),"")</f>
        <v>35000</v>
      </c>
      <c r="J36" s="196">
        <f t="shared" si="11"/>
        <v>315000</v>
      </c>
      <c r="K36" s="196">
        <f t="shared" si="12"/>
        <v>315000</v>
      </c>
      <c r="L36" s="196">
        <f t="shared" si="13"/>
        <v>0</v>
      </c>
      <c r="M36" s="234"/>
      <c r="N36" s="235"/>
      <c r="O36" s="233"/>
      <c r="P36" s="233"/>
      <c r="Q36" s="233"/>
      <c r="R36" s="233"/>
      <c r="AG36" s="234"/>
    </row>
    <row r="37" spans="1:33" ht="13.5" thickBot="1" x14ac:dyDescent="0.25">
      <c r="A37" s="194" t="str">
        <f>IF(IM!F37=0,"",IM!F37)</f>
        <v>15.151.515-9</v>
      </c>
      <c r="B37" s="195" t="str">
        <f>IF(IM!C37=0,"",IM!C37)</f>
        <v>Nombre del Trabajador</v>
      </c>
      <c r="C37" s="191" t="str">
        <f>IF(B37&lt;&gt;"",'30'!$F$123,"")</f>
        <v>30 DÍAS</v>
      </c>
      <c r="D37" s="191" t="str">
        <f>IF(B37&lt;&gt;0,'26'!$T$147,"")</f>
        <v>Electricidad</v>
      </c>
      <c r="E37" s="196">
        <f>IF(B37&lt;&gt;"",ROUND('30'!$I$174,0),"")</f>
        <v>350000</v>
      </c>
      <c r="F37" s="196">
        <f>IF(B37&lt;&gt;"",ROUND('30'!$I$175,0),"")</f>
        <v>0</v>
      </c>
      <c r="G37" s="196">
        <f>IF(B37&lt;&gt;"",ROUND('30'!$I$192-'30'!$I$174-'30'!$I$175,0),"")</f>
        <v>0</v>
      </c>
      <c r="H37" s="196">
        <f>IF(B37&lt;&gt;"",ROUND(('30'!$N$192-'30'!$N$174),0),"")</f>
        <v>0</v>
      </c>
      <c r="I37" s="196">
        <f>IF(B37&lt;&gt;"",ROUND('30'!$P$118,0),"")</f>
        <v>35000</v>
      </c>
      <c r="J37" s="196">
        <f t="shared" si="11"/>
        <v>315000</v>
      </c>
      <c r="K37" s="196">
        <f t="shared" si="12"/>
        <v>315000</v>
      </c>
      <c r="L37" s="196">
        <f t="shared" si="13"/>
        <v>0</v>
      </c>
      <c r="M37" s="236"/>
      <c r="N37" s="237"/>
      <c r="O37" s="924"/>
      <c r="P37" s="924"/>
      <c r="Q37" s="244"/>
      <c r="R37" s="277"/>
      <c r="AG37" s="236"/>
    </row>
    <row r="38" spans="1:33" ht="13.5" thickBot="1" x14ac:dyDescent="0.25">
      <c r="A38" s="925" t="s">
        <v>446</v>
      </c>
      <c r="B38" s="926"/>
      <c r="C38" s="927"/>
      <c r="D38" s="251"/>
      <c r="E38" s="205">
        <f t="shared" ref="E38:L38" si="14">SUM(E33:E37)</f>
        <v>1750000</v>
      </c>
      <c r="F38" s="205">
        <f t="shared" si="14"/>
        <v>0</v>
      </c>
      <c r="G38" s="205">
        <f t="shared" si="14"/>
        <v>0</v>
      </c>
      <c r="H38" s="205">
        <f t="shared" si="14"/>
        <v>0</v>
      </c>
      <c r="I38" s="205">
        <f t="shared" si="14"/>
        <v>175000</v>
      </c>
      <c r="J38" s="205">
        <f t="shared" si="14"/>
        <v>1575000</v>
      </c>
      <c r="K38" s="205">
        <f t="shared" si="14"/>
        <v>1575000</v>
      </c>
      <c r="L38" s="205">
        <f t="shared" si="14"/>
        <v>0</v>
      </c>
    </row>
  </sheetData>
  <sheetProtection sheet="1" formatCells="0" formatColumns="0" formatRows="0" insertColumns="0" insertRows="0" insertHyperlinks="0" deleteColumns="0" deleteRows="0" sort="0" autoFilter="0" pivotTables="0"/>
  <customSheetViews>
    <customSheetView guid="{1394C1FB-D78B-475F-959C-B8ED403A6673}" hiddenColumns="1">
      <pane ySplit="1" topLeftCell="A2" activePane="bottomLeft" state="frozen"/>
      <selection pane="bottomLeft" activeCell="A3" sqref="A3"/>
      <pageMargins left="0.19685039370078741" right="0.19685039370078741" top="0.19685039370078741" bottom="0.19685039370078741" header="0" footer="0.19685039370078741"/>
      <printOptions horizontalCentered="1" verticalCentered="1" gridLines="1"/>
      <pageSetup orientation="landscape" horizontalDpi="0" verticalDpi="0" r:id="rId1"/>
    </customSheetView>
    <customSheetView guid="{1BFFD2B6-AC36-4A58-AF65-CEA0131A94F3}" hiddenColumns="1">
      <pane ySplit="1" topLeftCell="A2" activePane="bottomLeft" state="frozen"/>
      <selection pane="bottomLeft" activeCell="B2" sqref="B2"/>
      <pageMargins left="0.19685039370078741" right="0.19685039370078741" top="0.19685039370078741" bottom="0.19685039370078741" header="0" footer="0.19685039370078741"/>
      <printOptions horizontalCentered="1" verticalCentered="1" gridLines="1"/>
      <pageSetup orientation="landscape" horizontalDpi="0" verticalDpi="0" r:id="rId2"/>
    </customSheetView>
  </customSheetViews>
  <mergeCells count="4">
    <mergeCell ref="O37:P37"/>
    <mergeCell ref="A27:C27"/>
    <mergeCell ref="A38:C38"/>
    <mergeCell ref="A31:L31"/>
  </mergeCells>
  <printOptions horizontalCentered="1" verticalCentered="1" gridLines="1"/>
  <pageMargins left="0.19685039370078741" right="0.19685039370078741" top="0.19685039370078741" bottom="0.19685039370078741" header="0" footer="0.19685039370078741"/>
  <pageSetup orientation="landscape" horizontalDpi="0" verticalDpi="0"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8" tint="0.39997558519241921"/>
  </sheetPr>
  <dimension ref="A1:R63"/>
  <sheetViews>
    <sheetView workbookViewId="0">
      <pane ySplit="1" topLeftCell="A26" activePane="bottomLeft" state="frozen"/>
      <selection activeCell="E1" sqref="E1"/>
      <selection pane="bottomLeft" activeCell="C3" sqref="C3"/>
    </sheetView>
  </sheetViews>
  <sheetFormatPr baseColWidth="10" defaultRowHeight="12.75" x14ac:dyDescent="0.2"/>
  <cols>
    <col min="1" max="1" width="13.28515625" style="190" customWidth="1"/>
    <col min="2" max="2" width="21.140625" style="190" customWidth="1"/>
    <col min="3" max="3" width="14.28515625" style="190" customWidth="1"/>
    <col min="4" max="4" width="15.140625" style="190" customWidth="1"/>
    <col min="5" max="5" width="13.5703125" style="190" customWidth="1"/>
    <col min="6" max="6" width="13.28515625" style="190" customWidth="1"/>
    <col min="7" max="7" width="11.42578125" style="190" customWidth="1"/>
    <col min="8" max="8" width="12.85546875" style="190" customWidth="1"/>
    <col min="9" max="9" width="19" style="190" customWidth="1"/>
    <col min="10" max="10" width="5.42578125" style="190" customWidth="1"/>
    <col min="11" max="11" width="12" style="190" customWidth="1"/>
    <col min="12" max="12" width="19.5703125" style="190" customWidth="1"/>
    <col min="13" max="13" width="13.42578125" style="190" customWidth="1"/>
    <col min="14" max="14" width="13" style="190" customWidth="1"/>
    <col min="15" max="15" width="14.7109375" style="190" customWidth="1"/>
    <col min="16" max="16" width="14.5703125" style="190" customWidth="1"/>
    <col min="17" max="17" width="10.42578125" style="190" customWidth="1"/>
    <col min="18" max="18" width="11.42578125" style="190" customWidth="1"/>
    <col min="19" max="16384" width="11.42578125" style="190"/>
  </cols>
  <sheetData>
    <row r="1" spans="1:18" ht="26.25" thickBot="1" x14ac:dyDescent="0.25">
      <c r="A1" s="256" t="s">
        <v>79</v>
      </c>
      <c r="B1" s="257" t="s">
        <v>416</v>
      </c>
      <c r="C1" s="257" t="s">
        <v>508</v>
      </c>
      <c r="D1" s="257" t="s">
        <v>424</v>
      </c>
      <c r="E1" s="257" t="s">
        <v>425</v>
      </c>
      <c r="F1" s="257" t="s">
        <v>223</v>
      </c>
      <c r="G1" s="257" t="s">
        <v>330</v>
      </c>
      <c r="H1" s="257" t="s">
        <v>443</v>
      </c>
      <c r="I1" s="258" t="s">
        <v>426</v>
      </c>
      <c r="J1" s="192"/>
      <c r="K1" s="256" t="s">
        <v>79</v>
      </c>
      <c r="L1" s="257" t="s">
        <v>416</v>
      </c>
      <c r="M1" s="257" t="s">
        <v>427</v>
      </c>
      <c r="N1" s="257" t="s">
        <v>481</v>
      </c>
      <c r="O1" s="257" t="s">
        <v>482</v>
      </c>
      <c r="P1" s="257" t="s">
        <v>483</v>
      </c>
      <c r="Q1" s="257" t="s">
        <v>484</v>
      </c>
      <c r="R1" s="258" t="s">
        <v>426</v>
      </c>
    </row>
    <row r="2" spans="1:18" ht="13.5" customHeight="1" thickBot="1" x14ac:dyDescent="0.25">
      <c r="A2" s="930" t="s">
        <v>501</v>
      </c>
      <c r="B2" s="931"/>
      <c r="C2" s="931"/>
      <c r="D2" s="931"/>
      <c r="E2" s="931"/>
      <c r="F2" s="931"/>
      <c r="G2" s="931"/>
      <c r="H2" s="931"/>
      <c r="I2" s="932"/>
      <c r="J2" s="262"/>
      <c r="K2" s="930" t="s">
        <v>501</v>
      </c>
      <c r="L2" s="931"/>
      <c r="M2" s="931"/>
      <c r="N2" s="931"/>
      <c r="O2" s="931"/>
      <c r="P2" s="931"/>
      <c r="Q2" s="931"/>
      <c r="R2" s="932"/>
    </row>
    <row r="3" spans="1:18" ht="13.5" thickBot="1" x14ac:dyDescent="0.25">
      <c r="A3" s="203" t="str">
        <f>IF('1'!$T$142=0,"",'1'!$T$142)</f>
        <v>4.548.566-2</v>
      </c>
      <c r="B3" s="204" t="str">
        <f>IF('1'!$T$141=0,"",'1'!$T$141)</f>
        <v>Nombre del Trabajador</v>
      </c>
      <c r="C3" s="259">
        <f>IF(B3&lt;&gt;"",ROUND('1'!$I$198,0),"")</f>
        <v>833944</v>
      </c>
      <c r="D3" s="196">
        <f>IF(B3&lt;&gt;"",'1'!$I$192,"")</f>
        <v>1076396</v>
      </c>
      <c r="E3" s="196">
        <f>IF(B3&lt;&gt;"",'1'!$D$197,"")</f>
        <v>10226</v>
      </c>
      <c r="F3" s="196">
        <f ca="1">IF(B3&lt;&gt;"",'1'!$F$197,"")</f>
        <v>32292</v>
      </c>
      <c r="G3" s="196">
        <f>IF(B3&lt;&gt;"",'1'!$I$197,"")</f>
        <v>13563</v>
      </c>
      <c r="H3" s="196">
        <f>IF(B3&lt;&gt;"",'1'!$I$186,"")</f>
        <v>0</v>
      </c>
      <c r="I3" s="197">
        <f ca="1">IF(B3&lt;&gt;"",SUM(D3:G3)-H3,"")</f>
        <v>1132477</v>
      </c>
      <c r="J3" s="192"/>
      <c r="K3" s="203" t="str">
        <f>A3</f>
        <v>4.548.566-2</v>
      </c>
      <c r="L3" s="204" t="str">
        <f>B3</f>
        <v>Nombre del Trabajador</v>
      </c>
      <c r="M3" s="196">
        <f>IF(L3&lt;&gt;"",'1'!$Q$125,"")</f>
        <v>41666.666666666672</v>
      </c>
      <c r="N3" s="196">
        <f>IF(L3&lt;&gt;"",'1'!$Q$124,"")</f>
        <v>0</v>
      </c>
      <c r="O3" s="196">
        <f>IF(L3&lt;&gt;"",'1'!$Q$128,"")</f>
        <v>0</v>
      </c>
      <c r="P3" s="196">
        <f>IF(L3&lt;&gt;"",'1'!$Q$129,"")</f>
        <v>0</v>
      </c>
      <c r="Q3" s="196">
        <f>IF(L3&lt;&gt;"",'1'!$Q$130,"")</f>
        <v>0</v>
      </c>
      <c r="R3" s="196">
        <f ca="1">IF(L3&lt;&gt;"",SUM(M3:Q3)+I3,"")</f>
        <v>1174143.6666666667</v>
      </c>
    </row>
    <row r="4" spans="1:18" ht="13.5" thickBot="1" x14ac:dyDescent="0.25">
      <c r="A4" s="203" t="str">
        <f>IF('2'!$T$142=0,"",'2'!$T$142)</f>
        <v>5.977.069-3</v>
      </c>
      <c r="B4" s="204" t="str">
        <f>IF('2'!$T$141=0,"",'2'!$T$141)</f>
        <v>Nombre del Trabajador</v>
      </c>
      <c r="C4" s="259">
        <f>IF(B4&lt;&gt;"",ROUND('2'!$I$198,0),"")</f>
        <v>402562</v>
      </c>
      <c r="D4" s="196">
        <f>IF(B4&lt;&gt;"",'2'!$I$192,"")</f>
        <v>460500</v>
      </c>
      <c r="E4" s="196">
        <f>IF(B4&lt;&gt;"",'2'!$D$197,"")</f>
        <v>2969</v>
      </c>
      <c r="F4" s="196">
        <f ca="1">IF(B4&lt;&gt;"",'2'!$F$197,"")</f>
        <v>0</v>
      </c>
      <c r="G4" s="196">
        <f>IF(B4&lt;&gt;"",'2'!$I$197,"")</f>
        <v>0</v>
      </c>
      <c r="H4" s="196">
        <f>IF(B4&lt;&gt;"",'2'!$I$186,"")</f>
        <v>0</v>
      </c>
      <c r="I4" s="197">
        <f t="shared" ref="I4:I33" ca="1" si="0">IF(B4&lt;&gt;"",SUM(D4:G4)-H4,"")</f>
        <v>463469</v>
      </c>
      <c r="J4" s="192"/>
      <c r="K4" s="203" t="str">
        <f t="shared" ref="K4:K33" si="1">A4</f>
        <v>5.977.069-3</v>
      </c>
      <c r="L4" s="204" t="str">
        <f t="shared" ref="L4:L33" si="2">B4</f>
        <v>Nombre del Trabajador</v>
      </c>
      <c r="M4" s="196">
        <f>IF(L4&lt;&gt;"",'2'!$Q$125,"")</f>
        <v>8333.3333333333339</v>
      </c>
      <c r="N4" s="196">
        <f>IF(L4&lt;&gt;"",'2'!$Q$124,"")</f>
        <v>0</v>
      </c>
      <c r="O4" s="196">
        <f>IF(L4&lt;&gt;"",'2'!$Q$128,"")</f>
        <v>0</v>
      </c>
      <c r="P4" s="196">
        <f>IF(L4&lt;&gt;"",'2'!$Q$129,"")</f>
        <v>0</v>
      </c>
      <c r="Q4" s="196">
        <f>IF(L4&lt;&gt;"",'2'!$Q$130,"")</f>
        <v>0</v>
      </c>
      <c r="R4" s="196">
        <f t="shared" ref="R4:R33" ca="1" si="3">IF(L4&lt;&gt;"",SUM(M4:Q4)+I4,"")</f>
        <v>471802.33333333331</v>
      </c>
    </row>
    <row r="5" spans="1:18" ht="13.5" thickBot="1" x14ac:dyDescent="0.25">
      <c r="A5" s="203" t="str">
        <f>IF('3'!$T$142=0,"",'3'!$T$142)</f>
        <v>15.021.000-1</v>
      </c>
      <c r="B5" s="204" t="str">
        <f>IF('3'!$T$141=0,"",'3'!$T$141)</f>
        <v>Nombre del Trabajador</v>
      </c>
      <c r="C5" s="259">
        <f>IF(B5&lt;&gt;"",ROUND('3'!$I$198,0),"")</f>
        <v>534500</v>
      </c>
      <c r="D5" s="196">
        <f>IF(B5&lt;&gt;"",'3'!$I$192,"")</f>
        <v>624396</v>
      </c>
      <c r="E5" s="196">
        <f>IF(B5&lt;&gt;"",'3'!$D$197,"")</f>
        <v>4526</v>
      </c>
      <c r="F5" s="196">
        <f ca="1">IF(B5&lt;&gt;"",'3'!$F$197,"")</f>
        <v>11434</v>
      </c>
      <c r="G5" s="196">
        <f>IF(B5&lt;&gt;"",'3'!$I$197,"")</f>
        <v>6003</v>
      </c>
      <c r="H5" s="196">
        <f>IF(B5&lt;&gt;"",'3'!$I$186,"")</f>
        <v>0</v>
      </c>
      <c r="I5" s="197">
        <f t="shared" ca="1" si="0"/>
        <v>646359</v>
      </c>
      <c r="J5" s="192"/>
      <c r="K5" s="203" t="str">
        <f t="shared" si="1"/>
        <v>15.021.000-1</v>
      </c>
      <c r="L5" s="204" t="str">
        <f t="shared" si="2"/>
        <v>Nombre del Trabajador</v>
      </c>
      <c r="M5" s="196">
        <f>IF(L5&lt;&gt;"",'3'!$Q$125,"")</f>
        <v>14583.333333333332</v>
      </c>
      <c r="N5" s="196">
        <f>IF(L5&lt;&gt;"",'3'!$Q$124,"")</f>
        <v>0</v>
      </c>
      <c r="O5" s="196">
        <f>IF(L5&lt;&gt;"",'3'!$Q$128,"")</f>
        <v>0</v>
      </c>
      <c r="P5" s="196">
        <f>IF(L5&lt;&gt;"",'3'!$Q$129,"")</f>
        <v>0</v>
      </c>
      <c r="Q5" s="196">
        <f>IF(L5&lt;&gt;"",'3'!$Q$130,"")</f>
        <v>0</v>
      </c>
      <c r="R5" s="196">
        <f t="shared" ca="1" si="3"/>
        <v>660942.33333333337</v>
      </c>
    </row>
    <row r="6" spans="1:18" ht="13.5" thickBot="1" x14ac:dyDescent="0.25">
      <c r="A6" s="203" t="str">
        <f>IF('4'!$T$142=0,"",'4'!$T$142)</f>
        <v>15.021.000-1</v>
      </c>
      <c r="B6" s="204" t="str">
        <f>IF('4'!$T$141=0,"",'4'!$T$141)</f>
        <v>Nombre del Trabajador</v>
      </c>
      <c r="C6" s="259">
        <f>IF(B6&lt;&gt;"",ROUND('4'!$I$198,0),"")</f>
        <v>496067</v>
      </c>
      <c r="D6" s="196">
        <f>IF(B6&lt;&gt;"",'4'!$I$192,"")</f>
        <v>574396</v>
      </c>
      <c r="E6" s="196">
        <f>IF(B6&lt;&gt;"",'4'!$D$197,"")</f>
        <v>4051</v>
      </c>
      <c r="F6" s="196">
        <f ca="1">IF(B6&lt;&gt;"",'4'!$F$197,"")</f>
        <v>10234</v>
      </c>
      <c r="G6" s="196">
        <f>IF(B6&lt;&gt;"",'4'!$I$197,"")</f>
        <v>5373</v>
      </c>
      <c r="H6" s="196">
        <f>IF(B6&lt;&gt;"",'4'!$I$186,"")</f>
        <v>0</v>
      </c>
      <c r="I6" s="197">
        <f t="shared" ca="1" si="0"/>
        <v>594054</v>
      </c>
      <c r="J6" s="192"/>
      <c r="K6" s="203" t="str">
        <f t="shared" si="1"/>
        <v>15.021.000-1</v>
      </c>
      <c r="L6" s="204" t="str">
        <f t="shared" si="2"/>
        <v>Nombre del Trabajador</v>
      </c>
      <c r="M6" s="196">
        <f>IF(L6&lt;&gt;"",'4'!$Q$125,"")</f>
        <v>14583.333333333332</v>
      </c>
      <c r="N6" s="196">
        <f>IF(L6&lt;&gt;"",'4'!$Q$124,"")</f>
        <v>0</v>
      </c>
      <c r="O6" s="196">
        <f>IF(L6&lt;&gt;"",'4'!$Q$128,"")</f>
        <v>0</v>
      </c>
      <c r="P6" s="196">
        <f>IF(L6&lt;&gt;"",'4'!$Q$129,"")</f>
        <v>0</v>
      </c>
      <c r="Q6" s="196">
        <f>IF(L6&lt;&gt;"",'4'!$Q$130,"")</f>
        <v>0</v>
      </c>
      <c r="R6" s="196">
        <f t="shared" ca="1" si="3"/>
        <v>608637.33333333337</v>
      </c>
    </row>
    <row r="7" spans="1:18" ht="13.5" thickBot="1" x14ac:dyDescent="0.25">
      <c r="A7" s="203" t="str">
        <f>IF('5'!$T$142=0,"",'5'!$T$142)</f>
        <v>15.021.000-1</v>
      </c>
      <c r="B7" s="204" t="str">
        <f>IF('5'!$T$141=0,"",'5'!$T$141)</f>
        <v>Nombre del Trabajador</v>
      </c>
      <c r="C7" s="259">
        <f>IF(B7&lt;&gt;"",ROUND('5'!$I$198,0),"")</f>
        <v>493210</v>
      </c>
      <c r="D7" s="196">
        <f>IF(B7&lt;&gt;"",'5'!$I$192,"")</f>
        <v>574396</v>
      </c>
      <c r="E7" s="196">
        <f>IF(B7&lt;&gt;"",'5'!$D$197,"")</f>
        <v>4051</v>
      </c>
      <c r="F7" s="196">
        <f ca="1">IF(B7&lt;&gt;"",'5'!$F$197,"")</f>
        <v>10234</v>
      </c>
      <c r="G7" s="196">
        <f>IF(B7&lt;&gt;"",'5'!$I$197,"")</f>
        <v>5373</v>
      </c>
      <c r="H7" s="196">
        <f>IF(B7&lt;&gt;"",'5'!$I$186,"")</f>
        <v>0</v>
      </c>
      <c r="I7" s="197">
        <f t="shared" ca="1" si="0"/>
        <v>594054</v>
      </c>
      <c r="J7" s="192"/>
      <c r="K7" s="203" t="str">
        <f t="shared" si="1"/>
        <v>15.021.000-1</v>
      </c>
      <c r="L7" s="204" t="str">
        <f t="shared" si="2"/>
        <v>Nombre del Trabajador</v>
      </c>
      <c r="M7" s="196">
        <f>IF(L7&lt;&gt;"",'5'!$Q$125,"")</f>
        <v>14583.333333333332</v>
      </c>
      <c r="N7" s="196">
        <f>IF(L7&lt;&gt;"",'5'!$Q$124,"")</f>
        <v>0</v>
      </c>
      <c r="O7" s="196">
        <f>IF(L7&lt;&gt;"",'5'!$Q$128,"")</f>
        <v>0</v>
      </c>
      <c r="P7" s="196">
        <f>IF(L7&lt;&gt;"",'5'!$Q$129,"")</f>
        <v>0</v>
      </c>
      <c r="Q7" s="196">
        <f>IF(L7&lt;&gt;"",'5'!$Q$130,"")</f>
        <v>0</v>
      </c>
      <c r="R7" s="196">
        <f t="shared" ca="1" si="3"/>
        <v>608637.33333333337</v>
      </c>
    </row>
    <row r="8" spans="1:18" ht="13.5" thickBot="1" x14ac:dyDescent="0.25">
      <c r="A8" s="203" t="str">
        <f>IF('6'!$T$142=0,"",'6'!$T$142)</f>
        <v>15.021.000-1</v>
      </c>
      <c r="B8" s="204" t="str">
        <f>IF('6'!$T$141=0,"",'6'!$T$141)</f>
        <v>Nombre del Trabajador</v>
      </c>
      <c r="C8" s="259">
        <f>IF(B8&lt;&gt;"",ROUND('6'!$I$198,0),"")</f>
        <v>492784</v>
      </c>
      <c r="D8" s="196">
        <f>IF(B8&lt;&gt;"",'6'!$I$192,"")</f>
        <v>574396</v>
      </c>
      <c r="E8" s="196">
        <f>IF(B8&lt;&gt;"",'6'!$D$197,"")</f>
        <v>4051</v>
      </c>
      <c r="F8" s="196">
        <f ca="1">IF(B8&lt;&gt;"",'6'!$F$197,"")</f>
        <v>10234</v>
      </c>
      <c r="G8" s="196">
        <f>IF(B8&lt;&gt;"",'6'!$I$197,"")</f>
        <v>5373</v>
      </c>
      <c r="H8" s="196">
        <f>IF(B8&lt;&gt;"",'6'!$I$186,"")</f>
        <v>0</v>
      </c>
      <c r="I8" s="197">
        <f t="shared" ca="1" si="0"/>
        <v>594054</v>
      </c>
      <c r="J8" s="192"/>
      <c r="K8" s="203" t="str">
        <f t="shared" si="1"/>
        <v>15.021.000-1</v>
      </c>
      <c r="L8" s="204" t="str">
        <f t="shared" si="2"/>
        <v>Nombre del Trabajador</v>
      </c>
      <c r="M8" s="196">
        <f>IF(L8&lt;&gt;"",'6'!$Q$125,"")</f>
        <v>14583.333333333332</v>
      </c>
      <c r="N8" s="196">
        <f>IF(L8&lt;&gt;"",'6'!$Q$124,"")</f>
        <v>0</v>
      </c>
      <c r="O8" s="196">
        <f>IF(L8&lt;&gt;"",'6'!$Q$128,"")</f>
        <v>0</v>
      </c>
      <c r="P8" s="196">
        <f>IF(L8&lt;&gt;"",'6'!$Q$129,"")</f>
        <v>0</v>
      </c>
      <c r="Q8" s="196">
        <f>IF(L8&lt;&gt;"",'6'!$Q$130,"")</f>
        <v>0</v>
      </c>
      <c r="R8" s="196">
        <f t="shared" ca="1" si="3"/>
        <v>608637.33333333337</v>
      </c>
    </row>
    <row r="9" spans="1:18" ht="13.5" thickBot="1" x14ac:dyDescent="0.25">
      <c r="A9" s="203" t="str">
        <f>IF('7'!$T$142=0,"",'7'!$T$142)</f>
        <v>15.021.000-1</v>
      </c>
      <c r="B9" s="204" t="str">
        <f>IF('7'!$T$141=0,"",'7'!$T$141)</f>
        <v>Nombre del Trabajador</v>
      </c>
      <c r="C9" s="259">
        <f>IF(B9&lt;&gt;"",ROUND('7'!$I$198,0),"")</f>
        <v>496067</v>
      </c>
      <c r="D9" s="196">
        <f>IF(B9&lt;&gt;"",'7'!$I$192,"")</f>
        <v>574396</v>
      </c>
      <c r="E9" s="196">
        <f>IF(B9&lt;&gt;"",'7'!$D$197,"")</f>
        <v>4051</v>
      </c>
      <c r="F9" s="196">
        <f ca="1">IF(B9&lt;&gt;"",'7'!$F$197,"")</f>
        <v>10234</v>
      </c>
      <c r="G9" s="196">
        <f>IF(B9&lt;&gt;"",'7'!$I$197,"")</f>
        <v>5373</v>
      </c>
      <c r="H9" s="196">
        <f>IF(B9&lt;&gt;"",'7'!$I$186,"")</f>
        <v>0</v>
      </c>
      <c r="I9" s="197">
        <f t="shared" ca="1" si="0"/>
        <v>594054</v>
      </c>
      <c r="J9" s="192"/>
      <c r="K9" s="203" t="str">
        <f t="shared" si="1"/>
        <v>15.021.000-1</v>
      </c>
      <c r="L9" s="204" t="str">
        <f t="shared" si="2"/>
        <v>Nombre del Trabajador</v>
      </c>
      <c r="M9" s="196">
        <f>IF(L9&lt;&gt;"",'7'!$Q$125,"")</f>
        <v>14583.333333333332</v>
      </c>
      <c r="N9" s="196">
        <f>IF(L9&lt;&gt;"",'7'!$Q$124,"")</f>
        <v>0</v>
      </c>
      <c r="O9" s="196">
        <f>IF(L9&lt;&gt;"",'7'!$Q$128,"")</f>
        <v>0</v>
      </c>
      <c r="P9" s="196">
        <f>IF(L9&lt;&gt;"",'7'!$Q$129,"")</f>
        <v>0</v>
      </c>
      <c r="Q9" s="196">
        <f>IF(L9&lt;&gt;"",'7'!$Q$130,"")</f>
        <v>0</v>
      </c>
      <c r="R9" s="196">
        <f t="shared" ca="1" si="3"/>
        <v>608637.33333333337</v>
      </c>
    </row>
    <row r="10" spans="1:18" ht="13.5" thickBot="1" x14ac:dyDescent="0.25">
      <c r="A10" s="203" t="str">
        <f>IF('8'!$T$142=0,"",'8'!$T$142)</f>
        <v>15.021.000-1</v>
      </c>
      <c r="B10" s="204" t="str">
        <f>IF('8'!$T$141=0,"",'8'!$T$141)</f>
        <v>Nombre del Trabajador</v>
      </c>
      <c r="C10" s="259">
        <f>IF(B10&lt;&gt;"",ROUND('8'!$I$198,0),"")</f>
        <v>493210</v>
      </c>
      <c r="D10" s="196">
        <f>IF(B10&lt;&gt;"",'8'!$I$192,"")</f>
        <v>574396</v>
      </c>
      <c r="E10" s="196">
        <f>IF(B10&lt;&gt;"",'8'!$D$197,"")</f>
        <v>4051</v>
      </c>
      <c r="F10" s="196">
        <f ca="1">IF(B10&lt;&gt;"",'8'!$F$197,"")</f>
        <v>10234</v>
      </c>
      <c r="G10" s="196">
        <f>IF(B10&lt;&gt;"",'8'!$I$197,"")</f>
        <v>5373</v>
      </c>
      <c r="H10" s="196">
        <f>IF(B10&lt;&gt;"",'8'!$I$186,"")</f>
        <v>0</v>
      </c>
      <c r="I10" s="197">
        <f t="shared" ca="1" si="0"/>
        <v>594054</v>
      </c>
      <c r="J10" s="192"/>
      <c r="K10" s="203" t="str">
        <f t="shared" si="1"/>
        <v>15.021.000-1</v>
      </c>
      <c r="L10" s="204" t="str">
        <f t="shared" si="2"/>
        <v>Nombre del Trabajador</v>
      </c>
      <c r="M10" s="196">
        <f>IF(L10&lt;&gt;"",'8'!$Q$125,"")</f>
        <v>14583.333333333332</v>
      </c>
      <c r="N10" s="196">
        <f>IF(L10&lt;&gt;"",'8'!$Q$124,"")</f>
        <v>0</v>
      </c>
      <c r="O10" s="196">
        <f>IF(L10&lt;&gt;"",'8'!$Q$128,"")</f>
        <v>0</v>
      </c>
      <c r="P10" s="196">
        <f>IF(L10&lt;&gt;"",'8'!$Q$129,"")</f>
        <v>0</v>
      </c>
      <c r="Q10" s="196">
        <f>IF(L10&lt;&gt;"",'8'!$Q$130,"")</f>
        <v>0</v>
      </c>
      <c r="R10" s="196">
        <f t="shared" ca="1" si="3"/>
        <v>608637.33333333337</v>
      </c>
    </row>
    <row r="11" spans="1:18" ht="13.5" thickBot="1" x14ac:dyDescent="0.25">
      <c r="A11" s="203" t="str">
        <f>IF('9'!$T$142=0,"",'9'!$T$142)</f>
        <v>15.021.000-1</v>
      </c>
      <c r="B11" s="204" t="str">
        <f>IF('9'!$T$141=0,"",'9'!$T$141)</f>
        <v>Nombre del Trabajador</v>
      </c>
      <c r="C11" s="259">
        <f>IF(B11&lt;&gt;"",ROUND('9'!$I$198,0),"")</f>
        <v>492784</v>
      </c>
      <c r="D11" s="196">
        <f>IF(B11&lt;&gt;"",'9'!$I$192,"")</f>
        <v>574396</v>
      </c>
      <c r="E11" s="196">
        <f>IF(B11&lt;&gt;"",'9'!$D$197,"")</f>
        <v>4051</v>
      </c>
      <c r="F11" s="196">
        <f ca="1">IF(B11&lt;&gt;"",'9'!$F$197,"")</f>
        <v>10234</v>
      </c>
      <c r="G11" s="196">
        <f>IF(B11&lt;&gt;"",'9'!$I$197,"")</f>
        <v>5373</v>
      </c>
      <c r="H11" s="196">
        <f>IF(B11&lt;&gt;"",'9'!$I$186,"")</f>
        <v>0</v>
      </c>
      <c r="I11" s="197">
        <f t="shared" ca="1" si="0"/>
        <v>594054</v>
      </c>
      <c r="J11" s="192"/>
      <c r="K11" s="203" t="str">
        <f t="shared" si="1"/>
        <v>15.021.000-1</v>
      </c>
      <c r="L11" s="204" t="str">
        <f t="shared" si="2"/>
        <v>Nombre del Trabajador</v>
      </c>
      <c r="M11" s="196">
        <f>IF(L11&lt;&gt;"",'9'!$Q$125,"")</f>
        <v>14583.333333333332</v>
      </c>
      <c r="N11" s="196">
        <f>IF(L11&lt;&gt;"",'9'!$Q$124,"")</f>
        <v>0</v>
      </c>
      <c r="O11" s="196">
        <f>IF(L11&lt;&gt;"",'9'!$Q$128,"")</f>
        <v>0</v>
      </c>
      <c r="P11" s="196">
        <f>IF(L11&lt;&gt;"",'9'!$Q$129,"")</f>
        <v>0</v>
      </c>
      <c r="Q11" s="196">
        <f>IF(L11&lt;&gt;"",'9'!$Q$130,"")</f>
        <v>0</v>
      </c>
      <c r="R11" s="196">
        <f t="shared" ca="1" si="3"/>
        <v>608637.33333333337</v>
      </c>
    </row>
    <row r="12" spans="1:18" ht="13.5" thickBot="1" x14ac:dyDescent="0.25">
      <c r="A12" s="203" t="str">
        <f>IF('10'!$T$142=0,"",'10'!$T$142)</f>
        <v>15.021.000-1</v>
      </c>
      <c r="B12" s="204" t="str">
        <f>IF('10'!$T$141=0,"",'10'!$T$141)</f>
        <v>Nombre del Trabajador</v>
      </c>
      <c r="C12" s="259">
        <f>IF(B12&lt;&gt;"",ROUND('10'!$I$198,0),"")</f>
        <v>400112</v>
      </c>
      <c r="D12" s="196">
        <f>IF(B12&lt;&gt;"",'10'!$I$192,"")</f>
        <v>469000</v>
      </c>
      <c r="E12" s="196">
        <f>IF(B12&lt;&gt;"",'10'!$D$197,"")</f>
        <v>3563</v>
      </c>
      <c r="F12" s="196">
        <f ca="1">IF(B12&lt;&gt;"",'10'!$F$197,"")</f>
        <v>9000</v>
      </c>
      <c r="G12" s="196">
        <f>IF(B12&lt;&gt;"",'10'!$I$197,"")</f>
        <v>4725</v>
      </c>
      <c r="H12" s="196">
        <f>IF(B12&lt;&gt;"",'10'!$I$186,"")</f>
        <v>0</v>
      </c>
      <c r="I12" s="197">
        <f t="shared" ca="1" si="0"/>
        <v>486288</v>
      </c>
      <c r="J12" s="192"/>
      <c r="K12" s="203" t="str">
        <f t="shared" si="1"/>
        <v>15.021.000-1</v>
      </c>
      <c r="L12" s="204" t="str">
        <f t="shared" si="2"/>
        <v>Nombre del Trabajador</v>
      </c>
      <c r="M12" s="196">
        <f>IF(L12&lt;&gt;"",'10'!$Q$125,"")</f>
        <v>12500</v>
      </c>
      <c r="N12" s="196">
        <f>IF(L12&lt;&gt;"",'10'!$Q$124,"")</f>
        <v>0</v>
      </c>
      <c r="O12" s="196">
        <f>IF(L12&lt;&gt;"",'10'!$Q$128,"")</f>
        <v>0</v>
      </c>
      <c r="P12" s="196">
        <f>IF(L12&lt;&gt;"",'10'!$Q$129,"")</f>
        <v>0</v>
      </c>
      <c r="Q12" s="196">
        <f>IF(L12&lt;&gt;"",'10'!$Q$130,"")</f>
        <v>0</v>
      </c>
      <c r="R12" s="196">
        <f t="shared" ca="1" si="3"/>
        <v>498788</v>
      </c>
    </row>
    <row r="13" spans="1:18" ht="13.5" thickBot="1" x14ac:dyDescent="0.25">
      <c r="A13" s="203" t="str">
        <f>IF('11'!$T$142=0,"",'11'!$T$142)</f>
        <v>15.021.000-1</v>
      </c>
      <c r="B13" s="204" t="str">
        <f>IF('11'!$T$141=0,"",'11'!$T$141)</f>
        <v>Nombre del Trabajador</v>
      </c>
      <c r="C13" s="259">
        <f>IF(B13&lt;&gt;"",ROUND('11'!$I$198,0),"")</f>
        <v>492784</v>
      </c>
      <c r="D13" s="196">
        <f>IF(B13&lt;&gt;"",'11'!$I$192,"")</f>
        <v>574396</v>
      </c>
      <c r="E13" s="196">
        <f>IF(B13&lt;&gt;"",'11'!$D$197,"")</f>
        <v>4051</v>
      </c>
      <c r="F13" s="196">
        <f ca="1">IF(B13&lt;&gt;"",'11'!$F$197,"")</f>
        <v>10234</v>
      </c>
      <c r="G13" s="196">
        <f>IF(B13&lt;&gt;"",'11'!$I$197,"")</f>
        <v>5373</v>
      </c>
      <c r="H13" s="196">
        <f>IF(B13&lt;&gt;"",'11'!$I$186,"")</f>
        <v>0</v>
      </c>
      <c r="I13" s="197">
        <f t="shared" ca="1" si="0"/>
        <v>594054</v>
      </c>
      <c r="J13" s="192"/>
      <c r="K13" s="203" t="str">
        <f t="shared" si="1"/>
        <v>15.021.000-1</v>
      </c>
      <c r="L13" s="204" t="str">
        <f t="shared" si="2"/>
        <v>Nombre del Trabajador</v>
      </c>
      <c r="M13" s="196">
        <f>IF(L13&lt;&gt;"",'11'!$Q$125,"")</f>
        <v>14583.333333333332</v>
      </c>
      <c r="N13" s="196">
        <f>IF(L13&lt;&gt;"",'11'!$Q$124,"")</f>
        <v>0</v>
      </c>
      <c r="O13" s="196">
        <f>IF(L13&lt;&gt;"",'11'!$Q$128,"")</f>
        <v>0</v>
      </c>
      <c r="P13" s="196">
        <f>IF(L13&lt;&gt;"",'11'!$Q$129,"")</f>
        <v>0</v>
      </c>
      <c r="Q13" s="196">
        <f>IF(L13&lt;&gt;"",'11'!$Q$130,"")</f>
        <v>0</v>
      </c>
      <c r="R13" s="196">
        <f t="shared" ca="1" si="3"/>
        <v>608637.33333333337</v>
      </c>
    </row>
    <row r="14" spans="1:18" ht="13.5" thickBot="1" x14ac:dyDescent="0.25">
      <c r="A14" s="203" t="str">
        <f>IF('12'!$T$142=0,"",'12'!$T$142)</f>
        <v>15.021.000-1</v>
      </c>
      <c r="B14" s="204" t="str">
        <f>IF('12'!$T$141=0,"",'12'!$T$141)</f>
        <v>Nombre del Trabajador</v>
      </c>
      <c r="C14" s="259">
        <f>IF(B14&lt;&gt;"",ROUND('12'!$I$198,0),"")</f>
        <v>489287</v>
      </c>
      <c r="D14" s="196">
        <f>IF(B14&lt;&gt;"",'12'!$I$192,"")</f>
        <v>574396</v>
      </c>
      <c r="E14" s="196">
        <f>IF(B14&lt;&gt;"",'12'!$D$197,"")</f>
        <v>4051</v>
      </c>
      <c r="F14" s="196">
        <f ca="1">IF(B14&lt;&gt;"",'12'!$F$197,"")</f>
        <v>10234</v>
      </c>
      <c r="G14" s="196">
        <f>IF(B14&lt;&gt;"",'12'!$I$197,"")</f>
        <v>5373</v>
      </c>
      <c r="H14" s="196">
        <f>IF(B14&lt;&gt;"",'12'!$I$186,"")</f>
        <v>0</v>
      </c>
      <c r="I14" s="197">
        <f t="shared" ca="1" si="0"/>
        <v>594054</v>
      </c>
      <c r="J14" s="192"/>
      <c r="K14" s="203" t="str">
        <f t="shared" si="1"/>
        <v>15.021.000-1</v>
      </c>
      <c r="L14" s="204" t="str">
        <f t="shared" si="2"/>
        <v>Nombre del Trabajador</v>
      </c>
      <c r="M14" s="196">
        <f>IF(L14&lt;&gt;"",'12'!$Q$125,"")</f>
        <v>14583.333333333332</v>
      </c>
      <c r="N14" s="196">
        <f>IF(L14&lt;&gt;"",'12'!$Q$124,"")</f>
        <v>0</v>
      </c>
      <c r="O14" s="196">
        <f>IF(L14&lt;&gt;"",'12'!$Q$128,"")</f>
        <v>0</v>
      </c>
      <c r="P14" s="196">
        <f>IF(L14&lt;&gt;"",'12'!$Q$129,"")</f>
        <v>0</v>
      </c>
      <c r="Q14" s="196">
        <f>IF(L14&lt;&gt;"",'12'!$Q$130,"")</f>
        <v>0</v>
      </c>
      <c r="R14" s="196">
        <f t="shared" ca="1" si="3"/>
        <v>608637.33333333337</v>
      </c>
    </row>
    <row r="15" spans="1:18" ht="13.5" thickBot="1" x14ac:dyDescent="0.25">
      <c r="A15" s="203" t="str">
        <f>IF('13'!$T$142=0,"",'13'!$T$142)</f>
        <v>15.021.000-1</v>
      </c>
      <c r="B15" s="204" t="str">
        <f>IF('13'!$T$141=0,"",'13'!$T$141)</f>
        <v>Nombre del Trabajador</v>
      </c>
      <c r="C15" s="259">
        <f>IF(B15&lt;&gt;"",ROUND('13'!$I$198,0),"")</f>
        <v>496067</v>
      </c>
      <c r="D15" s="196">
        <f>IF(B15&lt;&gt;"",'13'!$I$192,"")</f>
        <v>574396</v>
      </c>
      <c r="E15" s="196">
        <f>IF(B15&lt;&gt;"",'13'!$D$197,"")</f>
        <v>4051</v>
      </c>
      <c r="F15" s="196">
        <f ca="1">IF(B15&lt;&gt;"",'13'!$F$197,"")</f>
        <v>10234</v>
      </c>
      <c r="G15" s="196">
        <f>IF(B15&lt;&gt;"",'13'!$I$197,"")</f>
        <v>5373</v>
      </c>
      <c r="H15" s="196">
        <f>IF(B15&lt;&gt;"",'13'!$I$186,"")</f>
        <v>0</v>
      </c>
      <c r="I15" s="197">
        <f t="shared" ca="1" si="0"/>
        <v>594054</v>
      </c>
      <c r="J15" s="192"/>
      <c r="K15" s="203" t="str">
        <f t="shared" si="1"/>
        <v>15.021.000-1</v>
      </c>
      <c r="L15" s="204" t="str">
        <f t="shared" si="2"/>
        <v>Nombre del Trabajador</v>
      </c>
      <c r="M15" s="196">
        <f>IF(L15&lt;&gt;"",'13'!$Q$125,"")</f>
        <v>14583.333333333332</v>
      </c>
      <c r="N15" s="196">
        <f>IF(L15&lt;&gt;"",'13'!$Q$124,"")</f>
        <v>0</v>
      </c>
      <c r="O15" s="196">
        <f>IF(L15&lt;&gt;"",'13'!$Q$128,"")</f>
        <v>0</v>
      </c>
      <c r="P15" s="196">
        <f>IF(L15&lt;&gt;"",'13'!$Q$129,"")</f>
        <v>0</v>
      </c>
      <c r="Q15" s="196">
        <f>IF(L15&lt;&gt;"",'13'!$Q$130,"")</f>
        <v>0</v>
      </c>
      <c r="R15" s="196">
        <f t="shared" ca="1" si="3"/>
        <v>608637.33333333337</v>
      </c>
    </row>
    <row r="16" spans="1:18" ht="13.5" thickBot="1" x14ac:dyDescent="0.25">
      <c r="A16" s="203" t="str">
        <f>IF('14'!$T$142=0,"",'14'!$T$142)</f>
        <v>15.021.000-1</v>
      </c>
      <c r="B16" s="204" t="str">
        <f>IF('14'!$T$141=0,"",'14'!$T$141)</f>
        <v>Nombre del Trabajador</v>
      </c>
      <c r="C16" s="259">
        <f>IF(B16&lt;&gt;"",ROUND('14'!$I$198,0),"")</f>
        <v>492784</v>
      </c>
      <c r="D16" s="196">
        <f>IF(B16&lt;&gt;"",'14'!$I$192,"")</f>
        <v>574396</v>
      </c>
      <c r="E16" s="196">
        <f>IF(B16&lt;&gt;"",'14'!$D$197,"")</f>
        <v>4051</v>
      </c>
      <c r="F16" s="196">
        <f ca="1">IF(B16&lt;&gt;"",'14'!$F$197,"")</f>
        <v>10234</v>
      </c>
      <c r="G16" s="196">
        <f>IF(B16&lt;&gt;"",'14'!$I$197,"")</f>
        <v>5373</v>
      </c>
      <c r="H16" s="196">
        <f>IF(B16&lt;&gt;"",'14'!$I$186,"")</f>
        <v>0</v>
      </c>
      <c r="I16" s="197">
        <f t="shared" ca="1" si="0"/>
        <v>594054</v>
      </c>
      <c r="J16" s="192"/>
      <c r="K16" s="203" t="str">
        <f t="shared" si="1"/>
        <v>15.021.000-1</v>
      </c>
      <c r="L16" s="204" t="str">
        <f t="shared" si="2"/>
        <v>Nombre del Trabajador</v>
      </c>
      <c r="M16" s="196">
        <f>IF(L16&lt;&gt;"",'14'!$Q$125,"")</f>
        <v>14583.333333333332</v>
      </c>
      <c r="N16" s="196">
        <f>IF(L16&lt;&gt;"",'14'!$Q$124,"")</f>
        <v>0</v>
      </c>
      <c r="O16" s="196">
        <f>IF(L16&lt;&gt;"",'14'!$Q$128,"")</f>
        <v>0</v>
      </c>
      <c r="P16" s="196">
        <f>IF(L16&lt;&gt;"",'14'!$Q$129,"")</f>
        <v>0</v>
      </c>
      <c r="Q16" s="196">
        <f>IF(L16&lt;&gt;"",'14'!$Q$130,"")</f>
        <v>0</v>
      </c>
      <c r="R16" s="196">
        <f t="shared" ca="1" si="3"/>
        <v>608637.33333333337</v>
      </c>
    </row>
    <row r="17" spans="1:18" ht="13.5" thickBot="1" x14ac:dyDescent="0.25">
      <c r="A17" s="203" t="str">
        <f>IF('15'!$T$142=0,"",'15'!$T$142)</f>
        <v>15.021.000-1</v>
      </c>
      <c r="B17" s="204" t="str">
        <f>IF('15'!$T$141=0,"",'15'!$T$141)</f>
        <v>Nombre del Trabajador</v>
      </c>
      <c r="C17" s="259">
        <f>IF(B17&lt;&gt;"",ROUND('15'!$I$198,0),"")</f>
        <v>492784</v>
      </c>
      <c r="D17" s="196">
        <f>IF(B17&lt;&gt;"",'15'!$I$192,"")</f>
        <v>574396</v>
      </c>
      <c r="E17" s="196">
        <f>IF(B17&lt;&gt;"",'15'!$D$197,"")</f>
        <v>4051</v>
      </c>
      <c r="F17" s="196">
        <f ca="1">IF(B17&lt;&gt;"",'15'!$F$197,"")</f>
        <v>10234</v>
      </c>
      <c r="G17" s="196">
        <f>IF(B17&lt;&gt;"",'15'!$I$197,"")</f>
        <v>5373</v>
      </c>
      <c r="H17" s="196">
        <f>IF(B17&lt;&gt;"",'15'!$I$186,"")</f>
        <v>0</v>
      </c>
      <c r="I17" s="197">
        <f t="shared" ca="1" si="0"/>
        <v>594054</v>
      </c>
      <c r="J17" s="192"/>
      <c r="K17" s="203" t="str">
        <f t="shared" si="1"/>
        <v>15.021.000-1</v>
      </c>
      <c r="L17" s="204" t="str">
        <f t="shared" si="2"/>
        <v>Nombre del Trabajador</v>
      </c>
      <c r="M17" s="196">
        <f>IF(L17&lt;&gt;"",'15'!$Q$125,"")</f>
        <v>14583.333333333332</v>
      </c>
      <c r="N17" s="196">
        <f>IF(L17&lt;&gt;"",'15'!$Q$124,"")</f>
        <v>0</v>
      </c>
      <c r="O17" s="196">
        <f>IF(L17&lt;&gt;"",'15'!$Q$128,"")</f>
        <v>0</v>
      </c>
      <c r="P17" s="196">
        <f>IF(L17&lt;&gt;"",'15'!$Q$129,"")</f>
        <v>0</v>
      </c>
      <c r="Q17" s="196">
        <f>IF(L17&lt;&gt;"",'15'!$Q$130,"")</f>
        <v>0</v>
      </c>
      <c r="R17" s="196">
        <f t="shared" ca="1" si="3"/>
        <v>608637.33333333337</v>
      </c>
    </row>
    <row r="18" spans="1:18" ht="13.5" thickBot="1" x14ac:dyDescent="0.25">
      <c r="A18" s="203" t="str">
        <f>IF('16'!$T$142=0,"",'16'!$T$142)</f>
        <v>15.021.000-1</v>
      </c>
      <c r="B18" s="204" t="str">
        <f>IF('16'!$T$141=0,"",'16'!$T$141)</f>
        <v>Nombre del Trabajador</v>
      </c>
      <c r="C18" s="259">
        <f>IF(B18&lt;&gt;"",ROUND('16'!$I$198,0),"")</f>
        <v>496067</v>
      </c>
      <c r="D18" s="196">
        <f>IF(B18&lt;&gt;"",'16'!$I$192,"")</f>
        <v>574396</v>
      </c>
      <c r="E18" s="196">
        <f>IF(B18&lt;&gt;"",'16'!$D$197,"")</f>
        <v>4051</v>
      </c>
      <c r="F18" s="196">
        <f ca="1">IF(B18&lt;&gt;"",'16'!$F$197,"")</f>
        <v>10234</v>
      </c>
      <c r="G18" s="196">
        <f>IF(B18&lt;&gt;"",'16'!$I$197,"")</f>
        <v>5373</v>
      </c>
      <c r="H18" s="196">
        <f>IF(B18&lt;&gt;"",'16'!$I$186,"")</f>
        <v>0</v>
      </c>
      <c r="I18" s="197">
        <f t="shared" ca="1" si="0"/>
        <v>594054</v>
      </c>
      <c r="J18" s="192"/>
      <c r="K18" s="203" t="str">
        <f t="shared" si="1"/>
        <v>15.021.000-1</v>
      </c>
      <c r="L18" s="204" t="str">
        <f t="shared" si="2"/>
        <v>Nombre del Trabajador</v>
      </c>
      <c r="M18" s="196">
        <f>IF(L18&lt;&gt;"",'16'!$Q$125,"")</f>
        <v>14583.333333333332</v>
      </c>
      <c r="N18" s="196">
        <f>IF(L18&lt;&gt;"",'16'!$Q$124,"")</f>
        <v>0</v>
      </c>
      <c r="O18" s="196">
        <f>IF(L18&lt;&gt;"",'16'!$Q$128,"")</f>
        <v>0</v>
      </c>
      <c r="P18" s="196">
        <f>IF(L18&lt;&gt;"",'16'!$Q$129,"")</f>
        <v>0</v>
      </c>
      <c r="Q18" s="196">
        <f>IF(L18&lt;&gt;"",'16'!$Q$130,"")</f>
        <v>0</v>
      </c>
      <c r="R18" s="196">
        <f t="shared" ca="1" si="3"/>
        <v>608637.33333333337</v>
      </c>
    </row>
    <row r="19" spans="1:18" ht="13.5" thickBot="1" x14ac:dyDescent="0.25">
      <c r="A19" s="203" t="str">
        <f>IF('17'!$T$142=0,0,'17'!$T$142)</f>
        <v>15.021.000-1</v>
      </c>
      <c r="B19" s="204" t="str">
        <f>IF('17'!$T$141=0,"",'17'!$T$141)</f>
        <v>Nombre del Trabajador</v>
      </c>
      <c r="C19" s="259">
        <f>IF(B19&lt;&gt;"",ROUND('17'!$I$198,0),"")</f>
        <v>493210</v>
      </c>
      <c r="D19" s="196">
        <f>IF(B19&lt;&gt;"",'17'!$I$192,"")</f>
        <v>574396</v>
      </c>
      <c r="E19" s="196">
        <f>IF(B19&lt;&gt;"",'17'!$D$197,"")</f>
        <v>4051</v>
      </c>
      <c r="F19" s="196">
        <f ca="1">IF(B19&lt;&gt;"",'17'!$F$197,"")</f>
        <v>10234</v>
      </c>
      <c r="G19" s="196">
        <f>IF(B19&lt;&gt;"",'17'!$I$197,"")</f>
        <v>5373</v>
      </c>
      <c r="H19" s="196">
        <f>IF(B19&lt;&gt;"",'17'!$I$186,"")</f>
        <v>0</v>
      </c>
      <c r="I19" s="197">
        <f t="shared" ca="1" si="0"/>
        <v>594054</v>
      </c>
      <c r="J19" s="192"/>
      <c r="K19" s="203" t="str">
        <f t="shared" si="1"/>
        <v>15.021.000-1</v>
      </c>
      <c r="L19" s="204" t="str">
        <f t="shared" si="2"/>
        <v>Nombre del Trabajador</v>
      </c>
      <c r="M19" s="196">
        <f>IF(L19&lt;&gt;"",'17'!$Q$125,"")</f>
        <v>14583.333333333332</v>
      </c>
      <c r="N19" s="196">
        <f>IF(L19&lt;&gt;"",'17'!$Q$124,"")</f>
        <v>0</v>
      </c>
      <c r="O19" s="196">
        <f>IF(L19&lt;&gt;"",'17'!$Q$128,"")</f>
        <v>0</v>
      </c>
      <c r="P19" s="196">
        <f>IF(L19&lt;&gt;"",'17'!$Q$129,"")</f>
        <v>0</v>
      </c>
      <c r="Q19" s="196">
        <f>IF(L19&lt;&gt;"",'17'!$Q$130,"")</f>
        <v>0</v>
      </c>
      <c r="R19" s="196">
        <f t="shared" ca="1" si="3"/>
        <v>608637.33333333337</v>
      </c>
    </row>
    <row r="20" spans="1:18" ht="13.5" thickBot="1" x14ac:dyDescent="0.25">
      <c r="A20" s="203" t="str">
        <f>IF('18'!$T$142=0,"",'18'!$T$142)</f>
        <v>15.021.000-1</v>
      </c>
      <c r="B20" s="204" t="str">
        <f>IF('18'!$T$141=0,"",'18'!$T$141)</f>
        <v>Nombre del Trabajador</v>
      </c>
      <c r="C20" s="259">
        <f>IF(B20&lt;&gt;"",ROUND('18'!$I$198,0),"")</f>
        <v>496067</v>
      </c>
      <c r="D20" s="196">
        <f>IF(B20&lt;&gt;"",'18'!$I$192,"")</f>
        <v>574396</v>
      </c>
      <c r="E20" s="196">
        <f>IF(B20&lt;&gt;"",'18'!$D$197,"")</f>
        <v>4051</v>
      </c>
      <c r="F20" s="196">
        <f ca="1">IF(B20&lt;&gt;"",'18'!$F$197,"")</f>
        <v>10234</v>
      </c>
      <c r="G20" s="196">
        <f>IF(B20&lt;&gt;"",'18'!$I$197,"")</f>
        <v>5373</v>
      </c>
      <c r="H20" s="196">
        <f>IF(B20&lt;&gt;"",'18'!$I$186,"")</f>
        <v>0</v>
      </c>
      <c r="I20" s="197">
        <f t="shared" ca="1" si="0"/>
        <v>594054</v>
      </c>
      <c r="J20" s="192"/>
      <c r="K20" s="203" t="str">
        <f t="shared" si="1"/>
        <v>15.021.000-1</v>
      </c>
      <c r="L20" s="204" t="str">
        <f t="shared" si="2"/>
        <v>Nombre del Trabajador</v>
      </c>
      <c r="M20" s="196">
        <f>IF(L20&lt;&gt;"",'18'!$Q$125,"")</f>
        <v>14583.333333333332</v>
      </c>
      <c r="N20" s="196">
        <f>IF(L20&lt;&gt;"",'18'!$Q$124,"")</f>
        <v>0</v>
      </c>
      <c r="O20" s="196">
        <f>IF(L20&lt;&gt;"",'18'!$Q$128,"")</f>
        <v>0</v>
      </c>
      <c r="P20" s="196">
        <f>IF(L20&lt;&gt;"",'18'!$Q$129,"")</f>
        <v>0</v>
      </c>
      <c r="Q20" s="196">
        <f>IF(L20&lt;&gt;"",'18'!$Q$130,"")</f>
        <v>0</v>
      </c>
      <c r="R20" s="196">
        <f t="shared" ca="1" si="3"/>
        <v>608637.33333333337</v>
      </c>
    </row>
    <row r="21" spans="1:18" ht="13.5" thickBot="1" x14ac:dyDescent="0.25">
      <c r="A21" s="203" t="str">
        <f>IF('19'!$T$142=0,"",'19'!$T$142)</f>
        <v>15.021.000-1</v>
      </c>
      <c r="B21" s="204" t="str">
        <f>IF('19'!$T$141=0,"",'19'!$T$141)</f>
        <v>Nombre del Trabajador</v>
      </c>
      <c r="C21" s="259">
        <f>IF(B21&lt;&gt;"",ROUND('19'!$I$198,0),"")</f>
        <v>493935</v>
      </c>
      <c r="D21" s="196">
        <f>IF(B21&lt;&gt;"",'19'!$I$192,"")</f>
        <v>574396</v>
      </c>
      <c r="E21" s="196">
        <f>IF(B21&lt;&gt;"",'19'!$D$197,"")</f>
        <v>4051</v>
      </c>
      <c r="F21" s="196">
        <f ca="1">IF(B21&lt;&gt;"",'19'!$F$197,"")</f>
        <v>10234</v>
      </c>
      <c r="G21" s="196">
        <f>IF(B21&lt;&gt;"",'19'!$I$197,"")</f>
        <v>5373</v>
      </c>
      <c r="H21" s="196">
        <f>IF(B21&lt;&gt;"",'19'!$I$186,"")</f>
        <v>0</v>
      </c>
      <c r="I21" s="197">
        <f t="shared" ca="1" si="0"/>
        <v>594054</v>
      </c>
      <c r="J21" s="192"/>
      <c r="K21" s="203" t="str">
        <f t="shared" si="1"/>
        <v>15.021.000-1</v>
      </c>
      <c r="L21" s="204" t="str">
        <f t="shared" si="2"/>
        <v>Nombre del Trabajador</v>
      </c>
      <c r="M21" s="196">
        <f>IF(L21&lt;&gt;"",'19'!$Q$125,"")</f>
        <v>14583.333333333332</v>
      </c>
      <c r="N21" s="196">
        <f>IF(L21&lt;&gt;"",'19'!$Q$124,"")</f>
        <v>0</v>
      </c>
      <c r="O21" s="196">
        <f>IF(L21&lt;&gt;"",'19'!$Q$128,"")</f>
        <v>0</v>
      </c>
      <c r="P21" s="196">
        <f>IF(L21&lt;&gt;"",'19'!$Q$129,"")</f>
        <v>0</v>
      </c>
      <c r="Q21" s="196">
        <f>IF(L21&lt;&gt;"",'19'!$Q$130,"")</f>
        <v>0</v>
      </c>
      <c r="R21" s="196">
        <f t="shared" ca="1" si="3"/>
        <v>608637.33333333337</v>
      </c>
    </row>
    <row r="22" spans="1:18" ht="13.5" thickBot="1" x14ac:dyDescent="0.25">
      <c r="A22" s="203" t="str">
        <f>IF('20'!$T$142=0,"",'20'!$T$142)</f>
        <v>15.021.000-1</v>
      </c>
      <c r="B22" s="204" t="str">
        <f>IF('20'!$T$141=0,"",'20'!$T$141)</f>
        <v>Nombre del Trabajador</v>
      </c>
      <c r="C22" s="259">
        <f>IF(B22&lt;&gt;"",ROUND('20'!$I$198,0),"")</f>
        <v>496493</v>
      </c>
      <c r="D22" s="196">
        <f>IF(B22&lt;&gt;"",'20'!$I$192,"")</f>
        <v>574396</v>
      </c>
      <c r="E22" s="196">
        <f>IF(B22&lt;&gt;"",'20'!$D$197,"")</f>
        <v>4051</v>
      </c>
      <c r="F22" s="196">
        <f ca="1">IF(B22&lt;&gt;"",'20'!$F$197,"")</f>
        <v>0</v>
      </c>
      <c r="G22" s="196">
        <f>IF(B22&lt;&gt;"",'20'!$I$197,"")</f>
        <v>0</v>
      </c>
      <c r="H22" s="196">
        <f>IF(B22&lt;&gt;"",'20'!$I$186,"")</f>
        <v>0</v>
      </c>
      <c r="I22" s="197">
        <f t="shared" ca="1" si="0"/>
        <v>578447</v>
      </c>
      <c r="J22" s="192"/>
      <c r="K22" s="203" t="str">
        <f t="shared" si="1"/>
        <v>15.021.000-1</v>
      </c>
      <c r="L22" s="204" t="str">
        <f t="shared" si="2"/>
        <v>Nombre del Trabajador</v>
      </c>
      <c r="M22" s="196">
        <f>IF(L22&lt;&gt;"",'20'!$Q$125,"")</f>
        <v>14583.333333333332</v>
      </c>
      <c r="N22" s="196">
        <f>IF(L22&lt;&gt;"",'20'!$Q$124,"")</f>
        <v>0</v>
      </c>
      <c r="O22" s="196">
        <f>IF(L22&lt;&gt;"",'20'!$Q$128,"")</f>
        <v>0</v>
      </c>
      <c r="P22" s="196">
        <f>IF(L22&lt;&gt;"",'20'!$Q$129,"")</f>
        <v>0</v>
      </c>
      <c r="Q22" s="196">
        <f>IF(L22&lt;&gt;"",'20'!$Q$130,"")</f>
        <v>0</v>
      </c>
      <c r="R22" s="196">
        <f t="shared" ca="1" si="3"/>
        <v>593030.33333333337</v>
      </c>
    </row>
    <row r="23" spans="1:18" ht="13.5" thickBot="1" x14ac:dyDescent="0.25">
      <c r="A23" s="203" t="str">
        <f>IF('21'!$T$142=0,"",'21'!$T$142)</f>
        <v>15.021.000-1</v>
      </c>
      <c r="B23" s="204" t="str">
        <f>IF('21'!$T$141=0,"",'21'!$T$141)</f>
        <v>Nombre del Trabajador</v>
      </c>
      <c r="C23" s="259">
        <f>IF(B23&lt;&gt;"",ROUND('21'!$I$198,0),"")</f>
        <v>493210</v>
      </c>
      <c r="D23" s="196">
        <f>IF(B23&lt;&gt;"",'21'!$I$192,"")</f>
        <v>574396</v>
      </c>
      <c r="E23" s="196">
        <f>IF(B23&lt;&gt;"",'21'!$D$197,"")</f>
        <v>4051</v>
      </c>
      <c r="F23" s="196">
        <f ca="1">IF(B23&lt;&gt;"",'21'!$F$197,"")</f>
        <v>10234</v>
      </c>
      <c r="G23" s="196">
        <f>IF(B23&lt;&gt;"",'21'!$I$197,"")</f>
        <v>5373</v>
      </c>
      <c r="H23" s="196">
        <f>IF(B23&lt;&gt;"",'21'!$I$186,"")</f>
        <v>0</v>
      </c>
      <c r="I23" s="197">
        <f t="shared" ca="1" si="0"/>
        <v>594054</v>
      </c>
      <c r="J23" s="192"/>
      <c r="K23" s="203" t="str">
        <f t="shared" si="1"/>
        <v>15.021.000-1</v>
      </c>
      <c r="L23" s="204" t="str">
        <f t="shared" si="2"/>
        <v>Nombre del Trabajador</v>
      </c>
      <c r="M23" s="196">
        <f>IF(L23&lt;&gt;"",'21'!$Q$125,"")</f>
        <v>14583.333333333332</v>
      </c>
      <c r="N23" s="196">
        <f>IF(L23&lt;&gt;"",'21'!$Q$124,"")</f>
        <v>0</v>
      </c>
      <c r="O23" s="196">
        <f>IF(L23&lt;&gt;"",'21'!$Q$128,"")</f>
        <v>0</v>
      </c>
      <c r="P23" s="196">
        <f>IF(L23&lt;&gt;"",'21'!$Q$129,"")</f>
        <v>0</v>
      </c>
      <c r="Q23" s="196">
        <f>IF(L23&lt;&gt;"",'21'!$Q$130,"")</f>
        <v>0</v>
      </c>
      <c r="R23" s="196">
        <f t="shared" ca="1" si="3"/>
        <v>608637.33333333337</v>
      </c>
    </row>
    <row r="24" spans="1:18" ht="13.5" thickBot="1" x14ac:dyDescent="0.25">
      <c r="A24" s="203" t="str">
        <f>IF('22'!$T$142=0,"",'22'!$T$142)</f>
        <v>15.021.000-1</v>
      </c>
      <c r="B24" s="204" t="str">
        <f>IF('22'!$T$141=0,"",'22'!$T$141)</f>
        <v>Nombre del Trabajador</v>
      </c>
      <c r="C24" s="259">
        <f>IF(B24&lt;&gt;"",ROUND('22'!$I$198,0),"")</f>
        <v>493040</v>
      </c>
      <c r="D24" s="196">
        <f>IF(B24&lt;&gt;"",'22'!$I$192,"")</f>
        <v>574396</v>
      </c>
      <c r="E24" s="196">
        <f>IF(B24&lt;&gt;"",'22'!$D$197,"")</f>
        <v>4051</v>
      </c>
      <c r="F24" s="196">
        <f ca="1">IF(B24&lt;&gt;"",'22'!$F$197,"")</f>
        <v>10234</v>
      </c>
      <c r="G24" s="196">
        <f>IF(B24&lt;&gt;"",'22'!$I$197,"")</f>
        <v>5373</v>
      </c>
      <c r="H24" s="196">
        <f>IF(B24&lt;&gt;"",'22'!$I$186,"")</f>
        <v>0</v>
      </c>
      <c r="I24" s="197">
        <f t="shared" ca="1" si="0"/>
        <v>594054</v>
      </c>
      <c r="J24" s="192"/>
      <c r="K24" s="203" t="str">
        <f t="shared" si="1"/>
        <v>15.021.000-1</v>
      </c>
      <c r="L24" s="204" t="str">
        <f t="shared" si="2"/>
        <v>Nombre del Trabajador</v>
      </c>
      <c r="M24" s="196">
        <f>IF(L24&lt;&gt;"",'22'!$Q$125,"")</f>
        <v>14583.333333333332</v>
      </c>
      <c r="N24" s="196">
        <f>IF(L24&lt;&gt;"",'22'!$Q$124,"")</f>
        <v>0</v>
      </c>
      <c r="O24" s="196">
        <f>IF(L24&lt;&gt;"",'22'!$Q$128,"")</f>
        <v>0</v>
      </c>
      <c r="P24" s="196">
        <f>IF(L24&lt;&gt;"",'22'!$Q$129,"")</f>
        <v>0</v>
      </c>
      <c r="Q24" s="196">
        <f>IF(L24&lt;&gt;"",'22'!$Q$130,"")</f>
        <v>0</v>
      </c>
      <c r="R24" s="196">
        <f t="shared" ca="1" si="3"/>
        <v>608637.33333333337</v>
      </c>
    </row>
    <row r="25" spans="1:18" ht="13.5" thickBot="1" x14ac:dyDescent="0.25">
      <c r="A25" s="203" t="str">
        <f>IF('23'!$T$142=0,"",'23'!$T$142)</f>
        <v>15.021.000-1</v>
      </c>
      <c r="B25" s="204" t="str">
        <f>IF('23'!$T$141=0,"",'23'!$T$141)</f>
        <v>Nombre del Trabajador</v>
      </c>
      <c r="C25" s="259">
        <f>IF(B25&lt;&gt;"",ROUND('23'!$I$198,0),"")</f>
        <v>489287</v>
      </c>
      <c r="D25" s="196">
        <f>IF(B25&lt;&gt;"",'23'!$I$192,"")</f>
        <v>574396</v>
      </c>
      <c r="E25" s="196">
        <f>IF(B25&lt;&gt;"",'23'!$D$197,"")</f>
        <v>4051</v>
      </c>
      <c r="F25" s="196">
        <f ca="1">IF(B25&lt;&gt;"",'23'!$F$197,"")</f>
        <v>10234</v>
      </c>
      <c r="G25" s="196">
        <f>IF(B25&lt;&gt;"",'23'!$I$197,"")</f>
        <v>5373</v>
      </c>
      <c r="H25" s="196">
        <f>IF(B25&lt;&gt;"",'23'!$I$186,"")</f>
        <v>0</v>
      </c>
      <c r="I25" s="197">
        <f t="shared" ca="1" si="0"/>
        <v>594054</v>
      </c>
      <c r="J25" s="192"/>
      <c r="K25" s="203" t="str">
        <f t="shared" si="1"/>
        <v>15.021.000-1</v>
      </c>
      <c r="L25" s="204" t="str">
        <f t="shared" si="2"/>
        <v>Nombre del Trabajador</v>
      </c>
      <c r="M25" s="196">
        <f>IF(L25&lt;&gt;"",'23'!$Q$125,"")</f>
        <v>14583.333333333332</v>
      </c>
      <c r="N25" s="196">
        <f>IF(L25&lt;&gt;"",'23'!$Q$124,"")</f>
        <v>0</v>
      </c>
      <c r="O25" s="196">
        <f>IF(L25&lt;&gt;"",'23'!$Q$128,"")</f>
        <v>0</v>
      </c>
      <c r="P25" s="196">
        <f>IF(L25&lt;&gt;"",'23'!$Q$129,"")</f>
        <v>0</v>
      </c>
      <c r="Q25" s="196">
        <f>IF(L25&lt;&gt;"",'23'!$Q$130,"")</f>
        <v>0</v>
      </c>
      <c r="R25" s="196">
        <f t="shared" ca="1" si="3"/>
        <v>608637.33333333337</v>
      </c>
    </row>
    <row r="26" spans="1:18" ht="13.5" thickBot="1" x14ac:dyDescent="0.25">
      <c r="A26" s="203" t="str">
        <f>IF('24'!$T$142=0,"",'24'!$T$142)</f>
        <v>15.021.000-1</v>
      </c>
      <c r="B26" s="204" t="str">
        <f>IF('24'!$T$141=0,"",'24'!$T$141)</f>
        <v>Nombre del Trabajador</v>
      </c>
      <c r="C26" s="259">
        <f>IF(B26&lt;&gt;"",ROUND('24'!$I$198,0),"")</f>
        <v>489287</v>
      </c>
      <c r="D26" s="196">
        <f>IF(B26&lt;&gt;"",'24'!$I$192,"")</f>
        <v>574396</v>
      </c>
      <c r="E26" s="196">
        <f>IF(B26&lt;&gt;"",'24'!$D$197,"")</f>
        <v>4051</v>
      </c>
      <c r="F26" s="196">
        <f ca="1">IF(B26&lt;&gt;"",'24'!$F$197,"")</f>
        <v>10234</v>
      </c>
      <c r="G26" s="196">
        <f>IF(B26&lt;&gt;"",'24'!$I$197,"")</f>
        <v>5373</v>
      </c>
      <c r="H26" s="196">
        <f>IF(B26&lt;&gt;"",'24'!$I$186,"")</f>
        <v>0</v>
      </c>
      <c r="I26" s="197">
        <f t="shared" ca="1" si="0"/>
        <v>594054</v>
      </c>
      <c r="J26" s="192"/>
      <c r="K26" s="203" t="str">
        <f t="shared" si="1"/>
        <v>15.021.000-1</v>
      </c>
      <c r="L26" s="204" t="str">
        <f t="shared" si="2"/>
        <v>Nombre del Trabajador</v>
      </c>
      <c r="M26" s="196">
        <f>IF(L26&lt;&gt;"",'24'!$Q$125,"")</f>
        <v>14583.333333333332</v>
      </c>
      <c r="N26" s="196">
        <f>IF(L26&lt;&gt;"",'24'!$Q$124,"")</f>
        <v>0</v>
      </c>
      <c r="O26" s="196">
        <f>IF(L26&lt;&gt;"",'24'!$Q$128,"")</f>
        <v>0</v>
      </c>
      <c r="P26" s="196">
        <f>IF(L26&lt;&gt;"",'24'!$Q$129,"")</f>
        <v>0</v>
      </c>
      <c r="Q26" s="196">
        <f>IF(L26&lt;&gt;"",'24'!$Q$130,"")</f>
        <v>0</v>
      </c>
      <c r="R26" s="196">
        <f t="shared" ca="1" si="3"/>
        <v>608637.33333333337</v>
      </c>
    </row>
    <row r="27" spans="1:18" ht="13.5" thickBot="1" x14ac:dyDescent="0.25">
      <c r="A27" s="252" t="str">
        <f>IF('25'!$T$142=0,"",'25'!$T$142)</f>
        <v>15.021.000-1</v>
      </c>
      <c r="B27" s="253" t="str">
        <f>IF('25'!$T$141=0,"",'25'!$T$141)</f>
        <v>Nombre del Trabajador</v>
      </c>
      <c r="C27" s="259">
        <f>IF(B27&lt;&gt;"",ROUND('25'!$I$198,0),"")</f>
        <v>496067</v>
      </c>
      <c r="D27" s="254">
        <f>IF(B27&lt;&gt;"",'25'!$I$192,"")</f>
        <v>574396</v>
      </c>
      <c r="E27" s="254">
        <f>IF(B27&lt;&gt;"",'25'!$D$197,"")</f>
        <v>4051</v>
      </c>
      <c r="F27" s="254">
        <f ca="1">IF(B27&lt;&gt;"",'25'!$F$197,"")</f>
        <v>10234</v>
      </c>
      <c r="G27" s="254">
        <f>IF(B27&lt;&gt;"",'25'!$I$197,"")</f>
        <v>5373</v>
      </c>
      <c r="H27" s="254">
        <f>IF(B27&lt;&gt;"",'25'!$I$186,"")</f>
        <v>0</v>
      </c>
      <c r="I27" s="255">
        <f t="shared" ca="1" si="0"/>
        <v>594054</v>
      </c>
      <c r="J27" s="192"/>
      <c r="K27" s="252" t="str">
        <f t="shared" si="1"/>
        <v>15.021.000-1</v>
      </c>
      <c r="L27" s="253" t="str">
        <f t="shared" si="2"/>
        <v>Nombre del Trabajador</v>
      </c>
      <c r="M27" s="254">
        <f>IF(L27&lt;&gt;"",'25'!$Q$125,"")</f>
        <v>14583.333333333332</v>
      </c>
      <c r="N27" s="254">
        <f>IF(L27&lt;&gt;"",'25'!$Q$124,"")</f>
        <v>0</v>
      </c>
      <c r="O27" s="254">
        <f>IF(L27&lt;&gt;"",'25'!$Q$128,"")</f>
        <v>0</v>
      </c>
      <c r="P27" s="254">
        <f>IF(L27&lt;&gt;"",'25'!$Q$129,"")</f>
        <v>0</v>
      </c>
      <c r="Q27" s="254">
        <f>IF(L27&lt;&gt;"",'25'!$Q$130,"")</f>
        <v>0</v>
      </c>
      <c r="R27" s="254">
        <f t="shared" ca="1" si="3"/>
        <v>608637.33333333337</v>
      </c>
    </row>
    <row r="28" spans="1:18" ht="13.5" thickBot="1" x14ac:dyDescent="0.25">
      <c r="A28" s="937" t="s">
        <v>500</v>
      </c>
      <c r="B28" s="938"/>
      <c r="C28" s="938"/>
      <c r="D28" s="938"/>
      <c r="E28" s="938"/>
      <c r="F28" s="938"/>
      <c r="G28" s="938"/>
      <c r="H28" s="938"/>
      <c r="I28" s="939"/>
      <c r="J28" s="261"/>
      <c r="K28" s="937" t="s">
        <v>500</v>
      </c>
      <c r="L28" s="938"/>
      <c r="M28" s="938"/>
      <c r="N28" s="938"/>
      <c r="O28" s="938"/>
      <c r="P28" s="938"/>
      <c r="Q28" s="938"/>
      <c r="R28" s="939"/>
    </row>
    <row r="29" spans="1:18" ht="13.5" thickBot="1" x14ac:dyDescent="0.25">
      <c r="A29" s="203" t="str">
        <f>IF('26'!$T$142=0,"",'26'!$T$142)</f>
        <v>10.159.159-1</v>
      </c>
      <c r="B29" s="204" t="str">
        <f>IF('26'!$T$141=0,"",'26'!$T$141)</f>
        <v>Nombre del Trabajador</v>
      </c>
      <c r="C29" s="204">
        <f>IF(B29&lt;&gt;"",ROUND('26'!$I$198,0),"")</f>
        <v>315000</v>
      </c>
      <c r="D29" s="196">
        <f>IF(B29&lt;&gt;"",'26'!$I$192,"")</f>
        <v>350000</v>
      </c>
      <c r="E29" s="196">
        <f>IF(B29&lt;&gt;"",'26'!$D$197,"")</f>
        <v>0</v>
      </c>
      <c r="F29" s="196">
        <f ca="1">IF(B29&lt;&gt;"",'26'!$F$197,"")</f>
        <v>0</v>
      </c>
      <c r="G29" s="196">
        <f>IF(B29&lt;&gt;"",'26'!$I$197,"")</f>
        <v>0</v>
      </c>
      <c r="H29" s="196">
        <f>IF(B29&lt;&gt;"",'26'!$I$186,"")</f>
        <v>0</v>
      </c>
      <c r="I29" s="197">
        <f t="shared" ca="1" si="0"/>
        <v>350000</v>
      </c>
      <c r="J29" s="192"/>
      <c r="K29" s="203" t="str">
        <f t="shared" si="1"/>
        <v>10.159.159-1</v>
      </c>
      <c r="L29" s="204" t="str">
        <f t="shared" si="2"/>
        <v>Nombre del Trabajador</v>
      </c>
      <c r="M29" s="196">
        <f>IF(L29&lt;&gt;"",'26'!$Q$125,"")</f>
        <v>14583.333333333332</v>
      </c>
      <c r="N29" s="196">
        <f>IF(L29&lt;&gt;"",'26'!$Q$124,"")</f>
        <v>0</v>
      </c>
      <c r="O29" s="196">
        <f>IF(L29&lt;&gt;"",'26'!$Q$128,"")</f>
        <v>0</v>
      </c>
      <c r="P29" s="196">
        <f>IF(L29&lt;&gt;"",'26'!$Q$129,"")</f>
        <v>0</v>
      </c>
      <c r="Q29" s="196">
        <f>IF(L29&lt;&gt;"",'26'!$Q$130,"")</f>
        <v>0</v>
      </c>
      <c r="R29" s="196">
        <f t="shared" ca="1" si="3"/>
        <v>364583.33333333331</v>
      </c>
    </row>
    <row r="30" spans="1:18" ht="13.5" thickBot="1" x14ac:dyDescent="0.25">
      <c r="A30" s="203" t="str">
        <f>IF('27'!$T$142=0,"",'27'!$T$142)</f>
        <v>15.151.515-6</v>
      </c>
      <c r="B30" s="204" t="str">
        <f>IF('27'!$T$141=0,"",'27'!$T$141)</f>
        <v>Nombre del Trabajador</v>
      </c>
      <c r="C30" s="204">
        <f>IF(B30&lt;&gt;"",ROUND('27'!$I$198,0),"")</f>
        <v>315000</v>
      </c>
      <c r="D30" s="196">
        <f>IF(B30&lt;&gt;"",'27'!$I$192,"")</f>
        <v>350000</v>
      </c>
      <c r="E30" s="196">
        <f>IF(B30&lt;&gt;"",'27'!$D$197,"")</f>
        <v>0</v>
      </c>
      <c r="F30" s="196">
        <f ca="1">IF(B30&lt;&gt;"",'27'!$F$197,"")</f>
        <v>0</v>
      </c>
      <c r="G30" s="196">
        <f>IF(B30&lt;&gt;"",'27'!$I$197,"")</f>
        <v>0</v>
      </c>
      <c r="H30" s="196">
        <f>IF(B30&lt;&gt;"",'27'!$I$186,"")</f>
        <v>0</v>
      </c>
      <c r="I30" s="197">
        <f t="shared" ca="1" si="0"/>
        <v>350000</v>
      </c>
      <c r="J30" s="192"/>
      <c r="K30" s="203" t="str">
        <f t="shared" si="1"/>
        <v>15.151.515-6</v>
      </c>
      <c r="L30" s="204" t="str">
        <f t="shared" si="2"/>
        <v>Nombre del Trabajador</v>
      </c>
      <c r="M30" s="196">
        <f>IF(L30&lt;&gt;"",'27'!$Q$125,"")</f>
        <v>14583.333333333332</v>
      </c>
      <c r="N30" s="196">
        <f>IF(L30&lt;&gt;"",'27'!$Q$124,"")</f>
        <v>0</v>
      </c>
      <c r="O30" s="196">
        <f>IF(L30&lt;&gt;"",'27'!$Q$128,"")</f>
        <v>0</v>
      </c>
      <c r="P30" s="196">
        <f>IF(L30&lt;&gt;"",'27'!$Q$129,"")</f>
        <v>0</v>
      </c>
      <c r="Q30" s="196">
        <f>IF(L30&lt;&gt;"",'27'!$Q$130,"")</f>
        <v>0</v>
      </c>
      <c r="R30" s="196">
        <f t="shared" ca="1" si="3"/>
        <v>364583.33333333331</v>
      </c>
    </row>
    <row r="31" spans="1:18" ht="13.5" thickBot="1" x14ac:dyDescent="0.25">
      <c r="A31" s="203" t="str">
        <f>IF('28'!$T$142=0,"",'28'!$T$142)</f>
        <v>15.151.515-7</v>
      </c>
      <c r="B31" s="204" t="str">
        <f>IF('28'!$T$141=0,"",'28'!$T$141)</f>
        <v>Nombre del Trabajador</v>
      </c>
      <c r="C31" s="204">
        <f>IF(B31&lt;&gt;"",ROUND('28'!$I$198,0),"")</f>
        <v>315000</v>
      </c>
      <c r="D31" s="196">
        <f>IF(B31&lt;&gt;"",'28'!$I$192,"")</f>
        <v>350000</v>
      </c>
      <c r="E31" s="196">
        <f>IF(B31&lt;&gt;"",'28'!$D$197,"")</f>
        <v>0</v>
      </c>
      <c r="F31" s="196">
        <f ca="1">IF(B31&lt;&gt;"",'28'!$F$197,"")</f>
        <v>0</v>
      </c>
      <c r="G31" s="196">
        <f>IF(B31&lt;&gt;"",'28'!$I$197,"")</f>
        <v>0</v>
      </c>
      <c r="H31" s="196">
        <f>IF(B31&lt;&gt;"",'28'!$I$186,"")</f>
        <v>0</v>
      </c>
      <c r="I31" s="197">
        <f t="shared" ca="1" si="0"/>
        <v>350000</v>
      </c>
      <c r="J31" s="192"/>
      <c r="K31" s="203" t="str">
        <f t="shared" si="1"/>
        <v>15.151.515-7</v>
      </c>
      <c r="L31" s="204" t="str">
        <f t="shared" si="2"/>
        <v>Nombre del Trabajador</v>
      </c>
      <c r="M31" s="196">
        <f>IF(L31&lt;&gt;"",'28'!$Q$125,"")</f>
        <v>14583.333333333332</v>
      </c>
      <c r="N31" s="196">
        <f>IF(L31&lt;&gt;"",'28'!$Q$124,"")</f>
        <v>0</v>
      </c>
      <c r="O31" s="196">
        <f>IF(L31&lt;&gt;"",'28'!$Q$128,"")</f>
        <v>0</v>
      </c>
      <c r="P31" s="196">
        <f>IF(L31&lt;&gt;"",'28'!$Q$129,"")</f>
        <v>0</v>
      </c>
      <c r="Q31" s="196">
        <f>IF(L31&lt;&gt;"",'28'!$Q$130,"")</f>
        <v>0</v>
      </c>
      <c r="R31" s="196">
        <f t="shared" ca="1" si="3"/>
        <v>364583.33333333331</v>
      </c>
    </row>
    <row r="32" spans="1:18" ht="13.5" thickBot="1" x14ac:dyDescent="0.25">
      <c r="A32" s="203" t="str">
        <f>IF('29'!$T$142=0,"",'29'!$T$142)</f>
        <v>15.151.515-8</v>
      </c>
      <c r="B32" s="204" t="str">
        <f>IF('29'!$T$141=0,"",'29'!$T$141)</f>
        <v>Nombre del Trabajador</v>
      </c>
      <c r="C32" s="204">
        <f>IF(B32&lt;&gt;"",ROUND('29'!$I$198,0),"")</f>
        <v>315000</v>
      </c>
      <c r="D32" s="196">
        <f>IF(B32&lt;&gt;"",'29'!$I$192,"")</f>
        <v>350000</v>
      </c>
      <c r="E32" s="196">
        <f>IF(B32&lt;&gt;"",'29'!$D$197,"")</f>
        <v>0</v>
      </c>
      <c r="F32" s="196">
        <f ca="1">IF(B32&lt;&gt;"",'29'!$F$197,"")</f>
        <v>0</v>
      </c>
      <c r="G32" s="196">
        <f>IF(B32&lt;&gt;"",'29'!$I$197,"")</f>
        <v>0</v>
      </c>
      <c r="H32" s="196">
        <f>IF(B32&lt;&gt;"",'29'!$I$186,"")</f>
        <v>0</v>
      </c>
      <c r="I32" s="197">
        <f t="shared" ca="1" si="0"/>
        <v>350000</v>
      </c>
      <c r="J32" s="192"/>
      <c r="K32" s="203" t="str">
        <f t="shared" si="1"/>
        <v>15.151.515-8</v>
      </c>
      <c r="L32" s="204" t="str">
        <f t="shared" si="2"/>
        <v>Nombre del Trabajador</v>
      </c>
      <c r="M32" s="196">
        <f>IF(L32&lt;&gt;"",'29'!$Q$125,"")</f>
        <v>14583.333333333332</v>
      </c>
      <c r="N32" s="196">
        <f>IF(L32&lt;&gt;"",'29'!$Q$124,"")</f>
        <v>0</v>
      </c>
      <c r="O32" s="196">
        <f>IF(L32&lt;&gt;"",'29'!$Q$128,"")</f>
        <v>0</v>
      </c>
      <c r="P32" s="196">
        <f>IF(L32&lt;&gt;"",'29'!$Q$129,"")</f>
        <v>0</v>
      </c>
      <c r="Q32" s="196">
        <f>IF(L32&lt;&gt;"",'29'!$Q$130,"")</f>
        <v>0</v>
      </c>
      <c r="R32" s="196">
        <f t="shared" ca="1" si="3"/>
        <v>364583.33333333331</v>
      </c>
    </row>
    <row r="33" spans="1:18" ht="13.5" thickBot="1" x14ac:dyDescent="0.25">
      <c r="A33" s="203" t="str">
        <f>IF('30'!$T$142=0,"",'30'!$T$142)</f>
        <v>15.151.515-9</v>
      </c>
      <c r="B33" s="204" t="str">
        <f>IF('30'!$T$141=0,"",'30'!$T$141)</f>
        <v>Nombre del Trabajador</v>
      </c>
      <c r="C33" s="204">
        <f>IF(B33&lt;&gt;"",ROUND('30'!$I$198,0),"")</f>
        <v>315000</v>
      </c>
      <c r="D33" s="196">
        <f>IF(B33&lt;&gt;"",'30'!$I$192,"")</f>
        <v>350000</v>
      </c>
      <c r="E33" s="196">
        <f>IF(B33&lt;&gt;"",'30'!$D$197,"")</f>
        <v>0</v>
      </c>
      <c r="F33" s="196">
        <f ca="1">IF(B33&lt;&gt;"",'30'!$F$197,"")</f>
        <v>0</v>
      </c>
      <c r="G33" s="196">
        <f>IF(B33&lt;&gt;"",'30'!$I$197,"")</f>
        <v>0</v>
      </c>
      <c r="H33" s="196">
        <f>IF(B33&lt;&gt;"",'30'!$I$186,"")</f>
        <v>0</v>
      </c>
      <c r="I33" s="197">
        <f t="shared" ca="1" si="0"/>
        <v>350000</v>
      </c>
      <c r="J33" s="192"/>
      <c r="K33" s="203" t="str">
        <f t="shared" si="1"/>
        <v>15.151.515-9</v>
      </c>
      <c r="L33" s="204" t="str">
        <f t="shared" si="2"/>
        <v>Nombre del Trabajador</v>
      </c>
      <c r="M33" s="196">
        <f>IF(L33&lt;&gt;"",'30'!$Q$125,"")</f>
        <v>14583.333333333332</v>
      </c>
      <c r="N33" s="196">
        <f>IF(L33&lt;&gt;"",'30'!$Q$124,"")</f>
        <v>0</v>
      </c>
      <c r="O33" s="196">
        <f>IF(L33&lt;&gt;"",'30'!$Q$128,"")</f>
        <v>0</v>
      </c>
      <c r="P33" s="196">
        <f>IF(L33&lt;&gt;"",'30'!$Q$129,"")</f>
        <v>0</v>
      </c>
      <c r="Q33" s="196">
        <f>IF(L33&lt;&gt;"",'30'!$Q$130,"")</f>
        <v>0</v>
      </c>
      <c r="R33" s="196">
        <f t="shared" ca="1" si="3"/>
        <v>364583.33333333331</v>
      </c>
    </row>
    <row r="34" spans="1:18" ht="13.5" thickBot="1" x14ac:dyDescent="0.25">
      <c r="A34" s="933" t="s">
        <v>446</v>
      </c>
      <c r="B34" s="934"/>
      <c r="C34" s="260">
        <f>ROUND(SUM(C3:C27,C29:C33),0)</f>
        <v>14110609</v>
      </c>
      <c r="D34" s="198">
        <f t="shared" ref="D34:I34" si="4">ROUND(SUM(D3:D33),0)</f>
        <v>16442608</v>
      </c>
      <c r="E34" s="198">
        <f t="shared" si="4"/>
        <v>106355</v>
      </c>
      <c r="F34" s="198">
        <f t="shared" ca="1" si="4"/>
        <v>257406</v>
      </c>
      <c r="G34" s="198">
        <f t="shared" si="4"/>
        <v>131751</v>
      </c>
      <c r="H34" s="198">
        <f t="shared" si="4"/>
        <v>0</v>
      </c>
      <c r="I34" s="199">
        <f t="shared" ca="1" si="4"/>
        <v>16938120</v>
      </c>
      <c r="J34" s="192"/>
      <c r="K34" s="935" t="s">
        <v>428</v>
      </c>
      <c r="L34" s="936"/>
      <c r="M34" s="198">
        <f t="shared" ref="M34:R34" si="5">ROUND(SUM(M3:M33),0)</f>
        <v>456250</v>
      </c>
      <c r="N34" s="198">
        <f t="shared" si="5"/>
        <v>0</v>
      </c>
      <c r="O34" s="198">
        <f t="shared" si="5"/>
        <v>0</v>
      </c>
      <c r="P34" s="198">
        <f t="shared" si="5"/>
        <v>0</v>
      </c>
      <c r="Q34" s="198">
        <f t="shared" si="5"/>
        <v>0</v>
      </c>
      <c r="R34" s="199">
        <f t="shared" ca="1" si="5"/>
        <v>17394370</v>
      </c>
    </row>
    <row r="35" spans="1:18" x14ac:dyDescent="0.2">
      <c r="J35" s="192"/>
    </row>
    <row r="38" spans="1:18" ht="13.5" thickBot="1" x14ac:dyDescent="0.25"/>
    <row r="39" spans="1:18" ht="13.5" thickBot="1" x14ac:dyDescent="0.25">
      <c r="B39" s="928" t="s">
        <v>510</v>
      </c>
      <c r="C39" s="929"/>
      <c r="D39" s="263"/>
      <c r="E39" s="290"/>
      <c r="F39" s="290"/>
    </row>
    <row r="40" spans="1:18" ht="13.5" thickBot="1" x14ac:dyDescent="0.25">
      <c r="B40" s="266" t="s">
        <v>511</v>
      </c>
      <c r="C40" s="267">
        <f>ROUND(LibroRemuneraciones!T27,0)</f>
        <v>1271308</v>
      </c>
      <c r="E40" s="331"/>
      <c r="F40" s="332"/>
    </row>
    <row r="41" spans="1:18" ht="13.5" thickBot="1" x14ac:dyDescent="0.25">
      <c r="B41" s="264" t="s">
        <v>518</v>
      </c>
      <c r="C41" s="265">
        <f>ROUND(LibroRemuneraciones!U27,0)</f>
        <v>0</v>
      </c>
      <c r="E41" s="331"/>
      <c r="F41" s="332"/>
    </row>
    <row r="42" spans="1:18" ht="13.5" thickBot="1" x14ac:dyDescent="0.25">
      <c r="B42" s="264" t="s">
        <v>512</v>
      </c>
      <c r="C42" s="265">
        <f>ROUND(LibroRemuneraciones!W27,0)</f>
        <v>783629</v>
      </c>
      <c r="E42" s="331"/>
      <c r="F42" s="332"/>
    </row>
    <row r="43" spans="1:18" ht="13.5" thickBot="1" x14ac:dyDescent="0.25">
      <c r="B43" s="264" t="s">
        <v>516</v>
      </c>
      <c r="C43" s="265">
        <f>ROUND(LibroRemuneraciones!AA27,0)</f>
        <v>12177</v>
      </c>
      <c r="E43" s="331"/>
      <c r="F43" s="332"/>
    </row>
    <row r="44" spans="1:18" ht="13.5" thickBot="1" x14ac:dyDescent="0.25">
      <c r="B44" s="264" t="s">
        <v>513</v>
      </c>
      <c r="C44" s="265">
        <f>ROUND(G34,0)</f>
        <v>131751</v>
      </c>
      <c r="E44" s="331"/>
      <c r="F44" s="332"/>
    </row>
    <row r="45" spans="1:18" ht="13.5" thickBot="1" x14ac:dyDescent="0.25">
      <c r="B45" s="264" t="s">
        <v>514</v>
      </c>
      <c r="C45" s="265">
        <f ca="1">ROUND(F34+LibroRemuneraciones!Z27,0)</f>
        <v>313674</v>
      </c>
      <c r="E45" s="331"/>
      <c r="F45" s="332"/>
    </row>
    <row r="46" spans="1:18" ht="13.5" thickBot="1" x14ac:dyDescent="0.25">
      <c r="B46" s="264" t="s">
        <v>515</v>
      </c>
      <c r="C46" s="265">
        <f>ROUND(E34,0)</f>
        <v>106355</v>
      </c>
      <c r="E46" s="331"/>
      <c r="F46" s="332"/>
    </row>
    <row r="47" spans="1:18" ht="13.5" thickBot="1" x14ac:dyDescent="0.25">
      <c r="B47" s="264" t="s">
        <v>526</v>
      </c>
      <c r="C47" s="265">
        <f>LibroRemuneraciones!I38</f>
        <v>175000</v>
      </c>
      <c r="E47" s="333"/>
      <c r="F47" s="334"/>
    </row>
    <row r="48" spans="1:18" ht="13.5" thickBot="1" x14ac:dyDescent="0.25">
      <c r="B48" s="928" t="s">
        <v>527</v>
      </c>
      <c r="C48" s="929"/>
    </row>
    <row r="49" spans="2:5" ht="13.5" thickBot="1" x14ac:dyDescent="0.25">
      <c r="B49" s="264" t="s">
        <v>528</v>
      </c>
      <c r="C49" s="265">
        <f>ROUND(C34,0)</f>
        <v>14110609</v>
      </c>
    </row>
    <row r="50" spans="2:5" ht="13.5" thickBot="1" x14ac:dyDescent="0.25">
      <c r="B50" s="264" t="s">
        <v>529</v>
      </c>
      <c r="C50" s="265">
        <f>ROUND(LibroRemuneraciones!J38,0)</f>
        <v>1575000</v>
      </c>
    </row>
    <row r="51" spans="2:5" ht="13.5" thickBot="1" x14ac:dyDescent="0.25">
      <c r="B51" s="287" t="s">
        <v>530</v>
      </c>
      <c r="C51" s="289">
        <f>ROUND(SUM(C49:C50),0)</f>
        <v>15685609</v>
      </c>
    </row>
    <row r="52" spans="2:5" ht="13.5" thickBot="1" x14ac:dyDescent="0.25">
      <c r="B52" s="928" t="s">
        <v>531</v>
      </c>
      <c r="C52" s="929"/>
      <c r="D52" s="291" t="s">
        <v>533</v>
      </c>
      <c r="E52" s="290"/>
    </row>
    <row r="53" spans="2:5" ht="13.5" thickBot="1" x14ac:dyDescent="0.25">
      <c r="B53" s="264" t="s">
        <v>517</v>
      </c>
      <c r="C53" s="265">
        <f>ROUND(LibroRemuneraciones!AJ27+LibroRemuneraciones!K38,0)</f>
        <v>14110609</v>
      </c>
      <c r="D53" s="297"/>
    </row>
    <row r="54" spans="2:5" ht="13.5" thickBot="1" x14ac:dyDescent="0.25">
      <c r="B54" s="296" t="s">
        <v>592</v>
      </c>
      <c r="C54" s="297">
        <v>0</v>
      </c>
      <c r="D54" s="297"/>
    </row>
    <row r="55" spans="2:5" ht="13.5" thickBot="1" x14ac:dyDescent="0.25">
      <c r="B55" s="296" t="s">
        <v>484</v>
      </c>
      <c r="C55" s="297">
        <v>0</v>
      </c>
      <c r="D55" s="297"/>
    </row>
    <row r="56" spans="2:5" ht="13.5" thickBot="1" x14ac:dyDescent="0.25">
      <c r="B56" s="296" t="s">
        <v>484</v>
      </c>
      <c r="C56" s="297">
        <v>0</v>
      </c>
      <c r="D56" s="297"/>
    </row>
    <row r="57" spans="2:5" ht="13.5" thickBot="1" x14ac:dyDescent="0.25">
      <c r="B57" s="296" t="s">
        <v>484</v>
      </c>
      <c r="C57" s="297">
        <v>0</v>
      </c>
      <c r="D57" s="297"/>
    </row>
    <row r="58" spans="2:5" ht="13.5" thickBot="1" x14ac:dyDescent="0.25">
      <c r="B58" s="296" t="s">
        <v>484</v>
      </c>
      <c r="C58" s="297">
        <v>0</v>
      </c>
      <c r="D58" s="297"/>
    </row>
    <row r="59" spans="2:5" ht="13.5" thickBot="1" x14ac:dyDescent="0.25">
      <c r="B59" s="296" t="s">
        <v>484</v>
      </c>
      <c r="C59" s="297">
        <v>0</v>
      </c>
      <c r="D59" s="297"/>
    </row>
    <row r="60" spans="2:5" ht="13.5" thickBot="1" x14ac:dyDescent="0.25">
      <c r="B60" s="296" t="s">
        <v>484</v>
      </c>
      <c r="C60" s="297">
        <v>0</v>
      </c>
      <c r="D60" s="297"/>
    </row>
    <row r="61" spans="2:5" ht="13.5" thickBot="1" x14ac:dyDescent="0.25">
      <c r="B61" s="296" t="s">
        <v>484</v>
      </c>
      <c r="C61" s="297">
        <v>0</v>
      </c>
      <c r="D61" s="297"/>
    </row>
    <row r="62" spans="2:5" ht="13.5" thickBot="1" x14ac:dyDescent="0.25">
      <c r="B62" s="264" t="s">
        <v>536</v>
      </c>
      <c r="C62" s="265">
        <f>F47</f>
        <v>0</v>
      </c>
      <c r="D62" s="297"/>
    </row>
    <row r="63" spans="2:5" ht="13.5" thickBot="1" x14ac:dyDescent="0.25">
      <c r="B63" s="287" t="s">
        <v>532</v>
      </c>
      <c r="C63" s="288">
        <f>SUM(C53:C62)</f>
        <v>14110609</v>
      </c>
      <c r="D63" s="288">
        <f>C63-SUM(D53:D62)</f>
        <v>14110609</v>
      </c>
    </row>
  </sheetData>
  <sheetProtection sheet="1" formatCells="0" formatColumns="0" formatRows="0" insertColumns="0" insertRows="0" insertHyperlinks="0" deleteColumns="0" deleteRows="0" sort="0" autoFilter="0" pivotTables="0"/>
  <customSheetViews>
    <customSheetView guid="{1394C1FB-D78B-475F-959C-B8ED403A6673}">
      <pane ySplit="1" topLeftCell="A26" activePane="bottomLeft" state="frozen"/>
      <selection pane="bottomLeft" activeCell="C3" sqref="C3"/>
      <pageMargins left="0.25" right="0.25" top="0.75" bottom="0.75" header="0.3" footer="0.3"/>
      <pageSetup orientation="landscape" horizontalDpi="0" verticalDpi="0" r:id="rId1"/>
    </customSheetView>
    <customSheetView guid="{1BFFD2B6-AC36-4A58-AF65-CEA0131A94F3}">
      <pane ySplit="1" topLeftCell="A2" activePane="bottomLeft" state="frozen"/>
      <selection pane="bottomLeft" activeCell="C3" sqref="C3"/>
      <pageMargins left="0.25" right="0.25" top="0.75" bottom="0.75" header="0.3" footer="0.3"/>
      <pageSetup orientation="landscape" horizontalDpi="0" verticalDpi="0" r:id="rId2"/>
    </customSheetView>
  </customSheetViews>
  <mergeCells count="9">
    <mergeCell ref="B48:C48"/>
    <mergeCell ref="B52:C52"/>
    <mergeCell ref="A2:I2"/>
    <mergeCell ref="K2:R2"/>
    <mergeCell ref="B39:C39"/>
    <mergeCell ref="A34:B34"/>
    <mergeCell ref="K34:L34"/>
    <mergeCell ref="A28:I28"/>
    <mergeCell ref="K28:R28"/>
  </mergeCells>
  <pageMargins left="0.25" right="0.25" top="0.75" bottom="0.75" header="0.3" footer="0.3"/>
  <pageSetup orientation="landscape" horizontalDpi="0" verticalDpi="0" r:id="rId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33</vt:i4>
      </vt:variant>
      <vt:variant>
        <vt:lpstr>Rangos con nombre</vt:lpstr>
      </vt:variant>
      <vt:variant>
        <vt:i4>43</vt:i4>
      </vt:variant>
    </vt:vector>
  </HeadingPairs>
  <TitlesOfParts>
    <vt:vector size="76" baseType="lpstr">
      <vt:lpstr>IM</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LibroRemuneraciones</vt:lpstr>
      <vt:lpstr>CentroCostos</vt:lpstr>
      <vt:lpstr>'1'!Área_de_impresión</vt:lpstr>
      <vt:lpstr>'10'!Área_de_impresión</vt:lpstr>
      <vt:lpstr>'11'!Área_de_impresión</vt:lpstr>
      <vt:lpstr>'12'!Área_de_impresión</vt:lpstr>
      <vt:lpstr>'13'!Área_de_impresión</vt:lpstr>
      <vt:lpstr>'14'!Área_de_impresión</vt:lpstr>
      <vt:lpstr>'15'!Área_de_impresión</vt:lpstr>
      <vt:lpstr>'16'!Área_de_impresión</vt:lpstr>
      <vt:lpstr>'17'!Área_de_impresión</vt:lpstr>
      <vt:lpstr>'18'!Área_de_impresión</vt:lpstr>
      <vt:lpstr>'19'!Área_de_impresión</vt:lpstr>
      <vt:lpstr>'2'!Área_de_impresión</vt:lpstr>
      <vt:lpstr>'20'!Área_de_impresión</vt:lpstr>
      <vt:lpstr>'21'!Área_de_impresión</vt:lpstr>
      <vt:lpstr>'22'!Área_de_impresión</vt:lpstr>
      <vt:lpstr>'23'!Área_de_impresión</vt:lpstr>
      <vt:lpstr>'24'!Área_de_impresión</vt:lpstr>
      <vt:lpstr>'25'!Área_de_impresión</vt:lpstr>
      <vt:lpstr>'26'!Área_de_impresión</vt:lpstr>
      <vt:lpstr>'27'!Área_de_impresión</vt:lpstr>
      <vt:lpstr>'28'!Área_de_impresión</vt:lpstr>
      <vt:lpstr>'29'!Área_de_impresión</vt:lpstr>
      <vt:lpstr>'3'!Área_de_impresión</vt:lpstr>
      <vt:lpstr>'30'!Área_de_impresión</vt:lpstr>
      <vt:lpstr>'4'!Área_de_impresión</vt:lpstr>
      <vt:lpstr>'5'!Área_de_impresión</vt:lpstr>
      <vt:lpstr>'6'!Área_de_impresión</vt:lpstr>
      <vt:lpstr>'7'!Área_de_impresión</vt:lpstr>
      <vt:lpstr>'8'!Área_de_impresión</vt:lpstr>
      <vt:lpstr>'9'!Área_de_impresión</vt:lpstr>
      <vt:lpstr>CentroCostos!Área_de_impresión</vt:lpstr>
      <vt:lpstr>IM!Área_de_impresión</vt:lpstr>
      <vt:lpstr>LibroRemuneraciones!Área_de_impresión</vt:lpstr>
      <vt:lpstr>BalanceoHE</vt:lpstr>
      <vt:lpstr>HorasMensuales</vt:lpstr>
      <vt:lpstr>ImpuestoUnico_OPC</vt:lpstr>
      <vt:lpstr>ListadoAFP</vt:lpstr>
      <vt:lpstr>ListadoIsapres</vt:lpstr>
      <vt:lpstr>SueldoMinimo1</vt:lpstr>
      <vt:lpstr>SueldoMinimo2</vt:lpstr>
      <vt:lpstr>SueldoMinimo3</vt:lpstr>
      <vt:lpstr>TipoContrato</vt:lpstr>
      <vt:lpstr>TopeGraificacion</vt:lpstr>
    </vt:vector>
  </TitlesOfParts>
  <Manager>MarioH</Manager>
  <Company>Aimbox.net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Planilla de Control de Asistencia</dc:title>
  <dc:subject>Liquidaciones de Sueldos</dc:subject>
  <dc:creator>Mario Hidalgo</dc:creator>
  <cp:keywords>Sueldo, Remuneraciones, Asistencia, Horas, Imponibles, Bruto, Liquidaciones, Cotizaciones, Impuestos</cp:keywords>
  <dc:description>Planilla de liquidciones de sueldos, Genera y controla a los trabajadores de su empresa.</dc:description>
  <cp:lastModifiedBy>Mario Hidalgo García</cp:lastModifiedBy>
  <cp:revision>1</cp:revision>
  <cp:lastPrinted>2012-12-24T14:06:39Z</cp:lastPrinted>
  <dcterms:created xsi:type="dcterms:W3CDTF">2012-04-11T16:27:42Z</dcterms:created>
  <dcterms:modified xsi:type="dcterms:W3CDTF">2013-07-12T15:36:57Z</dcterms:modified>
  <cp:category>Excel</cp:category>
  <dc:language>Español</dc:language>
  <cp:version>3.0</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tor">
    <vt:lpwstr>Mario Hidalgo</vt:lpwstr>
  </property>
  <property fmtid="{D5CDD505-2E9C-101B-9397-08002B2CF9AE}" pid="3" name="Contacto">
    <vt:lpwstr>MarioHidalgo@aimbox.net</vt:lpwstr>
  </property>
</Properties>
</file>