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codeName="ThisWorkbook"/>
  <xr:revisionPtr revIDLastSave="0" documentId="13_ncr:1_{B306B3D3-3CC0-41D7-8A0D-F26195362368}"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780" yWindow="780" windowWidth="38700" windowHeight="15345" tabRatio="813" firstSheet="1"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G9" i="21" l="1"/>
  <c r="E9" i="21"/>
  <c r="J9" i="21"/>
  <c r="I9" i="2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F9" i="2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E42" i="21"/>
  <c r="F42" i="21" s="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I26" i="17"/>
  <c r="I48" i="17" s="1"/>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F118" i="10" s="1"/>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H58" i="10"/>
  <c r="G41" i="10"/>
  <c r="F51" i="10" l="1"/>
  <c r="F119" i="10" s="1"/>
  <c r="J23" i="21"/>
  <c r="J38" i="21" s="1"/>
  <c r="V82" i="10"/>
  <c r="V84" i="10"/>
  <c r="W75" i="10" s="1"/>
  <c r="V97" i="10"/>
  <c r="V101" i="10"/>
  <c r="W92" i="10" s="1"/>
  <c r="W93" i="10" s="1"/>
  <c r="V85" i="10"/>
  <c r="W76" i="10"/>
  <c r="H59" i="10"/>
  <c r="V37" i="21"/>
  <c r="V22" i="21"/>
  <c r="V19" i="21"/>
  <c r="X8" i="21"/>
  <c r="X10" i="21" s="1"/>
  <c r="W12" i="21"/>
  <c r="W14" i="21" s="1"/>
  <c r="K20" i="2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G106" i="10"/>
  <c r="G9" i="10" s="1"/>
  <c r="G107" i="10"/>
  <c r="L20" i="21"/>
  <c r="AV42" i="21"/>
  <c r="H108" i="10"/>
  <c r="G42" i="10"/>
  <c r="G110" i="10" s="1"/>
  <c r="K23" i="21" l="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W15" i="9"/>
  <c r="W17" i="9" s="1"/>
  <c r="W18" i="9" s="1"/>
  <c r="T13" i="9"/>
  <c r="T14" i="9" s="1"/>
  <c r="M23" i="21"/>
  <c r="M38" i="21" s="1"/>
  <c r="W84" i="10"/>
  <c r="X75" i="10" s="1"/>
  <c r="W99" i="10"/>
  <c r="W102" i="10" s="1"/>
  <c r="W101" i="10"/>
  <c r="X92" i="10" s="1"/>
  <c r="H63" i="10"/>
  <c r="H67" i="10"/>
  <c r="H65" i="10"/>
  <c r="H68" i="10" s="1"/>
  <c r="X19" i="21"/>
  <c r="X22" i="21"/>
  <c r="X37" i="2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N23" i="21" l="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115" i="10"/>
  <c r="AS48" i="10"/>
  <c r="AS117" i="10" s="1"/>
  <c r="AS28" i="21" l="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<sst xmlns="http://schemas.openxmlformats.org/spreadsheetml/2006/main" count="946" uniqueCount="479">
  <si>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</si>
  <si>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</si>
  <si>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</si>
  <si>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</si>
  <si>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</si>
  <si>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</si>
  <si>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</si>
  <si>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</si>
  <si>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</si>
  <si>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</si>
  <si>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</si>
  <si>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</si>
  <si>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</si>
  <si>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</si>
  <si>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</si>
  <si>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</si>
  <si>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</si>
  <si>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</si>
  <si>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</si>
  <si>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</si>
  <si>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</si>
  <si>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</si>
  <si>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</si>
  <si>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</si>
  <si>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</si>
  <si>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</si>
  <si>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</si>
  <si>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</si>
  <si>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</si>
  <si>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</si>
  <si>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</si>
  <si>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</si>
  <si>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</si>
  <si>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</si>
  <si>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</si>
  <si>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</si>
  <si>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</si>
  <si>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</si>
  <si>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</si>
  <si>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</si>
  <si>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</si>
  <si>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</si>
  <si>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</si>
  <si>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</si>
  <si>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</si>
  <si>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</si>
  <si>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</si>
  <si>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</si>
  <si>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</si>
  <si>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</si>
  <si>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</si>
  <si>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</si>
  <si>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</si>
  <si>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</si>
  <si>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</si>
  <si>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</si>
  <si>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</si>
  <si>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</si>
  <si>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</si>
  <si>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</si>
  <si>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</si>
  <si>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</si>
  <si>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</si>
  <si>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</si>
  <si>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</si>
  <si>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</si>
  <si>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</si>
  <si>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</si>
  <si>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</si>
  <si>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</si>
  <si>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</si>
  <si>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</si>
  <si>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</si>
  <si>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</si>
  <si>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</si>
  <si>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</si>
  <si>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</si>
  <si>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</si>
  <si>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</si>
  <si>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</si>
  <si>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</si>
  <si>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</si>
  <si>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</si>
  <si>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</si>
  <si>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</si>
  <si>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</si>
  <si>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</si>
  <si>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</si>
  <si>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</si>
  <si>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</si>
  <si>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</si>
  <si>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</si>
  <si>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</si>
  <si>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</si>
  <si>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</si>
  <si>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</si>
  <si>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</si>
  <si>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</si>
  <si>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</si>
  <si>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</si>
  <si>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</si>
  <si>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</si>
  <si>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</si>
  <si>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</si>
  <si>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</si>
  <si>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</si>
  <si>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</si>
  <si>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</si>
  <si>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</si>
  <si>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</si>
  <si>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</si>
  <si>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</si>
  <si>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</si>
  <si>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</si>
  <si>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</si>
  <si>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</si>
  <si>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</si>
  <si>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</si>
  <si>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</si>
  <si>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</si>
  <si>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</si>
  <si>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</si>
  <si>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</si>
  <si>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</si>
  <si>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</si>
  <si>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</si>
  <si>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</si>
  <si>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</si>
  <si>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</si>
  <si>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</si>
  <si>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</si>
  <si>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</si>
  <si>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</si>
  <si>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</si>
  <si>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</si>
  <si>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</si>
  <si>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</si>
  <si>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</si>
  <si>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</si>
  <si>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</si>
  <si>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</si>
  <si>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</si>
  <si>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</si>
  <si>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</si>
  <si>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</si>
  <si>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</si>
  <si>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</si>
  <si>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</si>
  <si>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</si>
  <si>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</si>
  <si>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</si>
  <si>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</si>
  <si>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</si>
  <si>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</si>
  <si>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</si>
  <si>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</si>
  <si>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</si>
  <si>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Nahrungs- und Genussmittel</t>
  </si>
  <si>
    <t>Anschaffungen</t>
  </si>
  <si>
    <t>Freizeit, Kultur und Hobby</t>
  </si>
  <si>
    <t>Urlaub</t>
  </si>
  <si>
    <t>Mobilität</t>
  </si>
  <si>
    <t>Kommunikation</t>
  </si>
  <si>
    <t>Spenden</t>
  </si>
  <si>
    <t>Laufende Sparverträge</t>
  </si>
  <si>
    <t>Beiträge zur Altersvorsorge</t>
  </si>
  <si>
    <t>Private Versicherungen</t>
  </si>
  <si>
    <t>Vermietete Immobilien: Bewirtschaftung</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</si>
  <si>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</si>
  <si>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</si>
  <si>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</si>
  <si>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</si>
  <si>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</si>
  <si>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</si>
  <si>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</si>
  <si>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</si>
  <si>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</si>
  <si>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</si>
  <si>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</si>
  <si>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</si>
  <si>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</si>
  <si>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</si>
  <si>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</si>
  <si>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</si>
  <si>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</si>
  <si>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</si>
  <si>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</si>
  <si>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</si>
  <si>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</si>
  <si>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</si>
  <si>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</si>
  <si>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</si>
  <si>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</si>
  <si>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</si>
  <si>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</si>
  <si>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</si>
  <si>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</si>
  <si>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</si>
  <si>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</si>
  <si>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</si>
  <si>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</si>
  <si>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</si>
  <si>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</si>
  <si>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</si>
  <si>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</si>
  <si>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</si>
  <si>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</si>
  <si>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</si>
  <si>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</si>
  <si>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</si>
  <si>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</si>
  <si>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</si>
  <si>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</si>
  <si>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</si>
  <si>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</si>
  <si>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</si>
  <si>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</si>
  <si>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</si>
  <si>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</si>
  <si>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</si>
  <si>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</si>
  <si>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</si>
  <si>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</si>
  <si>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</si>
  <si>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</si>
  <si>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</si>
  <si>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</si>
  <si>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</si>
  <si>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</si>
  <si>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</si>
  <si>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</si>
  <si>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</si>
  <si>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</si>
  <si>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</si>
  <si>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</si>
  <si>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</si>
  <si>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</si>
  <si>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</si>
  <si>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</si>
  <si>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</si>
  <si>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</si>
  <si>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</si>
  <si>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</si>
  <si>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</si>
  <si>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</si>
  <si>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</si>
  <si>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</si>
  <si>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</si>
  <si>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</si>
  <si>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</si>
  <si>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</si>
  <si>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</si>
  <si>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</si>
  <si>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</si>
  <si>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</si>
  <si>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</si>
  <si>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</si>
  <si>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</si>
  <si>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</si>
  <si>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</si>
  <si>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</si>
  <si>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</si>
  <si>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</si>
  <si>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</si>
  <si>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</si>
  <si>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</si>
  <si>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</si>
  <si>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</si>
  <si>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</si>
  <si>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</si>
  <si>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</si>
  <si>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</si>
  <si>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</si>
  <si>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</si>
  <si>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</si>
  <si>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</si>
  <si>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</si>
  <si>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</si>
  <si>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</si>
  <si>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</si>
  <si>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</si>
  <si>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</si>
  <si>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</si>
  <si>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</si>
  <si>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</si>
  <si>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</si>
  <si>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</si>
  <si>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</si>
  <si>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</si>
  <si>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</si>
  <si>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</si>
  <si>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</si>
  <si>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</si>
  <si>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</si>
  <si>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</si>
  <si>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</si>
  <si>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</si>
  <si>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</si>
  <si>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</si>
  <si>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</si>
  <si>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</si>
  <si>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</si>
  <si>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</si>
  <si>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</si>
  <si>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</si>
  <si>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</si>
  <si>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</si>
  <si>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</si>
  <si>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</si>
  <si>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</si>
  <si>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</si>
  <si>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</si>
  <si>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</si>
  <si>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</si>
  <si>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</si>
  <si>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</si>
  <si>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</si>
  <si>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</si>
  <si>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</si>
  <si>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</si>
  <si>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</si>
  <si>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</si>
  <si>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</si>
  <si>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</si>
  <si>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</si>
  <si>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</si>
  <si>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</si>
  <si>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</si>
  <si>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</si>
  <si>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</si>
  <si>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</si>
  <si>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</si>
  <si>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</si>
  <si>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</si>
  <si>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</si>
  <si>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</si>
  <si>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</si>
  <si>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</si>
  <si>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</si>
  <si>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</si>
  <si>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</si>
  <si>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</si>
  <si>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</si>
  <si>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</si>
  <si>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</si>
  <si>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</si>
  <si>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</si>
  <si>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</si>
  <si>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</si>
  <si>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</si>
  <si>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</si>
  <si>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</si>
  <si>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</si>
  <si>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</si>
  <si>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</si>
  <si>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</si>
  <si>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</si>
  <si>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</si>
  <si>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</si>
  <si>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</si>
  <si>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</si>
  <si>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</si>
  <si>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</si>
  <si>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</si>
  <si>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</si>
  <si>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</si>
  <si>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</si>
  <si>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</si>
  <si>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</si>
  <si>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</si>
  <si>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</si>
  <si>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</si>
  <si>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</si>
  <si>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</si>
  <si>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</si>
  <si>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</si>
  <si>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</si>
  <si>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</si>
  <si>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</si>
  <si>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</si>
  <si>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</si>
  <si>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</si>
  <si>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</si>
  <si>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</si>
  <si>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</si>
  <si>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</si>
  <si>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</si>
  <si>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</si>
  <si>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</si>
  <si>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</si>
  <si>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</si>
  <si>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</si>
  <si>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</si>
  <si>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</si>
  <si>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</si>
  <si>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</si>
  <si>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</si>
  <si>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</si>
  <si>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</si>
  <si>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</si>
  <si>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</si>
  <si>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</si>
  <si>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</si>
  <si>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</si>
  <si>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</si>
  <si>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</si>
  <si>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</si>
  <si>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</si>
  <si>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</si>
  <si>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</si>
  <si>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</si>
  <si>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</si>
  <si>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</si>
  <si>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</si>
  <si>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</si>
  <si>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</si>
  <si>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</si>
  <si>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</si>
  <si>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</si>
  <si>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</si>
  <si>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</si>
  <si>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</si>
  <si>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</si>
  <si>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</si>
  <si>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</si>
  <si>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</si>
  <si>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</si>
  <si>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</si>
  <si>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</si>
  <si>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</si>
  <si>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</si>
  <si>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</si>
  <si>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</si>
  <si>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</si>
  <si>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</si>
  <si>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</si>
  <si>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</si>
  <si>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</si>
  <si>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</si>
  <si>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</si>
  <si>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</si>
  <si>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</si>
  <si>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</si>
  <si>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</si>
  <si>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</si>
  <si>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</si>
  <si>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</si>
  <si>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</si>
  <si>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</si>
  <si>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</si>
  <si>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</si>
  <si>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</si>
  <si>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</si>
  <si>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</si>
  <si>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</si>
  <si>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</si>
  <si>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</si>
  <si>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</si>
  <si>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</si>
  <si>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</si>
  <si>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</si>
  <si>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</si>
  <si>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</si>
  <si>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</si>
  <si>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</si>
  <si>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</si>
  <si>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</si>
  <si>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</si>
  <si>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</si>
  <si>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</si>
  <si>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</si>
  <si>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</si>
  <si>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</si>
  <si>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</si>
  <si>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</si>
  <si>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</si>
  <si>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</si>
  <si>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</si>
  <si>
    <t>Rapfstraße 3/1, Hollabrunn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</si>
</sst>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15" fillId="11" borderId="0" xfId="0" applyFont="1" applyFill="1" applyAlignment="1">
      <alignment horizontal="center" vertical="center"/>
    </xf>
    <xf numFmtId="0" fontId="11" fillId="11" borderId="0" xfId="18" applyFill="1" applyAlignment="1" applyProtection="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2" fillId="11" borderId="41" xfId="0" applyFont="1" applyFill="1" applyBorder="1" applyAlignment="1">
      <alignment horizontal="left"/>
    </xf>
    <xf numFmtId="0" fontId="12" fillId="11" borderId="43" xfId="0" applyFont="1" applyFill="1" applyBorder="1" applyAlignment="1">
      <alignment horizontal="left"/>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0" fontId="12" fillId="11" borderId="42" xfId="0" applyFont="1" applyFill="1" applyBorder="1" applyAlignment="1">
      <alignment horizontal="left"/>
    </xf>
    <xf numFmtId="0" fontId="12" fillId="11" borderId="44" xfId="0" applyFont="1" applyFill="1" applyBorder="1" applyAlignment="1">
      <alignment horizontal="left"/>
    </xf>
    <xf numFmtId="0" fontId="12" fillId="11" borderId="45" xfId="0" applyFont="1" applyFill="1" applyBorder="1" applyAlignment="1">
      <alignment horizontal="left"/>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2" fillId="0" borderId="69" xfId="0" applyFont="1" applyBorder="1"/>
    <xf numFmtId="0" fontId="2" fillId="0" borderId="4" xfId="0" applyFont="1" applyBorder="1"/>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11" fillId="11" borderId="0" xfId="18" applyFill="1" applyAlignment="1" applyProtection="1">
      <alignment horizontal="right" vertical="center"/>
    </xf>
    <xf numFmtId="0" fontId="2" fillId="13" borderId="61" xfId="0" applyFont="1" applyFill="1" applyBorder="1" applyProtection="1">
      <protection locked="0"/>
    </xf>
    <xf numFmtId="0" fontId="2" fillId="13" borderId="62" xfId="0" applyFont="1" applyFill="1" applyBorder="1" applyProtection="1">
      <protection locked="0"/>
    </xf>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2" fillId="0" borderId="29" xfId="0" applyFont="1" applyBorder="1"/>
    <xf numFmtId="0" fontId="2" fillId="0" borderId="67" xfId="0" applyFont="1" applyBorder="1"/>
    <xf numFmtId="0" fontId="2" fillId="0" borderId="41" xfId="0" applyFont="1" applyBorder="1" applyAlignment="1">
      <alignment horizontal="left"/>
    </xf>
    <xf numFmtId="0" fontId="2" fillId="0" borderId="42" xfId="0" applyFont="1" applyBorder="1" applyAlignment="1">
      <alignment horizontal="left"/>
    </xf>
    <xf numFmtId="0" fontId="2" fillId="0" borderId="56" xfId="0" applyFont="1" applyBorder="1"/>
    <xf numFmtId="0" fontId="2" fillId="0" borderId="64" xfId="0" applyFont="1" applyBorder="1"/>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11" fillId="11" borderId="0" xfId="18" applyFill="1" applyAlignment="1">
      <alignment horizontal="center" vertical="center"/>
    </xf>
    <xf numFmtId="0" fontId="11" fillId="12" borderId="0" xfId="18" applyFill="1" applyAlignment="1">
      <alignment horizontal="center" vertical="center"/>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2" fillId="0" borderId="69" xfId="0" quotePrefix="1" applyFont="1" applyBorder="1"/>
    <xf numFmtId="0" fontId="2" fillId="0" borderId="4" xfId="0" quotePrefix="1" applyFont="1" applyBorder="1"/>
    <xf numFmtId="0" fontId="11" fillId="12" borderId="0" xfId="0" applyFont="1" applyFill="1" applyAlignment="1">
      <alignment horizontal="center" vertical="center"/>
    </xf>
    <xf numFmtId="0" fontId="2" fillId="0" borderId="56" xfId="0" quotePrefix="1" applyFont="1" applyBorder="1"/>
    <xf numFmtId="0" fontId="2" fillId="0" borderId="64" xfId="0" quotePrefix="1" applyFont="1" applyBorder="1"/>
    <xf numFmtId="0" fontId="2" fillId="0" borderId="53" xfId="0" applyFont="1" applyBorder="1"/>
    <xf numFmtId="0" fontId="2" fillId="0" borderId="82" xfId="0"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2" fillId="0" borderId="51" xfId="0" quotePrefix="1" applyFont="1" applyBorder="1"/>
    <xf numFmtId="0" fontId="2" fillId="0" borderId="65" xfId="0" quotePrefix="1" applyFont="1" applyBorder="1"/>
    <xf numFmtId="0" fontId="2" fillId="0" borderId="46" xfId="0" quotePrefix="1" applyFont="1" applyBorder="1"/>
    <xf numFmtId="0" fontId="2" fillId="0" borderId="70" xfId="0" quotePrefix="1" applyFont="1" applyBorder="1"/>
    <xf numFmtId="0" fontId="2" fillId="0" borderId="69" xfId="0" applyFont="1" applyBorder="1" applyAlignment="1">
      <alignment horizontal="right"/>
    </xf>
    <xf numFmtId="0" fontId="2" fillId="0" borderId="4" xfId="0"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0" fillId="9" borderId="69" xfId="0" applyFill="1" applyBorder="1"/>
    <xf numFmtId="0" fontId="0" fillId="9" borderId="3" xfId="0" applyFill="1" applyBorder="1"/>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29" xfId="0" applyFont="1" applyFill="1" applyBorder="1" applyAlignment="1">
      <alignment horizontal="center" vertical="center"/>
    </xf>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11" borderId="89" xfId="0" applyFont="1" applyFill="1" applyBorder="1" applyAlignment="1">
      <alignment horizontal="center" vertical="center"/>
    </xf>
    <xf numFmtId="0" fontId="17" fillId="8" borderId="87"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94" xfId="0" applyFont="1" applyFill="1" applyBorder="1" applyAlignment="1">
      <alignment horizontal="center" vertical="center" wrapText="1"/>
    </xf>
    <xf numFmtId="0" fontId="17" fillId="8" borderId="93"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21" fillId="9" borderId="0" xfId="0" applyFont="1" applyFill="1" applyAlignment="1">
      <alignment horizontal="center" vertical="center"/>
    </xf>
    <xf numFmtId="0" fontId="11" fillId="11" borderId="0" xfId="18" applyFill="1" applyAlignment="1">
      <alignment horizontal="left" vertical="center"/>
    </xf>
    <xf numFmtId="0" fontId="2" fillId="0" borderId="3" xfId="0" quotePrefix="1" applyFont="1" applyBorder="1"/>
    <xf numFmtId="0" fontId="2" fillId="0" borderId="61" xfId="0" applyFont="1" applyBorder="1"/>
    <xf numFmtId="0" fontId="2" fillId="0" borderId="97" xfId="0" quotePrefix="1" applyFont="1" applyBorder="1" applyAlignment="1">
      <alignment horizontal="right"/>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2" fillId="9" borderId="0" xfId="0" applyFont="1" applyFill="1" applyAlignment="1">
      <alignment vertical="top" wrapText="1"/>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0" fontId="12" fillId="11" borderId="80" xfId="0" applyFont="1" applyFill="1" applyBorder="1" applyAlignment="1">
      <alignment wrapText="1"/>
    </xf>
    <xf numFmtId="0" fontId="12" fillId="11" borderId="81" xfId="0" applyFont="1" applyFill="1" applyBorder="1" applyAlignment="1">
      <alignment wrapText="1"/>
    </xf>
    <xf numFmtId="0" fontId="0" fillId="9" borderId="0" xfId="0" applyFill="1" applyAlignment="1">
      <alignment horizontal="left"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100000</c:v>
                </c:pt>
                <c:pt idx="1">
                  <c:v>#N/A</c:v>
                </c:pt>
                <c:pt idx="2">
                  <c:v>38325</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105.00206666666665</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149.99999999999997</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333.33333333333331</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719.95</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100000</c:v>
                </c:pt>
                <c:pt idx="1">
                  <c:v>98200</c:v>
                </c:pt>
                <c:pt idx="2">
                  <c:v>96328</c:v>
                </c:pt>
                <c:pt idx="3">
                  <c:v>94381.119999999995</c:v>
                </c:pt>
                <c:pt idx="4">
                  <c:v>92356.364799999996</c:v>
                </c:pt>
                <c:pt idx="5">
                  <c:v>90250.619391999993</c:v>
                </c:pt>
                <c:pt idx="6">
                  <c:v>88060.644167679988</c:v>
                </c:pt>
                <c:pt idx="7">
                  <c:v>85783.069934387182</c:v>
                </c:pt>
                <c:pt idx="8">
                  <c:v>83414.392731762666</c:v>
                </c:pt>
                <c:pt idx="9">
                  <c:v>80950.968441033168</c:v>
                </c:pt>
                <c:pt idx="10">
                  <c:v>78389.007178674496</c:v>
                </c:pt>
                <c:pt idx="11">
                  <c:v>75724.56746582147</c:v>
                </c:pt>
                <c:pt idx="12">
                  <c:v>72953.550164454326</c:v>
                </c:pt>
                <c:pt idx="13">
                  <c:v>70071.692171032497</c:v>
                </c:pt>
                <c:pt idx="14">
                  <c:v>67074.559857873799</c:v>
                </c:pt>
                <c:pt idx="15">
                  <c:v>63957.542252188752</c:v>
                </c:pt>
                <c:pt idx="16">
                  <c:v>60715.843942276304</c:v>
                </c:pt>
                <c:pt idx="17">
                  <c:v>57344.477699967356</c:v>
                </c:pt>
                <c:pt idx="18">
                  <c:v>53838.256807966049</c:v>
                </c:pt>
                <c:pt idx="19">
                  <c:v>50191.787080284688</c:v>
                </c:pt>
                <c:pt idx="20">
                  <c:v>46399.458563496075</c:v>
                </c:pt>
                <c:pt idx="21">
                  <c:v>42455.436906035917</c:v>
                </c:pt>
                <c:pt idx="22">
                  <c:v>38353.654382277353</c:v>
                </c:pt>
                <c:pt idx="23">
                  <c:v>34087.800557568451</c:v>
                </c:pt>
                <c:pt idx="24">
                  <c:v>29651.312579871188</c:v>
                </c:pt>
                <c:pt idx="25">
                  <c:v>25037.365083066034</c:v>
                </c:pt>
                <c:pt idx="26">
                  <c:v>20238.859686388674</c:v>
                </c:pt>
                <c:pt idx="27">
                  <c:v>15248.414073844222</c:v>
                </c:pt>
                <c:pt idx="28">
                  <c:v>10058.35063679799</c:v>
                </c:pt>
                <c:pt idx="29">
                  <c:v>4660.6846622699095</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4000</c:v>
                </c:pt>
                <c:pt idx="1">
                  <c:v>7928</c:v>
                </c:pt>
                <c:pt idx="2">
                  <c:v>11781.119999999999</c:v>
                </c:pt>
                <c:pt idx="3">
                  <c:v>15556.364799999999</c:v>
                </c:pt>
                <c:pt idx="4">
                  <c:v>19250.619392000001</c:v>
                </c:pt>
                <c:pt idx="5">
                  <c:v>22860.644167680002</c:v>
                </c:pt>
                <c:pt idx="6">
                  <c:v>26383.069934387204</c:v>
                </c:pt>
                <c:pt idx="7">
                  <c:v>29814.392731762691</c:v>
                </c:pt>
                <c:pt idx="8">
                  <c:v>33150.968441033197</c:v>
                </c:pt>
                <c:pt idx="9">
                  <c:v>36389.007178674525</c:v>
                </c:pt>
                <c:pt idx="10">
                  <c:v>39524.567465821507</c:v>
                </c:pt>
                <c:pt idx="11">
                  <c:v>42553.550164454369</c:v>
                </c:pt>
                <c:pt idx="12">
                  <c:v>45471.692171032541</c:v>
                </c:pt>
                <c:pt idx="13">
                  <c:v>48274.559857873843</c:v>
                </c:pt>
                <c:pt idx="14">
                  <c:v>50957.542252188796</c:v>
                </c:pt>
                <c:pt idx="15">
                  <c:v>53515.843942276348</c:v>
                </c:pt>
                <c:pt idx="16">
                  <c:v>55944.4776999674</c:v>
                </c:pt>
                <c:pt idx="17">
                  <c:v>58238.256807966092</c:v>
                </c:pt>
                <c:pt idx="18">
                  <c:v>60391.787080284732</c:v>
                </c:pt>
                <c:pt idx="19">
                  <c:v>62399.458563496119</c:v>
                </c:pt>
                <c:pt idx="20">
                  <c:v>64255.43690603596</c:v>
                </c:pt>
                <c:pt idx="21">
                  <c:v>65953.654382277397</c:v>
                </c:pt>
                <c:pt idx="22">
                  <c:v>67487.800557568495</c:v>
                </c:pt>
                <c:pt idx="23">
                  <c:v>68851.312579871228</c:v>
                </c:pt>
                <c:pt idx="24">
                  <c:v>70037.365083066077</c:v>
                </c:pt>
                <c:pt idx="25">
                  <c:v>71038.859686388721</c:v>
                </c:pt>
                <c:pt idx="26">
                  <c:v>71848.414073844266</c:v>
                </c:pt>
                <c:pt idx="27">
                  <c:v>72458.35063679803</c:v>
                </c:pt>
                <c:pt idx="28">
                  <c:v>72860.684662269952</c:v>
                </c:pt>
                <c:pt idx="29">
                  <c:v>73047.112048760755</c:v>
                </c:pt>
                <c:pt idx="30">
                  <c:v>73047.112048760755</c:v>
                </c:pt>
                <c:pt idx="31">
                  <c:v>73047.112048760755</c:v>
                </c:pt>
                <c:pt idx="32">
                  <c:v>73047.112048760755</c:v>
                </c:pt>
                <c:pt idx="33">
                  <c:v>73047.112048760755</c:v>
                </c:pt>
                <c:pt idx="34">
                  <c:v>73047.112048760755</c:v>
                </c:pt>
                <c:pt idx="35">
                  <c:v>73047.112048760755</c:v>
                </c:pt>
                <c:pt idx="36">
                  <c:v>73047.112048760755</c:v>
                </c:pt>
                <c:pt idx="37">
                  <c:v>73047.112048760755</c:v>
                </c:pt>
                <c:pt idx="38">
                  <c:v>73047.112048760755</c:v>
                </c:pt>
                <c:pt idx="39">
                  <c:v>73047.112048760755</c:v>
                </c:pt>
                <c:pt idx="40">
                  <c:v>73047.112048760755</c:v>
                </c:pt>
                <c:pt idx="41">
                  <c:v>73047.112048760755</c:v>
                </c:pt>
                <c:pt idx="42">
                  <c:v>73047.112048760755</c:v>
                </c:pt>
                <c:pt idx="43">
                  <c:v>73047.112048760755</c:v>
                </c:pt>
                <c:pt idx="44">
                  <c:v>73047.112048760755</c:v>
                </c:pt>
                <c:pt idx="45">
                  <c:v>73047.112048760755</c:v>
                </c:pt>
                <c:pt idx="46">
                  <c:v>73047.112048760755</c:v>
                </c:pt>
                <c:pt idx="47">
                  <c:v>73047.112048760755</c:v>
                </c:pt>
                <c:pt idx="48">
                  <c:v>73047.112048760755</c:v>
                </c:pt>
                <c:pt idx="49">
                  <c:v>73047.112048760755</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25000</c:v>
                </c:pt>
                <c:pt idx="1">
                  <c:v>29300</c:v>
                </c:pt>
                <c:pt idx="2">
                  <c:v>33722</c:v>
                </c:pt>
                <c:pt idx="3">
                  <c:v>38269.880000000005</c:v>
                </c:pt>
                <c:pt idx="4">
                  <c:v>42947.655199999994</c:v>
                </c:pt>
                <c:pt idx="5">
                  <c:v>47759.481008000002</c:v>
                </c:pt>
                <c:pt idx="6">
                  <c:v>52709.658240320001</c:v>
                </c:pt>
                <c:pt idx="7">
                  <c:v>57802.638521772795</c:v>
                </c:pt>
                <c:pt idx="8">
                  <c:v>63043.029893520521</c:v>
                </c:pt>
                <c:pt idx="9">
                  <c:v>68435.602636755691</c:v>
                </c:pt>
                <c:pt idx="10">
                  <c:v>73985.295320670135</c:v>
                </c:pt>
                <c:pt idx="11">
                  <c:v>79697.221083510041</c:v>
                </c:pt>
                <c:pt idx="12">
                  <c:v>85576.674155863817</c:v>
                </c:pt>
                <c:pt idx="13">
                  <c:v>91629.136635692019</c:v>
                </c:pt>
                <c:pt idx="14">
                  <c:v>97860.2855249852</c:v>
                </c:pt>
                <c:pt idx="15">
                  <c:v>104276.00003832742</c:v>
                </c:pt>
                <c:pt idx="16">
                  <c:v>110882.36919405019</c:v>
                </c:pt>
                <c:pt idx="17">
                  <c:v>117685.69969908567</c:v>
                </c:pt>
                <c:pt idx="18">
                  <c:v>124692.52413906806</c:v>
                </c:pt>
                <c:pt idx="19">
                  <c:v>131909.60948569007</c:v>
                </c:pt>
                <c:pt idx="20">
                  <c:v>139343.9659337982</c:v>
                </c:pt>
                <c:pt idx="21">
                  <c:v>147002.85608120426</c:v>
                </c:pt>
                <c:pt idx="22">
                  <c:v>154893.80446470762</c:v>
                </c:pt>
                <c:pt idx="23">
                  <c:v>163024.60746635619</c:v>
                </c:pt>
                <c:pt idx="24">
                  <c:v>171403.34360453195</c:v>
                </c:pt>
                <c:pt idx="25">
                  <c:v>180038.38422502519</c:v>
                </c:pt>
                <c:pt idx="26">
                  <c:v>188938.40460786436</c:v>
                </c:pt>
                <c:pt idx="27">
                  <c:v>198112.39550629386</c:v>
                </c:pt>
                <c:pt idx="28">
                  <c:v>207569.67513494284</c:v>
                </c:pt>
                <c:pt idx="29">
                  <c:v>217319.90162490573</c:v>
                </c:pt>
                <c:pt idx="30">
                  <c:v>226420.19801291917</c:v>
                </c:pt>
                <c:pt idx="31">
                  <c:v>230948.60197317755</c:v>
                </c:pt>
                <c:pt idx="32">
                  <c:v>235567.5740126411</c:v>
                </c:pt>
                <c:pt idx="33">
                  <c:v>240278.9254928939</c:v>
                </c:pt>
                <c:pt idx="34">
                  <c:v>245084.50400275178</c:v>
                </c:pt>
                <c:pt idx="35">
                  <c:v>249986.19408280682</c:v>
                </c:pt>
                <c:pt idx="36">
                  <c:v>254985.91796446295</c:v>
                </c:pt>
                <c:pt idx="37">
                  <c:v>260085.6363237522</c:v>
                </c:pt>
                <c:pt idx="38">
                  <c:v>265287.34905022726</c:v>
                </c:pt>
                <c:pt idx="39">
                  <c:v>270593.09603123181</c:v>
                </c:pt>
                <c:pt idx="40">
                  <c:v>276004.95795185643</c:v>
                </c:pt>
                <c:pt idx="41">
                  <c:v>281525.05711089354</c:v>
                </c:pt>
                <c:pt idx="42">
                  <c:v>287155.55825311143</c:v>
                </c:pt>
                <c:pt idx="43">
                  <c:v>292898.66941817367</c:v>
                </c:pt>
                <c:pt idx="44">
                  <c:v>298756.64280653716</c:v>
                </c:pt>
                <c:pt idx="45">
                  <c:v>304731.77566266787</c:v>
                </c:pt>
                <c:pt idx="46">
                  <c:v>310826.41117592121</c:v>
                </c:pt>
                <c:pt idx="47">
                  <c:v>317042.93939943961</c:v>
                </c:pt>
                <c:pt idx="48">
                  <c:v>323383.79818742839</c:v>
                </c:pt>
                <c:pt idx="49">
                  <c:v>329851.47415117698</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125000</c:v>
                </c:pt>
                <c:pt idx="1">
                  <c:v>127500</c:v>
                </c:pt>
                <c:pt idx="2">
                  <c:v>130050</c:v>
                </c:pt>
                <c:pt idx="3">
                  <c:v>132651</c:v>
                </c:pt>
                <c:pt idx="4">
                  <c:v>135304.01999999999</c:v>
                </c:pt>
                <c:pt idx="5">
                  <c:v>138010.1004</c:v>
                </c:pt>
                <c:pt idx="6">
                  <c:v>140770.30240799999</c:v>
                </c:pt>
                <c:pt idx="7">
                  <c:v>143585.70845615998</c:v>
                </c:pt>
                <c:pt idx="8">
                  <c:v>146457.42262528319</c:v>
                </c:pt>
                <c:pt idx="9">
                  <c:v>149386.57107778886</c:v>
                </c:pt>
                <c:pt idx="10">
                  <c:v>152374.30249934463</c:v>
                </c:pt>
                <c:pt idx="11">
                  <c:v>155421.78854933151</c:v>
                </c:pt>
                <c:pt idx="12">
                  <c:v>158530.22432031814</c:v>
                </c:pt>
                <c:pt idx="13">
                  <c:v>161700.82880672452</c:v>
                </c:pt>
                <c:pt idx="14">
                  <c:v>164934.845382859</c:v>
                </c:pt>
                <c:pt idx="15">
                  <c:v>168233.54229051617</c:v>
                </c:pt>
                <c:pt idx="16">
                  <c:v>171598.21313632649</c:v>
                </c:pt>
                <c:pt idx="17">
                  <c:v>175030.17739905303</c:v>
                </c:pt>
                <c:pt idx="18">
                  <c:v>178530.7809470341</c:v>
                </c:pt>
                <c:pt idx="19">
                  <c:v>182101.39656597478</c:v>
                </c:pt>
                <c:pt idx="20">
                  <c:v>185743.42449729427</c:v>
                </c:pt>
                <c:pt idx="21">
                  <c:v>189458.29298724016</c:v>
                </c:pt>
                <c:pt idx="22">
                  <c:v>193247.45884698496</c:v>
                </c:pt>
                <c:pt idx="23">
                  <c:v>197112.40802392465</c:v>
                </c:pt>
                <c:pt idx="24">
                  <c:v>201054.65618440314</c:v>
                </c:pt>
                <c:pt idx="25">
                  <c:v>205075.74930809121</c:v>
                </c:pt>
                <c:pt idx="26">
                  <c:v>209177.26429425302</c:v>
                </c:pt>
                <c:pt idx="27">
                  <c:v>213360.80958013807</c:v>
                </c:pt>
                <c:pt idx="28">
                  <c:v>217628.02577174082</c:v>
                </c:pt>
                <c:pt idx="29">
                  <c:v>221980.58628717565</c:v>
                </c:pt>
                <c:pt idx="30">
                  <c:v>226420.19801291917</c:v>
                </c:pt>
                <c:pt idx="31">
                  <c:v>230948.60197317755</c:v>
                </c:pt>
                <c:pt idx="32">
                  <c:v>235567.5740126411</c:v>
                </c:pt>
                <c:pt idx="33">
                  <c:v>240278.9254928939</c:v>
                </c:pt>
                <c:pt idx="34">
                  <c:v>245084.50400275178</c:v>
                </c:pt>
                <c:pt idx="35">
                  <c:v>249986.19408280682</c:v>
                </c:pt>
                <c:pt idx="36">
                  <c:v>254985.91796446295</c:v>
                </c:pt>
                <c:pt idx="37">
                  <c:v>260085.6363237522</c:v>
                </c:pt>
                <c:pt idx="38">
                  <c:v>265287.34905022726</c:v>
                </c:pt>
                <c:pt idx="39">
                  <c:v>270593.09603123181</c:v>
                </c:pt>
                <c:pt idx="40">
                  <c:v>276004.95795185643</c:v>
                </c:pt>
                <c:pt idx="41">
                  <c:v>281525.05711089354</c:v>
                </c:pt>
                <c:pt idx="42">
                  <c:v>287155.55825311143</c:v>
                </c:pt>
                <c:pt idx="43">
                  <c:v>292898.66941817367</c:v>
                </c:pt>
                <c:pt idx="44">
                  <c:v>298756.64280653716</c:v>
                </c:pt>
                <c:pt idx="45">
                  <c:v>304731.77566266787</c:v>
                </c:pt>
                <c:pt idx="46">
                  <c:v>310826.41117592121</c:v>
                </c:pt>
                <c:pt idx="47">
                  <c:v>317042.93939943961</c:v>
                </c:pt>
                <c:pt idx="48">
                  <c:v>323383.79818742839</c:v>
                </c:pt>
                <c:pt idx="49">
                  <c:v>329851.47415117698</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125000</c:v>
                </c:pt>
                <c:pt idx="1">
                  <c:v>13325</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100000</c:v>
                </c:pt>
                <c:pt idx="1">
                  <c:v>#N/A</c:v>
                </c:pt>
                <c:pt idx="2">
                  <c:v>38325</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208.73206666666664</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333.33333333333331</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95.509166666666701</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149.99999999999997</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823.68000000000006</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36.10543333333338</c:v>
                </c:pt>
                <c:pt idx="1">
                  <c:v>44.708507000000012</c:v>
                </c:pt>
                <c:pt idx="2">
                  <c:v>53.558753590000066</c:v>
                </c:pt>
                <c:pt idx="3">
                  <c:v>62.662889905300034</c:v>
                </c:pt>
                <c:pt idx="4">
                  <c:v>72.027801084211063</c:v>
                </c:pt>
                <c:pt idx="5">
                  <c:v>81.660544220124308</c:v>
                </c:pt>
                <c:pt idx="6">
                  <c:v>91.568352029462858</c:v>
                </c:pt>
                <c:pt idx="7">
                  <c:v>101.75863656790744</c:v>
                </c:pt>
                <c:pt idx="8">
                  <c:v>112.23899299383476</c:v>
                </c:pt>
                <c:pt idx="9">
                  <c:v>123.01720337776658</c:v>
                </c:pt>
                <c:pt idx="10">
                  <c:v>134.10124055649408</c:v>
                </c:pt>
                <c:pt idx="11">
                  <c:v>145.49927203038212</c:v>
                </c:pt>
                <c:pt idx="12">
                  <c:v>157.21966390221147</c:v>
                </c:pt>
                <c:pt idx="13">
                  <c:v>169.27098485573862</c:v>
                </c:pt>
                <c:pt idx="14">
                  <c:v>181.66201017197784</c:v>
                </c:pt>
                <c:pt idx="15">
                  <c:v>194.40172578102784</c:v>
                </c:pt>
                <c:pt idx="16">
                  <c:v>207.499332347056</c:v>
                </c:pt>
                <c:pt idx="17">
                  <c:v>220.9642493838507</c:v>
                </c:pt>
                <c:pt idx="18">
                  <c:v>234.80611939812815</c:v>
                </c:pt>
                <c:pt idx="19">
                  <c:v>249.03481205754258</c:v>
                </c:pt>
                <c:pt idx="20">
                  <c:v>263.66042838010424</c:v>
                </c:pt>
                <c:pt idx="21">
                  <c:v>278.69330494144799</c:v>
                </c:pt>
                <c:pt idx="22">
                  <c:v>294.144018096114</c:v>
                </c:pt>
                <c:pt idx="23">
                  <c:v>310.02338820872347</c:v>
                </c:pt>
                <c:pt idx="24">
                  <c:v>326.34248389060775</c:v>
                </c:pt>
                <c:pt idx="25">
                  <c:v>343.11262623714288</c:v>
                </c:pt>
                <c:pt idx="26">
                  <c:v>360.345393060692</c:v>
                </c:pt>
                <c:pt idx="27">
                  <c:v>378.05262311369836</c:v>
                </c:pt>
                <c:pt idx="28">
                  <c:v>396.24642029610141</c:v>
                </c:pt>
                <c:pt idx="29">
                  <c:v>494.34648711078387</c:v>
                </c:pt>
                <c:pt idx="30">
                  <c:v>918.74733307246606</c:v>
                </c:pt>
                <c:pt idx="31">
                  <c:v>946.26032314587337</c:v>
                </c:pt>
                <c:pt idx="32">
                  <c:v>974.62239682310747</c:v>
                </c:pt>
                <c:pt idx="33">
                  <c:v>1003.8595004903161</c:v>
                </c:pt>
                <c:pt idx="34">
                  <c:v>1033.9983684027909</c:v>
                </c:pt>
                <c:pt idx="35">
                  <c:v>1065.0665465105958</c:v>
                </c:pt>
                <c:pt idx="36">
                  <c:v>1097.092417002749</c:v>
                </c:pt>
                <c:pt idx="37">
                  <c:v>1130.1052235916034</c:v>
                </c:pt>
                <c:pt idx="38">
                  <c:v>1164.1350975596988</c:v>
                </c:pt>
                <c:pt idx="39">
                  <c:v>1199.2130845920447</c:v>
                </c:pt>
                <c:pt idx="40">
                  <c:v>1235.3711724174711</c:v>
                </c:pt>
                <c:pt idx="41">
                  <c:v>1272.6423192834145</c:v>
                </c:pt>
                <c:pt idx="42">
                  <c:v>1311.0604832892038</c:v>
                </c:pt>
                <c:pt idx="43">
                  <c:v>1350.6606526037131</c:v>
                </c:pt>
                <c:pt idx="44">
                  <c:v>1391.4788765939743</c:v>
                </c:pt>
                <c:pt idx="45">
                  <c:v>1433.5522978921858</c:v>
                </c:pt>
                <c:pt idx="46">
                  <c:v>1476.919185429352</c:v>
                </c:pt>
                <c:pt idx="47">
                  <c:v>1521.6189684646408</c:v>
                </c:pt>
                <c:pt idx="48">
                  <c:v>1567.6922716404367</c:v>
                </c:pt>
                <c:pt idx="49">
                  <c:v>1615.1809510939436</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-37891.734799999998</c:v>
                </c:pt>
                <c:pt idx="1">
                  <c:v>-37355.232715999999</c:v>
                </c:pt>
                <c:pt idx="2">
                  <c:v>-36712.527672919998</c:v>
                </c:pt>
                <c:pt idx="3">
                  <c:v>-35960.572994056398</c:v>
                </c:pt>
                <c:pt idx="4">
                  <c:v>-35096.239381045867</c:v>
                </c:pt>
                <c:pt idx="5">
                  <c:v>-34116.312850404371</c:v>
                </c:pt>
                <c:pt idx="6">
                  <c:v>-33017.492626050822</c:v>
                </c:pt>
                <c:pt idx="7">
                  <c:v>-31796.388987235929</c:v>
                </c:pt>
                <c:pt idx="8">
                  <c:v>-30449.521071309915</c:v>
                </c:pt>
                <c:pt idx="9">
                  <c:v>-28973.314630776717</c:v>
                </c:pt>
                <c:pt idx="10">
                  <c:v>-27364.099744098785</c:v>
                </c:pt>
                <c:pt idx="11">
                  <c:v>-25618.108479734197</c:v>
                </c:pt>
                <c:pt idx="12">
                  <c:v>-23731.472512907661</c:v>
                </c:pt>
                <c:pt idx="13">
                  <c:v>-21700.2206946388</c:v>
                </c:pt>
                <c:pt idx="14">
                  <c:v>-19520.276572575065</c:v>
                </c:pt>
                <c:pt idx="15">
                  <c:v>-17187.455863202733</c:v>
                </c:pt>
                <c:pt idx="16">
                  <c:v>-14697.463875038062</c:v>
                </c:pt>
                <c:pt idx="17">
                  <c:v>-12045.892882431854</c:v>
                </c:pt>
                <c:pt idx="18">
                  <c:v>-9228.2194496543161</c:v>
                </c:pt>
                <c:pt idx="19">
                  <c:v>-6239.8017049638038</c:v>
                </c:pt>
                <c:pt idx="20">
                  <c:v>-3075.8765644025552</c:v>
                </c:pt>
                <c:pt idx="21">
                  <c:v>268.44309489482112</c:v>
                </c:pt>
                <c:pt idx="22">
                  <c:v>3798.1713120481872</c:v>
                </c:pt>
                <c:pt idx="23">
                  <c:v>7518.4519705528655</c:v>
                </c:pt>
                <c:pt idx="24">
                  <c:v>11434.56177724016</c:v>
                </c:pt>
                <c:pt idx="25">
                  <c:v>15551.913292085876</c:v>
                </c:pt>
                <c:pt idx="26">
                  <c:v>19876.05800881418</c:v>
                </c:pt>
                <c:pt idx="27">
                  <c:v>24412.689486178562</c:v>
                </c:pt>
                <c:pt idx="28">
                  <c:v>29167.646529731777</c:v>
                </c:pt>
                <c:pt idx="29">
                  <c:v>35099.804375061183</c:v>
                </c:pt>
                <c:pt idx="30">
                  <c:v>46124.772371930769</c:v>
                </c:pt>
                <c:pt idx="31">
                  <c:v>57479.896249681246</c:v>
                </c:pt>
                <c:pt idx="32">
                  <c:v>69175.365011558533</c:v>
                </c:pt>
                <c:pt idx="33">
                  <c:v>81221.679017442322</c:v>
                </c:pt>
                <c:pt idx="34">
                  <c:v>93629.659438275819</c:v>
                </c:pt>
                <c:pt idx="35">
                  <c:v>106410.45799640298</c:v>
                </c:pt>
                <c:pt idx="36">
                  <c:v>119575.56700043596</c:v>
                </c:pt>
                <c:pt idx="37">
                  <c:v>133136.82968353521</c:v>
                </c:pt>
                <c:pt idx="38">
                  <c:v>147106.4508542516</c:v>
                </c:pt>
                <c:pt idx="39">
                  <c:v>161497.00786935614</c:v>
                </c:pt>
                <c:pt idx="40">
                  <c:v>176321.4619383658</c:v>
                </c:pt>
                <c:pt idx="41">
                  <c:v>191593.16976976677</c:v>
                </c:pt>
                <c:pt idx="42">
                  <c:v>207325.89556923721</c:v>
                </c:pt>
                <c:pt idx="43">
                  <c:v>223533.82340048178</c:v>
                </c:pt>
                <c:pt idx="44">
                  <c:v>240231.56991960946</c:v>
                </c:pt>
                <c:pt idx="45">
                  <c:v>257434.19749431568</c:v>
                </c:pt>
                <c:pt idx="46">
                  <c:v>275157.22771946789</c:v>
                </c:pt>
                <c:pt idx="47">
                  <c:v>293416.6553410436</c:v>
                </c:pt>
                <c:pt idx="48">
                  <c:v>312228.96260072885</c:v>
                </c:pt>
                <c:pt idx="49">
                  <c:v>331611.13401385618</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112731</xdr:rowOff>
    </xdr:from>
    <xdr:to>
      <xdr:col>9</xdr:col>
      <xdr:colOff>646964</xdr:colOff>
      <xdr:row>20</xdr:row>
      <xdr:rowOff>184478</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326595" y="1903431"/>
          <a:ext cx="3416619" cy="22720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1153" r="1153"/>
        <a:stretch/>
      </xdr:blipFill>
      <xdr:spPr>
        <a:xfrm>
          <a:off x="503767" y="1873249"/>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baseColWidth="10"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0" customFormat="1" ht="12.75" customHeight="1">
      <c r="B1" s="425" t="s">
        <v>344</v>
      </c>
      <c r="C1" s="425"/>
      <c r="K1" s="147"/>
      <c r="L1" s="147"/>
      <c r="M1" s="425"/>
      <c r="N1" s="425"/>
      <c r="O1" s="425"/>
      <c r="P1" s="425"/>
      <c r="Q1" s="425"/>
      <c r="U1" s="237"/>
      <c r="X1" s="237"/>
      <c r="AB1" s="425"/>
      <c r="AC1" s="424"/>
    </row>
    <row r="2" spans="2:29" s="150" customFormat="1" ht="15" customHeight="1">
      <c r="B2" s="425"/>
      <c r="C2" s="425"/>
      <c r="K2" s="147"/>
      <c r="L2" s="147"/>
      <c r="M2" s="425"/>
      <c r="N2" s="425"/>
      <c r="O2" s="425"/>
      <c r="P2" s="425"/>
      <c r="Q2" s="425"/>
      <c r="U2" s="237"/>
      <c r="X2" s="237"/>
      <c r="AB2" s="425"/>
      <c r="AC2" s="424"/>
    </row>
    <row r="3" spans="2:29" s="150" customFormat="1" ht="12.75" customHeight="1">
      <c r="B3" s="425"/>
      <c r="C3" s="425"/>
      <c r="K3" s="147"/>
      <c r="L3" s="147"/>
      <c r="M3" s="425"/>
      <c r="N3" s="425"/>
      <c r="O3" s="425"/>
      <c r="P3" s="425"/>
      <c r="Q3" s="425"/>
      <c r="U3" s="237"/>
      <c r="X3" s="237"/>
      <c r="AB3" s="425"/>
      <c r="AC3" s="424"/>
    </row>
    <row r="4" spans="2:29" ht="18.75" customHeight="1">
      <c r="U4" s="5"/>
      <c r="V4" s="5"/>
      <c r="W4" s="5"/>
      <c r="X4" s="5"/>
    </row>
    <row r="5" spans="2:29" ht="12.75" customHeight="1" thickBot="1"/>
    <row r="6" spans="2:29">
      <c r="B6" s="138"/>
      <c r="C6" s="139"/>
      <c r="D6" s="139"/>
      <c r="E6" s="139"/>
      <c r="F6" s="139"/>
      <c r="G6" s="139"/>
      <c r="H6" s="139"/>
      <c r="I6" s="139"/>
      <c r="J6" s="139"/>
      <c r="K6" s="139"/>
      <c r="L6" s="139"/>
      <c r="M6" s="140"/>
    </row>
    <row r="7" spans="2:29" ht="33">
      <c r="B7" s="141"/>
      <c r="C7" s="426" t="s">
        <v>367</v>
      </c>
      <c r="D7" s="426"/>
      <c r="E7" s="426"/>
      <c r="F7" s="426"/>
      <c r="G7" s="426"/>
      <c r="H7" s="426"/>
      <c r="I7" s="426"/>
      <c r="J7" s="426"/>
      <c r="K7" s="426"/>
      <c r="L7" s="426"/>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5" customHeight="1">
      <c r="B17" s="141"/>
      <c r="C17"/>
      <c r="D17"/>
      <c r="E17"/>
      <c r="F17"/>
      <c r="G17"/>
      <c r="H17"/>
      <c r="I17"/>
      <c r="J17"/>
      <c r="K17"/>
      <c r="L17"/>
      <c r="M17" s="142"/>
    </row>
    <row r="18" spans="2:13" ht="15" customHeight="1">
      <c r="B18" s="141"/>
      <c r="C18" s="427" t="s">
        <v>368</v>
      </c>
      <c r="D18" s="427"/>
      <c r="E18" s="427"/>
      <c r="F18" s="427"/>
      <c r="G18" s="427"/>
      <c r="H18" s="427"/>
      <c r="I18" s="427"/>
      <c r="J18" s="427"/>
      <c r="K18" s="427"/>
      <c r="L18" s="427"/>
      <c r="M18" s="142"/>
    </row>
    <row r="19" spans="2:13">
      <c r="B19" s="141"/>
      <c r="C19" s="427"/>
      <c r="D19" s="427"/>
      <c r="E19" s="427"/>
      <c r="F19" s="427"/>
      <c r="G19" s="427"/>
      <c r="H19" s="427"/>
      <c r="I19" s="427"/>
      <c r="J19" s="427"/>
      <c r="K19" s="427"/>
      <c r="L19" s="427"/>
      <c r="M19" s="142"/>
    </row>
    <row r="20" spans="2:13">
      <c r="B20" s="141"/>
      <c r="C20" s="427"/>
      <c r="D20" s="427"/>
      <c r="E20" s="427"/>
      <c r="F20" s="427"/>
      <c r="G20" s="427"/>
      <c r="H20" s="427"/>
      <c r="I20" s="427"/>
      <c r="J20" s="427"/>
      <c r="K20" s="427"/>
      <c r="L20" s="427"/>
      <c r="M20" s="142"/>
    </row>
    <row r="21" spans="2:13">
      <c r="B21" s="141"/>
      <c r="C21" s="427"/>
      <c r="D21" s="427"/>
      <c r="E21" s="427"/>
      <c r="F21" s="427"/>
      <c r="G21" s="427"/>
      <c r="H21" s="427"/>
      <c r="I21" s="427"/>
      <c r="J21" s="427"/>
      <c r="K21" s="427"/>
      <c r="L21" s="427"/>
      <c r="M21" s="142"/>
    </row>
    <row r="22" spans="2:13">
      <c r="B22" s="141"/>
      <c r="C22" s="427"/>
      <c r="D22" s="427"/>
      <c r="E22" s="427"/>
      <c r="F22" s="427"/>
      <c r="G22" s="427"/>
      <c r="H22" s="427"/>
      <c r="I22" s="427"/>
      <c r="J22" s="427"/>
      <c r="K22" s="427"/>
      <c r="L22" s="427"/>
      <c r="M22" s="142"/>
    </row>
    <row r="23" spans="2:13">
      <c r="B23" s="141"/>
      <c r="C23" s="427"/>
      <c r="D23" s="427"/>
      <c r="E23" s="427"/>
      <c r="F23" s="427"/>
      <c r="G23" s="427"/>
      <c r="H23" s="427"/>
      <c r="I23" s="427"/>
      <c r="J23" s="427"/>
      <c r="K23" s="427"/>
      <c r="L23" s="427"/>
      <c r="M23" s="142"/>
    </row>
    <row r="24" spans="2:13">
      <c r="B24" s="141"/>
      <c r="C24" s="427"/>
      <c r="D24" s="427"/>
      <c r="E24" s="427"/>
      <c r="F24" s="427"/>
      <c r="G24" s="427"/>
      <c r="H24" s="427"/>
      <c r="I24" s="427"/>
      <c r="J24" s="427"/>
      <c r="K24" s="427"/>
      <c r="L24" s="427"/>
      <c r="M24" s="142"/>
    </row>
    <row r="25" spans="2:13">
      <c r="B25" s="141"/>
      <c r="C25" s="427"/>
      <c r="D25" s="427"/>
      <c r="E25" s="427"/>
      <c r="F25" s="427"/>
      <c r="G25" s="427"/>
      <c r="H25" s="427"/>
      <c r="I25" s="427"/>
      <c r="J25" s="427"/>
      <c r="K25" s="427"/>
      <c r="L25" s="427"/>
      <c r="M25" s="142"/>
    </row>
    <row r="26" spans="2:13">
      <c r="B26" s="141"/>
      <c r="C26" s="427"/>
      <c r="D26" s="427"/>
      <c r="E26" s="427"/>
      <c r="F26" s="427"/>
      <c r="G26" s="427"/>
      <c r="H26" s="427"/>
      <c r="I26" s="427"/>
      <c r="J26" s="427"/>
      <c r="K26" s="427"/>
      <c r="L26" s="427"/>
      <c r="M26" s="142"/>
    </row>
    <row r="27" spans="2:13">
      <c r="B27" s="141"/>
      <c r="C27" s="427"/>
      <c r="D27" s="427"/>
      <c r="E27" s="427"/>
      <c r="F27" s="427"/>
      <c r="G27" s="427"/>
      <c r="H27" s="427"/>
      <c r="I27" s="427"/>
      <c r="J27" s="427"/>
      <c r="K27" s="427"/>
      <c r="L27" s="427"/>
      <c r="M27" s="142"/>
    </row>
    <row r="28" spans="2:13">
      <c r="B28" s="141"/>
      <c r="C28" s="427"/>
      <c r="D28" s="427"/>
      <c r="E28" s="427"/>
      <c r="F28" s="427"/>
      <c r="G28" s="427"/>
      <c r="H28" s="427"/>
      <c r="I28" s="427"/>
      <c r="J28" s="427"/>
      <c r="K28" s="427"/>
      <c r="L28" s="427"/>
      <c r="M28" s="142"/>
    </row>
    <row r="29" spans="2:13">
      <c r="B29" s="141"/>
      <c r="C29" s="427"/>
      <c r="D29" s="427"/>
      <c r="E29" s="427"/>
      <c r="F29" s="427"/>
      <c r="G29" s="427"/>
      <c r="H29" s="427"/>
      <c r="I29" s="427"/>
      <c r="J29" s="427"/>
      <c r="K29" s="427"/>
      <c r="L29" s="427"/>
      <c r="M29" s="142"/>
    </row>
    <row r="30" spans="2:13">
      <c r="B30" s="141"/>
      <c r="C30" s="427"/>
      <c r="D30" s="427"/>
      <c r="E30" s="427"/>
      <c r="F30" s="427"/>
      <c r="G30" s="427"/>
      <c r="H30" s="427"/>
      <c r="I30" s="427"/>
      <c r="J30" s="427"/>
      <c r="K30" s="427"/>
      <c r="L30" s="427"/>
      <c r="M30" s="142"/>
    </row>
    <row r="31" spans="2:13">
      <c r="B31" s="141"/>
      <c r="C31" s="427"/>
      <c r="D31" s="427"/>
      <c r="E31" s="427"/>
      <c r="F31" s="427"/>
      <c r="G31" s="427"/>
      <c r="H31" s="427"/>
      <c r="I31" s="427"/>
      <c r="J31" s="427"/>
      <c r="K31" s="427"/>
      <c r="L31" s="427"/>
      <c r="M31" s="142"/>
    </row>
    <row r="32" spans="2:13">
      <c r="B32" s="141"/>
      <c r="C32" s="427"/>
      <c r="D32" s="427"/>
      <c r="E32" s="427"/>
      <c r="F32" s="427"/>
      <c r="G32" s="427"/>
      <c r="H32" s="427"/>
      <c r="I32" s="427"/>
      <c r="J32" s="427"/>
      <c r="K32" s="427"/>
      <c r="L32" s="427"/>
      <c r="M32" s="142"/>
    </row>
    <row r="33" spans="2:13">
      <c r="B33" s="141"/>
      <c r="C33" s="427"/>
      <c r="D33" s="427"/>
      <c r="E33" s="427"/>
      <c r="F33" s="427"/>
      <c r="G33" s="427"/>
      <c r="H33" s="427"/>
      <c r="I33" s="427"/>
      <c r="J33" s="427"/>
      <c r="K33" s="427"/>
      <c r="L33" s="427"/>
      <c r="M33" s="142"/>
    </row>
    <row r="34" spans="2:13">
      <c r="B34" s="141"/>
      <c r="C34" s="427"/>
      <c r="D34" s="427"/>
      <c r="E34" s="427"/>
      <c r="F34" s="427"/>
      <c r="G34" s="427"/>
      <c r="H34" s="427"/>
      <c r="I34" s="427"/>
      <c r="J34" s="427"/>
      <c r="K34" s="427"/>
      <c r="L34" s="427"/>
      <c r="M34" s="142"/>
    </row>
    <row r="35" spans="2:13">
      <c r="B35" s="141"/>
      <c r="C35" s="427"/>
      <c r="D35" s="427"/>
      <c r="E35" s="427"/>
      <c r="F35" s="427"/>
      <c r="G35" s="427"/>
      <c r="H35" s="427"/>
      <c r="I35" s="427"/>
      <c r="J35" s="427"/>
      <c r="K35" s="427"/>
      <c r="L35" s="427"/>
      <c r="M35" s="142"/>
    </row>
    <row r="36" spans="2:13">
      <c r="B36" s="141"/>
      <c r="C36" s="427"/>
      <c r="D36" s="427"/>
      <c r="E36" s="427"/>
      <c r="F36" s="427"/>
      <c r="G36" s="427"/>
      <c r="H36" s="427"/>
      <c r="I36" s="427"/>
      <c r="J36" s="427"/>
      <c r="K36" s="427"/>
      <c r="L36" s="427"/>
      <c r="M36" s="142"/>
    </row>
    <row r="37" spans="2:13">
      <c r="B37" s="141"/>
      <c r="C37" s="427"/>
      <c r="D37" s="427"/>
      <c r="E37" s="427"/>
      <c r="F37" s="427"/>
      <c r="G37" s="427"/>
      <c r="H37" s="427"/>
      <c r="I37" s="427"/>
      <c r="J37" s="427"/>
      <c r="K37" s="427"/>
      <c r="L37" s="427"/>
      <c r="M37" s="142"/>
    </row>
    <row r="38" spans="2:13">
      <c r="B38" s="141"/>
      <c r="C38" s="427"/>
      <c r="D38" s="427"/>
      <c r="E38" s="427"/>
      <c r="F38" s="427"/>
      <c r="G38" s="427"/>
      <c r="H38" s="427"/>
      <c r="I38" s="427"/>
      <c r="J38" s="427"/>
      <c r="K38" s="427"/>
      <c r="L38" s="427"/>
      <c r="M38" s="142"/>
    </row>
    <row r="39" spans="2:13">
      <c r="B39" s="141"/>
      <c r="C39" s="427"/>
      <c r="D39" s="427"/>
      <c r="E39" s="427"/>
      <c r="F39" s="427"/>
      <c r="G39" s="427"/>
      <c r="H39" s="427"/>
      <c r="I39" s="427"/>
      <c r="J39" s="427"/>
      <c r="K39" s="427"/>
      <c r="L39" s="427"/>
      <c r="M39" s="142"/>
    </row>
    <row r="40" spans="2:13">
      <c r="B40" s="141"/>
      <c r="C40" s="428"/>
      <c r="D40" s="428"/>
      <c r="E40" s="428"/>
      <c r="F40" s="428"/>
      <c r="G40" s="428"/>
      <c r="H40" s="428"/>
      <c r="I40" s="428"/>
      <c r="J40" s="428"/>
      <c r="K40" s="428"/>
      <c r="L40" s="428"/>
      <c r="M40" s="142"/>
    </row>
    <row r="41" spans="2:13">
      <c r="B41" s="141"/>
      <c r="C41" s="429" t="s">
        <v>464</v>
      </c>
      <c r="D41" s="429"/>
      <c r="E41" s="429"/>
      <c r="F41" s="429"/>
      <c r="G41" s="429"/>
      <c r="H41" s="429"/>
      <c r="I41" s="429"/>
      <c r="J41" s="429"/>
      <c r="K41" s="429"/>
      <c r="L41" s="429"/>
      <c r="M41" s="142"/>
    </row>
    <row r="42" spans="2:13">
      <c r="B42" s="141"/>
      <c r="C42" s="430" t="s">
        <v>369</v>
      </c>
      <c r="D42" s="430"/>
      <c r="E42" s="430"/>
      <c r="F42" s="430"/>
      <c r="G42" s="430"/>
      <c r="H42" s="430"/>
      <c r="I42" s="430"/>
      <c r="J42" s="430"/>
      <c r="K42" s="430"/>
      <c r="L42" s="430"/>
      <c r="M42" s="142"/>
    </row>
    <row r="43" spans="2:13" ht="15.7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C40:L40"/>
    <mergeCell ref="C41:L41"/>
    <mergeCell ref="C42:L42"/>
    <mergeCell ref="P1:Q3"/>
    <mergeCell ref="AB1:AB3"/>
    <mergeCell ref="AC1:AC3"/>
    <mergeCell ref="M1:O3"/>
    <mergeCell ref="B1:C3"/>
    <mergeCell ref="C7:L7"/>
    <mergeCell ref="C18:L39"/>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110" zoomScaleNormal="110" workbookViewId="0">
      <pane ySplit="4" topLeftCell="A7" activePane="bottomLeft" state="frozen"/>
      <selection pane="bottomLeft" activeCell="H21" sqref="H21"/>
    </sheetView>
  </sheetViews>
  <sheetFormatPr baseColWidth="10"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0" customFormat="1" ht="12.75" customHeight="1">
      <c r="A1" s="146"/>
      <c r="B1" s="146"/>
      <c r="C1" s="433" t="s">
        <v>346</v>
      </c>
      <c r="D1" s="425" t="s">
        <v>339</v>
      </c>
      <c r="E1" s="425"/>
      <c r="F1" s="147"/>
      <c r="G1" s="434" t="s">
        <v>343</v>
      </c>
      <c r="H1" s="434"/>
      <c r="I1" s="148"/>
      <c r="J1" s="425" t="s">
        <v>341</v>
      </c>
      <c r="K1" s="425"/>
      <c r="L1" s="149"/>
      <c r="M1" s="425" t="s">
        <v>114</v>
      </c>
      <c r="N1" s="425" t="s">
        <v>340</v>
      </c>
      <c r="O1" s="149"/>
      <c r="P1" s="425" t="s">
        <v>342</v>
      </c>
      <c r="Q1" s="425"/>
      <c r="S1" s="444" t="s">
        <v>366</v>
      </c>
      <c r="T1" s="444"/>
      <c r="V1" s="425"/>
      <c r="W1" s="425"/>
    </row>
    <row r="2" spans="1:23" s="150" customFormat="1" ht="15" customHeight="1">
      <c r="A2" s="146"/>
      <c r="B2" s="146"/>
      <c r="C2" s="433"/>
      <c r="D2" s="425"/>
      <c r="E2" s="425"/>
      <c r="F2" s="147"/>
      <c r="G2" s="434"/>
      <c r="H2" s="434"/>
      <c r="I2" s="148"/>
      <c r="J2" s="425"/>
      <c r="K2" s="425"/>
      <c r="L2" s="149"/>
      <c r="M2" s="425"/>
      <c r="N2" s="425"/>
      <c r="O2" s="149"/>
      <c r="P2" s="425"/>
      <c r="Q2" s="425"/>
      <c r="S2" s="444"/>
      <c r="T2" s="444"/>
      <c r="V2" s="425"/>
      <c r="W2" s="425"/>
    </row>
    <row r="3" spans="1:23" s="150" customFormat="1" ht="12.75" customHeight="1">
      <c r="A3" s="146"/>
      <c r="B3" s="146"/>
      <c r="C3" s="433"/>
      <c r="D3" s="425"/>
      <c r="E3" s="425"/>
      <c r="F3" s="147"/>
      <c r="G3" s="434"/>
      <c r="H3" s="434"/>
      <c r="I3" s="148"/>
      <c r="J3" s="425"/>
      <c r="K3" s="425"/>
      <c r="L3" s="149"/>
      <c r="M3" s="425"/>
      <c r="N3" s="425"/>
      <c r="O3" s="149"/>
      <c r="P3" s="425"/>
      <c r="Q3" s="425"/>
      <c r="S3" s="444"/>
      <c r="T3" s="444"/>
      <c r="V3" s="425"/>
      <c r="W3" s="425"/>
    </row>
    <row r="4" spans="1:23" ht="18.75" customHeight="1"/>
    <row r="5" spans="1:23" ht="8.25" customHeight="1" thickBot="1"/>
    <row r="6" spans="1:23" s="21" customFormat="1" ht="23.25" customHeight="1" thickBot="1">
      <c r="B6" s="451" t="s">
        <v>118</v>
      </c>
      <c r="C6" s="452"/>
      <c r="D6" s="452"/>
      <c r="E6" s="453"/>
      <c r="G6" s="442" t="s">
        <v>119</v>
      </c>
      <c r="H6" s="443"/>
      <c r="J6" s="442" t="s">
        <v>79</v>
      </c>
      <c r="K6" s="443"/>
      <c r="L6" s="22"/>
      <c r="M6" s="442" t="s">
        <v>19</v>
      </c>
      <c r="N6" s="443"/>
      <c r="O6" s="22"/>
      <c r="P6" s="442" t="s">
        <v>115</v>
      </c>
      <c r="Q6" s="443"/>
      <c r="S6" s="442" t="s">
        <v>96</v>
      </c>
      <c r="T6" s="443"/>
      <c r="V6" s="442" t="s">
        <v>335</v>
      </c>
      <c r="W6" s="443"/>
    </row>
    <row r="7" spans="1:23" ht="15.75" thickBot="1"/>
    <row r="8" spans="1:23" ht="15.75" thickBot="1">
      <c r="B8" s="431" t="s">
        <v>348</v>
      </c>
      <c r="C8" s="435"/>
      <c r="D8" s="435"/>
      <c r="E8" s="432"/>
      <c r="G8" s="436" t="s">
        <v>15</v>
      </c>
      <c r="H8" s="437"/>
      <c r="J8" s="431" t="s">
        <v>393</v>
      </c>
      <c r="K8" s="432"/>
      <c r="M8" s="436" t="s">
        <v>116</v>
      </c>
      <c r="N8" s="437"/>
      <c r="P8" s="436" t="s">
        <v>121</v>
      </c>
      <c r="Q8" s="437"/>
      <c r="S8" s="431" t="s">
        <v>334</v>
      </c>
      <c r="T8" s="432"/>
      <c r="V8" s="436" t="s">
        <v>263</v>
      </c>
      <c r="W8" s="437"/>
    </row>
    <row r="9" spans="1:23">
      <c r="B9" s="166" t="s">
        <v>110</v>
      </c>
      <c r="C9" s="445" t="s">
        <v>478</v>
      </c>
      <c r="D9" s="445"/>
      <c r="E9" s="446"/>
      <c r="G9" s="151" t="s">
        <v>252</v>
      </c>
      <c r="H9" s="219">
        <v>17</v>
      </c>
      <c r="J9" s="166" t="s">
        <v>383</v>
      </c>
      <c r="K9" s="167">
        <f>K23</f>
        <v>103.72999999999999</v>
      </c>
      <c r="M9" s="166" t="s">
        <v>21</v>
      </c>
      <c r="N9" s="181">
        <f>N17+N25+N32+N39</f>
        <v>100000</v>
      </c>
      <c r="P9" s="166" t="s">
        <v>127</v>
      </c>
      <c r="Q9" s="181">
        <f>12*(-Q22+Q25)+'Wert, AfA, Darlehen'!D11</f>
        <v>4733.2651999999998</v>
      </c>
      <c r="S9" s="166" t="s">
        <v>95</v>
      </c>
      <c r="T9" s="236">
        <v>2044</v>
      </c>
      <c r="V9" s="194" t="s">
        <v>268</v>
      </c>
      <c r="W9" s="195">
        <f ca="1">IFERROR(OFFSET('Miete, Cashflow, Steuern'!C18,0,MATCH(TRUE,INDEX('Miete, Cashflow, Steuern'!$D$28:$BA$28&gt;0,0),0)),"-")</f>
        <v>2024</v>
      </c>
    </row>
    <row r="10" spans="1:23" ht="15.75" thickBot="1">
      <c r="B10" s="163" t="s">
        <v>349</v>
      </c>
      <c r="C10" s="211">
        <v>45413</v>
      </c>
      <c r="D10" s="23" t="s">
        <v>350</v>
      </c>
      <c r="E10" s="210" t="s">
        <v>351</v>
      </c>
      <c r="G10" s="152" t="s">
        <v>253</v>
      </c>
      <c r="H10" s="220">
        <f>C11*H9</f>
        <v>719.95</v>
      </c>
      <c r="J10" s="163" t="s">
        <v>384</v>
      </c>
      <c r="K10" s="157">
        <f>K30</f>
        <v>105.00206666666665</v>
      </c>
      <c r="M10" s="163" t="s">
        <v>26</v>
      </c>
      <c r="N10" s="178">
        <f>E35-N9</f>
        <v>38325</v>
      </c>
      <c r="P10" s="183" t="s">
        <v>93</v>
      </c>
      <c r="Q10" s="175">
        <f>Q9-'Wert, AfA, Darlehen'!D11</f>
        <v>2233.2651999999998</v>
      </c>
      <c r="S10" s="162" t="s">
        <v>97</v>
      </c>
      <c r="T10" s="193">
        <f>T9-'Wert, AfA, Darlehen'!D37</f>
        <v>20</v>
      </c>
      <c r="V10" s="196" t="s">
        <v>262</v>
      </c>
      <c r="W10" s="155">
        <f ca="1">OFFSET('Miete, Cashflow, Steuern'!C32,0,MATCH(TRUE,INDEX('Miete, Cashflow, Steuern'!$D$28:$BA$28&gt;0,0),0)-1)</f>
        <v>0</v>
      </c>
    </row>
    <row r="11" spans="1:23" ht="15.75" thickBot="1">
      <c r="B11" s="162" t="s">
        <v>11</v>
      </c>
      <c r="C11" s="212">
        <v>42.35</v>
      </c>
      <c r="D11" s="204" t="s">
        <v>111</v>
      </c>
      <c r="E11" s="209">
        <v>1</v>
      </c>
      <c r="G11" s="153" t="s">
        <v>68</v>
      </c>
      <c r="H11" s="221">
        <v>0</v>
      </c>
      <c r="J11" s="168" t="s">
        <v>124</v>
      </c>
      <c r="K11" s="169">
        <f>K10/H15</f>
        <v>0.1458463319211982</v>
      </c>
      <c r="M11" s="163" t="s">
        <v>27</v>
      </c>
      <c r="N11" s="182">
        <f>IF(N9=0,"n/a",((N18*$N$17)+(N26*$N$25)+(N33*$N$32)+(N40*$N$39))/$N$9)</f>
        <v>0.04</v>
      </c>
      <c r="P11" s="5"/>
      <c r="Q11" s="5"/>
      <c r="S11" s="5"/>
      <c r="T11" s="5"/>
      <c r="V11" s="196" t="s">
        <v>264</v>
      </c>
      <c r="W11" s="197">
        <f ca="1">IFERROR(OFFSET('Miete, Cashflow, Steuern'!C18,0,MATCH(TRUE,INDEX('Miete, Cashflow, Steuern'!$D$32:$BA$32&gt;0,0),0)),"-")</f>
        <v>2024</v>
      </c>
    </row>
    <row r="12" spans="1:23" ht="15.75" thickBot="1">
      <c r="B12" s="5"/>
      <c r="C12" s="5"/>
      <c r="D12" s="5"/>
      <c r="E12" s="5"/>
      <c r="G12" s="153" t="s">
        <v>90</v>
      </c>
      <c r="H12" s="221">
        <v>0</v>
      </c>
      <c r="J12" s="170" t="s">
        <v>94</v>
      </c>
      <c r="K12" s="171">
        <f>K9+K10</f>
        <v>208.73206666666664</v>
      </c>
      <c r="M12" s="163" t="s">
        <v>28</v>
      </c>
      <c r="N12" s="182">
        <f>IF(N9=0,"n/a",((N19*$N$17)+(N27*$N$25)+(N34*$N$32)+(N41*$N$39))/$N$9)</f>
        <v>1.7999999999999999E-2</v>
      </c>
      <c r="P12" s="436" t="s">
        <v>125</v>
      </c>
      <c r="Q12" s="437"/>
      <c r="S12" s="431" t="s">
        <v>126</v>
      </c>
      <c r="T12" s="432"/>
      <c r="V12" s="198" t="s">
        <v>269</v>
      </c>
      <c r="W12" s="199">
        <f ca="1">IFERROR(OFFSET('Miete, Cashflow, Steuern'!C18,0,MATCH(TRUE,INDEX('Miete, Cashflow, Steuern'!$D$33:$BA$33&gt;0,0),0)),"-")</f>
        <v>2045</v>
      </c>
    </row>
    <row r="13" spans="1:23" ht="15.75" thickBot="1">
      <c r="B13" s="431" t="s">
        <v>117</v>
      </c>
      <c r="C13" s="435"/>
      <c r="D13" s="435"/>
      <c r="E13" s="432"/>
      <c r="G13" s="153" t="s">
        <v>67</v>
      </c>
      <c r="H13" s="154">
        <f>H10+H11+H12</f>
        <v>719.95</v>
      </c>
      <c r="J13" s="5"/>
      <c r="K13" s="24"/>
      <c r="M13" s="162" t="s">
        <v>378</v>
      </c>
      <c r="N13" s="175">
        <f>N20+N28+N35+N42</f>
        <v>483.33333333333331</v>
      </c>
      <c r="P13" s="166" t="s">
        <v>14</v>
      </c>
      <c r="Q13" s="181">
        <f>12*H15</f>
        <v>8639.4000000000015</v>
      </c>
      <c r="S13" s="151" t="s">
        <v>14</v>
      </c>
      <c r="T13" s="181">
        <f ca="1">OFFSET('Miete, Cashflow, Steuern'!D12,,Cockpit!T10)*12</f>
        <v>15603.717400802941</v>
      </c>
    </row>
    <row r="14" spans="1:23" ht="15.75" thickBot="1">
      <c r="B14" s="462" t="s">
        <v>1</v>
      </c>
      <c r="C14" s="463"/>
      <c r="D14" s="438">
        <v>125000</v>
      </c>
      <c r="E14" s="439"/>
      <c r="G14" s="153" t="s">
        <v>322</v>
      </c>
      <c r="H14" s="154">
        <f>'MFH-Kalkulator'!E12</f>
        <v>1287.5</v>
      </c>
      <c r="K14" s="5"/>
      <c r="N14" s="25"/>
      <c r="P14" s="184" t="s">
        <v>16</v>
      </c>
      <c r="Q14" s="185">
        <f>Q13/D14</f>
        <v>6.9115200000000016E-2</v>
      </c>
      <c r="S14" s="168" t="s">
        <v>359</v>
      </c>
      <c r="T14" s="190">
        <f ca="1">T13/12/C11</f>
        <v>30.703890989380049</v>
      </c>
      <c r="V14" s="431" t="s">
        <v>260</v>
      </c>
      <c r="W14" s="432"/>
    </row>
    <row r="15" spans="1:23" ht="15.75" thickBot="1">
      <c r="B15" s="449" t="s">
        <v>123</v>
      </c>
      <c r="C15" s="450"/>
      <c r="D15" s="447">
        <f>D14/C11</f>
        <v>2951.5938606847699</v>
      </c>
      <c r="E15" s="448"/>
      <c r="G15" s="153" t="s">
        <v>320</v>
      </c>
      <c r="H15" s="155">
        <f>IF('MFH-Kalkulator'!$C$6="Ein",H14,H13)</f>
        <v>719.95</v>
      </c>
      <c r="J15" s="436" t="s">
        <v>379</v>
      </c>
      <c r="K15" s="437"/>
      <c r="M15" s="436" t="s">
        <v>20</v>
      </c>
      <c r="N15" s="437"/>
      <c r="P15" s="163" t="s">
        <v>18</v>
      </c>
      <c r="Q15" s="186">
        <f>D14/Q13</f>
        <v>14.468597356297888</v>
      </c>
      <c r="S15" s="173" t="s">
        <v>273</v>
      </c>
      <c r="T15" s="178">
        <f ca="1">OFFSET('Wert, AfA, Darlehen'!E8,,Cockpit!T10)</f>
        <v>189458.29298724016</v>
      </c>
      <c r="V15" s="151" t="s">
        <v>14</v>
      </c>
      <c r="W15" s="181">
        <f ca="1">OFFSET('Miete, Cashflow, Steuern'!D12,,Cockpit!T10)*12</f>
        <v>15603.717400802941</v>
      </c>
    </row>
    <row r="16" spans="1:23" ht="15.75" thickBot="1">
      <c r="B16" s="440" t="s">
        <v>4</v>
      </c>
      <c r="C16" s="441"/>
      <c r="D16" s="213">
        <v>3.5999999999999997E-2</v>
      </c>
      <c r="E16" s="214">
        <f>D16*$D$14</f>
        <v>4500</v>
      </c>
      <c r="G16" s="156" t="s">
        <v>469</v>
      </c>
      <c r="H16" s="157">
        <f>K9</f>
        <v>103.72999999999999</v>
      </c>
      <c r="J16" s="151" t="s">
        <v>382</v>
      </c>
      <c r="K16" s="227">
        <v>148.72999999999999</v>
      </c>
      <c r="M16" s="166" t="s">
        <v>333</v>
      </c>
      <c r="N16" s="233">
        <v>0.8</v>
      </c>
      <c r="P16" s="162" t="s">
        <v>17</v>
      </c>
      <c r="Q16" s="187">
        <f>(Q13-12*K10)/E35</f>
        <v>5.334809470450029E-2</v>
      </c>
      <c r="S16" s="191" t="s">
        <v>2</v>
      </c>
      <c r="T16" s="192">
        <f ca="1">T15/C11</f>
        <v>4473.6314754956356</v>
      </c>
      <c r="V16" s="173" t="s">
        <v>18</v>
      </c>
      <c r="W16" s="235">
        <v>15</v>
      </c>
    </row>
    <row r="17" spans="2:23" ht="15.75" thickBot="1">
      <c r="B17" s="440" t="s">
        <v>5</v>
      </c>
      <c r="C17" s="441"/>
      <c r="D17" s="213">
        <v>1.4999999999999999E-2</v>
      </c>
      <c r="E17" s="214">
        <f>D17*$D$14</f>
        <v>1875</v>
      </c>
      <c r="G17" s="158" t="s">
        <v>470</v>
      </c>
      <c r="H17" s="159">
        <f>H15+H16</f>
        <v>823.68000000000006</v>
      </c>
      <c r="J17" s="176" t="s">
        <v>381</v>
      </c>
      <c r="K17" s="228">
        <v>45</v>
      </c>
      <c r="M17" s="163" t="s">
        <v>21</v>
      </c>
      <c r="N17" s="221">
        <f>N16*D14</f>
        <v>100000</v>
      </c>
      <c r="P17" s="5"/>
      <c r="Q17" s="5"/>
      <c r="S17" s="5"/>
      <c r="T17" s="5"/>
      <c r="V17" s="173" t="s">
        <v>51</v>
      </c>
      <c r="W17" s="178">
        <f ca="1">W15*W16</f>
        <v>234055.76101204412</v>
      </c>
    </row>
    <row r="18" spans="2:23" ht="15.75" thickBot="1">
      <c r="B18" s="440" t="s">
        <v>376</v>
      </c>
      <c r="C18" s="441"/>
      <c r="D18" s="213">
        <v>1.0999999999999999E-2</v>
      </c>
      <c r="E18" s="214">
        <f>D18*$D$14</f>
        <v>1375</v>
      </c>
      <c r="J18" s="203" t="s">
        <v>385</v>
      </c>
      <c r="K18" s="175">
        <f>K16-K17</f>
        <v>103.72999999999999</v>
      </c>
      <c r="M18" s="163" t="s">
        <v>22</v>
      </c>
      <c r="N18" s="232">
        <v>0.04</v>
      </c>
      <c r="P18" s="431" t="s">
        <v>91</v>
      </c>
      <c r="Q18" s="432"/>
      <c r="S18" s="431" t="s">
        <v>91</v>
      </c>
      <c r="T18" s="432"/>
      <c r="V18" s="191" t="s">
        <v>2</v>
      </c>
      <c r="W18" s="192">
        <f ca="1">W17/C11</f>
        <v>5526.7003780884088</v>
      </c>
    </row>
    <row r="19" spans="2:23" ht="15.75" thickBot="1">
      <c r="B19" s="440" t="s">
        <v>6</v>
      </c>
      <c r="C19" s="441"/>
      <c r="D19" s="213">
        <v>3.5000000000000003E-2</v>
      </c>
      <c r="E19" s="214">
        <f>D19*$D$14</f>
        <v>4375</v>
      </c>
      <c r="G19" s="431" t="s">
        <v>101</v>
      </c>
      <c r="H19" s="432"/>
      <c r="K19" s="5"/>
      <c r="M19" s="163" t="s">
        <v>23</v>
      </c>
      <c r="N19" s="232">
        <v>1.7999999999999999E-2</v>
      </c>
      <c r="P19" s="166" t="s">
        <v>471</v>
      </c>
      <c r="Q19" s="181">
        <f>H17</f>
        <v>823.68000000000006</v>
      </c>
      <c r="S19" s="166" t="s">
        <v>471</v>
      </c>
      <c r="T19" s="181">
        <f ca="1">OFFSET('Miete, Cashflow, Steuern'!D14,,Cockpit!T10)</f>
        <v>1454.4471067850798</v>
      </c>
    </row>
    <row r="20" spans="2:23" ht="15.75" thickBot="1">
      <c r="B20" s="440" t="s">
        <v>8</v>
      </c>
      <c r="C20" s="441"/>
      <c r="D20" s="213">
        <v>0</v>
      </c>
      <c r="E20" s="214">
        <f>D20*$D$14</f>
        <v>0</v>
      </c>
      <c r="G20" s="160" t="s">
        <v>35</v>
      </c>
      <c r="H20" s="222">
        <v>1.4999999999999999E-2</v>
      </c>
      <c r="J20" s="431" t="s">
        <v>386</v>
      </c>
      <c r="K20" s="432"/>
      <c r="M20" s="163" t="s">
        <v>378</v>
      </c>
      <c r="N20" s="178">
        <f>(N18+N19)*N17/12</f>
        <v>483.33333333333331</v>
      </c>
      <c r="P20" s="153" t="s">
        <v>29</v>
      </c>
      <c r="Q20" s="178">
        <f>-K12</f>
        <v>-208.73206666666664</v>
      </c>
      <c r="S20" s="153" t="s">
        <v>29</v>
      </c>
      <c r="T20" s="178">
        <f ca="1">OFFSET('Miete, Cashflow, Steuern'!D23,,Cockpit!T10)</f>
        <v>-317.07992959048255</v>
      </c>
      <c r="V20" s="431" t="s">
        <v>122</v>
      </c>
      <c r="W20" s="432"/>
    </row>
    <row r="21" spans="2:23" ht="15.75" thickBot="1">
      <c r="B21" s="440" t="s">
        <v>377</v>
      </c>
      <c r="C21" s="441"/>
      <c r="D21" s="213">
        <v>1.2E-2</v>
      </c>
      <c r="E21" s="214">
        <f>D21*$N$9</f>
        <v>1200</v>
      </c>
      <c r="G21" s="161" t="s">
        <v>105</v>
      </c>
      <c r="H21" s="223">
        <v>0.6</v>
      </c>
      <c r="J21" s="151" t="s">
        <v>390</v>
      </c>
      <c r="K21" s="167">
        <f>K18</f>
        <v>103.72999999999999</v>
      </c>
      <c r="M21" s="162" t="s">
        <v>98</v>
      </c>
      <c r="N21" s="180">
        <f>IFERROR(HLOOKUP(0,'Wert, AfA, Darlehen'!D50:BA105,56,FALSE),"-")</f>
        <v>2053</v>
      </c>
      <c r="P21" s="153" t="s">
        <v>31</v>
      </c>
      <c r="Q21" s="178">
        <f>-N11*N9/12</f>
        <v>-333.33333333333331</v>
      </c>
      <c r="S21" s="153" t="s">
        <v>31</v>
      </c>
      <c r="T21" s="178">
        <f ca="1">-OFFSET('Wert, AfA, Darlehen'!D110,,Cockpit!T10)/12</f>
        <v>-154.66486187832024</v>
      </c>
      <c r="U21" s="26"/>
      <c r="V21" s="151" t="s">
        <v>57</v>
      </c>
      <c r="W21" s="181">
        <f ca="1">-(T21-T25/(1-T33))</f>
        <v>594.09890917849395</v>
      </c>
    </row>
    <row r="22" spans="2:23" ht="15.75" thickBot="1">
      <c r="B22" s="466" t="s">
        <v>7</v>
      </c>
      <c r="C22" s="467"/>
      <c r="D22" s="205">
        <f>SUM(D16:D21)</f>
        <v>0.109</v>
      </c>
      <c r="E22" s="159">
        <f>SUM(E16:E21)</f>
        <v>13325</v>
      </c>
      <c r="G22" s="162" t="s">
        <v>76</v>
      </c>
      <c r="H22" s="159">
        <f>H21*(D14+E22-E21)+SUMIF(D26:D29,"Aktivieren",C26:C29)</f>
        <v>82275</v>
      </c>
      <c r="J22" s="173" t="s">
        <v>391</v>
      </c>
      <c r="K22" s="157">
        <f>K38</f>
        <v>0</v>
      </c>
      <c r="N22" s="30"/>
      <c r="P22" s="153" t="s">
        <v>32</v>
      </c>
      <c r="Q22" s="178">
        <f>-N12*N9/12</f>
        <v>-149.99999999999997</v>
      </c>
      <c r="S22" s="153" t="s">
        <v>32</v>
      </c>
      <c r="T22" s="178">
        <f ca="1">-OFFSET('Wert, AfA, Darlehen'!D114,,Cockpit!T10)/12</f>
        <v>-328.6684714550131</v>
      </c>
      <c r="V22" s="162" t="s">
        <v>58</v>
      </c>
      <c r="W22" s="200">
        <f ca="1">IF(OFFSET('Wert, AfA, Darlehen'!D106,,Cockpit!T10)=0,"n/a",W21*12/OFFSET('Wert, AfA, Darlehen'!D106,,Cockpit!T10))</f>
        <v>0.15364806251749422</v>
      </c>
    </row>
    <row r="23" spans="2:23" ht="15.75" thickBot="1">
      <c r="B23" s="5"/>
      <c r="C23" s="5"/>
      <c r="D23" s="5"/>
      <c r="E23" s="5"/>
      <c r="J23" s="174" t="s">
        <v>7</v>
      </c>
      <c r="K23" s="175">
        <f>SUM(K21:K22)</f>
        <v>103.72999999999999</v>
      </c>
      <c r="M23" s="6"/>
      <c r="N23" s="27"/>
      <c r="P23" s="153" t="s">
        <v>30</v>
      </c>
      <c r="Q23" s="178">
        <f>SUM(Q19:Q22)</f>
        <v>131.61460000000008</v>
      </c>
      <c r="S23" s="153" t="s">
        <v>30</v>
      </c>
      <c r="T23" s="178">
        <f ca="1">SUM(T19:T22)</f>
        <v>654.03384386126379</v>
      </c>
    </row>
    <row r="24" spans="2:23" ht="15.75" thickBot="1">
      <c r="B24" s="431" t="s">
        <v>12</v>
      </c>
      <c r="C24" s="435"/>
      <c r="D24" s="435"/>
      <c r="E24" s="432"/>
      <c r="G24" s="431" t="s">
        <v>100</v>
      </c>
      <c r="H24" s="432"/>
      <c r="M24" s="436" t="s">
        <v>25</v>
      </c>
      <c r="N24" s="437"/>
      <c r="P24" s="153" t="s">
        <v>39</v>
      </c>
      <c r="Q24" s="178">
        <f>-Q34</f>
        <v>-95.509166666666701</v>
      </c>
      <c r="S24" s="153" t="s">
        <v>39</v>
      </c>
      <c r="T24" s="178">
        <f ca="1">-T34</f>
        <v>-390.37341548115955</v>
      </c>
      <c r="V24" s="431" t="s">
        <v>274</v>
      </c>
      <c r="W24" s="432"/>
    </row>
    <row r="25" spans="2:23" ht="15.75" thickBot="1">
      <c r="B25" s="206" t="s">
        <v>106</v>
      </c>
      <c r="C25" s="207" t="s">
        <v>107</v>
      </c>
      <c r="D25" s="207" t="s">
        <v>108</v>
      </c>
      <c r="E25" s="208" t="s">
        <v>109</v>
      </c>
      <c r="G25" s="160" t="s">
        <v>61</v>
      </c>
      <c r="H25" s="224">
        <v>0.03</v>
      </c>
      <c r="J25" s="431" t="s">
        <v>387</v>
      </c>
      <c r="K25" s="432"/>
      <c r="M25" s="166" t="s">
        <v>21</v>
      </c>
      <c r="N25" s="229">
        <v>0</v>
      </c>
      <c r="P25" s="158" t="s">
        <v>41</v>
      </c>
      <c r="Q25" s="175">
        <f>Q23+Q24</f>
        <v>36.10543333333338</v>
      </c>
      <c r="R25"/>
      <c r="S25" s="158" t="s">
        <v>41</v>
      </c>
      <c r="T25" s="175">
        <f ca="1">T23+T24</f>
        <v>263.66042838010424</v>
      </c>
      <c r="V25" s="151" t="s">
        <v>51</v>
      </c>
      <c r="W25" s="181">
        <f ca="1">OFFSET('Wert, AfA, Darlehen'!E8,,Cockpit!T10)</f>
        <v>189458.29298724016</v>
      </c>
    </row>
    <row r="26" spans="2:23" ht="15.75" thickBot="1">
      <c r="B26" s="215" t="s">
        <v>477</v>
      </c>
      <c r="C26" s="216">
        <v>0</v>
      </c>
      <c r="D26" s="217" t="s">
        <v>468</v>
      </c>
      <c r="E26" s="218"/>
      <c r="G26" s="163" t="s">
        <v>327</v>
      </c>
      <c r="H26" s="221">
        <v>10</v>
      </c>
      <c r="J26" s="151" t="s">
        <v>380</v>
      </c>
      <c r="K26" s="157">
        <f>K17</f>
        <v>45</v>
      </c>
      <c r="M26" s="163" t="s">
        <v>22</v>
      </c>
      <c r="N26" s="232">
        <v>0.02</v>
      </c>
      <c r="P26"/>
      <c r="Q26"/>
      <c r="S26"/>
      <c r="T26"/>
      <c r="V26" s="173" t="s">
        <v>52</v>
      </c>
      <c r="W26" s="178">
        <f ca="1">-OFFSET('Wert, AfA, Darlehen'!D118,,Cockpit!T10)</f>
        <v>-42455.436906035917</v>
      </c>
    </row>
    <row r="27" spans="2:23" ht="15.75" thickBot="1">
      <c r="B27" s="215"/>
      <c r="C27" s="216"/>
      <c r="D27" s="217" t="s">
        <v>460</v>
      </c>
      <c r="E27" s="218"/>
      <c r="G27" s="164" t="s">
        <v>326</v>
      </c>
      <c r="H27" s="165">
        <f>((H21*D14)*(1/80*1.5)-(12*K26))/C11</f>
        <v>20.45454545454546</v>
      </c>
      <c r="J27" s="176" t="s">
        <v>323</v>
      </c>
      <c r="K27" s="409">
        <f>C11*H26/12</f>
        <v>35.291666666666664</v>
      </c>
      <c r="M27" s="163" t="s">
        <v>23</v>
      </c>
      <c r="N27" s="232">
        <v>0.08</v>
      </c>
      <c r="P27" s="431" t="s">
        <v>38</v>
      </c>
      <c r="Q27" s="432"/>
      <c r="S27" s="431" t="s">
        <v>38</v>
      </c>
      <c r="T27" s="432"/>
      <c r="V27" s="201" t="s">
        <v>270</v>
      </c>
      <c r="W27" s="202">
        <f>-N10</f>
        <v>-38325</v>
      </c>
    </row>
    <row r="28" spans="2:23" ht="15.75" thickBot="1">
      <c r="B28" s="215"/>
      <c r="C28" s="216"/>
      <c r="D28" s="217" t="s">
        <v>460</v>
      </c>
      <c r="E28" s="218"/>
      <c r="J28" s="152" t="s">
        <v>324</v>
      </c>
      <c r="K28" s="157">
        <f>H25*H17</f>
        <v>24.7104</v>
      </c>
      <c r="M28" s="163" t="s">
        <v>378</v>
      </c>
      <c r="N28" s="178">
        <f>(N26+N27)*N25/12</f>
        <v>0</v>
      </c>
      <c r="P28" s="166" t="s">
        <v>471</v>
      </c>
      <c r="Q28" s="181">
        <f>Q19</f>
        <v>823.68000000000006</v>
      </c>
      <c r="S28" s="166" t="s">
        <v>471</v>
      </c>
      <c r="T28" s="181">
        <f ca="1">T19</f>
        <v>1454.4471067850798</v>
      </c>
      <c r="V28" s="201" t="s">
        <v>271</v>
      </c>
      <c r="W28" s="202">
        <f ca="1">OFFSET('Miete, Cashflow, Steuern'!D32,,Cockpit!T10)</f>
        <v>35249.123435597445</v>
      </c>
    </row>
    <row r="29" spans="2:23" ht="15.75" thickBot="1">
      <c r="B29" s="215"/>
      <c r="C29" s="216"/>
      <c r="D29" s="217" t="s">
        <v>460</v>
      </c>
      <c r="E29" s="218"/>
      <c r="G29" s="431" t="s">
        <v>120</v>
      </c>
      <c r="H29" s="432"/>
      <c r="J29" s="152" t="s">
        <v>392</v>
      </c>
      <c r="K29" s="157">
        <f>K46</f>
        <v>0</v>
      </c>
      <c r="M29" s="162" t="s">
        <v>98</v>
      </c>
      <c r="N29" s="179">
        <f>HLOOKUP(0,'Wert, AfA, Darlehen'!D67:BA105,39,FALSE)</f>
        <v>2024</v>
      </c>
      <c r="P29" s="153" t="s">
        <v>328</v>
      </c>
      <c r="Q29" s="178">
        <f>-K12+K27+K28</f>
        <v>-148.72999999999999</v>
      </c>
      <c r="S29" s="153" t="s">
        <v>328</v>
      </c>
      <c r="T29" s="178">
        <f ca="1">OFFSET('Miete, Cashflow, Steuern'!D38,,Cockpit!T10)</f>
        <v>-221.00495620386073</v>
      </c>
      <c r="V29" s="203" t="s">
        <v>272</v>
      </c>
      <c r="W29" s="175">
        <f ca="1">SUM(W25:W28)</f>
        <v>143926.97951680172</v>
      </c>
    </row>
    <row r="30" spans="2:23" ht="15.75" thickBot="1">
      <c r="B30" s="163" t="s">
        <v>7</v>
      </c>
      <c r="C30" s="28">
        <f>SUM(C26:C29)</f>
        <v>0</v>
      </c>
      <c r="D30" s="422" t="s">
        <v>7</v>
      </c>
      <c r="E30" s="157">
        <f>SUM(E26:E29)</f>
        <v>0</v>
      </c>
      <c r="G30" s="166" t="s">
        <v>102</v>
      </c>
      <c r="H30" s="222">
        <v>0.02</v>
      </c>
      <c r="J30" s="177" t="s">
        <v>325</v>
      </c>
      <c r="K30" s="192">
        <f>K26+K27+K28+K29</f>
        <v>105.00206666666665</v>
      </c>
      <c r="L30" s="1"/>
      <c r="N30" s="27"/>
      <c r="P30" s="153" t="s">
        <v>31</v>
      </c>
      <c r="Q30" s="178">
        <f>Q21</f>
        <v>-333.33333333333331</v>
      </c>
      <c r="S30" s="153" t="s">
        <v>31</v>
      </c>
      <c r="T30" s="178">
        <f ca="1">T21</f>
        <v>-154.66486187832024</v>
      </c>
    </row>
    <row r="31" spans="2:23" ht="15.75" thickBot="1">
      <c r="B31" s="454" t="s">
        <v>112</v>
      </c>
      <c r="C31" s="455"/>
      <c r="D31" s="456"/>
      <c r="E31" s="157">
        <f>D14+E30</f>
        <v>125000</v>
      </c>
      <c r="G31" s="163" t="s">
        <v>103</v>
      </c>
      <c r="H31" s="225">
        <v>0.03</v>
      </c>
      <c r="M31" s="436" t="s">
        <v>238</v>
      </c>
      <c r="N31" s="437"/>
      <c r="P31" s="153" t="s">
        <v>286</v>
      </c>
      <c r="Q31" s="178">
        <f>-'Wert, AfA, Darlehen'!D19-'Wert, AfA, Darlehen'!D24-IF(E32="Abziehen",'Wert, AfA, Darlehen'!D34,'Wert, AfA, Darlehen'!D34-'Wert, AfA, Darlehen'!D28/12)</f>
        <v>-102.84375</v>
      </c>
      <c r="S31" s="153" t="s">
        <v>286</v>
      </c>
      <c r="T31" s="178">
        <f ca="1">OFFSET('Miete, Cashflow, Steuern'!D40,,Cockpit!T10)</f>
        <v>-102.84375</v>
      </c>
      <c r="U31" s="29"/>
      <c r="V31" s="431" t="s">
        <v>370</v>
      </c>
      <c r="W31" s="432"/>
    </row>
    <row r="32" spans="2:23" ht="15.75" thickBot="1">
      <c r="B32" s="457" t="s">
        <v>467</v>
      </c>
      <c r="C32" s="458"/>
      <c r="D32" s="459"/>
      <c r="E32" s="423" t="s">
        <v>466</v>
      </c>
      <c r="G32" s="162" t="s">
        <v>104</v>
      </c>
      <c r="H32" s="226">
        <v>0.02</v>
      </c>
      <c r="J32" s="431" t="s">
        <v>388</v>
      </c>
      <c r="K32" s="432"/>
      <c r="M32" s="166" t="s">
        <v>21</v>
      </c>
      <c r="N32" s="229">
        <v>0</v>
      </c>
      <c r="P32" s="153" t="s">
        <v>37</v>
      </c>
      <c r="Q32" s="178">
        <f>SUM(Q28:Q31)</f>
        <v>238.77291666666673</v>
      </c>
      <c r="S32" s="153" t="s">
        <v>37</v>
      </c>
      <c r="T32" s="178">
        <f ca="1">SUM(T28:T31)</f>
        <v>975.93353870289889</v>
      </c>
      <c r="V32" s="151" t="s">
        <v>51</v>
      </c>
      <c r="W32" s="181">
        <f ca="1">W25</f>
        <v>189458.29298724016</v>
      </c>
    </row>
    <row r="33" spans="2:23" ht="15.75" thickBot="1">
      <c r="J33" s="230" t="s">
        <v>329</v>
      </c>
      <c r="K33" s="227"/>
      <c r="M33" s="163" t="s">
        <v>22</v>
      </c>
      <c r="N33" s="232">
        <v>0.03</v>
      </c>
      <c r="P33" s="163" t="s">
        <v>287</v>
      </c>
      <c r="Q33" s="234">
        <v>0.4</v>
      </c>
      <c r="S33" s="163" t="s">
        <v>287</v>
      </c>
      <c r="T33" s="169">
        <f ca="1">OFFSET('Miete, Cashflow, Steuern'!D42,,Cockpit!T10)</f>
        <v>0.4</v>
      </c>
      <c r="V33" s="173" t="s">
        <v>52</v>
      </c>
      <c r="W33" s="178">
        <f ca="1">W26</f>
        <v>-42455.436906035917</v>
      </c>
    </row>
    <row r="34" spans="2:23" ht="15.75" thickBot="1">
      <c r="B34" s="431" t="s">
        <v>9</v>
      </c>
      <c r="C34" s="435"/>
      <c r="D34" s="435"/>
      <c r="E34" s="432"/>
      <c r="J34" s="231" t="s">
        <v>330</v>
      </c>
      <c r="K34" s="228"/>
      <c r="M34" s="163" t="s">
        <v>23</v>
      </c>
      <c r="N34" s="232">
        <v>0.05</v>
      </c>
      <c r="P34" s="158" t="s">
        <v>40</v>
      </c>
      <c r="Q34" s="175">
        <f>Q33*Q32</f>
        <v>95.509166666666701</v>
      </c>
      <c r="S34" s="158" t="s">
        <v>40</v>
      </c>
      <c r="T34" s="175">
        <f ca="1">T33*T32</f>
        <v>390.37341548115955</v>
      </c>
      <c r="V34" s="203" t="s">
        <v>371</v>
      </c>
      <c r="W34" s="175">
        <f ca="1">W32+W33</f>
        <v>147002.85608120426</v>
      </c>
    </row>
    <row r="35" spans="2:23" ht="15.75" thickBot="1">
      <c r="B35" s="464" t="s">
        <v>7</v>
      </c>
      <c r="C35" s="465"/>
      <c r="D35" s="465"/>
      <c r="E35" s="172">
        <f>D14+E22+C30</f>
        <v>138325</v>
      </c>
      <c r="J35" s="231" t="s">
        <v>331</v>
      </c>
      <c r="K35" s="228"/>
      <c r="M35" s="163" t="s">
        <v>378</v>
      </c>
      <c r="N35" s="178">
        <f>(N33+N34)*N32/12</f>
        <v>0</v>
      </c>
    </row>
    <row r="36" spans="2:23" ht="15.75" thickBot="1">
      <c r="J36" s="231" t="s">
        <v>332</v>
      </c>
      <c r="K36" s="228"/>
      <c r="M36" s="162" t="s">
        <v>98</v>
      </c>
      <c r="N36" s="179">
        <f>HLOOKUP(0,'Wert, AfA, Darlehen'!D84:BA105,22,FALSE)</f>
        <v>2024</v>
      </c>
      <c r="P36" s="436" t="s">
        <v>73</v>
      </c>
      <c r="Q36" s="437"/>
      <c r="V36" s="431" t="s">
        <v>372</v>
      </c>
      <c r="W36" s="432"/>
    </row>
    <row r="37" spans="2:23" ht="15.75" customHeight="1" thickBot="1">
      <c r="B37" s="460" t="s">
        <v>474</v>
      </c>
      <c r="C37" s="460"/>
      <c r="D37" s="460"/>
      <c r="E37" s="460"/>
      <c r="F37" s="460"/>
      <c r="G37" s="460"/>
      <c r="H37" s="460"/>
      <c r="J37" s="173" t="s">
        <v>128</v>
      </c>
      <c r="K37" s="214"/>
      <c r="L37"/>
      <c r="N37" s="27"/>
      <c r="P37" s="166" t="s">
        <v>33</v>
      </c>
      <c r="Q37" s="188">
        <f>IF(N10&gt;0,Q9/N10,"n/a")</f>
        <v>0.12350333202870188</v>
      </c>
      <c r="V37" s="151" t="s">
        <v>374</v>
      </c>
      <c r="W37" s="181">
        <f>W27</f>
        <v>-38325</v>
      </c>
    </row>
    <row r="38" spans="2:23" ht="15.75" thickBot="1">
      <c r="B38" s="460"/>
      <c r="C38" s="460"/>
      <c r="D38" s="460"/>
      <c r="E38" s="460"/>
      <c r="F38" s="460"/>
      <c r="G38" s="460"/>
      <c r="H38" s="460"/>
      <c r="J38" s="174" t="s">
        <v>7</v>
      </c>
      <c r="K38" s="175">
        <f>SUM(K33:K37)</f>
        <v>0</v>
      </c>
      <c r="L38" s="6"/>
      <c r="M38" s="436" t="s">
        <v>239</v>
      </c>
      <c r="N38" s="437"/>
      <c r="P38" s="183" t="s">
        <v>93</v>
      </c>
      <c r="Q38" s="189">
        <f>Q10/N10</f>
        <v>5.8271759947814736E-2</v>
      </c>
      <c r="V38" s="152" t="s">
        <v>271</v>
      </c>
      <c r="W38" s="178">
        <f ca="1">W28</f>
        <v>35249.123435597445</v>
      </c>
    </row>
    <row r="39" spans="2:23" ht="15.75" thickBot="1">
      <c r="B39" s="460"/>
      <c r="C39" s="460"/>
      <c r="D39" s="460"/>
      <c r="E39" s="460"/>
      <c r="F39" s="460"/>
      <c r="G39" s="460"/>
      <c r="H39" s="460"/>
      <c r="L39" s="6"/>
      <c r="M39" s="166" t="s">
        <v>21</v>
      </c>
      <c r="N39" s="229">
        <v>0</v>
      </c>
      <c r="O39" s="6"/>
      <c r="V39" s="203" t="s">
        <v>373</v>
      </c>
      <c r="W39" s="175">
        <f ca="1">W37+W38</f>
        <v>-3075.8765644025552</v>
      </c>
    </row>
    <row r="40" spans="2:23" ht="15.75" thickBot="1">
      <c r="B40" s="460"/>
      <c r="C40" s="460"/>
      <c r="D40" s="460"/>
      <c r="E40" s="460"/>
      <c r="F40" s="460"/>
      <c r="G40" s="460"/>
      <c r="H40" s="460"/>
      <c r="J40" s="431" t="s">
        <v>389</v>
      </c>
      <c r="K40" s="432"/>
      <c r="L40" s="6"/>
      <c r="M40" s="163" t="s">
        <v>22</v>
      </c>
      <c r="N40" s="232"/>
      <c r="O40" s="6"/>
      <c r="S40" s="5"/>
      <c r="T40" s="5"/>
    </row>
    <row r="41" spans="2:23">
      <c r="B41" s="460"/>
      <c r="C41" s="460"/>
      <c r="D41" s="460"/>
      <c r="E41" s="460"/>
      <c r="F41" s="460"/>
      <c r="G41" s="460"/>
      <c r="H41" s="460"/>
      <c r="J41" s="230" t="s">
        <v>329</v>
      </c>
      <c r="K41" s="227"/>
      <c r="L41" s="6"/>
      <c r="M41" s="163" t="s">
        <v>23</v>
      </c>
      <c r="N41" s="232"/>
      <c r="O41" s="6"/>
    </row>
    <row r="42" spans="2:23">
      <c r="B42" s="461" t="s">
        <v>459</v>
      </c>
      <c r="C42" s="461"/>
      <c r="D42" s="461"/>
      <c r="E42" s="461"/>
      <c r="F42" s="461"/>
      <c r="G42" s="461"/>
      <c r="H42" s="461"/>
      <c r="J42" s="231" t="s">
        <v>330</v>
      </c>
      <c r="K42" s="228"/>
      <c r="L42" s="6"/>
      <c r="M42" s="163" t="s">
        <v>378</v>
      </c>
      <c r="N42" s="178">
        <f>(N40+N41)*N39/12</f>
        <v>0</v>
      </c>
      <c r="O42" s="6"/>
    </row>
    <row r="43" spans="2:23" ht="15.75" thickBot="1">
      <c r="B43" s="410"/>
      <c r="C43" s="410"/>
      <c r="D43" s="410"/>
      <c r="E43" s="410"/>
      <c r="F43" s="410"/>
      <c r="G43" s="410"/>
      <c r="H43" s="410"/>
      <c r="J43" s="231" t="s">
        <v>331</v>
      </c>
      <c r="K43" s="228"/>
      <c r="L43" s="6"/>
      <c r="M43" s="162" t="s">
        <v>98</v>
      </c>
      <c r="N43" s="179">
        <f>HLOOKUP(0,'Wert, AfA, Darlehen'!D101:BA105,5,FALSE)</f>
        <v>2024</v>
      </c>
      <c r="O43" s="6"/>
    </row>
    <row r="44" spans="2:23">
      <c r="B44" s="410"/>
      <c r="C44" s="410"/>
      <c r="D44" s="410"/>
      <c r="E44" s="410"/>
      <c r="F44" s="410"/>
      <c r="G44" s="410"/>
      <c r="H44" s="410"/>
      <c r="J44" s="231" t="s">
        <v>332</v>
      </c>
      <c r="K44" s="228"/>
      <c r="L44" s="6"/>
      <c r="M44" s="6"/>
      <c r="N44" s="6"/>
      <c r="O44" s="6"/>
    </row>
    <row r="45" spans="2:23">
      <c r="F45" s="410"/>
      <c r="G45" s="410"/>
      <c r="H45" s="410"/>
      <c r="J45" s="173" t="s">
        <v>128</v>
      </c>
      <c r="K45" s="214"/>
      <c r="L45" s="6"/>
      <c r="O45" s="6"/>
    </row>
    <row r="46" spans="2:23" ht="15.75" thickBot="1">
      <c r="F46" s="410"/>
      <c r="G46" s="410"/>
      <c r="H46" s="410"/>
      <c r="J46" s="174" t="s">
        <v>7</v>
      </c>
      <c r="K46" s="175">
        <f>SUM(K41:K45)</f>
        <v>0</v>
      </c>
      <c r="L46" s="6"/>
      <c r="O46" s="6"/>
    </row>
    <row r="47" spans="2:23">
      <c r="L47" s="6"/>
      <c r="O47" s="6"/>
    </row>
    <row r="48" spans="2:23">
      <c r="L48" s="6"/>
      <c r="O48" s="6"/>
    </row>
    <row r="49" spans="2:18">
      <c r="B49" s="135" t="s">
        <v>365</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 ref="B6:E6"/>
    <mergeCell ref="P8:Q8"/>
    <mergeCell ref="G6:H6"/>
    <mergeCell ref="P12:Q12"/>
    <mergeCell ref="S6:T6"/>
    <mergeCell ref="J6:K6"/>
    <mergeCell ref="M6:N6"/>
    <mergeCell ref="P6:Q6"/>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V6:W6"/>
    <mergeCell ref="V8:W8"/>
    <mergeCell ref="V1:W3"/>
    <mergeCell ref="S1:T3"/>
    <mergeCell ref="M8:N8"/>
    <mergeCell ref="S8:T8"/>
    <mergeCell ref="G24:H24"/>
    <mergeCell ref="B16:C16"/>
    <mergeCell ref="B21:C21"/>
    <mergeCell ref="B17:C17"/>
    <mergeCell ref="J15:K15"/>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s>
  <dataValidations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activeCell="N23" sqref="N23:Q23"/>
    </sheetView>
  </sheetViews>
  <sheetFormatPr baseColWidth="10"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0" customFormat="1" ht="12.75" customHeight="1">
      <c r="C1" s="474" t="s">
        <v>344</v>
      </c>
      <c r="D1" s="474"/>
      <c r="E1" s="475" t="s">
        <v>339</v>
      </c>
      <c r="F1" s="475"/>
      <c r="G1" s="475"/>
      <c r="H1" s="475"/>
      <c r="I1" s="474"/>
      <c r="J1" s="238"/>
      <c r="O1" s="237"/>
      <c r="S1" s="474"/>
      <c r="T1" s="424"/>
    </row>
    <row r="2" spans="1:24" s="150" customFormat="1" ht="15" customHeight="1">
      <c r="C2" s="474"/>
      <c r="D2" s="474"/>
      <c r="E2" s="475"/>
      <c r="F2" s="475"/>
      <c r="G2" s="475"/>
      <c r="H2" s="475"/>
      <c r="I2" s="474"/>
      <c r="J2" s="238"/>
      <c r="O2" s="237"/>
      <c r="S2" s="474"/>
      <c r="T2" s="424"/>
    </row>
    <row r="3" spans="1:24" s="150" customFormat="1" ht="12.75" customHeight="1">
      <c r="C3" s="474"/>
      <c r="D3" s="474"/>
      <c r="E3" s="475"/>
      <c r="F3" s="475"/>
      <c r="G3" s="475"/>
      <c r="H3" s="475"/>
      <c r="I3" s="474"/>
      <c r="J3" s="238"/>
      <c r="O3" s="237"/>
      <c r="S3" s="474"/>
      <c r="T3" s="424"/>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71" t="s">
        <v>113</v>
      </c>
      <c r="C6" s="472"/>
      <c r="D6" s="472"/>
      <c r="E6" s="472"/>
      <c r="F6" s="472"/>
      <c r="G6" s="472"/>
      <c r="H6" s="472"/>
      <c r="I6" s="472"/>
      <c r="J6" s="472"/>
      <c r="K6" s="473"/>
      <c r="N6" s="239" t="s">
        <v>204</v>
      </c>
      <c r="O6" s="240"/>
      <c r="P6" s="240"/>
      <c r="Q6" s="240"/>
    </row>
    <row r="7" spans="1:24" ht="15" customHeight="1">
      <c r="B7" s="141"/>
      <c r="C7"/>
      <c r="D7"/>
      <c r="E7"/>
      <c r="F7"/>
      <c r="G7"/>
      <c r="H7"/>
      <c r="I7"/>
      <c r="J7"/>
      <c r="K7" s="142"/>
      <c r="N7" s="240"/>
      <c r="O7" s="241"/>
      <c r="P7" s="241"/>
      <c r="Q7" s="240"/>
    </row>
    <row r="8" spans="1:24" ht="17.25" customHeight="1">
      <c r="B8" s="141"/>
      <c r="C8" s="11" t="str">
        <f>Cockpit!C9</f>
        <v>Rapfstraße 3/1, Hollabrunn</v>
      </c>
      <c r="D8"/>
      <c r="E8"/>
      <c r="F8"/>
      <c r="G8" s="2"/>
      <c r="H8" s="2"/>
      <c r="I8" s="478">
        <f>Cockpit!C10</f>
        <v>45413</v>
      </c>
      <c r="J8" s="478"/>
      <c r="K8" s="242"/>
      <c r="L8" s="9"/>
      <c r="M8" s="9"/>
      <c r="N8" s="470" t="s">
        <v>347</v>
      </c>
      <c r="O8" s="470"/>
      <c r="P8" s="470"/>
      <c r="Q8" s="470"/>
    </row>
    <row r="9" spans="1:24" ht="15" customHeight="1">
      <c r="B9" s="141"/>
      <c r="C9"/>
      <c r="D9"/>
      <c r="E9"/>
      <c r="F9"/>
      <c r="G9"/>
      <c r="H9"/>
      <c r="I9"/>
      <c r="J9"/>
      <c r="K9" s="142"/>
      <c r="N9" s="470"/>
      <c r="O9" s="470"/>
      <c r="P9" s="470"/>
      <c r="Q9" s="470"/>
    </row>
    <row r="10" spans="1:24" ht="15.75" customHeight="1">
      <c r="B10" s="141"/>
      <c r="C10"/>
      <c r="D10"/>
      <c r="E10"/>
      <c r="F10"/>
      <c r="G10"/>
      <c r="H10"/>
      <c r="I10"/>
      <c r="J10"/>
      <c r="K10" s="243"/>
      <c r="N10" s="470"/>
      <c r="O10" s="470"/>
      <c r="P10" s="470"/>
      <c r="Q10" s="470"/>
    </row>
    <row r="11" spans="1:24" ht="15.75" customHeight="1">
      <c r="B11" s="141"/>
      <c r="C11"/>
      <c r="D11"/>
      <c r="E11"/>
      <c r="F11"/>
      <c r="G11"/>
      <c r="H11"/>
      <c r="I11"/>
      <c r="J11"/>
      <c r="K11" s="243"/>
      <c r="N11" s="470"/>
      <c r="O11" s="470"/>
      <c r="P11" s="470"/>
      <c r="Q11" s="470"/>
    </row>
    <row r="12" spans="1:24" ht="15.75" customHeight="1">
      <c r="B12" s="141"/>
      <c r="C12"/>
      <c r="D12"/>
      <c r="E12"/>
      <c r="F12"/>
      <c r="G12"/>
      <c r="H12"/>
      <c r="I12"/>
      <c r="J12"/>
      <c r="K12" s="243"/>
      <c r="N12" s="470"/>
      <c r="O12" s="470"/>
      <c r="P12" s="470"/>
      <c r="Q12" s="470"/>
    </row>
    <row r="13" spans="1:24" ht="15.75" customHeight="1">
      <c r="B13" s="141"/>
      <c r="C13"/>
      <c r="D13"/>
      <c r="E13"/>
      <c r="F13"/>
      <c r="G13"/>
      <c r="H13"/>
      <c r="I13"/>
      <c r="J13"/>
      <c r="K13" s="243"/>
      <c r="N13" s="470"/>
      <c r="O13" s="470"/>
      <c r="P13" s="470"/>
      <c r="Q13" s="470"/>
    </row>
    <row r="14" spans="1:24" ht="15.75" customHeight="1">
      <c r="B14" s="141"/>
      <c r="C14"/>
      <c r="D14"/>
      <c r="E14"/>
      <c r="F14"/>
      <c r="G14"/>
      <c r="H14"/>
      <c r="I14"/>
      <c r="J14"/>
      <c r="K14" s="243"/>
      <c r="N14" s="470"/>
      <c r="O14" s="470"/>
      <c r="P14" s="470"/>
      <c r="Q14" s="470"/>
    </row>
    <row r="15" spans="1:24" ht="15.75" customHeight="1">
      <c r="B15" s="141"/>
      <c r="C15"/>
      <c r="D15"/>
      <c r="E15"/>
      <c r="F15"/>
      <c r="G15"/>
      <c r="H15"/>
      <c r="I15"/>
      <c r="J15"/>
      <c r="K15" s="243"/>
      <c r="N15" s="470"/>
      <c r="O15" s="470"/>
      <c r="P15" s="470"/>
      <c r="Q15" s="470"/>
    </row>
    <row r="16" spans="1:24" ht="15.75" customHeight="1">
      <c r="B16" s="141"/>
      <c r="C16"/>
      <c r="D16"/>
      <c r="E16"/>
      <c r="F16"/>
      <c r="G16"/>
      <c r="H16"/>
      <c r="I16"/>
      <c r="J16"/>
      <c r="K16" s="243"/>
      <c r="N16" s="470"/>
      <c r="O16" s="470"/>
      <c r="P16" s="470"/>
      <c r="Q16" s="470"/>
    </row>
    <row r="17" spans="2:17" ht="15.75" customHeight="1">
      <c r="B17" s="141"/>
      <c r="C17"/>
      <c r="D17"/>
      <c r="E17"/>
      <c r="F17"/>
      <c r="G17"/>
      <c r="H17"/>
      <c r="I17"/>
      <c r="J17"/>
      <c r="K17" s="243"/>
      <c r="N17" s="470"/>
      <c r="O17" s="470"/>
      <c r="P17" s="470"/>
      <c r="Q17" s="470"/>
    </row>
    <row r="18" spans="2:17" ht="15.75" customHeight="1">
      <c r="B18" s="141"/>
      <c r="C18"/>
      <c r="D18"/>
      <c r="E18"/>
      <c r="F18"/>
      <c r="G18"/>
      <c r="H18"/>
      <c r="I18"/>
      <c r="J18"/>
      <c r="K18" s="243"/>
      <c r="N18" s="470" t="s">
        <v>205</v>
      </c>
      <c r="O18" s="470"/>
      <c r="P18" s="470"/>
      <c r="Q18" s="470"/>
    </row>
    <row r="19" spans="2:17" ht="15.75" customHeight="1">
      <c r="B19" s="141"/>
      <c r="C19"/>
      <c r="D19"/>
      <c r="E19"/>
      <c r="F19"/>
      <c r="G19"/>
      <c r="H19"/>
      <c r="I19"/>
      <c r="J19"/>
      <c r="K19" s="243"/>
      <c r="N19" s="470"/>
      <c r="O19" s="470"/>
      <c r="P19" s="470"/>
      <c r="Q19" s="470"/>
    </row>
    <row r="20" spans="2:17" ht="15.75" customHeight="1">
      <c r="B20" s="141"/>
      <c r="C20"/>
      <c r="D20"/>
      <c r="E20"/>
      <c r="F20"/>
      <c r="G20"/>
      <c r="H20"/>
      <c r="I20"/>
      <c r="J20"/>
      <c r="K20" s="243"/>
      <c r="N20" s="470"/>
      <c r="O20" s="470"/>
      <c r="P20" s="470"/>
      <c r="Q20" s="470"/>
    </row>
    <row r="21" spans="2:17" ht="15.75" customHeight="1">
      <c r="B21" s="141"/>
      <c r="C21"/>
      <c r="D21"/>
      <c r="E21"/>
      <c r="F21"/>
      <c r="G21"/>
      <c r="H21"/>
      <c r="I21"/>
      <c r="J21"/>
      <c r="K21" s="243"/>
      <c r="N21" s="470"/>
      <c r="O21" s="470"/>
      <c r="P21" s="470"/>
      <c r="Q21" s="470"/>
    </row>
    <row r="22" spans="2:17" ht="15.75" customHeight="1">
      <c r="B22" s="141"/>
      <c r="C22"/>
      <c r="D22"/>
      <c r="E22"/>
      <c r="F22"/>
      <c r="G22"/>
      <c r="H22"/>
      <c r="I22"/>
      <c r="J22"/>
      <c r="K22" s="243"/>
      <c r="N22" s="241"/>
      <c r="O22" s="241"/>
      <c r="P22" s="241"/>
      <c r="Q22" s="240"/>
    </row>
    <row r="23" spans="2:17" ht="15.75" customHeight="1">
      <c r="B23" s="268"/>
      <c r="C23" s="269"/>
      <c r="D23" s="269"/>
      <c r="E23" s="269"/>
      <c r="F23" s="269"/>
      <c r="G23" s="269"/>
      <c r="H23" s="269"/>
      <c r="I23" s="269"/>
      <c r="J23" s="269"/>
      <c r="K23" s="270"/>
      <c r="N23" s="468" t="s">
        <v>202</v>
      </c>
      <c r="O23" s="469"/>
      <c r="P23" s="469"/>
      <c r="Q23" s="469"/>
    </row>
    <row r="24" spans="2:17" ht="15.75" customHeight="1" thickBot="1">
      <c r="B24" s="141"/>
      <c r="C24"/>
      <c r="D24"/>
      <c r="E24"/>
      <c r="F24"/>
      <c r="G24"/>
      <c r="H24"/>
      <c r="I24"/>
      <c r="J24"/>
      <c r="K24" s="243"/>
      <c r="N24" s="468" t="s">
        <v>203</v>
      </c>
      <c r="O24" s="469"/>
      <c r="P24" s="469"/>
      <c r="Q24" s="469"/>
    </row>
    <row r="25" spans="2:17" ht="18" thickBot="1">
      <c r="B25" s="141"/>
      <c r="C25" s="442" t="s">
        <v>0</v>
      </c>
      <c r="D25" s="443"/>
      <c r="E25"/>
      <c r="F25" s="442" t="s">
        <v>19</v>
      </c>
      <c r="G25" s="443"/>
      <c r="H25"/>
      <c r="I25" s="442" t="s">
        <v>81</v>
      </c>
      <c r="J25" s="443"/>
      <c r="K25" s="142"/>
      <c r="N25" s="240"/>
      <c r="O25" s="240"/>
      <c r="P25" s="240"/>
      <c r="Q25" s="240"/>
    </row>
    <row r="26" spans="2:17" ht="14.25" customHeight="1" thickBot="1">
      <c r="B26" s="244"/>
      <c r="C26" s="12"/>
      <c r="D26" s="12"/>
      <c r="E26" s="12"/>
      <c r="F26" s="12"/>
      <c r="G26" s="12"/>
      <c r="H26" s="12"/>
      <c r="I26" s="12"/>
      <c r="J26" s="12"/>
      <c r="K26" s="245"/>
      <c r="N26" s="240"/>
      <c r="O26" s="240"/>
      <c r="P26" s="240"/>
      <c r="Q26" s="240"/>
    </row>
    <row r="27" spans="2:17" ht="15.75" thickBot="1">
      <c r="B27" s="244"/>
      <c r="C27" s="476" t="s">
        <v>86</v>
      </c>
      <c r="D27" s="477"/>
      <c r="E27" s="12"/>
      <c r="F27" s="476" t="s">
        <v>241</v>
      </c>
      <c r="G27" s="477"/>
      <c r="H27" s="12"/>
      <c r="I27" s="476" t="s">
        <v>82</v>
      </c>
      <c r="J27" s="477"/>
      <c r="K27" s="245"/>
      <c r="N27" s="470" t="s">
        <v>201</v>
      </c>
      <c r="O27" s="470"/>
      <c r="P27" s="470"/>
      <c r="Q27" s="470"/>
    </row>
    <row r="28" spans="2:17">
      <c r="B28" s="244"/>
      <c r="C28" s="246" t="s">
        <v>11</v>
      </c>
      <c r="D28" s="247">
        <f>Cockpit!C11</f>
        <v>42.35</v>
      </c>
      <c r="E28" s="12"/>
      <c r="F28" s="246" t="s">
        <v>7</v>
      </c>
      <c r="G28" s="250">
        <f>Cockpit!N17</f>
        <v>100000</v>
      </c>
      <c r="H28" s="12"/>
      <c r="I28" s="246" t="s">
        <v>78</v>
      </c>
      <c r="J28" s="250">
        <f>Cockpit!H15</f>
        <v>719.95</v>
      </c>
      <c r="K28" s="245"/>
      <c r="N28" s="470"/>
      <c r="O28" s="470"/>
      <c r="P28" s="470"/>
      <c r="Q28" s="470"/>
    </row>
    <row r="29" spans="2:17" ht="15.75" thickBot="1">
      <c r="B29" s="244"/>
      <c r="C29" s="248" t="s">
        <v>13</v>
      </c>
      <c r="D29" s="249">
        <f>D33/D28</f>
        <v>2951.5938606847699</v>
      </c>
      <c r="E29" s="12"/>
      <c r="F29" s="251" t="s">
        <v>23</v>
      </c>
      <c r="G29" s="255">
        <f>Cockpit!N19</f>
        <v>1.7999999999999999E-2</v>
      </c>
      <c r="H29" s="12"/>
      <c r="I29" s="259" t="s">
        <v>16</v>
      </c>
      <c r="J29" s="260">
        <f>Cockpit!Q14</f>
        <v>6.9115200000000016E-2</v>
      </c>
      <c r="K29" s="245"/>
      <c r="N29" s="470"/>
      <c r="O29" s="470"/>
      <c r="P29" s="470"/>
      <c r="Q29" s="470"/>
    </row>
    <row r="30" spans="2:17" ht="15.75" thickBot="1">
      <c r="B30" s="244"/>
      <c r="C30" s="12"/>
      <c r="D30" s="12"/>
      <c r="E30" s="12"/>
      <c r="F30" s="248" t="s">
        <v>84</v>
      </c>
      <c r="G30" s="256">
        <f>Cockpit!N18</f>
        <v>0.04</v>
      </c>
      <c r="H30" s="12"/>
      <c r="I30" s="248" t="s">
        <v>83</v>
      </c>
      <c r="J30" s="261">
        <f>Cockpit!Q15</f>
        <v>14.468597356297888</v>
      </c>
      <c r="K30" s="245"/>
    </row>
    <row r="31" spans="2:17" ht="15.75" thickBot="1">
      <c r="B31" s="244"/>
      <c r="C31" s="12"/>
      <c r="D31" s="12"/>
      <c r="E31" s="12"/>
      <c r="F31" s="12"/>
      <c r="G31" s="12"/>
      <c r="H31" s="12"/>
      <c r="I31" s="12"/>
      <c r="J31" s="12"/>
      <c r="K31" s="245"/>
    </row>
    <row r="32" spans="2:17" ht="15.75" thickBot="1">
      <c r="B32" s="244"/>
      <c r="C32" s="476" t="s">
        <v>87</v>
      </c>
      <c r="D32" s="477"/>
      <c r="E32" s="12"/>
      <c r="F32" s="476" t="s">
        <v>240</v>
      </c>
      <c r="G32" s="477"/>
      <c r="H32" s="12"/>
      <c r="I32" s="476" t="s">
        <v>85</v>
      </c>
      <c r="J32" s="477"/>
      <c r="K32" s="245"/>
    </row>
    <row r="33" spans="2:11">
      <c r="B33" s="244"/>
      <c r="C33" s="246" t="s">
        <v>1</v>
      </c>
      <c r="D33" s="250">
        <f>Cockpit!D14</f>
        <v>125000</v>
      </c>
      <c r="E33" s="12"/>
      <c r="F33" s="246" t="s">
        <v>7</v>
      </c>
      <c r="G33" s="250">
        <f>Cockpit!N9-Cockpit!N17</f>
        <v>0</v>
      </c>
      <c r="H33" s="12"/>
      <c r="I33" s="246" t="s">
        <v>78</v>
      </c>
      <c r="J33" s="250">
        <f>Cockpit!H15</f>
        <v>719.95</v>
      </c>
      <c r="K33" s="245"/>
    </row>
    <row r="34" spans="2:11">
      <c r="B34" s="244"/>
      <c r="C34" s="251" t="s">
        <v>3</v>
      </c>
      <c r="D34" s="252">
        <f>Cockpit!E22</f>
        <v>13325</v>
      </c>
      <c r="E34" s="12"/>
      <c r="F34" s="251" t="s">
        <v>23</v>
      </c>
      <c r="G34" s="255" t="e">
        <f>(Cockpit!N12*Cockpit!N9-Cockpit!N19*Cockpit!N17)/(Cockpit!N9-Cockpit!N17)</f>
        <v>#DIV/0!</v>
      </c>
      <c r="H34" s="12"/>
      <c r="I34" s="262" t="str">
        <f>CONCATENATE("- Bewirtschaftungskosten (",TEXT(Cockpit!K11*100,"#"),"%)")</f>
        <v>- Bewirtschaftungskosten (15%)</v>
      </c>
      <c r="J34" s="252">
        <f>Cockpit!K10</f>
        <v>105.00206666666665</v>
      </c>
      <c r="K34" s="245"/>
    </row>
    <row r="35" spans="2:11" ht="15.75" thickBot="1">
      <c r="B35" s="244"/>
      <c r="C35" s="253" t="s">
        <v>77</v>
      </c>
      <c r="D35" s="254">
        <f>Cockpit!C30</f>
        <v>0</v>
      </c>
      <c r="E35" s="12"/>
      <c r="F35" s="248" t="s">
        <v>84</v>
      </c>
      <c r="G35" s="256" t="e">
        <f>(Cockpit!N11*Cockpit!N9-Cockpit!N18*Cockpit!N17)/(Cockpit!N9-Cockpit!N17)</f>
        <v>#DIV/0!</v>
      </c>
      <c r="H35" s="12"/>
      <c r="I35" s="262" t="s">
        <v>31</v>
      </c>
      <c r="J35" s="252">
        <f>-Cockpit!Q21</f>
        <v>333.33333333333331</v>
      </c>
      <c r="K35" s="245"/>
    </row>
    <row r="36" spans="2:11" ht="16.5" thickTop="1" thickBot="1">
      <c r="B36" s="244"/>
      <c r="C36" s="248" t="s">
        <v>9</v>
      </c>
      <c r="D36" s="249">
        <f>SUM(D33:D35)</f>
        <v>138325</v>
      </c>
      <c r="E36" s="12"/>
      <c r="F36" s="12"/>
      <c r="G36" s="12"/>
      <c r="H36" s="12"/>
      <c r="I36" s="263" t="s">
        <v>32</v>
      </c>
      <c r="J36" s="254">
        <f>-Cockpit!Q22</f>
        <v>149.99999999999997</v>
      </c>
      <c r="K36" s="245"/>
    </row>
    <row r="37" spans="2:11" ht="15.75" thickBot="1">
      <c r="B37" s="244"/>
      <c r="C37" s="12"/>
      <c r="D37" s="12"/>
      <c r="E37" s="12"/>
      <c r="F37" s="476" t="s">
        <v>26</v>
      </c>
      <c r="G37" s="477"/>
      <c r="H37" s="12"/>
      <c r="I37" s="264" t="s">
        <v>80</v>
      </c>
      <c r="J37" s="249">
        <f>J33-SUM(J34:J36)</f>
        <v>131.61460000000011</v>
      </c>
      <c r="K37" s="245"/>
    </row>
    <row r="38" spans="2:11" ht="15.75" thickBot="1">
      <c r="B38" s="244"/>
      <c r="C38" s="12"/>
      <c r="D38" s="12"/>
      <c r="E38" s="12"/>
      <c r="F38" s="257" t="s">
        <v>7</v>
      </c>
      <c r="G38" s="258">
        <f>Cockpit!N10</f>
        <v>38325</v>
      </c>
      <c r="H38" s="12"/>
      <c r="I38" s="12"/>
      <c r="J38" s="12"/>
      <c r="K38" s="245"/>
    </row>
    <row r="39" spans="2:11" ht="15.75"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719.95</v>
      </c>
      <c r="J43" s="3"/>
      <c r="K43" s="142"/>
    </row>
    <row r="44" spans="2:11">
      <c r="B44" s="141"/>
      <c r="C44"/>
      <c r="D44"/>
      <c r="E44"/>
      <c r="F44"/>
      <c r="G44"/>
      <c r="H44" s="3" t="s">
        <v>355</v>
      </c>
      <c r="I44" s="3"/>
      <c r="J44" s="3">
        <f>Cockpit!K10</f>
        <v>105.00206666666665</v>
      </c>
      <c r="K44" s="142"/>
    </row>
    <row r="45" spans="2:11">
      <c r="B45" s="141"/>
      <c r="C45"/>
      <c r="D45"/>
      <c r="E45"/>
      <c r="F45"/>
      <c r="G45"/>
      <c r="H45" s="3" t="s">
        <v>43</v>
      </c>
      <c r="I45" s="3"/>
      <c r="J45" s="3">
        <f>-Cockpit!Q21</f>
        <v>333.33333333333331</v>
      </c>
      <c r="K45" s="142"/>
    </row>
    <row r="46" spans="2:11">
      <c r="B46" s="141"/>
      <c r="C46"/>
      <c r="D46"/>
      <c r="E46"/>
      <c r="F46"/>
      <c r="G46"/>
      <c r="H46" s="3" t="s">
        <v>44</v>
      </c>
      <c r="I46" s="3"/>
      <c r="J46" s="3">
        <f>-Cockpit!Q22</f>
        <v>149.99999999999997</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5.75" thickBot="1">
      <c r="B54" s="143"/>
      <c r="C54" s="144"/>
      <c r="D54" s="144"/>
      <c r="E54" s="144"/>
      <c r="F54" s="144"/>
      <c r="G54" s="144"/>
      <c r="H54" s="144"/>
      <c r="I54" s="144"/>
      <c r="J54" s="144"/>
      <c r="K54" s="145"/>
    </row>
    <row r="56" spans="2:11">
      <c r="B56" s="135" t="s">
        <v>365</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C32:D32"/>
    <mergeCell ref="C27:D27"/>
    <mergeCell ref="F27:G27"/>
    <mergeCell ref="C25:D25"/>
    <mergeCell ref="F25:G25"/>
    <mergeCell ref="F32:G32"/>
    <mergeCell ref="F37:G37"/>
    <mergeCell ref="I8:J8"/>
    <mergeCell ref="I25:J25"/>
    <mergeCell ref="I32:J32"/>
    <mergeCell ref="I27:J27"/>
    <mergeCell ref="T1:T3"/>
    <mergeCell ref="I1:I3"/>
    <mergeCell ref="S1:S3"/>
    <mergeCell ref="E1:H3"/>
    <mergeCell ref="C1:D3"/>
    <mergeCell ref="N24:Q24"/>
    <mergeCell ref="N27:Q29"/>
    <mergeCell ref="N18:Q21"/>
    <mergeCell ref="N23:Q23"/>
    <mergeCell ref="B6:K6"/>
    <mergeCell ref="N8:Q17"/>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M28" sqref="M28"/>
    </sheetView>
  </sheetViews>
  <sheetFormatPr baseColWidth="10"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5" t="s">
        <v>344</v>
      </c>
      <c r="C1" s="425"/>
      <c r="E1" s="481" t="s">
        <v>461</v>
      </c>
      <c r="F1" s="481"/>
      <c r="G1" s="481"/>
      <c r="H1" s="481"/>
      <c r="I1" s="481"/>
      <c r="J1" s="425" t="s">
        <v>353</v>
      </c>
      <c r="K1" s="425"/>
      <c r="L1" s="425"/>
      <c r="M1" s="425"/>
      <c r="N1" s="425"/>
      <c r="O1" s="425"/>
      <c r="P1" s="425"/>
      <c r="Q1" s="147"/>
      <c r="R1" s="147"/>
      <c r="T1" s="147"/>
      <c r="U1" s="147"/>
    </row>
    <row r="2" spans="1:53" s="150" customFormat="1" ht="15" customHeight="1">
      <c r="B2" s="425"/>
      <c r="C2" s="425"/>
      <c r="E2" s="481"/>
      <c r="F2" s="481"/>
      <c r="G2" s="481"/>
      <c r="H2" s="481"/>
      <c r="I2" s="481"/>
      <c r="J2" s="425"/>
      <c r="K2" s="425"/>
      <c r="L2" s="425"/>
      <c r="M2" s="425"/>
      <c r="N2" s="425"/>
      <c r="O2" s="425"/>
      <c r="P2" s="425"/>
      <c r="Q2" s="147"/>
      <c r="R2" s="147"/>
      <c r="T2" s="147"/>
      <c r="U2" s="147"/>
    </row>
    <row r="3" spans="1:53" s="150" customFormat="1" ht="12.75" customHeight="1">
      <c r="B3" s="425"/>
      <c r="C3" s="425"/>
      <c r="E3" s="481"/>
      <c r="F3" s="481"/>
      <c r="G3" s="481"/>
      <c r="H3" s="481"/>
      <c r="I3" s="481"/>
      <c r="J3" s="425"/>
      <c r="K3" s="425"/>
      <c r="L3" s="425"/>
      <c r="M3" s="425"/>
      <c r="N3" s="425"/>
      <c r="O3" s="425"/>
      <c r="P3" s="425"/>
      <c r="Q3" s="147"/>
      <c r="R3" s="147"/>
      <c r="T3" s="147"/>
      <c r="U3" s="14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4" t="s">
        <v>249</v>
      </c>
      <c r="C6" s="33"/>
      <c r="D6" s="275"/>
      <c r="I6" s="6"/>
      <c r="J6" s="6"/>
      <c r="K6" s="6"/>
      <c r="L6" s="6"/>
    </row>
    <row r="7" spans="1:53" ht="15.7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4" t="s">
        <v>254</v>
      </c>
      <c r="C8" s="485"/>
      <c r="D8" s="281"/>
      <c r="E8" s="281">
        <f>D10</f>
        <v>719.95</v>
      </c>
      <c r="F8" s="281">
        <f t="shared" ref="F8:BA8" si="0">E10</f>
        <v>741.5485000000001</v>
      </c>
      <c r="G8" s="281">
        <f t="shared" si="0"/>
        <v>763.79495500000007</v>
      </c>
      <c r="H8" s="281">
        <f t="shared" si="0"/>
        <v>786.70880365000005</v>
      </c>
      <c r="I8" s="281">
        <f t="shared" si="0"/>
        <v>810.31006775950004</v>
      </c>
      <c r="J8" s="281">
        <f t="shared" si="0"/>
        <v>834.61936979228506</v>
      </c>
      <c r="K8" s="281">
        <f t="shared" si="0"/>
        <v>859.65795088605364</v>
      </c>
      <c r="L8" s="281">
        <f t="shared" si="0"/>
        <v>885.44768941263533</v>
      </c>
      <c r="M8" s="281">
        <f t="shared" si="0"/>
        <v>912.01112009501446</v>
      </c>
      <c r="N8" s="281">
        <f t="shared" si="0"/>
        <v>939.37145369786492</v>
      </c>
      <c r="O8" s="281">
        <f t="shared" si="0"/>
        <v>967.55259730880084</v>
      </c>
      <c r="P8" s="281">
        <f t="shared" si="0"/>
        <v>996.57917522806486</v>
      </c>
      <c r="Q8" s="281">
        <f t="shared" si="0"/>
        <v>1026.4765504849067</v>
      </c>
      <c r="R8" s="281">
        <f t="shared" si="0"/>
        <v>1057.2708469994541</v>
      </c>
      <c r="S8" s="281">
        <f t="shared" si="0"/>
        <v>1088.9889724094378</v>
      </c>
      <c r="T8" s="281">
        <f t="shared" si="0"/>
        <v>1121.658641581721</v>
      </c>
      <c r="U8" s="281">
        <f t="shared" si="0"/>
        <v>1155.3084008291726</v>
      </c>
      <c r="V8" s="281">
        <f t="shared" si="0"/>
        <v>1189.9676528540479</v>
      </c>
      <c r="W8" s="281">
        <f t="shared" si="0"/>
        <v>1225.6666824396693</v>
      </c>
      <c r="X8" s="281">
        <f t="shared" si="0"/>
        <v>1262.4366829128594</v>
      </c>
      <c r="Y8" s="281">
        <f t="shared" si="0"/>
        <v>1300.3097834002451</v>
      </c>
      <c r="Z8" s="281">
        <f t="shared" si="0"/>
        <v>1339.3190769022526</v>
      </c>
      <c r="AA8" s="281">
        <f t="shared" si="0"/>
        <v>1379.4986492093203</v>
      </c>
      <c r="AB8" s="281">
        <f t="shared" si="0"/>
        <v>1420.8836086855999</v>
      </c>
      <c r="AC8" s="281">
        <f t="shared" si="0"/>
        <v>1463.510116946168</v>
      </c>
      <c r="AD8" s="281">
        <f t="shared" si="0"/>
        <v>1507.415420454553</v>
      </c>
      <c r="AE8" s="281">
        <f t="shared" si="0"/>
        <v>1552.6378830681897</v>
      </c>
      <c r="AF8" s="281">
        <f t="shared" si="0"/>
        <v>1599.2170195602355</v>
      </c>
      <c r="AG8" s="281">
        <f t="shared" si="0"/>
        <v>1647.1935301470426</v>
      </c>
      <c r="AH8" s="281">
        <f t="shared" si="0"/>
        <v>1696.609336051454</v>
      </c>
      <c r="AI8" s="281">
        <f t="shared" si="0"/>
        <v>1747.5076161329976</v>
      </c>
      <c r="AJ8" s="281">
        <f t="shared" si="0"/>
        <v>1799.9328446169875</v>
      </c>
      <c r="AK8" s="281">
        <f t="shared" si="0"/>
        <v>1853.9308299554971</v>
      </c>
      <c r="AL8" s="281">
        <f t="shared" si="0"/>
        <v>1909.5487548541621</v>
      </c>
      <c r="AM8" s="281">
        <f t="shared" si="0"/>
        <v>1966.8352174997869</v>
      </c>
      <c r="AN8" s="281">
        <f t="shared" si="0"/>
        <v>2025.8402740247807</v>
      </c>
      <c r="AO8" s="281">
        <f t="shared" si="0"/>
        <v>2086.6154822455242</v>
      </c>
      <c r="AP8" s="281">
        <f t="shared" si="0"/>
        <v>2149.21394671289</v>
      </c>
      <c r="AQ8" s="281">
        <f t="shared" si="0"/>
        <v>2213.6903651142766</v>
      </c>
      <c r="AR8" s="281">
        <f t="shared" si="0"/>
        <v>2280.101076067705</v>
      </c>
      <c r="AS8" s="281">
        <f t="shared" si="0"/>
        <v>2348.5041083497363</v>
      </c>
      <c r="AT8" s="281">
        <f t="shared" si="0"/>
        <v>2418.9592316002286</v>
      </c>
      <c r="AU8" s="281">
        <f t="shared" si="0"/>
        <v>2491.5280085482354</v>
      </c>
      <c r="AV8" s="281">
        <f t="shared" si="0"/>
        <v>2566.2738488046825</v>
      </c>
      <c r="AW8" s="281">
        <f t="shared" si="0"/>
        <v>2643.262064268823</v>
      </c>
      <c r="AX8" s="281">
        <f t="shared" si="0"/>
        <v>2722.5599261968878</v>
      </c>
      <c r="AY8" s="281">
        <f t="shared" si="0"/>
        <v>2804.2367239827945</v>
      </c>
      <c r="AZ8" s="281">
        <f t="shared" si="0"/>
        <v>2888.3638257022785</v>
      </c>
      <c r="BA8" s="282">
        <f t="shared" si="0"/>
        <v>2975.014740473347</v>
      </c>
    </row>
    <row r="9" spans="1:53">
      <c r="A9"/>
      <c r="B9" s="479" t="s">
        <v>99</v>
      </c>
      <c r="C9" s="480"/>
      <c r="D9" s="35"/>
      <c r="E9" s="289">
        <f>Cockpit!$H$31</f>
        <v>0.03</v>
      </c>
      <c r="F9" s="289">
        <f>Cockpit!$H$31</f>
        <v>0.03</v>
      </c>
      <c r="G9" s="289">
        <f>Cockpit!$H$31</f>
        <v>0.03</v>
      </c>
      <c r="H9" s="289">
        <f>Cockpit!$H$31</f>
        <v>0.03</v>
      </c>
      <c r="I9" s="289">
        <f>Cockpit!$H$31</f>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719.95</v>
      </c>
      <c r="E10" s="10">
        <f>E8*(1+E9)</f>
        <v>741.5485000000001</v>
      </c>
      <c r="F10" s="10">
        <f t="shared" ref="F10:BA10" si="1">F8*(1+F9)</f>
        <v>763.79495500000007</v>
      </c>
      <c r="G10" s="10">
        <f t="shared" si="1"/>
        <v>786.70880365000005</v>
      </c>
      <c r="H10" s="10">
        <f t="shared" si="1"/>
        <v>810.31006775950004</v>
      </c>
      <c r="I10" s="10">
        <f t="shared" si="1"/>
        <v>834.61936979228506</v>
      </c>
      <c r="J10" s="10">
        <f t="shared" si="1"/>
        <v>859.65795088605364</v>
      </c>
      <c r="K10" s="10">
        <f t="shared" si="1"/>
        <v>885.44768941263533</v>
      </c>
      <c r="L10" s="10">
        <f t="shared" si="1"/>
        <v>912.01112009501446</v>
      </c>
      <c r="M10" s="10">
        <f t="shared" si="1"/>
        <v>939.37145369786492</v>
      </c>
      <c r="N10" s="10">
        <f t="shared" si="1"/>
        <v>967.55259730880084</v>
      </c>
      <c r="O10" s="10">
        <f t="shared" si="1"/>
        <v>996.57917522806486</v>
      </c>
      <c r="P10" s="10">
        <f t="shared" si="1"/>
        <v>1026.4765504849067</v>
      </c>
      <c r="Q10" s="10">
        <f t="shared" si="1"/>
        <v>1057.2708469994541</v>
      </c>
      <c r="R10" s="10">
        <f t="shared" si="1"/>
        <v>1088.9889724094378</v>
      </c>
      <c r="S10" s="10">
        <f t="shared" si="1"/>
        <v>1121.658641581721</v>
      </c>
      <c r="T10" s="10">
        <f t="shared" si="1"/>
        <v>1155.3084008291726</v>
      </c>
      <c r="U10" s="10">
        <f t="shared" si="1"/>
        <v>1189.9676528540479</v>
      </c>
      <c r="V10" s="10">
        <f t="shared" si="1"/>
        <v>1225.6666824396693</v>
      </c>
      <c r="W10" s="10">
        <f t="shared" si="1"/>
        <v>1262.4366829128594</v>
      </c>
      <c r="X10" s="10">
        <f t="shared" si="1"/>
        <v>1300.3097834002451</v>
      </c>
      <c r="Y10" s="10">
        <f t="shared" si="1"/>
        <v>1339.3190769022526</v>
      </c>
      <c r="Z10" s="10">
        <f t="shared" si="1"/>
        <v>1379.4986492093203</v>
      </c>
      <c r="AA10" s="10">
        <f t="shared" si="1"/>
        <v>1420.8836086855999</v>
      </c>
      <c r="AB10" s="10">
        <f t="shared" si="1"/>
        <v>1463.510116946168</v>
      </c>
      <c r="AC10" s="10">
        <f t="shared" si="1"/>
        <v>1507.415420454553</v>
      </c>
      <c r="AD10" s="10">
        <f t="shared" si="1"/>
        <v>1552.6378830681897</v>
      </c>
      <c r="AE10" s="10">
        <f t="shared" si="1"/>
        <v>1599.2170195602355</v>
      </c>
      <c r="AF10" s="10">
        <f t="shared" si="1"/>
        <v>1647.1935301470426</v>
      </c>
      <c r="AG10" s="10">
        <f t="shared" si="1"/>
        <v>1696.609336051454</v>
      </c>
      <c r="AH10" s="10">
        <f t="shared" si="1"/>
        <v>1747.5076161329976</v>
      </c>
      <c r="AI10" s="10">
        <f t="shared" si="1"/>
        <v>1799.9328446169875</v>
      </c>
      <c r="AJ10" s="10">
        <f t="shared" si="1"/>
        <v>1853.9308299554971</v>
      </c>
      <c r="AK10" s="10">
        <f t="shared" si="1"/>
        <v>1909.5487548541621</v>
      </c>
      <c r="AL10" s="10">
        <f t="shared" si="1"/>
        <v>1966.8352174997869</v>
      </c>
      <c r="AM10" s="10">
        <f t="shared" si="1"/>
        <v>2025.8402740247807</v>
      </c>
      <c r="AN10" s="10">
        <f t="shared" si="1"/>
        <v>2086.6154822455242</v>
      </c>
      <c r="AO10" s="10">
        <f t="shared" si="1"/>
        <v>2149.21394671289</v>
      </c>
      <c r="AP10" s="10">
        <f t="shared" si="1"/>
        <v>2213.6903651142766</v>
      </c>
      <c r="AQ10" s="10">
        <f t="shared" si="1"/>
        <v>2280.101076067705</v>
      </c>
      <c r="AR10" s="10">
        <f t="shared" si="1"/>
        <v>2348.5041083497363</v>
      </c>
      <c r="AS10" s="10">
        <f t="shared" si="1"/>
        <v>2418.9592316002286</v>
      </c>
      <c r="AT10" s="10">
        <f t="shared" si="1"/>
        <v>2491.5280085482354</v>
      </c>
      <c r="AU10" s="10">
        <f t="shared" si="1"/>
        <v>2566.2738488046825</v>
      </c>
      <c r="AV10" s="10">
        <f t="shared" si="1"/>
        <v>2643.262064268823</v>
      </c>
      <c r="AW10" s="10">
        <f t="shared" si="1"/>
        <v>2722.5599261968878</v>
      </c>
      <c r="AX10" s="10">
        <f t="shared" si="1"/>
        <v>2804.2367239827945</v>
      </c>
      <c r="AY10" s="10">
        <f t="shared" si="1"/>
        <v>2888.3638257022785</v>
      </c>
      <c r="AZ10" s="10">
        <f t="shared" si="1"/>
        <v>2975.014740473347</v>
      </c>
      <c r="BA10" s="283">
        <f t="shared" si="1"/>
        <v>3064.2651826875476</v>
      </c>
    </row>
    <row r="11" spans="1:53">
      <c r="A11"/>
      <c r="B11" s="479" t="s">
        <v>322</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320</v>
      </c>
      <c r="C12" s="480"/>
      <c r="D12" s="10">
        <f>IF('MFH-Kalkulator'!$C$6="Ein",'Miete, Cashflow, Steuern'!D11,'Miete, Cashflow, Steuern'!D10)</f>
        <v>719.95</v>
      </c>
      <c r="E12" s="10">
        <f>IF('MFH-Kalkulator'!$C$6="Ein",'Miete, Cashflow, Steuern'!E11,'Miete, Cashflow, Steuern'!E10)</f>
        <v>741.5485000000001</v>
      </c>
      <c r="F12" s="10">
        <f>IF('MFH-Kalkulator'!$C$6="Ein",'Miete, Cashflow, Steuern'!F11,'Miete, Cashflow, Steuern'!F10)</f>
        <v>763.79495500000007</v>
      </c>
      <c r="G12" s="10">
        <f>IF('MFH-Kalkulator'!$C$6="Ein",'Miete, Cashflow, Steuern'!G11,'Miete, Cashflow, Steuern'!G10)</f>
        <v>786.70880365000005</v>
      </c>
      <c r="H12" s="10">
        <f>IF('MFH-Kalkulator'!$C$6="Ein",'Miete, Cashflow, Steuern'!H11,'Miete, Cashflow, Steuern'!H10)</f>
        <v>810.31006775950004</v>
      </c>
      <c r="I12" s="10">
        <f>IF('MFH-Kalkulator'!$C$6="Ein",'Miete, Cashflow, Steuern'!I11,'Miete, Cashflow, Steuern'!I10)</f>
        <v>834.61936979228506</v>
      </c>
      <c r="J12" s="10">
        <f>IF('MFH-Kalkulator'!$C$6="Ein",'Miete, Cashflow, Steuern'!J11,'Miete, Cashflow, Steuern'!J10)</f>
        <v>859.65795088605364</v>
      </c>
      <c r="K12" s="10">
        <f>IF('MFH-Kalkulator'!$C$6="Ein",'Miete, Cashflow, Steuern'!K11,'Miete, Cashflow, Steuern'!K10)</f>
        <v>885.44768941263533</v>
      </c>
      <c r="L12" s="10">
        <f>IF('MFH-Kalkulator'!$C$6="Ein",'Miete, Cashflow, Steuern'!L11,'Miete, Cashflow, Steuern'!L10)</f>
        <v>912.01112009501446</v>
      </c>
      <c r="M12" s="10">
        <f>IF('MFH-Kalkulator'!$C$6="Ein",'Miete, Cashflow, Steuern'!M11,'Miete, Cashflow, Steuern'!M10)</f>
        <v>939.37145369786492</v>
      </c>
      <c r="N12" s="10">
        <f>IF('MFH-Kalkulator'!$C$6="Ein",'Miete, Cashflow, Steuern'!N11,'Miete, Cashflow, Steuern'!N10)</f>
        <v>967.55259730880084</v>
      </c>
      <c r="O12" s="10">
        <f>IF('MFH-Kalkulator'!$C$6="Ein",'Miete, Cashflow, Steuern'!O11,'Miete, Cashflow, Steuern'!O10)</f>
        <v>996.57917522806486</v>
      </c>
      <c r="P12" s="10">
        <f>IF('MFH-Kalkulator'!$C$6="Ein",'Miete, Cashflow, Steuern'!P11,'Miete, Cashflow, Steuern'!P10)</f>
        <v>1026.4765504849067</v>
      </c>
      <c r="Q12" s="10">
        <f>IF('MFH-Kalkulator'!$C$6="Ein",'Miete, Cashflow, Steuern'!Q11,'Miete, Cashflow, Steuern'!Q10)</f>
        <v>1057.2708469994541</v>
      </c>
      <c r="R12" s="10">
        <f>IF('MFH-Kalkulator'!$C$6="Ein",'Miete, Cashflow, Steuern'!R11,'Miete, Cashflow, Steuern'!R10)</f>
        <v>1088.9889724094378</v>
      </c>
      <c r="S12" s="10">
        <f>IF('MFH-Kalkulator'!$C$6="Ein",'Miete, Cashflow, Steuern'!S11,'Miete, Cashflow, Steuern'!S10)</f>
        <v>1121.658641581721</v>
      </c>
      <c r="T12" s="10">
        <f>IF('MFH-Kalkulator'!$C$6="Ein",'Miete, Cashflow, Steuern'!T11,'Miete, Cashflow, Steuern'!T10)</f>
        <v>1155.3084008291726</v>
      </c>
      <c r="U12" s="10">
        <f>IF('MFH-Kalkulator'!$C$6="Ein",'Miete, Cashflow, Steuern'!U11,'Miete, Cashflow, Steuern'!U10)</f>
        <v>1189.9676528540479</v>
      </c>
      <c r="V12" s="10">
        <f>IF('MFH-Kalkulator'!$C$6="Ein",'Miete, Cashflow, Steuern'!V11,'Miete, Cashflow, Steuern'!V10)</f>
        <v>1225.6666824396693</v>
      </c>
      <c r="W12" s="10">
        <f>IF('MFH-Kalkulator'!$C$6="Ein",'Miete, Cashflow, Steuern'!W11,'Miete, Cashflow, Steuern'!W10)</f>
        <v>1262.4366829128594</v>
      </c>
      <c r="X12" s="10">
        <f>IF('MFH-Kalkulator'!$C$6="Ein",'Miete, Cashflow, Steuern'!X11,'Miete, Cashflow, Steuern'!X10)</f>
        <v>1300.3097834002451</v>
      </c>
      <c r="Y12" s="10">
        <f>IF('MFH-Kalkulator'!$C$6="Ein",'Miete, Cashflow, Steuern'!Y11,'Miete, Cashflow, Steuern'!Y10)</f>
        <v>1339.3190769022526</v>
      </c>
      <c r="Z12" s="10">
        <f>IF('MFH-Kalkulator'!$C$6="Ein",'Miete, Cashflow, Steuern'!Z11,'Miete, Cashflow, Steuern'!Z10)</f>
        <v>1379.4986492093203</v>
      </c>
      <c r="AA12" s="10">
        <f>IF('MFH-Kalkulator'!$C$6="Ein",'Miete, Cashflow, Steuern'!AA11,'Miete, Cashflow, Steuern'!AA10)</f>
        <v>1420.8836086855999</v>
      </c>
      <c r="AB12" s="10">
        <f>IF('MFH-Kalkulator'!$C$6="Ein",'Miete, Cashflow, Steuern'!AB11,'Miete, Cashflow, Steuern'!AB10)</f>
        <v>1463.510116946168</v>
      </c>
      <c r="AC12" s="10">
        <f>IF('MFH-Kalkulator'!$C$6="Ein",'Miete, Cashflow, Steuern'!AC11,'Miete, Cashflow, Steuern'!AC10)</f>
        <v>1507.415420454553</v>
      </c>
      <c r="AD12" s="10">
        <f>IF('MFH-Kalkulator'!$C$6="Ein",'Miete, Cashflow, Steuern'!AD11,'Miete, Cashflow, Steuern'!AD10)</f>
        <v>1552.6378830681897</v>
      </c>
      <c r="AE12" s="10">
        <f>IF('MFH-Kalkulator'!$C$6="Ein",'Miete, Cashflow, Steuern'!AE11,'Miete, Cashflow, Steuern'!AE10)</f>
        <v>1599.2170195602355</v>
      </c>
      <c r="AF12" s="10">
        <f>IF('MFH-Kalkulator'!$C$6="Ein",'Miete, Cashflow, Steuern'!AF11,'Miete, Cashflow, Steuern'!AF10)</f>
        <v>1647.1935301470426</v>
      </c>
      <c r="AG12" s="10">
        <f>IF('MFH-Kalkulator'!$C$6="Ein",'Miete, Cashflow, Steuern'!AG11,'Miete, Cashflow, Steuern'!AG10)</f>
        <v>1696.609336051454</v>
      </c>
      <c r="AH12" s="10">
        <f>IF('MFH-Kalkulator'!$C$6="Ein",'Miete, Cashflow, Steuern'!AH11,'Miete, Cashflow, Steuern'!AH10)</f>
        <v>1747.5076161329976</v>
      </c>
      <c r="AI12" s="10">
        <f>IF('MFH-Kalkulator'!$C$6="Ein",'Miete, Cashflow, Steuern'!AI11,'Miete, Cashflow, Steuern'!AI10)</f>
        <v>1799.9328446169875</v>
      </c>
      <c r="AJ12" s="10">
        <f>IF('MFH-Kalkulator'!$C$6="Ein",'Miete, Cashflow, Steuern'!AJ11,'Miete, Cashflow, Steuern'!AJ10)</f>
        <v>1853.9308299554971</v>
      </c>
      <c r="AK12" s="10">
        <f>IF('MFH-Kalkulator'!$C$6="Ein",'Miete, Cashflow, Steuern'!AK11,'Miete, Cashflow, Steuern'!AK10)</f>
        <v>1909.5487548541621</v>
      </c>
      <c r="AL12" s="10">
        <f>IF('MFH-Kalkulator'!$C$6="Ein",'Miete, Cashflow, Steuern'!AL11,'Miete, Cashflow, Steuern'!AL10)</f>
        <v>1966.8352174997869</v>
      </c>
      <c r="AM12" s="10">
        <f>IF('MFH-Kalkulator'!$C$6="Ein",'Miete, Cashflow, Steuern'!AM11,'Miete, Cashflow, Steuern'!AM10)</f>
        <v>2025.8402740247807</v>
      </c>
      <c r="AN12" s="10">
        <f>IF('MFH-Kalkulator'!$C$6="Ein",'Miete, Cashflow, Steuern'!AN11,'Miete, Cashflow, Steuern'!AN10)</f>
        <v>2086.6154822455242</v>
      </c>
      <c r="AO12" s="10">
        <f>IF('MFH-Kalkulator'!$C$6="Ein",'Miete, Cashflow, Steuern'!AO11,'Miete, Cashflow, Steuern'!AO10)</f>
        <v>2149.21394671289</v>
      </c>
      <c r="AP12" s="10">
        <f>IF('MFH-Kalkulator'!$C$6="Ein",'Miete, Cashflow, Steuern'!AP11,'Miete, Cashflow, Steuern'!AP10)</f>
        <v>2213.6903651142766</v>
      </c>
      <c r="AQ12" s="10">
        <f>IF('MFH-Kalkulator'!$C$6="Ein",'Miete, Cashflow, Steuern'!AQ11,'Miete, Cashflow, Steuern'!AQ10)</f>
        <v>2280.101076067705</v>
      </c>
      <c r="AR12" s="10">
        <f>IF('MFH-Kalkulator'!$C$6="Ein",'Miete, Cashflow, Steuern'!AR11,'Miete, Cashflow, Steuern'!AR10)</f>
        <v>2348.5041083497363</v>
      </c>
      <c r="AS12" s="10">
        <f>IF('MFH-Kalkulator'!$C$6="Ein",'Miete, Cashflow, Steuern'!AS11,'Miete, Cashflow, Steuern'!AS10)</f>
        <v>2418.9592316002286</v>
      </c>
      <c r="AT12" s="10">
        <f>IF('MFH-Kalkulator'!$C$6="Ein",'Miete, Cashflow, Steuern'!AT11,'Miete, Cashflow, Steuern'!AT10)</f>
        <v>2491.5280085482354</v>
      </c>
      <c r="AU12" s="10">
        <f>IF('MFH-Kalkulator'!$C$6="Ein",'Miete, Cashflow, Steuern'!AU11,'Miete, Cashflow, Steuern'!AU10)</f>
        <v>2566.2738488046825</v>
      </c>
      <c r="AV12" s="10">
        <f>IF('MFH-Kalkulator'!$C$6="Ein",'Miete, Cashflow, Steuern'!AV11,'Miete, Cashflow, Steuern'!AV10)</f>
        <v>2643.262064268823</v>
      </c>
      <c r="AW12" s="10">
        <f>IF('MFH-Kalkulator'!$C$6="Ein",'Miete, Cashflow, Steuern'!AW11,'Miete, Cashflow, Steuern'!AW10)</f>
        <v>2722.5599261968878</v>
      </c>
      <c r="AX12" s="10">
        <f>IF('MFH-Kalkulator'!$C$6="Ein",'Miete, Cashflow, Steuern'!AX11,'Miete, Cashflow, Steuern'!AX10)</f>
        <v>2804.2367239827945</v>
      </c>
      <c r="AY12" s="10">
        <f>IF('MFH-Kalkulator'!$C$6="Ein",'Miete, Cashflow, Steuern'!AY11,'Miete, Cashflow, Steuern'!AY10)</f>
        <v>2888.3638257022785</v>
      </c>
      <c r="AZ12" s="10">
        <f>IF('MFH-Kalkulator'!$C$6="Ein",'Miete, Cashflow, Steuern'!AZ11,'Miete, Cashflow, Steuern'!AZ10)</f>
        <v>2975.014740473347</v>
      </c>
      <c r="BA12" s="283">
        <f>IF('MFH-Kalkulator'!$C$6="Ein",'Miete, Cashflow, Steuern'!BA11,'Miete, Cashflow, Steuern'!BA10)</f>
        <v>3064.2651826875476</v>
      </c>
    </row>
    <row r="13" spans="1:53">
      <c r="B13" s="479" t="s">
        <v>245</v>
      </c>
      <c r="C13" s="480"/>
      <c r="D13" s="10">
        <f>Cockpit!K9</f>
        <v>103.72999999999999</v>
      </c>
      <c r="E13" s="10">
        <f>D13*(1+Cockpit!$H$30)</f>
        <v>105.80459999999999</v>
      </c>
      <c r="F13" s="10">
        <f>E13*(1+Cockpit!$H$30)</f>
        <v>107.92069199999999</v>
      </c>
      <c r="G13" s="10">
        <f>F13*(1+Cockpit!$H$30)</f>
        <v>110.07910584</v>
      </c>
      <c r="H13" s="10">
        <f>G13*(1+Cockpit!$H$30)</f>
        <v>112.28068795679999</v>
      </c>
      <c r="I13" s="10">
        <f>H13*(1+Cockpit!$H$30)</f>
        <v>114.526301715936</v>
      </c>
      <c r="J13" s="10">
        <f>I13*(1+Cockpit!$H$30)</f>
        <v>116.81682775025472</v>
      </c>
      <c r="K13" s="10">
        <f>J13*(1+Cockpit!$H$30)</f>
        <v>119.15316430525981</v>
      </c>
      <c r="L13" s="10">
        <f>K13*(1+Cockpit!$H$30)</f>
        <v>121.53622759136501</v>
      </c>
      <c r="M13" s="10">
        <f>L13*(1+Cockpit!$H$30)</f>
        <v>123.9669521431923</v>
      </c>
      <c r="N13" s="10">
        <f>M13*(1+Cockpit!$H$30)</f>
        <v>126.44629118605614</v>
      </c>
      <c r="O13" s="10">
        <f>N13*(1+Cockpit!$H$30)</f>
        <v>128.97521700977728</v>
      </c>
      <c r="P13" s="10">
        <f>O13*(1+Cockpit!$H$30)</f>
        <v>131.55472134997282</v>
      </c>
      <c r="Q13" s="10">
        <f>P13*(1+Cockpit!$H$30)</f>
        <v>134.18581577697228</v>
      </c>
      <c r="R13" s="10">
        <f>Q13*(1+Cockpit!$H$30)</f>
        <v>136.86953209251172</v>
      </c>
      <c r="S13" s="10">
        <f>R13*(1+Cockpit!$H$30)</f>
        <v>139.60692273436194</v>
      </c>
      <c r="T13" s="10">
        <f>S13*(1+Cockpit!$H$30)</f>
        <v>142.39906118904918</v>
      </c>
      <c r="U13" s="10">
        <f>T13*(1+Cockpit!$H$30)</f>
        <v>145.24704241283015</v>
      </c>
      <c r="V13" s="10">
        <f>U13*(1+Cockpit!$H$30)</f>
        <v>148.15198326108677</v>
      </c>
      <c r="W13" s="10">
        <f>V13*(1+Cockpit!$H$30)</f>
        <v>151.11502292630851</v>
      </c>
      <c r="X13" s="10">
        <f>W13*(1+Cockpit!$H$30)</f>
        <v>154.13732338483467</v>
      </c>
      <c r="Y13" s="10">
        <f>X13*(1+Cockpit!$H$30)</f>
        <v>157.22006985253137</v>
      </c>
      <c r="Z13" s="10">
        <f>Y13*(1+Cockpit!$H$30)</f>
        <v>160.36447124958201</v>
      </c>
      <c r="AA13" s="10">
        <f>Z13*(1+Cockpit!$H$30)</f>
        <v>163.57176067457365</v>
      </c>
      <c r="AB13" s="10">
        <f>AA13*(1+Cockpit!$H$30)</f>
        <v>166.84319588806514</v>
      </c>
      <c r="AC13" s="10">
        <f>AB13*(1+Cockpit!$H$30)</f>
        <v>170.18005980582643</v>
      </c>
      <c r="AD13" s="10">
        <f>AC13*(1+Cockpit!$H$30)</f>
        <v>173.58366100194297</v>
      </c>
      <c r="AE13" s="10">
        <f>AD13*(1+Cockpit!$H$30)</f>
        <v>177.05533422198184</v>
      </c>
      <c r="AF13" s="10">
        <f>AE13*(1+Cockpit!$H$30)</f>
        <v>180.59644090642146</v>
      </c>
      <c r="AG13" s="10">
        <f>AF13*(1+Cockpit!$H$30)</f>
        <v>184.2083697245499</v>
      </c>
      <c r="AH13" s="10">
        <f>AG13*(1+Cockpit!$H$30)</f>
        <v>187.8925371190409</v>
      </c>
      <c r="AI13" s="10">
        <f>AH13*(1+Cockpit!$H$30)</f>
        <v>191.65038786142171</v>
      </c>
      <c r="AJ13" s="10">
        <f>AI13*(1+Cockpit!$H$30)</f>
        <v>195.48339561865015</v>
      </c>
      <c r="AK13" s="10">
        <f>AJ13*(1+Cockpit!$H$30)</f>
        <v>199.39306353102316</v>
      </c>
      <c r="AL13" s="10">
        <f>AK13*(1+Cockpit!$H$30)</f>
        <v>203.38092480164363</v>
      </c>
      <c r="AM13" s="10">
        <f>AL13*(1+Cockpit!$H$30)</f>
        <v>207.44854329767651</v>
      </c>
      <c r="AN13" s="10">
        <f>AM13*(1+Cockpit!$H$30)</f>
        <v>211.59751416363005</v>
      </c>
      <c r="AO13" s="10">
        <f>AN13*(1+Cockpit!$H$30)</f>
        <v>215.82946444690265</v>
      </c>
      <c r="AP13" s="10">
        <f>AO13*(1+Cockpit!$H$30)</f>
        <v>220.1460537358407</v>
      </c>
      <c r="AQ13" s="10">
        <f>AP13*(1+Cockpit!$H$30)</f>
        <v>224.54897481055752</v>
      </c>
      <c r="AR13" s="10">
        <f>AQ13*(1+Cockpit!$H$30)</f>
        <v>229.03995430676869</v>
      </c>
      <c r="AS13" s="10">
        <f>AR13*(1+Cockpit!$H$30)</f>
        <v>233.62075339290408</v>
      </c>
      <c r="AT13" s="10">
        <f>AS13*(1+Cockpit!$H$30)</f>
        <v>238.29316846076216</v>
      </c>
      <c r="AU13" s="10">
        <f>AT13*(1+Cockpit!$H$30)</f>
        <v>243.05903182997741</v>
      </c>
      <c r="AV13" s="10">
        <f>AU13*(1+Cockpit!$H$30)</f>
        <v>247.92021246657697</v>
      </c>
      <c r="AW13" s="10">
        <f>AV13*(1+Cockpit!$H$30)</f>
        <v>252.87861671590852</v>
      </c>
      <c r="AX13" s="10">
        <f>AW13*(1+Cockpit!$H$30)</f>
        <v>257.93618905022669</v>
      </c>
      <c r="AY13" s="10">
        <f>AX13*(1+Cockpit!$H$30)</f>
        <v>263.09491283123123</v>
      </c>
      <c r="AZ13" s="10">
        <f>AY13*(1+Cockpit!$H$30)</f>
        <v>268.35681108785587</v>
      </c>
      <c r="BA13" s="283">
        <f>AZ13*(1+Cockpit!$H$30)</f>
        <v>273.72394730961298</v>
      </c>
    </row>
    <row r="14" spans="1:53" ht="15.75" thickBot="1">
      <c r="B14" s="482" t="s">
        <v>470</v>
      </c>
      <c r="C14" s="483"/>
      <c r="D14" s="284">
        <f t="shared" ref="D14:AI14" si="2">D12+D13</f>
        <v>823.68000000000006</v>
      </c>
      <c r="E14" s="284">
        <f t="shared" si="2"/>
        <v>847.35310000000004</v>
      </c>
      <c r="F14" s="284">
        <f t="shared" si="2"/>
        <v>871.7156470000001</v>
      </c>
      <c r="G14" s="284">
        <f t="shared" si="2"/>
        <v>896.78790949000006</v>
      </c>
      <c r="H14" s="284">
        <f t="shared" si="2"/>
        <v>922.59075571630001</v>
      </c>
      <c r="I14" s="284">
        <f t="shared" si="2"/>
        <v>949.14567150822108</v>
      </c>
      <c r="J14" s="284">
        <f t="shared" si="2"/>
        <v>976.47477863630832</v>
      </c>
      <c r="K14" s="284">
        <f t="shared" si="2"/>
        <v>1004.6008537178951</v>
      </c>
      <c r="L14" s="284">
        <f t="shared" si="2"/>
        <v>1033.5473476863795</v>
      </c>
      <c r="M14" s="284">
        <f t="shared" si="2"/>
        <v>1063.3384058410572</v>
      </c>
      <c r="N14" s="284">
        <f t="shared" si="2"/>
        <v>1093.9988884948571</v>
      </c>
      <c r="O14" s="284">
        <f t="shared" si="2"/>
        <v>1125.5543922378422</v>
      </c>
      <c r="P14" s="284">
        <f t="shared" si="2"/>
        <v>1158.0312718348796</v>
      </c>
      <c r="Q14" s="284">
        <f t="shared" si="2"/>
        <v>1191.4566627764264</v>
      </c>
      <c r="R14" s="284">
        <f t="shared" si="2"/>
        <v>1225.8585045019495</v>
      </c>
      <c r="S14" s="284">
        <f t="shared" si="2"/>
        <v>1261.2655643160829</v>
      </c>
      <c r="T14" s="284">
        <f t="shared" si="2"/>
        <v>1297.7074620182218</v>
      </c>
      <c r="U14" s="284">
        <f t="shared" si="2"/>
        <v>1335.2146952668779</v>
      </c>
      <c r="V14" s="284">
        <f t="shared" si="2"/>
        <v>1373.8186657007561</v>
      </c>
      <c r="W14" s="284">
        <f t="shared" si="2"/>
        <v>1413.5517058391679</v>
      </c>
      <c r="X14" s="284">
        <f t="shared" si="2"/>
        <v>1454.4471067850798</v>
      </c>
      <c r="Y14" s="284">
        <f t="shared" si="2"/>
        <v>1496.539146754784</v>
      </c>
      <c r="Z14" s="284">
        <f t="shared" si="2"/>
        <v>1539.8631204589024</v>
      </c>
      <c r="AA14" s="284">
        <f t="shared" si="2"/>
        <v>1584.4553693601736</v>
      </c>
      <c r="AB14" s="284">
        <f t="shared" si="2"/>
        <v>1630.3533128342331</v>
      </c>
      <c r="AC14" s="284">
        <f t="shared" si="2"/>
        <v>1677.5954802603794</v>
      </c>
      <c r="AD14" s="284">
        <f t="shared" si="2"/>
        <v>1726.2215440701327</v>
      </c>
      <c r="AE14" s="284">
        <f t="shared" si="2"/>
        <v>1776.2723537822174</v>
      </c>
      <c r="AF14" s="284">
        <f t="shared" si="2"/>
        <v>1827.7899710534641</v>
      </c>
      <c r="AG14" s="284">
        <f t="shared" si="2"/>
        <v>1880.8177057760038</v>
      </c>
      <c r="AH14" s="284">
        <f t="shared" si="2"/>
        <v>1935.4001532520385</v>
      </c>
      <c r="AI14" s="284">
        <f t="shared" si="2"/>
        <v>1991.5832324784092</v>
      </c>
      <c r="AJ14" s="284">
        <f t="shared" ref="AJ14:BA14" si="3">AJ12+AJ13</f>
        <v>2049.4142255741472</v>
      </c>
      <c r="AK14" s="284">
        <f t="shared" si="3"/>
        <v>2108.9418183851853</v>
      </c>
      <c r="AL14" s="284">
        <f t="shared" si="3"/>
        <v>2170.2161423014304</v>
      </c>
      <c r="AM14" s="284">
        <f t="shared" si="3"/>
        <v>2233.2888173224574</v>
      </c>
      <c r="AN14" s="284">
        <f t="shared" si="3"/>
        <v>2298.2129964091541</v>
      </c>
      <c r="AO14" s="284">
        <f t="shared" si="3"/>
        <v>2365.0434111597924</v>
      </c>
      <c r="AP14" s="284">
        <f t="shared" si="3"/>
        <v>2433.8364188501173</v>
      </c>
      <c r="AQ14" s="284">
        <f t="shared" si="3"/>
        <v>2504.6500508782624</v>
      </c>
      <c r="AR14" s="284">
        <f t="shared" si="3"/>
        <v>2577.544062656505</v>
      </c>
      <c r="AS14" s="284">
        <f t="shared" si="3"/>
        <v>2652.5799849931327</v>
      </c>
      <c r="AT14" s="284">
        <f t="shared" si="3"/>
        <v>2729.8211770089974</v>
      </c>
      <c r="AU14" s="284">
        <f t="shared" si="3"/>
        <v>2809.3328806346599</v>
      </c>
      <c r="AV14" s="284">
        <f t="shared" si="3"/>
        <v>2891.1822767354001</v>
      </c>
      <c r="AW14" s="284">
        <f t="shared" si="3"/>
        <v>2975.4385429127965</v>
      </c>
      <c r="AX14" s="284">
        <f t="shared" si="3"/>
        <v>3062.1729130330214</v>
      </c>
      <c r="AY14" s="284">
        <f t="shared" si="3"/>
        <v>3151.4587385335099</v>
      </c>
      <c r="AZ14" s="284">
        <f t="shared" si="3"/>
        <v>3243.371551561203</v>
      </c>
      <c r="BA14" s="285">
        <f t="shared" si="3"/>
        <v>3337.9891299971605</v>
      </c>
    </row>
    <row r="15" spans="1:53" ht="15.75" thickBot="1"/>
    <row r="16" spans="1:53" ht="15.75" thickBot="1"/>
    <row r="17" spans="1:53" ht="18" thickBot="1">
      <c r="A17"/>
      <c r="B17" s="273" t="s">
        <v>250</v>
      </c>
      <c r="C17" s="33"/>
      <c r="D17" s="34"/>
      <c r="I17" s="6"/>
      <c r="J17" s="6"/>
      <c r="K17" s="6"/>
      <c r="L17" s="6"/>
    </row>
    <row r="18" spans="1:53" ht="15.7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4" t="s">
        <v>471</v>
      </c>
      <c r="C19" s="485"/>
      <c r="D19" s="281">
        <f t="shared" ref="D19:AI19" si="6">D14</f>
        <v>823.68000000000006</v>
      </c>
      <c r="E19" s="281">
        <f t="shared" si="6"/>
        <v>847.35310000000004</v>
      </c>
      <c r="F19" s="281">
        <f t="shared" si="6"/>
        <v>871.7156470000001</v>
      </c>
      <c r="G19" s="281">
        <f t="shared" si="6"/>
        <v>896.78790949000006</v>
      </c>
      <c r="H19" s="281">
        <f t="shared" si="6"/>
        <v>922.59075571630001</v>
      </c>
      <c r="I19" s="281">
        <f t="shared" si="6"/>
        <v>949.14567150822108</v>
      </c>
      <c r="J19" s="281">
        <f t="shared" si="6"/>
        <v>976.47477863630832</v>
      </c>
      <c r="K19" s="281">
        <f t="shared" si="6"/>
        <v>1004.6008537178951</v>
      </c>
      <c r="L19" s="281">
        <f t="shared" si="6"/>
        <v>1033.5473476863795</v>
      </c>
      <c r="M19" s="281">
        <f t="shared" si="6"/>
        <v>1063.3384058410572</v>
      </c>
      <c r="N19" s="281">
        <f t="shared" si="6"/>
        <v>1093.9988884948571</v>
      </c>
      <c r="O19" s="281">
        <f t="shared" si="6"/>
        <v>1125.5543922378422</v>
      </c>
      <c r="P19" s="281">
        <f t="shared" si="6"/>
        <v>1158.0312718348796</v>
      </c>
      <c r="Q19" s="281">
        <f t="shared" si="6"/>
        <v>1191.4566627764264</v>
      </c>
      <c r="R19" s="281">
        <f t="shared" si="6"/>
        <v>1225.8585045019495</v>
      </c>
      <c r="S19" s="281">
        <f t="shared" si="6"/>
        <v>1261.2655643160829</v>
      </c>
      <c r="T19" s="281">
        <f t="shared" si="6"/>
        <v>1297.7074620182218</v>
      </c>
      <c r="U19" s="281">
        <f t="shared" si="6"/>
        <v>1335.2146952668779</v>
      </c>
      <c r="V19" s="281">
        <f t="shared" si="6"/>
        <v>1373.8186657007561</v>
      </c>
      <c r="W19" s="281">
        <f t="shared" si="6"/>
        <v>1413.5517058391679</v>
      </c>
      <c r="X19" s="281">
        <f t="shared" si="6"/>
        <v>1454.4471067850798</v>
      </c>
      <c r="Y19" s="281">
        <f t="shared" si="6"/>
        <v>1496.539146754784</v>
      </c>
      <c r="Z19" s="281">
        <f t="shared" si="6"/>
        <v>1539.8631204589024</v>
      </c>
      <c r="AA19" s="281">
        <f t="shared" si="6"/>
        <v>1584.4553693601736</v>
      </c>
      <c r="AB19" s="281">
        <f t="shared" si="6"/>
        <v>1630.3533128342331</v>
      </c>
      <c r="AC19" s="281">
        <f t="shared" si="6"/>
        <v>1677.5954802603794</v>
      </c>
      <c r="AD19" s="281">
        <f t="shared" si="6"/>
        <v>1726.2215440701327</v>
      </c>
      <c r="AE19" s="281">
        <f t="shared" si="6"/>
        <v>1776.2723537822174</v>
      </c>
      <c r="AF19" s="281">
        <f t="shared" si="6"/>
        <v>1827.7899710534641</v>
      </c>
      <c r="AG19" s="281">
        <f t="shared" si="6"/>
        <v>1880.8177057760038</v>
      </c>
      <c r="AH19" s="281">
        <f t="shared" si="6"/>
        <v>1935.4001532520385</v>
      </c>
      <c r="AI19" s="281">
        <f t="shared" si="6"/>
        <v>1991.5832324784092</v>
      </c>
      <c r="AJ19" s="281">
        <f t="shared" ref="AJ19:BA19" si="7">AJ14</f>
        <v>2049.4142255741472</v>
      </c>
      <c r="AK19" s="281">
        <f t="shared" si="7"/>
        <v>2108.9418183851853</v>
      </c>
      <c r="AL19" s="281">
        <f t="shared" si="7"/>
        <v>2170.2161423014304</v>
      </c>
      <c r="AM19" s="281">
        <f t="shared" si="7"/>
        <v>2233.2888173224574</v>
      </c>
      <c r="AN19" s="281">
        <f t="shared" si="7"/>
        <v>2298.2129964091541</v>
      </c>
      <c r="AO19" s="281">
        <f t="shared" si="7"/>
        <v>2365.0434111597924</v>
      </c>
      <c r="AP19" s="281">
        <f t="shared" si="7"/>
        <v>2433.8364188501173</v>
      </c>
      <c r="AQ19" s="281">
        <f t="shared" si="7"/>
        <v>2504.6500508782624</v>
      </c>
      <c r="AR19" s="281">
        <f t="shared" si="7"/>
        <v>2577.544062656505</v>
      </c>
      <c r="AS19" s="281">
        <f t="shared" si="7"/>
        <v>2652.5799849931327</v>
      </c>
      <c r="AT19" s="281">
        <f t="shared" si="7"/>
        <v>2729.8211770089974</v>
      </c>
      <c r="AU19" s="281">
        <f t="shared" si="7"/>
        <v>2809.3328806346599</v>
      </c>
      <c r="AV19" s="281">
        <f t="shared" si="7"/>
        <v>2891.1822767354001</v>
      </c>
      <c r="AW19" s="281">
        <f t="shared" si="7"/>
        <v>2975.4385429127965</v>
      </c>
      <c r="AX19" s="281">
        <f t="shared" si="7"/>
        <v>3062.1729130330214</v>
      </c>
      <c r="AY19" s="281">
        <f t="shared" si="7"/>
        <v>3151.4587385335099</v>
      </c>
      <c r="AZ19" s="281">
        <f t="shared" si="7"/>
        <v>3243.371551561203</v>
      </c>
      <c r="BA19" s="282">
        <f t="shared" si="7"/>
        <v>3337.9891299971605</v>
      </c>
    </row>
    <row r="20" spans="1:53">
      <c r="A20"/>
      <c r="B20" s="479" t="s">
        <v>247</v>
      </c>
      <c r="C20" s="480"/>
      <c r="D20" s="10">
        <f>-(Cockpit!K12-Cockpit!K27-Cockpit!K28)</f>
        <v>-148.72999999999999</v>
      </c>
      <c r="E20" s="10">
        <f>D20*(1+Cockpit!$H$30)</f>
        <v>-151.7046</v>
      </c>
      <c r="F20" s="10">
        <f>E20*(1+Cockpit!$H$30)</f>
        <v>-154.73869200000001</v>
      </c>
      <c r="G20" s="10">
        <f>F20*(1+Cockpit!$H$30)</f>
        <v>-157.83346584000003</v>
      </c>
      <c r="H20" s="10">
        <f>G20*(1+Cockpit!$H$30)</f>
        <v>-160.99013515680002</v>
      </c>
      <c r="I20" s="10">
        <f>H20*(1+Cockpit!$H$30)</f>
        <v>-164.20993785993602</v>
      </c>
      <c r="J20" s="10">
        <f>I20*(1+Cockpit!$H$30)</f>
        <v>-167.49413661713476</v>
      </c>
      <c r="K20" s="10">
        <f>J20*(1+Cockpit!$H$30)</f>
        <v>-170.84401934947746</v>
      </c>
      <c r="L20" s="10">
        <f>K20*(1+Cockpit!$H$30)</f>
        <v>-174.26089973646702</v>
      </c>
      <c r="M20" s="10">
        <f>L20*(1+Cockpit!$H$30)</f>
        <v>-177.74611773119636</v>
      </c>
      <c r="N20" s="10">
        <f>M20*(1+Cockpit!$H$30)</f>
        <v>-181.30104008582029</v>
      </c>
      <c r="O20" s="10">
        <f>N20*(1+Cockpit!$H$30)</f>
        <v>-184.9270608875367</v>
      </c>
      <c r="P20" s="10">
        <f>O20*(1+Cockpit!$H$30)</f>
        <v>-188.62560210528744</v>
      </c>
      <c r="Q20" s="10">
        <f>P20*(1+Cockpit!$H$30)</f>
        <v>-192.39811414739319</v>
      </c>
      <c r="R20" s="10">
        <f>Q20*(1+Cockpit!$H$30)</f>
        <v>-196.24607643034105</v>
      </c>
      <c r="S20" s="10">
        <f>R20*(1+Cockpit!$H$30)</f>
        <v>-200.17099795894788</v>
      </c>
      <c r="T20" s="10">
        <f>S20*(1+Cockpit!$H$30)</f>
        <v>-204.17441791812684</v>
      </c>
      <c r="U20" s="10">
        <f>T20*(1+Cockpit!$H$30)</f>
        <v>-208.25790627648936</v>
      </c>
      <c r="V20" s="10">
        <f>U20*(1+Cockpit!$H$30)</f>
        <v>-212.42306440201915</v>
      </c>
      <c r="W20" s="10">
        <f>V20*(1+Cockpit!$H$30)</f>
        <v>-216.67152569005953</v>
      </c>
      <c r="X20" s="10">
        <f>W20*(1+Cockpit!$H$30)</f>
        <v>-221.00495620386073</v>
      </c>
      <c r="Y20" s="10">
        <f>X20*(1+Cockpit!$H$30)</f>
        <v>-225.42505532793794</v>
      </c>
      <c r="Z20" s="10">
        <f>Y20*(1+Cockpit!$H$30)</f>
        <v>-229.93355643449669</v>
      </c>
      <c r="AA20" s="10">
        <f>Z20*(1+Cockpit!$H$30)</f>
        <v>-234.53222756318664</v>
      </c>
      <c r="AB20" s="10">
        <f>AA20*(1+Cockpit!$H$30)</f>
        <v>-239.22287211445038</v>
      </c>
      <c r="AC20" s="10">
        <f>AB20*(1+Cockpit!$H$30)</f>
        <v>-244.00732955673939</v>
      </c>
      <c r="AD20" s="10">
        <f>AC20*(1+Cockpit!$H$30)</f>
        <v>-248.8874761478742</v>
      </c>
      <c r="AE20" s="10">
        <f>AD20*(1+Cockpit!$H$30)</f>
        <v>-253.86522567083168</v>
      </c>
      <c r="AF20" s="10">
        <f>AE20*(1+Cockpit!$H$30)</f>
        <v>-258.94253018424831</v>
      </c>
      <c r="AG20" s="10">
        <f>AF20*(1+Cockpit!$H$30)</f>
        <v>-264.12138078793328</v>
      </c>
      <c r="AH20" s="10">
        <f>AG20*(1+Cockpit!$H$30)</f>
        <v>-269.40380840369193</v>
      </c>
      <c r="AI20" s="10">
        <f>AH20*(1+Cockpit!$H$30)</f>
        <v>-274.79188457176576</v>
      </c>
      <c r="AJ20" s="10">
        <f>AI20*(1+Cockpit!$H$30)</f>
        <v>-280.28772226320109</v>
      </c>
      <c r="AK20" s="10">
        <f>AJ20*(1+Cockpit!$H$30)</f>
        <v>-285.89347670846513</v>
      </c>
      <c r="AL20" s="10">
        <f>AK20*(1+Cockpit!$H$30)</f>
        <v>-291.61134624263445</v>
      </c>
      <c r="AM20" s="10">
        <f>AL20*(1+Cockpit!$H$30)</f>
        <v>-297.44357316748716</v>
      </c>
      <c r="AN20" s="10">
        <f>AM20*(1+Cockpit!$H$30)</f>
        <v>-303.39244463083691</v>
      </c>
      <c r="AO20" s="10">
        <f>AN20*(1+Cockpit!$H$30)</f>
        <v>-309.46029352345363</v>
      </c>
      <c r="AP20" s="10">
        <f>AO20*(1+Cockpit!$H$30)</f>
        <v>-315.64949939392272</v>
      </c>
      <c r="AQ20" s="10">
        <f>AP20*(1+Cockpit!$H$30)</f>
        <v>-321.96248938180116</v>
      </c>
      <c r="AR20" s="10">
        <f>AQ20*(1+Cockpit!$H$30)</f>
        <v>-328.40173916943718</v>
      </c>
      <c r="AS20" s="10">
        <f>AR20*(1+Cockpit!$H$30)</f>
        <v>-334.9697739528259</v>
      </c>
      <c r="AT20" s="10">
        <f>AS20*(1+Cockpit!$H$30)</f>
        <v>-341.66916943188244</v>
      </c>
      <c r="AU20" s="10">
        <f>AT20*(1+Cockpit!$H$30)</f>
        <v>-348.50255282052007</v>
      </c>
      <c r="AV20" s="10">
        <f>AU20*(1+Cockpit!$H$30)</f>
        <v>-355.47260387693046</v>
      </c>
      <c r="AW20" s="10">
        <f>AV20*(1+Cockpit!$H$30)</f>
        <v>-362.58205595446907</v>
      </c>
      <c r="AX20" s="10">
        <f>AW20*(1+Cockpit!$H$30)</f>
        <v>-369.83369707355848</v>
      </c>
      <c r="AY20" s="10">
        <f>AX20*(1+Cockpit!$H$30)</f>
        <v>-377.23037101502968</v>
      </c>
      <c r="AZ20" s="10">
        <f>AY20*(1+Cockpit!$H$30)</f>
        <v>-384.7749784353303</v>
      </c>
      <c r="BA20" s="283">
        <f>AZ20*(1+Cockpit!$H$30)</f>
        <v>-392.47047800403692</v>
      </c>
    </row>
    <row r="21" spans="1:53">
      <c r="A21"/>
      <c r="B21" s="479" t="s">
        <v>248</v>
      </c>
      <c r="C21" s="480"/>
      <c r="D21" s="10">
        <f>-Cockpit!K27</f>
        <v>-35.291666666666664</v>
      </c>
      <c r="E21" s="10">
        <f>D21*(1+Cockpit!$H$30)</f>
        <v>-35.997499999999995</v>
      </c>
      <c r="F21" s="10">
        <f>E21*(1+Cockpit!$H$30)</f>
        <v>-36.717449999999992</v>
      </c>
      <c r="G21" s="10">
        <f>F21*(1+Cockpit!$H$30)</f>
        <v>-37.451798999999994</v>
      </c>
      <c r="H21" s="10">
        <f>G21*(1+Cockpit!$H$30)</f>
        <v>-38.200834979999996</v>
      </c>
      <c r="I21" s="10">
        <f>H21*(1+Cockpit!$H$30)</f>
        <v>-38.964851679599995</v>
      </c>
      <c r="J21" s="10">
        <f>I21*(1+Cockpit!$H$30)</f>
        <v>-39.744148713191997</v>
      </c>
      <c r="K21" s="10">
        <f>J21*(1+Cockpit!$H$30)</f>
        <v>-40.539031687455839</v>
      </c>
      <c r="L21" s="10">
        <f>K21*(1+Cockpit!$H$30)</f>
        <v>-41.349812321204958</v>
      </c>
      <c r="M21" s="10">
        <f>L21*(1+Cockpit!$H$30)</f>
        <v>-42.17680856762906</v>
      </c>
      <c r="N21" s="10">
        <f>M21*(1+Cockpit!$H$30)</f>
        <v>-43.020344738981642</v>
      </c>
      <c r="O21" s="10">
        <f>N21*(1+Cockpit!$H$30)</f>
        <v>-43.880751633761278</v>
      </c>
      <c r="P21" s="10">
        <f>O21*(1+Cockpit!$H$30)</f>
        <v>-44.758366666436501</v>
      </c>
      <c r="Q21" s="10">
        <f>P21*(1+Cockpit!$H$30)</f>
        <v>-45.65353399976523</v>
      </c>
      <c r="R21" s="10">
        <f>Q21*(1+Cockpit!$H$30)</f>
        <v>-46.566604679760538</v>
      </c>
      <c r="S21" s="10">
        <f>R21*(1+Cockpit!$H$30)</f>
        <v>-47.497936773355747</v>
      </c>
      <c r="T21" s="10">
        <f>S21*(1+Cockpit!$H$30)</f>
        <v>-48.44789550882286</v>
      </c>
      <c r="U21" s="10">
        <f>T21*(1+Cockpit!$H$30)</f>
        <v>-49.416853418999317</v>
      </c>
      <c r="V21" s="10">
        <f>U21*(1+Cockpit!$H$30)</f>
        <v>-50.405190487379301</v>
      </c>
      <c r="W21" s="10">
        <f>V21*(1+Cockpit!$H$30)</f>
        <v>-51.413294297126889</v>
      </c>
      <c r="X21" s="10">
        <f>W21*(1+Cockpit!$H$30)</f>
        <v>-52.441560183069427</v>
      </c>
      <c r="Y21" s="10">
        <f>X21*(1+Cockpit!$H$30)</f>
        <v>-53.490391386730813</v>
      </c>
      <c r="Z21" s="10">
        <f>Y21*(1+Cockpit!$H$30)</f>
        <v>-54.560199214465428</v>
      </c>
      <c r="AA21" s="10">
        <f>Z21*(1+Cockpit!$H$30)</f>
        <v>-55.651403198754736</v>
      </c>
      <c r="AB21" s="10">
        <f>AA21*(1+Cockpit!$H$30)</f>
        <v>-56.764431262729829</v>
      </c>
      <c r="AC21" s="10">
        <f>AB21*(1+Cockpit!$H$30)</f>
        <v>-57.899719887984425</v>
      </c>
      <c r="AD21" s="10">
        <f>AC21*(1+Cockpit!$H$30)</f>
        <v>-59.057714285744112</v>
      </c>
      <c r="AE21" s="10">
        <f>AD21*(1+Cockpit!$H$30)</f>
        <v>-60.238868571458994</v>
      </c>
      <c r="AF21" s="10">
        <f>AE21*(1+Cockpit!$H$30)</f>
        <v>-61.443645942888175</v>
      </c>
      <c r="AG21" s="10">
        <f>AF21*(1+Cockpit!$H$30)</f>
        <v>-62.672518861745942</v>
      </c>
      <c r="AH21" s="10">
        <f>AG21*(1+Cockpit!$H$30)</f>
        <v>-63.925969238980862</v>
      </c>
      <c r="AI21" s="10">
        <f>AH21*(1+Cockpit!$H$30)</f>
        <v>-65.204488623760483</v>
      </c>
      <c r="AJ21" s="10">
        <f>AI21*(1+Cockpit!$H$30)</f>
        <v>-66.508578396235691</v>
      </c>
      <c r="AK21" s="10">
        <f>AJ21*(1+Cockpit!$H$30)</f>
        <v>-67.838749964160399</v>
      </c>
      <c r="AL21" s="10">
        <f>AK21*(1+Cockpit!$H$30)</f>
        <v>-69.195524963443603</v>
      </c>
      <c r="AM21" s="10">
        <f>AL21*(1+Cockpit!$H$30)</f>
        <v>-70.579435462712482</v>
      </c>
      <c r="AN21" s="10">
        <f>AM21*(1+Cockpit!$H$30)</f>
        <v>-71.991024171966728</v>
      </c>
      <c r="AO21" s="10">
        <f>AN21*(1+Cockpit!$H$30)</f>
        <v>-73.430844655406062</v>
      </c>
      <c r="AP21" s="10">
        <f>AO21*(1+Cockpit!$H$30)</f>
        <v>-74.899461548514182</v>
      </c>
      <c r="AQ21" s="10">
        <f>AP21*(1+Cockpit!$H$30)</f>
        <v>-76.397450779484473</v>
      </c>
      <c r="AR21" s="10">
        <f>AQ21*(1+Cockpit!$H$30)</f>
        <v>-77.925399795074156</v>
      </c>
      <c r="AS21" s="10">
        <f>AR21*(1+Cockpit!$H$30)</f>
        <v>-79.483907790975636</v>
      </c>
      <c r="AT21" s="10">
        <f>AS21*(1+Cockpit!$H$30)</f>
        <v>-81.073585946795149</v>
      </c>
      <c r="AU21" s="10">
        <f>AT21*(1+Cockpit!$H$30)</f>
        <v>-82.695057665731056</v>
      </c>
      <c r="AV21" s="10">
        <f>AU21*(1+Cockpit!$H$30)</f>
        <v>-84.348958819045677</v>
      </c>
      <c r="AW21" s="10">
        <f>AV21*(1+Cockpit!$H$30)</f>
        <v>-86.035937995426593</v>
      </c>
      <c r="AX21" s="10">
        <f>AW21*(1+Cockpit!$H$30)</f>
        <v>-87.756656755335129</v>
      </c>
      <c r="AY21" s="10">
        <f>AX21*(1+Cockpit!$H$30)</f>
        <v>-89.511789890441833</v>
      </c>
      <c r="AZ21" s="10">
        <f>AY21*(1+Cockpit!$H$30)</f>
        <v>-91.302025688250666</v>
      </c>
      <c r="BA21" s="283">
        <f>AZ21*(1+Cockpit!$H$30)</f>
        <v>-93.128066202015674</v>
      </c>
    </row>
    <row r="22" spans="1:53">
      <c r="A22"/>
      <c r="B22" s="479" t="s">
        <v>246</v>
      </c>
      <c r="C22" s="480"/>
      <c r="D22" s="10">
        <f>-Cockpit!K28</f>
        <v>-24.7104</v>
      </c>
      <c r="E22" s="10">
        <f>-Cockpit!$H$25*'Miete, Cashflow, Steuern'!E14</f>
        <v>-25.420593</v>
      </c>
      <c r="F22" s="10">
        <f>-Cockpit!$H$25*'Miete, Cashflow, Steuern'!F14</f>
        <v>-26.151469410000001</v>
      </c>
      <c r="G22" s="10">
        <f>-Cockpit!$H$25*'Miete, Cashflow, Steuern'!G14</f>
        <v>-26.9036372847</v>
      </c>
      <c r="H22" s="10">
        <f>-Cockpit!$H$25*'Miete, Cashflow, Steuern'!H14</f>
        <v>-27.677722671489001</v>
      </c>
      <c r="I22" s="10">
        <f>-Cockpit!$H$25*'Miete, Cashflow, Steuern'!I14</f>
        <v>-28.474370145246631</v>
      </c>
      <c r="J22" s="10">
        <f>-Cockpit!$H$25*'Miete, Cashflow, Steuern'!J14</f>
        <v>-29.294243359089247</v>
      </c>
      <c r="K22" s="10">
        <f>-Cockpit!$H$25*'Miete, Cashflow, Steuern'!K14</f>
        <v>-30.138025611536854</v>
      </c>
      <c r="L22" s="10">
        <f>-Cockpit!$H$25*'Miete, Cashflow, Steuern'!L14</f>
        <v>-31.006420430591383</v>
      </c>
      <c r="M22" s="10">
        <f>-Cockpit!$H$25*'Miete, Cashflow, Steuern'!M14</f>
        <v>-31.900152175231717</v>
      </c>
      <c r="N22" s="10">
        <f>-Cockpit!$H$25*'Miete, Cashflow, Steuern'!N14</f>
        <v>-32.819966654845707</v>
      </c>
      <c r="O22" s="10">
        <f>-Cockpit!$H$25*'Miete, Cashflow, Steuern'!O14</f>
        <v>-33.766631767135266</v>
      </c>
      <c r="P22" s="10">
        <f>-Cockpit!$H$25*'Miete, Cashflow, Steuern'!P14</f>
        <v>-34.740938155046386</v>
      </c>
      <c r="Q22" s="10">
        <f>-Cockpit!$H$25*'Miete, Cashflow, Steuern'!Q14</f>
        <v>-35.743699883292791</v>
      </c>
      <c r="R22" s="10">
        <f>-Cockpit!$H$25*'Miete, Cashflow, Steuern'!R14</f>
        <v>-36.775755135058482</v>
      </c>
      <c r="S22" s="10">
        <f>-Cockpit!$H$25*'Miete, Cashflow, Steuern'!S14</f>
        <v>-37.837966929482484</v>
      </c>
      <c r="T22" s="10">
        <f>-Cockpit!$H$25*'Miete, Cashflow, Steuern'!T14</f>
        <v>-38.931223860546652</v>
      </c>
      <c r="U22" s="10">
        <f>-Cockpit!$H$25*'Miete, Cashflow, Steuern'!U14</f>
        <v>-40.056440858006333</v>
      </c>
      <c r="V22" s="10">
        <f>-Cockpit!$H$25*'Miete, Cashflow, Steuern'!V14</f>
        <v>-41.21455997102268</v>
      </c>
      <c r="W22" s="10">
        <f>-Cockpit!$H$25*'Miete, Cashflow, Steuern'!W14</f>
        <v>-42.406551175175032</v>
      </c>
      <c r="X22" s="10">
        <f>-Cockpit!$H$25*'Miete, Cashflow, Steuern'!X14</f>
        <v>-43.633413203552394</v>
      </c>
      <c r="Y22" s="10">
        <f>-Cockpit!$H$25*'Miete, Cashflow, Steuern'!Y14</f>
        <v>-44.896174402643517</v>
      </c>
      <c r="Z22" s="10">
        <f>-Cockpit!$H$25*'Miete, Cashflow, Steuern'!Z14</f>
        <v>-46.195893613767069</v>
      </c>
      <c r="AA22" s="10">
        <f>-Cockpit!$H$25*'Miete, Cashflow, Steuern'!AA14</f>
        <v>-47.533661080805203</v>
      </c>
      <c r="AB22" s="10">
        <f>-Cockpit!$H$25*'Miete, Cashflow, Steuern'!AB14</f>
        <v>-48.910599385026991</v>
      </c>
      <c r="AC22" s="10">
        <f>-Cockpit!$H$25*'Miete, Cashflow, Steuern'!AC14</f>
        <v>-50.327864407811383</v>
      </c>
      <c r="AD22" s="10">
        <f>-Cockpit!$H$25*'Miete, Cashflow, Steuern'!AD14</f>
        <v>-51.786646322103977</v>
      </c>
      <c r="AE22" s="10">
        <f>-Cockpit!$H$25*'Miete, Cashflow, Steuern'!AE14</f>
        <v>-53.288170613466519</v>
      </c>
      <c r="AF22" s="10">
        <f>-Cockpit!$H$25*'Miete, Cashflow, Steuern'!AF14</f>
        <v>-54.833699131603922</v>
      </c>
      <c r="AG22" s="10">
        <f>-Cockpit!$H$25*'Miete, Cashflow, Steuern'!AG14</f>
        <v>-56.424531173280108</v>
      </c>
      <c r="AH22" s="10">
        <f>-Cockpit!$H$25*'Miete, Cashflow, Steuern'!AH14</f>
        <v>-58.062004597561156</v>
      </c>
      <c r="AI22" s="10">
        <f>-Cockpit!$H$25*'Miete, Cashflow, Steuern'!AI14</f>
        <v>-59.747496974352273</v>
      </c>
      <c r="AJ22" s="10">
        <f>-Cockpit!$H$25*'Miete, Cashflow, Steuern'!AJ14</f>
        <v>-61.48242676722441</v>
      </c>
      <c r="AK22" s="10">
        <f>-Cockpit!$H$25*'Miete, Cashflow, Steuern'!AK14</f>
        <v>-63.268254551555557</v>
      </c>
      <c r="AL22" s="10">
        <f>-Cockpit!$H$25*'Miete, Cashflow, Steuern'!AL14</f>
        <v>-65.106484269042909</v>
      </c>
      <c r="AM22" s="10">
        <f>-Cockpit!$H$25*'Miete, Cashflow, Steuern'!AM14</f>
        <v>-66.998664519673724</v>
      </c>
      <c r="AN22" s="10">
        <f>-Cockpit!$H$25*'Miete, Cashflow, Steuern'!AN14</f>
        <v>-68.946389892274624</v>
      </c>
      <c r="AO22" s="10">
        <f>-Cockpit!$H$25*'Miete, Cashflow, Steuern'!AO14</f>
        <v>-70.951302334793766</v>
      </c>
      <c r="AP22" s="10">
        <f>-Cockpit!$H$25*'Miete, Cashflow, Steuern'!AP14</f>
        <v>-73.015092565503522</v>
      </c>
      <c r="AQ22" s="10">
        <f>-Cockpit!$H$25*'Miete, Cashflow, Steuern'!AQ14</f>
        <v>-75.139501526347871</v>
      </c>
      <c r="AR22" s="10">
        <f>-Cockpit!$H$25*'Miete, Cashflow, Steuern'!AR14</f>
        <v>-77.326321879695143</v>
      </c>
      <c r="AS22" s="10">
        <f>-Cockpit!$H$25*'Miete, Cashflow, Steuern'!AS14</f>
        <v>-79.577399549793981</v>
      </c>
      <c r="AT22" s="10">
        <f>-Cockpit!$H$25*'Miete, Cashflow, Steuern'!AT14</f>
        <v>-81.894635310269919</v>
      </c>
      <c r="AU22" s="10">
        <f>-Cockpit!$H$25*'Miete, Cashflow, Steuern'!AU14</f>
        <v>-84.279986419039787</v>
      </c>
      <c r="AV22" s="10">
        <f>-Cockpit!$H$25*'Miete, Cashflow, Steuern'!AV14</f>
        <v>-86.735468302062003</v>
      </c>
      <c r="AW22" s="10">
        <f>-Cockpit!$H$25*'Miete, Cashflow, Steuern'!AW14</f>
        <v>-89.263156287383893</v>
      </c>
      <c r="AX22" s="10">
        <f>-Cockpit!$H$25*'Miete, Cashflow, Steuern'!AX14</f>
        <v>-91.865187390990641</v>
      </c>
      <c r="AY22" s="10">
        <f>-Cockpit!$H$25*'Miete, Cashflow, Steuern'!AY14</f>
        <v>-94.543762156005286</v>
      </c>
      <c r="AZ22" s="10">
        <f>-Cockpit!$H$25*'Miete, Cashflow, Steuern'!AZ14</f>
        <v>-97.30114654683608</v>
      </c>
      <c r="BA22" s="283">
        <f>-Cockpit!$H$25*'Miete, Cashflow, Steuern'!BA14</f>
        <v>-100.13967389991481</v>
      </c>
    </row>
    <row r="23" spans="1:53">
      <c r="A23"/>
      <c r="B23" s="486" t="s">
        <v>275</v>
      </c>
      <c r="C23" s="487"/>
      <c r="D23" s="10">
        <f t="shared" ref="D23:AI23" si="8">D20+D21+D22</f>
        <v>-208.73206666666664</v>
      </c>
      <c r="E23" s="10">
        <f t="shared" si="8"/>
        <v>-213.122693</v>
      </c>
      <c r="F23" s="10">
        <f t="shared" si="8"/>
        <v>-217.60761141</v>
      </c>
      <c r="G23" s="10">
        <f t="shared" si="8"/>
        <v>-222.18890212470004</v>
      </c>
      <c r="H23" s="10">
        <f t="shared" si="8"/>
        <v>-226.86869280828901</v>
      </c>
      <c r="I23" s="10">
        <f t="shared" si="8"/>
        <v>-231.64915968478266</v>
      </c>
      <c r="J23" s="10">
        <f t="shared" si="8"/>
        <v>-236.53252868941601</v>
      </c>
      <c r="K23" s="10">
        <f t="shared" si="8"/>
        <v>-241.52107664847014</v>
      </c>
      <c r="L23" s="10">
        <f t="shared" si="8"/>
        <v>-246.61713248826337</v>
      </c>
      <c r="M23" s="10">
        <f t="shared" si="8"/>
        <v>-251.82307847405713</v>
      </c>
      <c r="N23" s="10">
        <f t="shared" si="8"/>
        <v>-257.14135147964765</v>
      </c>
      <c r="O23" s="10">
        <f t="shared" si="8"/>
        <v>-262.57444428843326</v>
      </c>
      <c r="P23" s="10">
        <f t="shared" si="8"/>
        <v>-268.12490692677034</v>
      </c>
      <c r="Q23" s="10">
        <f t="shared" si="8"/>
        <v>-273.79534803045118</v>
      </c>
      <c r="R23" s="10">
        <f t="shared" si="8"/>
        <v>-279.58843624516004</v>
      </c>
      <c r="S23" s="10">
        <f t="shared" si="8"/>
        <v>-285.50690166178612</v>
      </c>
      <c r="T23" s="10">
        <f t="shared" si="8"/>
        <v>-291.55353728749634</v>
      </c>
      <c r="U23" s="10">
        <f t="shared" si="8"/>
        <v>-297.731200553495</v>
      </c>
      <c r="V23" s="10">
        <f t="shared" si="8"/>
        <v>-304.04281486042112</v>
      </c>
      <c r="W23" s="10">
        <f t="shared" si="8"/>
        <v>-310.49137116236142</v>
      </c>
      <c r="X23" s="10">
        <f t="shared" si="8"/>
        <v>-317.07992959048255</v>
      </c>
      <c r="Y23" s="10">
        <f t="shared" si="8"/>
        <v>-323.81162111731226</v>
      </c>
      <c r="Z23" s="10">
        <f t="shared" si="8"/>
        <v>-330.68964926272918</v>
      </c>
      <c r="AA23" s="10">
        <f t="shared" si="8"/>
        <v>-337.71729184274653</v>
      </c>
      <c r="AB23" s="10">
        <f t="shared" si="8"/>
        <v>-344.8979027622072</v>
      </c>
      <c r="AC23" s="10">
        <f t="shared" si="8"/>
        <v>-352.23491385253521</v>
      </c>
      <c r="AD23" s="10">
        <f t="shared" si="8"/>
        <v>-359.73183675572233</v>
      </c>
      <c r="AE23" s="10">
        <f t="shared" si="8"/>
        <v>-367.39226485575716</v>
      </c>
      <c r="AF23" s="10">
        <f t="shared" si="8"/>
        <v>-375.21987525874039</v>
      </c>
      <c r="AG23" s="10">
        <f t="shared" si="8"/>
        <v>-383.21843082295936</v>
      </c>
      <c r="AH23" s="10">
        <f t="shared" si="8"/>
        <v>-391.39178224023397</v>
      </c>
      <c r="AI23" s="10">
        <f t="shared" si="8"/>
        <v>-399.74387016987851</v>
      </c>
      <c r="AJ23" s="10">
        <f t="shared" ref="AJ23:BA23" si="9">AJ20+AJ21+AJ22</f>
        <v>-408.27872742666119</v>
      </c>
      <c r="AK23" s="10">
        <f t="shared" si="9"/>
        <v>-417.0004812241811</v>
      </c>
      <c r="AL23" s="10">
        <f t="shared" si="9"/>
        <v>-425.91335547512097</v>
      </c>
      <c r="AM23" s="10">
        <f t="shared" si="9"/>
        <v>-435.02167314987332</v>
      </c>
      <c r="AN23" s="10">
        <f t="shared" si="9"/>
        <v>-444.32985869507826</v>
      </c>
      <c r="AO23" s="10">
        <f t="shared" si="9"/>
        <v>-453.84244051365346</v>
      </c>
      <c r="AP23" s="10">
        <f t="shared" si="9"/>
        <v>-463.56405350794046</v>
      </c>
      <c r="AQ23" s="10">
        <f t="shared" si="9"/>
        <v>-473.49944168763352</v>
      </c>
      <c r="AR23" s="10">
        <f t="shared" si="9"/>
        <v>-483.65346084420651</v>
      </c>
      <c r="AS23" s="10">
        <f t="shared" si="9"/>
        <v>-494.03108129359555</v>
      </c>
      <c r="AT23" s="10">
        <f t="shared" si="9"/>
        <v>-504.63739068894751</v>
      </c>
      <c r="AU23" s="10">
        <f t="shared" si="9"/>
        <v>-515.47759690529085</v>
      </c>
      <c r="AV23" s="10">
        <f t="shared" si="9"/>
        <v>-526.55703099803816</v>
      </c>
      <c r="AW23" s="10">
        <f t="shared" si="9"/>
        <v>-537.8811502372796</v>
      </c>
      <c r="AX23" s="10">
        <f t="shared" si="9"/>
        <v>-549.45554121988425</v>
      </c>
      <c r="AY23" s="10">
        <f t="shared" si="9"/>
        <v>-561.28592306147675</v>
      </c>
      <c r="AZ23" s="10">
        <f t="shared" si="9"/>
        <v>-573.37815067041709</v>
      </c>
      <c r="BA23" s="283">
        <f t="shared" si="9"/>
        <v>-585.73821810596735</v>
      </c>
    </row>
    <row r="24" spans="1:53">
      <c r="A24"/>
      <c r="B24" s="479" t="s">
        <v>31</v>
      </c>
      <c r="C24" s="480"/>
      <c r="D24" s="10">
        <f>-'Wert, AfA, Darlehen'!D110/12</f>
        <v>-333.33333333333331</v>
      </c>
      <c r="E24" s="10">
        <f>-'Wert, AfA, Darlehen'!E110/12</f>
        <v>-327.33333333333331</v>
      </c>
      <c r="F24" s="10">
        <f>-'Wert, AfA, Darlehen'!F110/12</f>
        <v>-321.09333333333331</v>
      </c>
      <c r="G24" s="10">
        <f>-'Wert, AfA, Darlehen'!G110/12</f>
        <v>-314.60373333333331</v>
      </c>
      <c r="H24" s="10">
        <f>-'Wert, AfA, Darlehen'!H110/12</f>
        <v>-307.8545493333333</v>
      </c>
      <c r="I24" s="10">
        <f>-'Wert, AfA, Darlehen'!I110/12</f>
        <v>-300.83539797333333</v>
      </c>
      <c r="J24" s="10">
        <f>-'Wert, AfA, Darlehen'!J110/12</f>
        <v>-293.53548055893333</v>
      </c>
      <c r="K24" s="10">
        <f>-'Wert, AfA, Darlehen'!K110/12</f>
        <v>-285.94356644795727</v>
      </c>
      <c r="L24" s="10">
        <f>-'Wert, AfA, Darlehen'!L110/12</f>
        <v>-278.0479757725422</v>
      </c>
      <c r="M24" s="10">
        <f>-'Wert, AfA, Darlehen'!M110/12</f>
        <v>-269.83656147011055</v>
      </c>
      <c r="N24" s="10">
        <f>-'Wert, AfA, Darlehen'!N110/12</f>
        <v>-261.29669059558165</v>
      </c>
      <c r="O24" s="10">
        <f>-'Wert, AfA, Darlehen'!O110/12</f>
        <v>-252.41522488607157</v>
      </c>
      <c r="P24" s="10">
        <f>-'Wert, AfA, Darlehen'!P110/12</f>
        <v>-243.17850054818109</v>
      </c>
      <c r="Q24" s="10">
        <f>-'Wert, AfA, Darlehen'!Q110/12</f>
        <v>-233.572307236775</v>
      </c>
      <c r="R24" s="10">
        <f>-'Wert, AfA, Darlehen'!R110/12</f>
        <v>-223.58186619291268</v>
      </c>
      <c r="S24" s="10">
        <f>-'Wert, AfA, Darlehen'!S110/12</f>
        <v>-213.19180750729583</v>
      </c>
      <c r="T24" s="10">
        <f>-'Wert, AfA, Darlehen'!T110/12</f>
        <v>-202.38614647425436</v>
      </c>
      <c r="U24" s="10">
        <f>-'Wert, AfA, Darlehen'!U110/12</f>
        <v>-191.14825899989117</v>
      </c>
      <c r="V24" s="10">
        <f>-'Wert, AfA, Darlehen'!V110/12</f>
        <v>-179.4608560265535</v>
      </c>
      <c r="W24" s="10">
        <f>-'Wert, AfA, Darlehen'!W110/12</f>
        <v>-167.30595693428231</v>
      </c>
      <c r="X24" s="10">
        <f>-'Wert, AfA, Darlehen'!X110/12</f>
        <v>-154.66486187832024</v>
      </c>
      <c r="Y24" s="10">
        <f>-'Wert, AfA, Darlehen'!Y110/12</f>
        <v>-141.51812302011973</v>
      </c>
      <c r="Z24" s="10">
        <f>-'Wert, AfA, Darlehen'!Z110/12</f>
        <v>-127.84551460759117</v>
      </c>
      <c r="AA24" s="10">
        <f>-'Wert, AfA, Darlehen'!AA110/12</f>
        <v>-113.62600185856151</v>
      </c>
      <c r="AB24" s="10">
        <f>-'Wert, AfA, Darlehen'!AB110/12</f>
        <v>-98.837708599570632</v>
      </c>
      <c r="AC24" s="10">
        <f>-'Wert, AfA, Darlehen'!AC110/12</f>
        <v>-83.457883610220122</v>
      </c>
      <c r="AD24" s="10">
        <f>-'Wert, AfA, Darlehen'!AD110/12</f>
        <v>-67.462865621295578</v>
      </c>
      <c r="AE24" s="10">
        <f>-'Wert, AfA, Darlehen'!AE110/12</f>
        <v>-50.828046912814074</v>
      </c>
      <c r="AF24" s="10">
        <f>-'Wert, AfA, Darlehen'!AF110/12</f>
        <v>-33.527835455993305</v>
      </c>
      <c r="AG24" s="10">
        <f>-'Wert, AfA, Darlehen'!AG110/12</f>
        <v>-15.535615540899698</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-149.99999999999997</v>
      </c>
      <c r="E25" s="10">
        <f>-'Wert, AfA, Darlehen'!E114/12</f>
        <v>-156</v>
      </c>
      <c r="F25" s="10">
        <f>-'Wert, AfA, Darlehen'!F114/12</f>
        <v>-162.24</v>
      </c>
      <c r="G25" s="10">
        <f>-'Wert, AfA, Darlehen'!G114/12</f>
        <v>-168.7296</v>
      </c>
      <c r="H25" s="10">
        <f>-'Wert, AfA, Darlehen'!H114/12</f>
        <v>-175.47878400000002</v>
      </c>
      <c r="I25" s="10">
        <f>-'Wert, AfA, Darlehen'!I114/12</f>
        <v>-182.49793536000001</v>
      </c>
      <c r="J25" s="10">
        <f>-'Wert, AfA, Darlehen'!J114/12</f>
        <v>-189.79785277440001</v>
      </c>
      <c r="K25" s="10">
        <f>-'Wert, AfA, Darlehen'!K114/12</f>
        <v>-197.38976688537605</v>
      </c>
      <c r="L25" s="10">
        <f>-'Wert, AfA, Darlehen'!L114/12</f>
        <v>-205.28535756079111</v>
      </c>
      <c r="M25" s="10">
        <f>-'Wert, AfA, Darlehen'!M114/12</f>
        <v>-213.49677186322276</v>
      </c>
      <c r="N25" s="10">
        <f>-'Wert, AfA, Darlehen'!N114/12</f>
        <v>-222.03664273775166</v>
      </c>
      <c r="O25" s="10">
        <f>-'Wert, AfA, Darlehen'!O114/12</f>
        <v>-230.91810844726174</v>
      </c>
      <c r="P25" s="10">
        <f>-'Wert, AfA, Darlehen'!P114/12</f>
        <v>-240.15483278515225</v>
      </c>
      <c r="Q25" s="10">
        <f>-'Wert, AfA, Darlehen'!Q114/12</f>
        <v>-249.76102609655834</v>
      </c>
      <c r="R25" s="10">
        <f>-'Wert, AfA, Darlehen'!R114/12</f>
        <v>-259.75146714042063</v>
      </c>
      <c r="S25" s="10">
        <f>-'Wert, AfA, Darlehen'!S114/12</f>
        <v>-270.14152582603748</v>
      </c>
      <c r="T25" s="10">
        <f>-'Wert, AfA, Darlehen'!T114/12</f>
        <v>-280.94718685907895</v>
      </c>
      <c r="U25" s="10">
        <f>-'Wert, AfA, Darlehen'!U114/12</f>
        <v>-292.18507433344217</v>
      </c>
      <c r="V25" s="10">
        <f>-'Wert, AfA, Darlehen'!V114/12</f>
        <v>-303.87247730677984</v>
      </c>
      <c r="W25" s="10">
        <f>-'Wert, AfA, Darlehen'!W114/12</f>
        <v>-316.02737639905104</v>
      </c>
      <c r="X25" s="10">
        <f>-'Wert, AfA, Darlehen'!X114/12</f>
        <v>-328.6684714550131</v>
      </c>
      <c r="Y25" s="10">
        <f>-'Wert, AfA, Darlehen'!Y114/12</f>
        <v>-341.81521031321358</v>
      </c>
      <c r="Z25" s="10">
        <f>-'Wert, AfA, Darlehen'!Z114/12</f>
        <v>-355.4878187257421</v>
      </c>
      <c r="AA25" s="10">
        <f>-'Wert, AfA, Darlehen'!AA114/12</f>
        <v>-369.70733147477182</v>
      </c>
      <c r="AB25" s="10">
        <f>-'Wert, AfA, Darlehen'!AB114/12</f>
        <v>-384.49562473376272</v>
      </c>
      <c r="AC25" s="10">
        <f>-'Wert, AfA, Darlehen'!AC114/12</f>
        <v>-399.87544972311321</v>
      </c>
      <c r="AD25" s="10">
        <f>-'Wert, AfA, Darlehen'!AD114/12</f>
        <v>-415.87046771203774</v>
      </c>
      <c r="AE25" s="10">
        <f>-'Wert, AfA, Darlehen'!AE114/12</f>
        <v>-432.50528642051927</v>
      </c>
      <c r="AF25" s="10">
        <f>-'Wert, AfA, Darlehen'!AF114/12</f>
        <v>-449.80549787734003</v>
      </c>
      <c r="AG25" s="10">
        <f>-'Wert, AfA, Darlehen'!AG114/12</f>
        <v>-388.39038852249246</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131.61460000000008</v>
      </c>
      <c r="E26" s="136">
        <f t="shared" si="10"/>
        <v>150.8970736666667</v>
      </c>
      <c r="F26" s="136">
        <f t="shared" si="10"/>
        <v>170.77470225666679</v>
      </c>
      <c r="G26" s="136">
        <f t="shared" si="10"/>
        <v>191.26567403196674</v>
      </c>
      <c r="H26" s="136">
        <f t="shared" si="10"/>
        <v>212.38872957467771</v>
      </c>
      <c r="I26" s="136">
        <f t="shared" si="10"/>
        <v>234.16317849010503</v>
      </c>
      <c r="J26" s="136">
        <f t="shared" si="10"/>
        <v>256.6089166135589</v>
      </c>
      <c r="K26" s="136">
        <f t="shared" si="10"/>
        <v>279.74644373609163</v>
      </c>
      <c r="L26" s="136">
        <f t="shared" si="10"/>
        <v>303.5968818647828</v>
      </c>
      <c r="M26" s="136">
        <f t="shared" si="10"/>
        <v>328.18199403366668</v>
      </c>
      <c r="N26" s="136">
        <f t="shared" si="10"/>
        <v>353.52420368187609</v>
      </c>
      <c r="O26" s="136">
        <f t="shared" si="10"/>
        <v>379.64661461607568</v>
      </c>
      <c r="P26" s="136">
        <f t="shared" si="10"/>
        <v>406.57303157477588</v>
      </c>
      <c r="Q26" s="136">
        <f t="shared" si="10"/>
        <v>434.32798141264186</v>
      </c>
      <c r="R26" s="136">
        <f t="shared" si="10"/>
        <v>462.93673492345619</v>
      </c>
      <c r="S26" s="136">
        <f t="shared" si="10"/>
        <v>492.4253293209635</v>
      </c>
      <c r="T26" s="136">
        <f t="shared" si="10"/>
        <v>522.82059139739226</v>
      </c>
      <c r="U26" s="136">
        <f t="shared" si="10"/>
        <v>554.15016138004967</v>
      </c>
      <c r="V26" s="136">
        <f t="shared" si="10"/>
        <v>586.44251750700153</v>
      </c>
      <c r="W26" s="136">
        <f t="shared" si="10"/>
        <v>619.72700134347303</v>
      </c>
      <c r="X26" s="136">
        <f t="shared" si="10"/>
        <v>654.03384386126379</v>
      </c>
      <c r="Y26" s="136">
        <f t="shared" si="10"/>
        <v>689.39419230413864</v>
      </c>
      <c r="Z26" s="136">
        <f t="shared" si="10"/>
        <v>725.84013786283981</v>
      </c>
      <c r="AA26" s="136">
        <f t="shared" si="10"/>
        <v>763.40474418409372</v>
      </c>
      <c r="AB26" s="136">
        <f t="shared" si="10"/>
        <v>802.12207673869261</v>
      </c>
      <c r="AC26" s="136">
        <f t="shared" si="10"/>
        <v>842.02723307451083</v>
      </c>
      <c r="AD26" s="136">
        <f t="shared" si="10"/>
        <v>883.15637398107719</v>
      </c>
      <c r="AE26" s="136">
        <f t="shared" si="10"/>
        <v>925.54675559312705</v>
      </c>
      <c r="AF26" s="136">
        <f t="shared" si="10"/>
        <v>969.23676246139053</v>
      </c>
      <c r="AG26" s="136">
        <f t="shared" si="10"/>
        <v>1093.6732708896523</v>
      </c>
      <c r="AH26" s="136">
        <f t="shared" si="10"/>
        <v>1544.0083710118047</v>
      </c>
      <c r="AI26" s="136">
        <f t="shared" si="10"/>
        <v>1591.8393623085308</v>
      </c>
      <c r="AJ26" s="136">
        <f t="shared" ref="AJ26:BA26" si="11">AJ19+AJ23+AJ24+AJ25</f>
        <v>1641.135498147486</v>
      </c>
      <c r="AK26" s="136">
        <f t="shared" si="11"/>
        <v>1691.9413371610042</v>
      </c>
      <c r="AL26" s="136">
        <f t="shared" si="11"/>
        <v>1744.3027868263093</v>
      </c>
      <c r="AM26" s="136">
        <f t="shared" si="11"/>
        <v>1798.267144172584</v>
      </c>
      <c r="AN26" s="136">
        <f t="shared" si="11"/>
        <v>1853.8831377140759</v>
      </c>
      <c r="AO26" s="136">
        <f t="shared" si="11"/>
        <v>1911.200970646139</v>
      </c>
      <c r="AP26" s="136">
        <f t="shared" si="11"/>
        <v>1970.2723653421767</v>
      </c>
      <c r="AQ26" s="136">
        <f t="shared" si="11"/>
        <v>2031.150609190629</v>
      </c>
      <c r="AR26" s="136">
        <f t="shared" si="11"/>
        <v>2093.8906018122984</v>
      </c>
      <c r="AS26" s="136">
        <f t="shared" si="11"/>
        <v>2158.5489036995373</v>
      </c>
      <c r="AT26" s="136">
        <f t="shared" si="11"/>
        <v>2225.1837863200499</v>
      </c>
      <c r="AU26" s="136">
        <f t="shared" si="11"/>
        <v>2293.8552837293691</v>
      </c>
      <c r="AV26" s="136">
        <f t="shared" si="11"/>
        <v>2364.6252457373621</v>
      </c>
      <c r="AW26" s="136">
        <f t="shared" si="11"/>
        <v>2437.5573926755169</v>
      </c>
      <c r="AX26" s="136">
        <f t="shared" si="11"/>
        <v>2512.7173718131371</v>
      </c>
      <c r="AY26" s="136">
        <f t="shared" si="11"/>
        <v>2590.1728154720331</v>
      </c>
      <c r="AZ26" s="136">
        <f t="shared" si="11"/>
        <v>2669.9934008907858</v>
      </c>
      <c r="BA26" s="286">
        <f t="shared" si="11"/>
        <v>2752.250911891193</v>
      </c>
    </row>
    <row r="27" spans="1:53">
      <c r="B27" s="479" t="s">
        <v>39</v>
      </c>
      <c r="C27" s="480" t="s">
        <v>39</v>
      </c>
      <c r="D27" s="10">
        <f t="shared" ref="D27:AI27" si="12">-D43</f>
        <v>-95.509166666666701</v>
      </c>
      <c r="E27" s="10">
        <f t="shared" si="12"/>
        <v>-106.18856666666669</v>
      </c>
      <c r="F27" s="10">
        <f t="shared" si="12"/>
        <v>-117.21594866666672</v>
      </c>
      <c r="G27" s="10">
        <f t="shared" si="12"/>
        <v>-128.60278412666671</v>
      </c>
      <c r="H27" s="10">
        <f t="shared" si="12"/>
        <v>-140.36092849046665</v>
      </c>
      <c r="I27" s="10">
        <f t="shared" si="12"/>
        <v>-152.50263426998072</v>
      </c>
      <c r="J27" s="10">
        <f t="shared" si="12"/>
        <v>-165.04056458409605</v>
      </c>
      <c r="K27" s="10">
        <f t="shared" si="12"/>
        <v>-177.98780716818419</v>
      </c>
      <c r="L27" s="10">
        <f t="shared" si="12"/>
        <v>-191.35788887094805</v>
      </c>
      <c r="M27" s="10">
        <f t="shared" si="12"/>
        <v>-205.16479065590011</v>
      </c>
      <c r="N27" s="10">
        <f t="shared" si="12"/>
        <v>-219.42296312538201</v>
      </c>
      <c r="O27" s="10">
        <f t="shared" si="12"/>
        <v>-234.14734258569356</v>
      </c>
      <c r="P27" s="10">
        <f t="shared" si="12"/>
        <v>-249.35336767256442</v>
      </c>
      <c r="Q27" s="10">
        <f t="shared" si="12"/>
        <v>-265.05699655690324</v>
      </c>
      <c r="R27" s="10">
        <f t="shared" si="12"/>
        <v>-281.27472475147835</v>
      </c>
      <c r="S27" s="10">
        <f t="shared" si="12"/>
        <v>-298.02360353993566</v>
      </c>
      <c r="T27" s="10">
        <f t="shared" si="12"/>
        <v>-315.32125905033627</v>
      </c>
      <c r="U27" s="10">
        <f t="shared" si="12"/>
        <v>-333.18591199619897</v>
      </c>
      <c r="V27" s="10">
        <f t="shared" si="12"/>
        <v>-351.63639810887338</v>
      </c>
      <c r="W27" s="10">
        <f t="shared" si="12"/>
        <v>-370.69218928593045</v>
      </c>
      <c r="X27" s="10">
        <f t="shared" si="12"/>
        <v>-390.37341548115955</v>
      </c>
      <c r="Y27" s="10">
        <f t="shared" si="12"/>
        <v>-410.70088736269065</v>
      </c>
      <c r="Z27" s="10">
        <f t="shared" si="12"/>
        <v>-431.69611976672581</v>
      </c>
      <c r="AA27" s="10">
        <f t="shared" si="12"/>
        <v>-453.38135597537024</v>
      </c>
      <c r="AB27" s="10">
        <f t="shared" si="12"/>
        <v>-475.77959284808486</v>
      </c>
      <c r="AC27" s="10">
        <f t="shared" si="12"/>
        <v>-498.91460683736796</v>
      </c>
      <c r="AD27" s="10">
        <f t="shared" si="12"/>
        <v>-522.81098092038519</v>
      </c>
      <c r="AE27" s="10">
        <f t="shared" si="12"/>
        <v>-547.49413247942869</v>
      </c>
      <c r="AF27" s="10">
        <f t="shared" si="12"/>
        <v>-572.99034216528912</v>
      </c>
      <c r="AG27" s="10">
        <f t="shared" si="12"/>
        <v>-599.32678377886839</v>
      </c>
      <c r="AH27" s="10">
        <f t="shared" si="12"/>
        <v>-625.26103793933862</v>
      </c>
      <c r="AI27" s="10">
        <f t="shared" si="12"/>
        <v>-645.57903916265741</v>
      </c>
      <c r="AJ27" s="10">
        <f t="shared" ref="AJ27:BA27" si="13">-AJ43</f>
        <v>-666.51310132437857</v>
      </c>
      <c r="AK27" s="10">
        <f t="shared" si="13"/>
        <v>-688.08183667068806</v>
      </c>
      <c r="AL27" s="10">
        <f t="shared" si="13"/>
        <v>-710.30441842351843</v>
      </c>
      <c r="AM27" s="10">
        <f t="shared" si="13"/>
        <v>-733.20059766198813</v>
      </c>
      <c r="AN27" s="10">
        <f t="shared" si="13"/>
        <v>-756.79072071132691</v>
      </c>
      <c r="AO27" s="10">
        <f t="shared" si="13"/>
        <v>-781.09574705453565</v>
      </c>
      <c r="AP27" s="10">
        <f t="shared" si="13"/>
        <v>-806.13726778247792</v>
      </c>
      <c r="AQ27" s="10">
        <f t="shared" si="13"/>
        <v>-831.93752459858445</v>
      </c>
      <c r="AR27" s="10">
        <f t="shared" si="13"/>
        <v>-858.51942939482728</v>
      </c>
      <c r="AS27" s="10">
        <f t="shared" si="13"/>
        <v>-885.90658441612277</v>
      </c>
      <c r="AT27" s="10">
        <f t="shared" si="13"/>
        <v>-914.12330303084605</v>
      </c>
      <c r="AU27" s="10">
        <f t="shared" si="13"/>
        <v>-943.19463112565597</v>
      </c>
      <c r="AV27" s="10">
        <f t="shared" si="13"/>
        <v>-973.14636914338791</v>
      </c>
      <c r="AW27" s="10">
        <f t="shared" si="13"/>
        <v>-1004.0050947833311</v>
      </c>
      <c r="AX27" s="10">
        <f t="shared" si="13"/>
        <v>-1035.7981863837852</v>
      </c>
      <c r="AY27" s="10">
        <f t="shared" si="13"/>
        <v>-1068.5538470073923</v>
      </c>
      <c r="AZ27" s="10">
        <f t="shared" si="13"/>
        <v>-1102.301129250349</v>
      </c>
      <c r="BA27" s="283">
        <f t="shared" si="13"/>
        <v>-1137.0699607972495</v>
      </c>
    </row>
    <row r="28" spans="1:53" ht="15.75" thickBot="1">
      <c r="B28" s="488" t="s">
        <v>41</v>
      </c>
      <c r="C28" s="489"/>
      <c r="D28" s="287">
        <f t="shared" ref="D28:AI28" si="14">D26+D27</f>
        <v>36.10543333333338</v>
      </c>
      <c r="E28" s="287">
        <f t="shared" si="14"/>
        <v>44.708507000000012</v>
      </c>
      <c r="F28" s="287">
        <f t="shared" si="14"/>
        <v>53.558753590000066</v>
      </c>
      <c r="G28" s="287">
        <f t="shared" si="14"/>
        <v>62.662889905300034</v>
      </c>
      <c r="H28" s="287">
        <f t="shared" si="14"/>
        <v>72.027801084211063</v>
      </c>
      <c r="I28" s="287">
        <f t="shared" si="14"/>
        <v>81.660544220124308</v>
      </c>
      <c r="J28" s="287">
        <f t="shared" si="14"/>
        <v>91.568352029462858</v>
      </c>
      <c r="K28" s="287">
        <f t="shared" si="14"/>
        <v>101.75863656790744</v>
      </c>
      <c r="L28" s="287">
        <f t="shared" si="14"/>
        <v>112.23899299383476</v>
      </c>
      <c r="M28" s="287">
        <f t="shared" si="14"/>
        <v>123.01720337776658</v>
      </c>
      <c r="N28" s="287">
        <f t="shared" si="14"/>
        <v>134.10124055649408</v>
      </c>
      <c r="O28" s="287">
        <f t="shared" si="14"/>
        <v>145.49927203038212</v>
      </c>
      <c r="P28" s="287">
        <f t="shared" si="14"/>
        <v>157.21966390221147</v>
      </c>
      <c r="Q28" s="287">
        <f t="shared" si="14"/>
        <v>169.27098485573862</v>
      </c>
      <c r="R28" s="287">
        <f t="shared" si="14"/>
        <v>181.66201017197784</v>
      </c>
      <c r="S28" s="287">
        <f t="shared" si="14"/>
        <v>194.40172578102784</v>
      </c>
      <c r="T28" s="287">
        <f t="shared" si="14"/>
        <v>207.499332347056</v>
      </c>
      <c r="U28" s="287">
        <f t="shared" si="14"/>
        <v>220.9642493838507</v>
      </c>
      <c r="V28" s="287">
        <f t="shared" si="14"/>
        <v>234.80611939812815</v>
      </c>
      <c r="W28" s="287">
        <f t="shared" si="14"/>
        <v>249.03481205754258</v>
      </c>
      <c r="X28" s="287">
        <f t="shared" si="14"/>
        <v>263.66042838010424</v>
      </c>
      <c r="Y28" s="287">
        <f t="shared" si="14"/>
        <v>278.69330494144799</v>
      </c>
      <c r="Z28" s="287">
        <f t="shared" si="14"/>
        <v>294.144018096114</v>
      </c>
      <c r="AA28" s="287">
        <f t="shared" si="14"/>
        <v>310.02338820872347</v>
      </c>
      <c r="AB28" s="287">
        <f t="shared" si="14"/>
        <v>326.34248389060775</v>
      </c>
      <c r="AC28" s="287">
        <f t="shared" si="14"/>
        <v>343.11262623714288</v>
      </c>
      <c r="AD28" s="287">
        <f t="shared" si="14"/>
        <v>360.345393060692</v>
      </c>
      <c r="AE28" s="287">
        <f t="shared" si="14"/>
        <v>378.05262311369836</v>
      </c>
      <c r="AF28" s="287">
        <f t="shared" si="14"/>
        <v>396.24642029610141</v>
      </c>
      <c r="AG28" s="287">
        <f t="shared" si="14"/>
        <v>494.34648711078387</v>
      </c>
      <c r="AH28" s="287">
        <f t="shared" si="14"/>
        <v>918.74733307246606</v>
      </c>
      <c r="AI28" s="287">
        <f t="shared" si="14"/>
        <v>946.26032314587337</v>
      </c>
      <c r="AJ28" s="287">
        <f t="shared" ref="AJ28:BA28" si="15">AJ26+AJ27</f>
        <v>974.62239682310747</v>
      </c>
      <c r="AK28" s="287">
        <f t="shared" si="15"/>
        <v>1003.8595004903161</v>
      </c>
      <c r="AL28" s="287">
        <f t="shared" si="15"/>
        <v>1033.9983684027909</v>
      </c>
      <c r="AM28" s="287">
        <f t="shared" si="15"/>
        <v>1065.0665465105958</v>
      </c>
      <c r="AN28" s="287">
        <f t="shared" si="15"/>
        <v>1097.092417002749</v>
      </c>
      <c r="AO28" s="287">
        <f t="shared" si="15"/>
        <v>1130.1052235916034</v>
      </c>
      <c r="AP28" s="287">
        <f t="shared" si="15"/>
        <v>1164.1350975596988</v>
      </c>
      <c r="AQ28" s="287">
        <f t="shared" si="15"/>
        <v>1199.2130845920447</v>
      </c>
      <c r="AR28" s="287">
        <f t="shared" si="15"/>
        <v>1235.3711724174711</v>
      </c>
      <c r="AS28" s="287">
        <f t="shared" si="15"/>
        <v>1272.6423192834145</v>
      </c>
      <c r="AT28" s="287">
        <f t="shared" si="15"/>
        <v>1311.0604832892038</v>
      </c>
      <c r="AU28" s="287">
        <f t="shared" si="15"/>
        <v>1350.6606526037131</v>
      </c>
      <c r="AV28" s="287">
        <f t="shared" si="15"/>
        <v>1391.4788765939743</v>
      </c>
      <c r="AW28" s="287">
        <f t="shared" si="15"/>
        <v>1433.5522978921858</v>
      </c>
      <c r="AX28" s="287">
        <f t="shared" si="15"/>
        <v>1476.919185429352</v>
      </c>
      <c r="AY28" s="287">
        <f t="shared" si="15"/>
        <v>1521.6189684646408</v>
      </c>
      <c r="AZ28" s="287">
        <f t="shared" si="15"/>
        <v>1567.6922716404367</v>
      </c>
      <c r="BA28" s="288">
        <f t="shared" si="15"/>
        <v>1615.1809510939436</v>
      </c>
    </row>
    <row r="29" spans="1:53" ht="15.75" thickBot="1">
      <c r="I29" s="6"/>
      <c r="J29" s="6"/>
      <c r="K29" s="6"/>
      <c r="L29" s="6"/>
    </row>
    <row r="30" spans="1:53" ht="18" thickBot="1">
      <c r="A30"/>
      <c r="B30" s="273" t="s">
        <v>265</v>
      </c>
      <c r="C30" s="33"/>
      <c r="D30" s="34"/>
      <c r="I30" s="6"/>
      <c r="J30" s="6"/>
      <c r="K30" s="6"/>
      <c r="L30" s="6"/>
    </row>
    <row r="31" spans="1:53" ht="15.7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90" t="s">
        <v>261</v>
      </c>
      <c r="C32" s="491"/>
      <c r="D32" s="281">
        <f>12*D28</f>
        <v>433.26520000000056</v>
      </c>
      <c r="E32" s="281">
        <f t="shared" ref="E32:AJ32" si="18">D32+12*E28</f>
        <v>969.7672840000007</v>
      </c>
      <c r="F32" s="281">
        <f t="shared" si="18"/>
        <v>1612.4723270800014</v>
      </c>
      <c r="G32" s="281">
        <f t="shared" si="18"/>
        <v>2364.4270059436017</v>
      </c>
      <c r="H32" s="281">
        <f t="shared" si="18"/>
        <v>3228.7606189541343</v>
      </c>
      <c r="I32" s="281">
        <f t="shared" si="18"/>
        <v>4208.6871495956257</v>
      </c>
      <c r="J32" s="281">
        <f t="shared" si="18"/>
        <v>5307.50737394918</v>
      </c>
      <c r="K32" s="281">
        <f t="shared" si="18"/>
        <v>6528.6110127640695</v>
      </c>
      <c r="L32" s="281">
        <f t="shared" si="18"/>
        <v>7875.4789286900868</v>
      </c>
      <c r="M32" s="281">
        <f t="shared" si="18"/>
        <v>9351.6853692232853</v>
      </c>
      <c r="N32" s="281">
        <f t="shared" si="18"/>
        <v>10960.900255901215</v>
      </c>
      <c r="O32" s="281">
        <f t="shared" si="18"/>
        <v>12706.891520265801</v>
      </c>
      <c r="P32" s="281">
        <f t="shared" si="18"/>
        <v>14593.527487092339</v>
      </c>
      <c r="Q32" s="281">
        <f t="shared" si="18"/>
        <v>16624.7793053612</v>
      </c>
      <c r="R32" s="281">
        <f t="shared" si="18"/>
        <v>18804.723427424935</v>
      </c>
      <c r="S32" s="281">
        <f t="shared" si="18"/>
        <v>21137.544136797267</v>
      </c>
      <c r="T32" s="281">
        <f t="shared" si="18"/>
        <v>23627.536124961938</v>
      </c>
      <c r="U32" s="281">
        <f t="shared" si="18"/>
        <v>26279.107117568146</v>
      </c>
      <c r="V32" s="281">
        <f t="shared" si="18"/>
        <v>29096.780550345684</v>
      </c>
      <c r="W32" s="281">
        <f t="shared" si="18"/>
        <v>32085.198295036196</v>
      </c>
      <c r="X32" s="281">
        <f t="shared" si="18"/>
        <v>35249.123435597445</v>
      </c>
      <c r="Y32" s="281">
        <f t="shared" si="18"/>
        <v>38593.443094894821</v>
      </c>
      <c r="Z32" s="281">
        <f t="shared" si="18"/>
        <v>42123.171312048187</v>
      </c>
      <c r="AA32" s="281">
        <f t="shared" si="18"/>
        <v>45843.451970552866</v>
      </c>
      <c r="AB32" s="281">
        <f t="shared" si="18"/>
        <v>49759.56177724016</v>
      </c>
      <c r="AC32" s="281">
        <f t="shared" si="18"/>
        <v>53876.913292085876</v>
      </c>
      <c r="AD32" s="281">
        <f t="shared" si="18"/>
        <v>58201.05800881418</v>
      </c>
      <c r="AE32" s="281">
        <f t="shared" si="18"/>
        <v>62737.689486178562</v>
      </c>
      <c r="AF32" s="281">
        <f t="shared" si="18"/>
        <v>67492.646529731777</v>
      </c>
      <c r="AG32" s="281">
        <f t="shared" si="18"/>
        <v>73424.804375061183</v>
      </c>
      <c r="AH32" s="281">
        <f t="shared" si="18"/>
        <v>84449.772371930769</v>
      </c>
      <c r="AI32" s="281">
        <f t="shared" si="18"/>
        <v>95804.896249681246</v>
      </c>
      <c r="AJ32" s="281">
        <f t="shared" si="18"/>
        <v>107500.36501155853</v>
      </c>
      <c r="AK32" s="281">
        <f t="shared" ref="AK32:BA32" si="19">AJ32+12*AK28</f>
        <v>119546.67901744232</v>
      </c>
      <c r="AL32" s="281">
        <f t="shared" si="19"/>
        <v>131954.65943827582</v>
      </c>
      <c r="AM32" s="281">
        <f t="shared" si="19"/>
        <v>144735.45799640298</v>
      </c>
      <c r="AN32" s="281">
        <f t="shared" si="19"/>
        <v>157900.56700043596</v>
      </c>
      <c r="AO32" s="281">
        <f t="shared" si="19"/>
        <v>171461.82968353521</v>
      </c>
      <c r="AP32" s="281">
        <f t="shared" si="19"/>
        <v>185431.4508542516</v>
      </c>
      <c r="AQ32" s="281">
        <f t="shared" si="19"/>
        <v>199822.00786935614</v>
      </c>
      <c r="AR32" s="281">
        <f t="shared" si="19"/>
        <v>214646.4619383658</v>
      </c>
      <c r="AS32" s="281">
        <f t="shared" si="19"/>
        <v>229918.16976976677</v>
      </c>
      <c r="AT32" s="281">
        <f t="shared" si="19"/>
        <v>245650.89556923721</v>
      </c>
      <c r="AU32" s="281">
        <f t="shared" si="19"/>
        <v>261858.82340048178</v>
      </c>
      <c r="AV32" s="281">
        <f t="shared" si="19"/>
        <v>278556.56991960946</v>
      </c>
      <c r="AW32" s="281">
        <f t="shared" si="19"/>
        <v>295759.19749431568</v>
      </c>
      <c r="AX32" s="281">
        <f t="shared" si="19"/>
        <v>313482.22771946789</v>
      </c>
      <c r="AY32" s="281">
        <f t="shared" si="19"/>
        <v>331741.6553410436</v>
      </c>
      <c r="AZ32" s="281">
        <f t="shared" si="19"/>
        <v>350553.96260072885</v>
      </c>
      <c r="BA32" s="282">
        <f t="shared" si="19"/>
        <v>369936.13401385618</v>
      </c>
    </row>
    <row r="33" spans="1:53" ht="15.75" thickBot="1">
      <c r="A33"/>
      <c r="B33" s="488" t="s">
        <v>267</v>
      </c>
      <c r="C33" s="489"/>
      <c r="D33" s="284">
        <f>-Cockpit!$N$10+D32</f>
        <v>-37891.734799999998</v>
      </c>
      <c r="E33" s="284">
        <f>-Cockpit!$N$10+E32</f>
        <v>-37355.232715999999</v>
      </c>
      <c r="F33" s="284">
        <f>-Cockpit!$N$10+F32</f>
        <v>-36712.527672919998</v>
      </c>
      <c r="G33" s="284">
        <f>-Cockpit!$N$10+G32</f>
        <v>-35960.572994056398</v>
      </c>
      <c r="H33" s="284">
        <f>-Cockpit!$N$10+H32</f>
        <v>-35096.239381045867</v>
      </c>
      <c r="I33" s="284">
        <f>-Cockpit!$N$10+I32</f>
        <v>-34116.312850404371</v>
      </c>
      <c r="J33" s="284">
        <f>-Cockpit!$N$10+J32</f>
        <v>-33017.492626050822</v>
      </c>
      <c r="K33" s="284">
        <f>-Cockpit!$N$10+K32</f>
        <v>-31796.388987235929</v>
      </c>
      <c r="L33" s="284">
        <f>-Cockpit!$N$10+L32</f>
        <v>-30449.521071309915</v>
      </c>
      <c r="M33" s="284">
        <f>-Cockpit!$N$10+M32</f>
        <v>-28973.314630776717</v>
      </c>
      <c r="N33" s="284">
        <f>-Cockpit!$N$10+N32</f>
        <v>-27364.099744098785</v>
      </c>
      <c r="O33" s="284">
        <f>-Cockpit!$N$10+O32</f>
        <v>-25618.108479734197</v>
      </c>
      <c r="P33" s="284">
        <f>-Cockpit!$N$10+P32</f>
        <v>-23731.472512907661</v>
      </c>
      <c r="Q33" s="284">
        <f>-Cockpit!$N$10+Q32</f>
        <v>-21700.2206946388</v>
      </c>
      <c r="R33" s="284">
        <f>-Cockpit!$N$10+R32</f>
        <v>-19520.276572575065</v>
      </c>
      <c r="S33" s="284">
        <f>-Cockpit!$N$10+S32</f>
        <v>-17187.455863202733</v>
      </c>
      <c r="T33" s="284">
        <f>-Cockpit!$N$10+T32</f>
        <v>-14697.463875038062</v>
      </c>
      <c r="U33" s="284">
        <f>-Cockpit!$N$10+U32</f>
        <v>-12045.892882431854</v>
      </c>
      <c r="V33" s="284">
        <f>-Cockpit!$N$10+V32</f>
        <v>-9228.2194496543161</v>
      </c>
      <c r="W33" s="284">
        <f>-Cockpit!$N$10+W32</f>
        <v>-6239.8017049638038</v>
      </c>
      <c r="X33" s="284">
        <f>-Cockpit!$N$10+X32</f>
        <v>-3075.8765644025552</v>
      </c>
      <c r="Y33" s="284">
        <f>-Cockpit!$N$10+Y32</f>
        <v>268.44309489482112</v>
      </c>
      <c r="Z33" s="284">
        <f>-Cockpit!$N$10+Z32</f>
        <v>3798.1713120481872</v>
      </c>
      <c r="AA33" s="284">
        <f>-Cockpit!$N$10+AA32</f>
        <v>7518.4519705528655</v>
      </c>
      <c r="AB33" s="284">
        <f>-Cockpit!$N$10+AB32</f>
        <v>11434.56177724016</v>
      </c>
      <c r="AC33" s="284">
        <f>-Cockpit!$N$10+AC32</f>
        <v>15551.913292085876</v>
      </c>
      <c r="AD33" s="284">
        <f>-Cockpit!$N$10+AD32</f>
        <v>19876.05800881418</v>
      </c>
      <c r="AE33" s="284">
        <f>-Cockpit!$N$10+AE32</f>
        <v>24412.689486178562</v>
      </c>
      <c r="AF33" s="284">
        <f>-Cockpit!$N$10+AF32</f>
        <v>29167.646529731777</v>
      </c>
      <c r="AG33" s="284">
        <f>-Cockpit!$N$10+AG32</f>
        <v>35099.804375061183</v>
      </c>
      <c r="AH33" s="284">
        <f>-Cockpit!$N$10+AH32</f>
        <v>46124.772371930769</v>
      </c>
      <c r="AI33" s="284">
        <f>-Cockpit!$N$10+AI32</f>
        <v>57479.896249681246</v>
      </c>
      <c r="AJ33" s="284">
        <f>-Cockpit!$N$10+AJ32</f>
        <v>69175.365011558533</v>
      </c>
      <c r="AK33" s="284">
        <f>-Cockpit!$N$10+AK32</f>
        <v>81221.679017442322</v>
      </c>
      <c r="AL33" s="284">
        <f>-Cockpit!$N$10+AL32</f>
        <v>93629.659438275819</v>
      </c>
      <c r="AM33" s="284">
        <f>-Cockpit!$N$10+AM32</f>
        <v>106410.45799640298</v>
      </c>
      <c r="AN33" s="284">
        <f>-Cockpit!$N$10+AN32</f>
        <v>119575.56700043596</v>
      </c>
      <c r="AO33" s="284">
        <f>-Cockpit!$N$10+AO32</f>
        <v>133136.82968353521</v>
      </c>
      <c r="AP33" s="284">
        <f>-Cockpit!$N$10+AP32</f>
        <v>147106.4508542516</v>
      </c>
      <c r="AQ33" s="284">
        <f>-Cockpit!$N$10+AQ32</f>
        <v>161497.00786935614</v>
      </c>
      <c r="AR33" s="284">
        <f>-Cockpit!$N$10+AR32</f>
        <v>176321.4619383658</v>
      </c>
      <c r="AS33" s="284">
        <f>-Cockpit!$N$10+AS32</f>
        <v>191593.16976976677</v>
      </c>
      <c r="AT33" s="284">
        <f>-Cockpit!$N$10+AT32</f>
        <v>207325.89556923721</v>
      </c>
      <c r="AU33" s="284">
        <f>-Cockpit!$N$10+AU32</f>
        <v>223533.82340048178</v>
      </c>
      <c r="AV33" s="284">
        <f>-Cockpit!$N$10+AV32</f>
        <v>240231.56991960946</v>
      </c>
      <c r="AW33" s="284">
        <f>-Cockpit!$N$10+AW32</f>
        <v>257434.19749431568</v>
      </c>
      <c r="AX33" s="284">
        <f>-Cockpit!$N$10+AX32</f>
        <v>275157.22771946789</v>
      </c>
      <c r="AY33" s="284">
        <f>-Cockpit!$N$10+AY32</f>
        <v>293416.6553410436</v>
      </c>
      <c r="AZ33" s="284">
        <f>-Cockpit!$N$10+AZ32</f>
        <v>312228.96260072885</v>
      </c>
      <c r="BA33" s="285">
        <f>-Cockpit!$N$10+BA32</f>
        <v>331611.13401385618</v>
      </c>
    </row>
    <row r="34" spans="1:53" ht="30.75" customHeight="1" thickBot="1"/>
    <row r="35" spans="1:53" ht="18" thickBot="1">
      <c r="B35" s="273" t="s">
        <v>266</v>
      </c>
    </row>
    <row r="36" spans="1:53" ht="15.7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4" t="s">
        <v>471</v>
      </c>
      <c r="C37" s="485"/>
      <c r="D37" s="281">
        <f t="shared" ref="D37:AI37" si="22">D14</f>
        <v>823.68000000000006</v>
      </c>
      <c r="E37" s="281">
        <f t="shared" si="22"/>
        <v>847.35310000000004</v>
      </c>
      <c r="F37" s="281">
        <f t="shared" si="22"/>
        <v>871.7156470000001</v>
      </c>
      <c r="G37" s="281">
        <f t="shared" si="22"/>
        <v>896.78790949000006</v>
      </c>
      <c r="H37" s="281">
        <f t="shared" si="22"/>
        <v>922.59075571630001</v>
      </c>
      <c r="I37" s="281">
        <f t="shared" si="22"/>
        <v>949.14567150822108</v>
      </c>
      <c r="J37" s="281">
        <f t="shared" si="22"/>
        <v>976.47477863630832</v>
      </c>
      <c r="K37" s="281">
        <f t="shared" si="22"/>
        <v>1004.6008537178951</v>
      </c>
      <c r="L37" s="281">
        <f t="shared" si="22"/>
        <v>1033.5473476863795</v>
      </c>
      <c r="M37" s="281">
        <f t="shared" si="22"/>
        <v>1063.3384058410572</v>
      </c>
      <c r="N37" s="281">
        <f t="shared" si="22"/>
        <v>1093.9988884948571</v>
      </c>
      <c r="O37" s="281">
        <f t="shared" si="22"/>
        <v>1125.5543922378422</v>
      </c>
      <c r="P37" s="281">
        <f t="shared" si="22"/>
        <v>1158.0312718348796</v>
      </c>
      <c r="Q37" s="281">
        <f t="shared" si="22"/>
        <v>1191.4566627764264</v>
      </c>
      <c r="R37" s="281">
        <f t="shared" si="22"/>
        <v>1225.8585045019495</v>
      </c>
      <c r="S37" s="281">
        <f t="shared" si="22"/>
        <v>1261.2655643160829</v>
      </c>
      <c r="T37" s="281">
        <f t="shared" si="22"/>
        <v>1297.7074620182218</v>
      </c>
      <c r="U37" s="281">
        <f t="shared" si="22"/>
        <v>1335.2146952668779</v>
      </c>
      <c r="V37" s="281">
        <f t="shared" si="22"/>
        <v>1373.8186657007561</v>
      </c>
      <c r="W37" s="281">
        <f t="shared" si="22"/>
        <v>1413.5517058391679</v>
      </c>
      <c r="X37" s="281">
        <f t="shared" si="22"/>
        <v>1454.4471067850798</v>
      </c>
      <c r="Y37" s="281">
        <f t="shared" si="22"/>
        <v>1496.539146754784</v>
      </c>
      <c r="Z37" s="281">
        <f t="shared" si="22"/>
        <v>1539.8631204589024</v>
      </c>
      <c r="AA37" s="281">
        <f t="shared" si="22"/>
        <v>1584.4553693601736</v>
      </c>
      <c r="AB37" s="281">
        <f t="shared" si="22"/>
        <v>1630.3533128342331</v>
      </c>
      <c r="AC37" s="281">
        <f t="shared" si="22"/>
        <v>1677.5954802603794</v>
      </c>
      <c r="AD37" s="281">
        <f t="shared" si="22"/>
        <v>1726.2215440701327</v>
      </c>
      <c r="AE37" s="281">
        <f t="shared" si="22"/>
        <v>1776.2723537822174</v>
      </c>
      <c r="AF37" s="281">
        <f t="shared" si="22"/>
        <v>1827.7899710534641</v>
      </c>
      <c r="AG37" s="281">
        <f t="shared" si="22"/>
        <v>1880.8177057760038</v>
      </c>
      <c r="AH37" s="281">
        <f t="shared" si="22"/>
        <v>1935.4001532520385</v>
      </c>
      <c r="AI37" s="281">
        <f t="shared" si="22"/>
        <v>1991.5832324784092</v>
      </c>
      <c r="AJ37" s="281">
        <f t="shared" ref="AJ37:BA37" si="23">AJ14</f>
        <v>2049.4142255741472</v>
      </c>
      <c r="AK37" s="281">
        <f t="shared" si="23"/>
        <v>2108.9418183851853</v>
      </c>
      <c r="AL37" s="281">
        <f t="shared" si="23"/>
        <v>2170.2161423014304</v>
      </c>
      <c r="AM37" s="281">
        <f t="shared" si="23"/>
        <v>2233.2888173224574</v>
      </c>
      <c r="AN37" s="281">
        <f t="shared" si="23"/>
        <v>2298.2129964091541</v>
      </c>
      <c r="AO37" s="281">
        <f t="shared" si="23"/>
        <v>2365.0434111597924</v>
      </c>
      <c r="AP37" s="281">
        <f t="shared" si="23"/>
        <v>2433.8364188501173</v>
      </c>
      <c r="AQ37" s="281">
        <f t="shared" si="23"/>
        <v>2504.6500508782624</v>
      </c>
      <c r="AR37" s="281">
        <f t="shared" si="23"/>
        <v>2577.544062656505</v>
      </c>
      <c r="AS37" s="281">
        <f t="shared" si="23"/>
        <v>2652.5799849931327</v>
      </c>
      <c r="AT37" s="281">
        <f t="shared" si="23"/>
        <v>2729.8211770089974</v>
      </c>
      <c r="AU37" s="281">
        <f t="shared" si="23"/>
        <v>2809.3328806346599</v>
      </c>
      <c r="AV37" s="281">
        <f t="shared" si="23"/>
        <v>2891.1822767354001</v>
      </c>
      <c r="AW37" s="281">
        <f t="shared" si="23"/>
        <v>2975.4385429127965</v>
      </c>
      <c r="AX37" s="281">
        <f t="shared" si="23"/>
        <v>3062.1729130330214</v>
      </c>
      <c r="AY37" s="281">
        <f t="shared" si="23"/>
        <v>3151.4587385335099</v>
      </c>
      <c r="AZ37" s="281">
        <f t="shared" si="23"/>
        <v>3243.371551561203</v>
      </c>
      <c r="BA37" s="282">
        <f t="shared" si="23"/>
        <v>3337.9891299971605</v>
      </c>
    </row>
    <row r="38" spans="1:53">
      <c r="B38" s="479" t="s">
        <v>247</v>
      </c>
      <c r="C38" s="480"/>
      <c r="D38" s="10">
        <f t="shared" ref="D38:AI38" si="24">D23-D21-D22</f>
        <v>-148.72999999999999</v>
      </c>
      <c r="E38" s="10">
        <f t="shared" si="24"/>
        <v>-151.7046</v>
      </c>
      <c r="F38" s="10">
        <f t="shared" si="24"/>
        <v>-154.73869200000001</v>
      </c>
      <c r="G38" s="10">
        <f t="shared" si="24"/>
        <v>-157.83346584000003</v>
      </c>
      <c r="H38" s="10">
        <f t="shared" si="24"/>
        <v>-160.99013515680002</v>
      </c>
      <c r="I38" s="10">
        <f t="shared" si="24"/>
        <v>-164.20993785993602</v>
      </c>
      <c r="J38" s="10">
        <f t="shared" si="24"/>
        <v>-167.49413661713476</v>
      </c>
      <c r="K38" s="10">
        <f t="shared" si="24"/>
        <v>-170.84401934947746</v>
      </c>
      <c r="L38" s="10">
        <f t="shared" si="24"/>
        <v>-174.26089973646702</v>
      </c>
      <c r="M38" s="10">
        <f t="shared" si="24"/>
        <v>-177.74611773119636</v>
      </c>
      <c r="N38" s="10">
        <f t="shared" si="24"/>
        <v>-181.30104008582032</v>
      </c>
      <c r="O38" s="10">
        <f t="shared" si="24"/>
        <v>-184.9270608875367</v>
      </c>
      <c r="P38" s="10">
        <f t="shared" si="24"/>
        <v>-188.62560210528744</v>
      </c>
      <c r="Q38" s="10">
        <f t="shared" si="24"/>
        <v>-192.39811414739319</v>
      </c>
      <c r="R38" s="10">
        <f t="shared" si="24"/>
        <v>-196.24607643034102</v>
      </c>
      <c r="S38" s="10">
        <f t="shared" si="24"/>
        <v>-200.17099795894788</v>
      </c>
      <c r="T38" s="10">
        <f t="shared" si="24"/>
        <v>-204.17441791812684</v>
      </c>
      <c r="U38" s="10">
        <f t="shared" si="24"/>
        <v>-208.25790627648934</v>
      </c>
      <c r="V38" s="10">
        <f t="shared" si="24"/>
        <v>-212.42306440201915</v>
      </c>
      <c r="W38" s="10">
        <f t="shared" si="24"/>
        <v>-216.67152569005953</v>
      </c>
      <c r="X38" s="10">
        <f t="shared" si="24"/>
        <v>-221.00495620386073</v>
      </c>
      <c r="Y38" s="10">
        <f t="shared" si="24"/>
        <v>-225.42505532793791</v>
      </c>
      <c r="Z38" s="10">
        <f t="shared" si="24"/>
        <v>-229.93355643449667</v>
      </c>
      <c r="AA38" s="10">
        <f t="shared" si="24"/>
        <v>-234.53222756318661</v>
      </c>
      <c r="AB38" s="10">
        <f t="shared" si="24"/>
        <v>-239.22287211445038</v>
      </c>
      <c r="AC38" s="10">
        <f t="shared" si="24"/>
        <v>-244.00732955673942</v>
      </c>
      <c r="AD38" s="10">
        <f t="shared" si="24"/>
        <v>-248.88747614787422</v>
      </c>
      <c r="AE38" s="10">
        <f t="shared" si="24"/>
        <v>-253.86522567083168</v>
      </c>
      <c r="AF38" s="10">
        <f t="shared" si="24"/>
        <v>-258.94253018424831</v>
      </c>
      <c r="AG38" s="10">
        <f t="shared" si="24"/>
        <v>-264.12138078793328</v>
      </c>
      <c r="AH38" s="10">
        <f t="shared" si="24"/>
        <v>-269.40380840369193</v>
      </c>
      <c r="AI38" s="10">
        <f t="shared" si="24"/>
        <v>-274.79188457176576</v>
      </c>
      <c r="AJ38" s="10">
        <f t="shared" ref="AJ38:BA38" si="25">AJ23-AJ21-AJ22</f>
        <v>-280.28772226320109</v>
      </c>
      <c r="AK38" s="10">
        <f t="shared" si="25"/>
        <v>-285.89347670846513</v>
      </c>
      <c r="AL38" s="10">
        <f t="shared" si="25"/>
        <v>-291.61134624263445</v>
      </c>
      <c r="AM38" s="10">
        <f t="shared" si="25"/>
        <v>-297.4435731674871</v>
      </c>
      <c r="AN38" s="10">
        <f t="shared" si="25"/>
        <v>-303.39244463083691</v>
      </c>
      <c r="AO38" s="10">
        <f t="shared" si="25"/>
        <v>-309.46029352345363</v>
      </c>
      <c r="AP38" s="10">
        <f t="shared" si="25"/>
        <v>-315.64949939392272</v>
      </c>
      <c r="AQ38" s="10">
        <f t="shared" si="25"/>
        <v>-321.96248938180116</v>
      </c>
      <c r="AR38" s="10">
        <f t="shared" si="25"/>
        <v>-328.40173916943718</v>
      </c>
      <c r="AS38" s="10">
        <f t="shared" si="25"/>
        <v>-334.9697739528259</v>
      </c>
      <c r="AT38" s="10">
        <f t="shared" si="25"/>
        <v>-341.66916943188244</v>
      </c>
      <c r="AU38" s="10">
        <f t="shared" si="25"/>
        <v>-348.50255282052001</v>
      </c>
      <c r="AV38" s="10">
        <f t="shared" si="25"/>
        <v>-355.47260387693052</v>
      </c>
      <c r="AW38" s="10">
        <f t="shared" si="25"/>
        <v>-362.58205595446913</v>
      </c>
      <c r="AX38" s="10">
        <f t="shared" si="25"/>
        <v>-369.83369707355848</v>
      </c>
      <c r="AY38" s="10">
        <f t="shared" si="25"/>
        <v>-377.23037101502962</v>
      </c>
      <c r="AZ38" s="10">
        <f t="shared" si="25"/>
        <v>-384.77497843533035</v>
      </c>
      <c r="BA38" s="283">
        <f t="shared" si="25"/>
        <v>-392.47047800403686</v>
      </c>
    </row>
    <row r="39" spans="1:53">
      <c r="B39" s="479" t="s">
        <v>31</v>
      </c>
      <c r="C39" s="480"/>
      <c r="D39" s="10">
        <f>-'Wert, AfA, Darlehen'!D110/12</f>
        <v>-333.33333333333331</v>
      </c>
      <c r="E39" s="10">
        <f>-'Wert, AfA, Darlehen'!E110/12</f>
        <v>-327.33333333333331</v>
      </c>
      <c r="F39" s="10">
        <f>-'Wert, AfA, Darlehen'!F110/12</f>
        <v>-321.09333333333331</v>
      </c>
      <c r="G39" s="10">
        <f>-'Wert, AfA, Darlehen'!G110/12</f>
        <v>-314.60373333333331</v>
      </c>
      <c r="H39" s="10">
        <f>-'Wert, AfA, Darlehen'!H110/12</f>
        <v>-307.8545493333333</v>
      </c>
      <c r="I39" s="10">
        <f>-'Wert, AfA, Darlehen'!I110/12</f>
        <v>-300.83539797333333</v>
      </c>
      <c r="J39" s="10">
        <f>-'Wert, AfA, Darlehen'!J110/12</f>
        <v>-293.53548055893333</v>
      </c>
      <c r="K39" s="10">
        <f>-'Wert, AfA, Darlehen'!K110/12</f>
        <v>-285.94356644795727</v>
      </c>
      <c r="L39" s="10">
        <f>-'Wert, AfA, Darlehen'!L110/12</f>
        <v>-278.0479757725422</v>
      </c>
      <c r="M39" s="10">
        <f>-'Wert, AfA, Darlehen'!M110/12</f>
        <v>-269.83656147011055</v>
      </c>
      <c r="N39" s="10">
        <f>-'Wert, AfA, Darlehen'!N110/12</f>
        <v>-261.29669059558165</v>
      </c>
      <c r="O39" s="10">
        <f>-'Wert, AfA, Darlehen'!O110/12</f>
        <v>-252.41522488607157</v>
      </c>
      <c r="P39" s="10">
        <f>-'Wert, AfA, Darlehen'!P110/12</f>
        <v>-243.17850054818109</v>
      </c>
      <c r="Q39" s="10">
        <f>-'Wert, AfA, Darlehen'!Q110/12</f>
        <v>-233.572307236775</v>
      </c>
      <c r="R39" s="10">
        <f>-'Wert, AfA, Darlehen'!R110/12</f>
        <v>-223.58186619291268</v>
      </c>
      <c r="S39" s="10">
        <f>-'Wert, AfA, Darlehen'!S110/12</f>
        <v>-213.19180750729583</v>
      </c>
      <c r="T39" s="10">
        <f>-'Wert, AfA, Darlehen'!T110/12</f>
        <v>-202.38614647425436</v>
      </c>
      <c r="U39" s="10">
        <f>-'Wert, AfA, Darlehen'!U110/12</f>
        <v>-191.14825899989117</v>
      </c>
      <c r="V39" s="10">
        <f>-'Wert, AfA, Darlehen'!V110/12</f>
        <v>-179.4608560265535</v>
      </c>
      <c r="W39" s="10">
        <f>-'Wert, AfA, Darlehen'!W110/12</f>
        <v>-167.30595693428231</v>
      </c>
      <c r="X39" s="10">
        <f>-'Wert, AfA, Darlehen'!X110/12</f>
        <v>-154.66486187832024</v>
      </c>
      <c r="Y39" s="10">
        <f>-'Wert, AfA, Darlehen'!Y110/12</f>
        <v>-141.51812302011973</v>
      </c>
      <c r="Z39" s="10">
        <f>-'Wert, AfA, Darlehen'!Z110/12</f>
        <v>-127.84551460759117</v>
      </c>
      <c r="AA39" s="10">
        <f>-'Wert, AfA, Darlehen'!AA110/12</f>
        <v>-113.62600185856151</v>
      </c>
      <c r="AB39" s="10">
        <f>-'Wert, AfA, Darlehen'!AB110/12</f>
        <v>-98.837708599570632</v>
      </c>
      <c r="AC39" s="10">
        <f>-'Wert, AfA, Darlehen'!AC110/12</f>
        <v>-83.457883610220122</v>
      </c>
      <c r="AD39" s="10">
        <f>-'Wert, AfA, Darlehen'!AD110/12</f>
        <v>-67.462865621295578</v>
      </c>
      <c r="AE39" s="10">
        <f>-'Wert, AfA, Darlehen'!AE110/12</f>
        <v>-50.828046912814074</v>
      </c>
      <c r="AF39" s="10">
        <f>-'Wert, AfA, Darlehen'!AF110/12</f>
        <v>-33.527835455993305</v>
      </c>
      <c r="AG39" s="10">
        <f>-'Wert, AfA, Darlehen'!AG110/12</f>
        <v>-15.535615540899698</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-102.84375</v>
      </c>
      <c r="E40" s="10">
        <f>-'Wert, AfA, Darlehen'!E19-'Wert, AfA, Darlehen'!E24-'Wert, AfA, Darlehen'!E34</f>
        <v>-102.84375</v>
      </c>
      <c r="F40" s="10">
        <f>-'Wert, AfA, Darlehen'!F19-'Wert, AfA, Darlehen'!F24-'Wert, AfA, Darlehen'!F34</f>
        <v>-102.84375</v>
      </c>
      <c r="G40" s="10">
        <f>-'Wert, AfA, Darlehen'!G19-'Wert, AfA, Darlehen'!G24-'Wert, AfA, Darlehen'!G34</f>
        <v>-102.84375</v>
      </c>
      <c r="H40" s="10">
        <f>-'Wert, AfA, Darlehen'!H19-'Wert, AfA, Darlehen'!H24-'Wert, AfA, Darlehen'!H34</f>
        <v>-102.84375</v>
      </c>
      <c r="I40" s="10">
        <f>-'Wert, AfA, Darlehen'!I19-'Wert, AfA, Darlehen'!I24-'Wert, AfA, Darlehen'!I34</f>
        <v>-102.84375</v>
      </c>
      <c r="J40" s="10">
        <f>-'Wert, AfA, Darlehen'!J19-'Wert, AfA, Darlehen'!J24-'Wert, AfA, Darlehen'!J34</f>
        <v>-102.84375</v>
      </c>
      <c r="K40" s="10">
        <f>-'Wert, AfA, Darlehen'!K19-'Wert, AfA, Darlehen'!K24-'Wert, AfA, Darlehen'!K34</f>
        <v>-102.84375</v>
      </c>
      <c r="L40" s="10">
        <f>-'Wert, AfA, Darlehen'!L19-'Wert, AfA, Darlehen'!L24-'Wert, AfA, Darlehen'!L34</f>
        <v>-102.84375</v>
      </c>
      <c r="M40" s="10">
        <f>-'Wert, AfA, Darlehen'!M19-'Wert, AfA, Darlehen'!M24-'Wert, AfA, Darlehen'!M34</f>
        <v>-102.84375</v>
      </c>
      <c r="N40" s="10">
        <f>-'Wert, AfA, Darlehen'!N19-'Wert, AfA, Darlehen'!N24-'Wert, AfA, Darlehen'!N34</f>
        <v>-102.84375</v>
      </c>
      <c r="O40" s="10">
        <f>-'Wert, AfA, Darlehen'!O19-'Wert, AfA, Darlehen'!O24-'Wert, AfA, Darlehen'!O34</f>
        <v>-102.84375</v>
      </c>
      <c r="P40" s="10">
        <f>-'Wert, AfA, Darlehen'!P19-'Wert, AfA, Darlehen'!P24-'Wert, AfA, Darlehen'!P34</f>
        <v>-102.84375</v>
      </c>
      <c r="Q40" s="10">
        <f>-'Wert, AfA, Darlehen'!Q19-'Wert, AfA, Darlehen'!Q24-'Wert, AfA, Darlehen'!Q34</f>
        <v>-102.84375</v>
      </c>
      <c r="R40" s="10">
        <f>-'Wert, AfA, Darlehen'!R19-'Wert, AfA, Darlehen'!R24-'Wert, AfA, Darlehen'!R34</f>
        <v>-102.84375</v>
      </c>
      <c r="S40" s="10">
        <f>-'Wert, AfA, Darlehen'!S19-'Wert, AfA, Darlehen'!S24-'Wert, AfA, Darlehen'!S34</f>
        <v>-102.84375</v>
      </c>
      <c r="T40" s="10">
        <f>-'Wert, AfA, Darlehen'!T19-'Wert, AfA, Darlehen'!T24-'Wert, AfA, Darlehen'!T34</f>
        <v>-102.84375</v>
      </c>
      <c r="U40" s="10">
        <f>-'Wert, AfA, Darlehen'!U19-'Wert, AfA, Darlehen'!U24-'Wert, AfA, Darlehen'!U34</f>
        <v>-102.84375</v>
      </c>
      <c r="V40" s="10">
        <f>-'Wert, AfA, Darlehen'!V19-'Wert, AfA, Darlehen'!V24-'Wert, AfA, Darlehen'!V34</f>
        <v>-102.84375</v>
      </c>
      <c r="W40" s="10">
        <f>-'Wert, AfA, Darlehen'!W19-'Wert, AfA, Darlehen'!W24-'Wert, AfA, Darlehen'!W34</f>
        <v>-102.84375</v>
      </c>
      <c r="X40" s="10">
        <f>-'Wert, AfA, Darlehen'!X19-'Wert, AfA, Darlehen'!X24-'Wert, AfA, Darlehen'!X34</f>
        <v>-102.84375</v>
      </c>
      <c r="Y40" s="10">
        <f>-'Wert, AfA, Darlehen'!Y19-'Wert, AfA, Darlehen'!Y24-'Wert, AfA, Darlehen'!Y34</f>
        <v>-102.84375</v>
      </c>
      <c r="Z40" s="10">
        <f>-'Wert, AfA, Darlehen'!Z19-'Wert, AfA, Darlehen'!Z24-'Wert, AfA, Darlehen'!Z34</f>
        <v>-102.84375</v>
      </c>
      <c r="AA40" s="10">
        <f>-'Wert, AfA, Darlehen'!AA19-'Wert, AfA, Darlehen'!AA24-'Wert, AfA, Darlehen'!AA34</f>
        <v>-102.84375</v>
      </c>
      <c r="AB40" s="10">
        <f>-'Wert, AfA, Darlehen'!AB19-'Wert, AfA, Darlehen'!AB24-'Wert, AfA, Darlehen'!AB34</f>
        <v>-102.84375</v>
      </c>
      <c r="AC40" s="10">
        <f>-'Wert, AfA, Darlehen'!AC19-'Wert, AfA, Darlehen'!AC24-'Wert, AfA, Darlehen'!AC34</f>
        <v>-102.84375</v>
      </c>
      <c r="AD40" s="10">
        <f>-'Wert, AfA, Darlehen'!AD19-'Wert, AfA, Darlehen'!AD24-'Wert, AfA, Darlehen'!AD34</f>
        <v>-102.84375</v>
      </c>
      <c r="AE40" s="10">
        <f>-'Wert, AfA, Darlehen'!AE19-'Wert, AfA, Darlehen'!AE24-'Wert, AfA, Darlehen'!AE34</f>
        <v>-102.84375</v>
      </c>
      <c r="AF40" s="10">
        <f>-'Wert, AfA, Darlehen'!AF19-'Wert, AfA, Darlehen'!AF24-'Wert, AfA, Darlehen'!AF34</f>
        <v>-102.84375</v>
      </c>
      <c r="AG40" s="10">
        <f>-'Wert, AfA, Darlehen'!AG19-'Wert, AfA, Darlehen'!AG24-'Wert, AfA, Darlehen'!AG34</f>
        <v>-102.84375</v>
      </c>
      <c r="AH40" s="10">
        <f>-'Wert, AfA, Darlehen'!AH19-'Wert, AfA, Darlehen'!AH24-'Wert, AfA, Darlehen'!AH34</f>
        <v>-102.84375</v>
      </c>
      <c r="AI40" s="10">
        <f>-'Wert, AfA, Darlehen'!AI19-'Wert, AfA, Darlehen'!AI24-'Wert, AfA, Darlehen'!AI34</f>
        <v>-102.84375</v>
      </c>
      <c r="AJ40" s="10">
        <f>-'Wert, AfA, Darlehen'!AJ19-'Wert, AfA, Darlehen'!AJ24-'Wert, AfA, Darlehen'!AJ34</f>
        <v>-102.84375</v>
      </c>
      <c r="AK40" s="10">
        <f>-'Wert, AfA, Darlehen'!AK19-'Wert, AfA, Darlehen'!AK24-'Wert, AfA, Darlehen'!AK34</f>
        <v>-102.84375</v>
      </c>
      <c r="AL40" s="10">
        <f>-'Wert, AfA, Darlehen'!AL19-'Wert, AfA, Darlehen'!AL24-'Wert, AfA, Darlehen'!AL34</f>
        <v>-102.84375</v>
      </c>
      <c r="AM40" s="10">
        <f>-'Wert, AfA, Darlehen'!AM19-'Wert, AfA, Darlehen'!AM24-'Wert, AfA, Darlehen'!AM34</f>
        <v>-102.84375</v>
      </c>
      <c r="AN40" s="10">
        <f>-'Wert, AfA, Darlehen'!AN19-'Wert, AfA, Darlehen'!AN24-'Wert, AfA, Darlehen'!AN34</f>
        <v>-102.84375</v>
      </c>
      <c r="AO40" s="10">
        <f>-'Wert, AfA, Darlehen'!AO19-'Wert, AfA, Darlehen'!AO24-'Wert, AfA, Darlehen'!AO34</f>
        <v>-102.84375</v>
      </c>
      <c r="AP40" s="10">
        <f>-'Wert, AfA, Darlehen'!AP19-'Wert, AfA, Darlehen'!AP24-'Wert, AfA, Darlehen'!AP34</f>
        <v>-102.84375</v>
      </c>
      <c r="AQ40" s="10">
        <f>-'Wert, AfA, Darlehen'!AQ19-'Wert, AfA, Darlehen'!AQ24-'Wert, AfA, Darlehen'!AQ34</f>
        <v>-102.84375</v>
      </c>
      <c r="AR40" s="10">
        <f>-'Wert, AfA, Darlehen'!AR19-'Wert, AfA, Darlehen'!AR24-'Wert, AfA, Darlehen'!AR34</f>
        <v>-102.84375</v>
      </c>
      <c r="AS40" s="10">
        <f>-'Wert, AfA, Darlehen'!AS19-'Wert, AfA, Darlehen'!AS24-'Wert, AfA, Darlehen'!AS34</f>
        <v>-102.84375</v>
      </c>
      <c r="AT40" s="10">
        <f>-'Wert, AfA, Darlehen'!AT19-'Wert, AfA, Darlehen'!AT24-'Wert, AfA, Darlehen'!AT34</f>
        <v>-102.84375</v>
      </c>
      <c r="AU40" s="10">
        <f>-'Wert, AfA, Darlehen'!AU19-'Wert, AfA, Darlehen'!AU24-'Wert, AfA, Darlehen'!AU34</f>
        <v>-102.84375</v>
      </c>
      <c r="AV40" s="10">
        <f>-'Wert, AfA, Darlehen'!AV19-'Wert, AfA, Darlehen'!AV24-'Wert, AfA, Darlehen'!AV34</f>
        <v>-102.84375</v>
      </c>
      <c r="AW40" s="10">
        <f>-'Wert, AfA, Darlehen'!AW19-'Wert, AfA, Darlehen'!AW24-'Wert, AfA, Darlehen'!AW34</f>
        <v>-102.84375</v>
      </c>
      <c r="AX40" s="10">
        <f>-'Wert, AfA, Darlehen'!AX19-'Wert, AfA, Darlehen'!AX24-'Wert, AfA, Darlehen'!AX34</f>
        <v>-102.84375</v>
      </c>
      <c r="AY40" s="10">
        <f>-'Wert, AfA, Darlehen'!AY19-'Wert, AfA, Darlehen'!AY24-'Wert, AfA, Darlehen'!AY34</f>
        <v>-102.84375</v>
      </c>
      <c r="AZ40" s="10">
        <f>-'Wert, AfA, Darlehen'!AZ19-'Wert, AfA, Darlehen'!AZ24-'Wert, AfA, Darlehen'!AZ34</f>
        <v>-102.84375</v>
      </c>
      <c r="BA40" s="283">
        <f>-'Wert, AfA, Darlehen'!BA19-'Wert, AfA, Darlehen'!BA24-'Wert, AfA, Darlehen'!BA34</f>
        <v>-102.84375</v>
      </c>
    </row>
    <row r="41" spans="1:53">
      <c r="B41" s="479" t="s">
        <v>37</v>
      </c>
      <c r="C41" s="480"/>
      <c r="D41" s="10">
        <f t="shared" ref="D41:AI41" si="26">SUM(D37:D40)</f>
        <v>238.77291666666673</v>
      </c>
      <c r="E41" s="10">
        <f t="shared" si="26"/>
        <v>265.4714166666667</v>
      </c>
      <c r="F41" s="10">
        <f t="shared" si="26"/>
        <v>293.03987166666678</v>
      </c>
      <c r="G41" s="10">
        <f t="shared" si="26"/>
        <v>321.50696031666672</v>
      </c>
      <c r="H41" s="10">
        <f t="shared" si="26"/>
        <v>350.90232122616663</v>
      </c>
      <c r="I41" s="10">
        <f t="shared" si="26"/>
        <v>381.25658567495179</v>
      </c>
      <c r="J41" s="10">
        <f t="shared" si="26"/>
        <v>412.60141146024012</v>
      </c>
      <c r="K41" s="10">
        <f t="shared" si="26"/>
        <v>444.96951792046048</v>
      </c>
      <c r="L41" s="10">
        <f t="shared" si="26"/>
        <v>478.39472217737011</v>
      </c>
      <c r="M41" s="10">
        <f t="shared" si="26"/>
        <v>512.91197663975026</v>
      </c>
      <c r="N41" s="10">
        <f t="shared" si="26"/>
        <v>548.55740781345503</v>
      </c>
      <c r="O41" s="10">
        <f t="shared" si="26"/>
        <v>585.3683564642339</v>
      </c>
      <c r="P41" s="10">
        <f t="shared" si="26"/>
        <v>623.383419181411</v>
      </c>
      <c r="Q41" s="10">
        <f t="shared" si="26"/>
        <v>662.64249139225808</v>
      </c>
      <c r="R41" s="10">
        <f t="shared" si="26"/>
        <v>703.18681187869583</v>
      </c>
      <c r="S41" s="10">
        <f t="shared" si="26"/>
        <v>745.05900884983907</v>
      </c>
      <c r="T41" s="10">
        <f t="shared" si="26"/>
        <v>788.30314762584055</v>
      </c>
      <c r="U41" s="10">
        <f t="shared" si="26"/>
        <v>832.96477999049739</v>
      </c>
      <c r="V41" s="10">
        <f t="shared" si="26"/>
        <v>879.09099527218336</v>
      </c>
      <c r="W41" s="10">
        <f t="shared" si="26"/>
        <v>926.73047321482613</v>
      </c>
      <c r="X41" s="10">
        <f t="shared" si="26"/>
        <v>975.93353870289889</v>
      </c>
      <c r="Y41" s="10">
        <f t="shared" si="26"/>
        <v>1026.7522184067266</v>
      </c>
      <c r="Z41" s="10">
        <f t="shared" si="26"/>
        <v>1079.2402994168144</v>
      </c>
      <c r="AA41" s="10">
        <f t="shared" si="26"/>
        <v>1133.4533899384255</v>
      </c>
      <c r="AB41" s="10">
        <f t="shared" si="26"/>
        <v>1189.4489821202121</v>
      </c>
      <c r="AC41" s="10">
        <f t="shared" si="26"/>
        <v>1247.2865170934199</v>
      </c>
      <c r="AD41" s="10">
        <f t="shared" si="26"/>
        <v>1307.027452300963</v>
      </c>
      <c r="AE41" s="10">
        <f t="shared" si="26"/>
        <v>1368.7353311985717</v>
      </c>
      <c r="AF41" s="10">
        <f t="shared" si="26"/>
        <v>1432.4758554132227</v>
      </c>
      <c r="AG41" s="10">
        <f t="shared" si="26"/>
        <v>1498.3169594471708</v>
      </c>
      <c r="AH41" s="10">
        <f t="shared" si="26"/>
        <v>1563.1525948483466</v>
      </c>
      <c r="AI41" s="10">
        <f t="shared" si="26"/>
        <v>1613.9475979066433</v>
      </c>
      <c r="AJ41" s="10">
        <f t="shared" ref="AJ41:BA41" si="27">SUM(AJ37:AJ40)</f>
        <v>1666.2827533109462</v>
      </c>
      <c r="AK41" s="10">
        <f t="shared" si="27"/>
        <v>1720.2045916767202</v>
      </c>
      <c r="AL41" s="10">
        <f t="shared" si="27"/>
        <v>1775.761046058796</v>
      </c>
      <c r="AM41" s="10">
        <f t="shared" si="27"/>
        <v>1833.0014941549703</v>
      </c>
      <c r="AN41" s="10">
        <f t="shared" si="27"/>
        <v>1891.9768017783172</v>
      </c>
      <c r="AO41" s="10">
        <f t="shared" si="27"/>
        <v>1952.739367636339</v>
      </c>
      <c r="AP41" s="10">
        <f t="shared" si="27"/>
        <v>2015.3431694561946</v>
      </c>
      <c r="AQ41" s="10">
        <f t="shared" si="27"/>
        <v>2079.8438114964611</v>
      </c>
      <c r="AR41" s="10">
        <f t="shared" si="27"/>
        <v>2146.2985734870681</v>
      </c>
      <c r="AS41" s="10">
        <f t="shared" si="27"/>
        <v>2214.7664610403067</v>
      </c>
      <c r="AT41" s="10">
        <f t="shared" si="27"/>
        <v>2285.308257577115</v>
      </c>
      <c r="AU41" s="10">
        <f t="shared" si="27"/>
        <v>2357.9865778141398</v>
      </c>
      <c r="AV41" s="10">
        <f t="shared" si="27"/>
        <v>2432.8659228584697</v>
      </c>
      <c r="AW41" s="10">
        <f t="shared" si="27"/>
        <v>2510.0127369583274</v>
      </c>
      <c r="AX41" s="10">
        <f t="shared" si="27"/>
        <v>2589.4954659594628</v>
      </c>
      <c r="AY41" s="10">
        <f t="shared" si="27"/>
        <v>2671.3846175184804</v>
      </c>
      <c r="AZ41" s="10">
        <f t="shared" si="27"/>
        <v>2755.7528231258725</v>
      </c>
      <c r="BA41" s="283">
        <f t="shared" si="27"/>
        <v>2842.6749019931235</v>
      </c>
    </row>
    <row r="42" spans="1:53">
      <c r="B42" s="479" t="s">
        <v>287</v>
      </c>
      <c r="C42" s="480"/>
      <c r="D42" s="35">
        <f>Cockpit!Q33</f>
        <v>0.4</v>
      </c>
      <c r="E42" s="289">
        <f t="shared" ref="E42:AJ42" si="28">D42</f>
        <v>0.4</v>
      </c>
      <c r="F42" s="289">
        <f t="shared" si="28"/>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5.75" thickBot="1">
      <c r="B43" s="482" t="s">
        <v>40</v>
      </c>
      <c r="C43" s="483"/>
      <c r="D43" s="284">
        <f t="shared" ref="D43:AI43" si="30">D42*D41</f>
        <v>95.509166666666701</v>
      </c>
      <c r="E43" s="284">
        <f t="shared" si="30"/>
        <v>106.18856666666669</v>
      </c>
      <c r="F43" s="284">
        <f t="shared" si="30"/>
        <v>117.21594866666672</v>
      </c>
      <c r="G43" s="284">
        <f t="shared" si="30"/>
        <v>128.60278412666671</v>
      </c>
      <c r="H43" s="284">
        <f t="shared" si="30"/>
        <v>140.36092849046665</v>
      </c>
      <c r="I43" s="284">
        <f t="shared" si="30"/>
        <v>152.50263426998072</v>
      </c>
      <c r="J43" s="284">
        <f t="shared" si="30"/>
        <v>165.04056458409605</v>
      </c>
      <c r="K43" s="284">
        <f t="shared" si="30"/>
        <v>177.98780716818419</v>
      </c>
      <c r="L43" s="284">
        <f t="shared" si="30"/>
        <v>191.35788887094805</v>
      </c>
      <c r="M43" s="284">
        <f t="shared" si="30"/>
        <v>205.16479065590011</v>
      </c>
      <c r="N43" s="284">
        <f t="shared" si="30"/>
        <v>219.42296312538201</v>
      </c>
      <c r="O43" s="284">
        <f t="shared" si="30"/>
        <v>234.14734258569356</v>
      </c>
      <c r="P43" s="284">
        <f t="shared" si="30"/>
        <v>249.35336767256442</v>
      </c>
      <c r="Q43" s="284">
        <f t="shared" si="30"/>
        <v>265.05699655690324</v>
      </c>
      <c r="R43" s="284">
        <f t="shared" si="30"/>
        <v>281.27472475147835</v>
      </c>
      <c r="S43" s="284">
        <f t="shared" si="30"/>
        <v>298.02360353993566</v>
      </c>
      <c r="T43" s="284">
        <f t="shared" si="30"/>
        <v>315.32125905033627</v>
      </c>
      <c r="U43" s="284">
        <f t="shared" si="30"/>
        <v>333.18591199619897</v>
      </c>
      <c r="V43" s="284">
        <f t="shared" si="30"/>
        <v>351.63639810887338</v>
      </c>
      <c r="W43" s="284">
        <f t="shared" si="30"/>
        <v>370.69218928593045</v>
      </c>
      <c r="X43" s="284">
        <f t="shared" si="30"/>
        <v>390.37341548115955</v>
      </c>
      <c r="Y43" s="284">
        <f t="shared" si="30"/>
        <v>410.70088736269065</v>
      </c>
      <c r="Z43" s="284">
        <f t="shared" si="30"/>
        <v>431.69611976672581</v>
      </c>
      <c r="AA43" s="284">
        <f t="shared" si="30"/>
        <v>453.38135597537024</v>
      </c>
      <c r="AB43" s="284">
        <f t="shared" si="30"/>
        <v>475.77959284808486</v>
      </c>
      <c r="AC43" s="284">
        <f t="shared" si="30"/>
        <v>498.91460683736796</v>
      </c>
      <c r="AD43" s="284">
        <f t="shared" si="30"/>
        <v>522.81098092038519</v>
      </c>
      <c r="AE43" s="284">
        <f t="shared" si="30"/>
        <v>547.49413247942869</v>
      </c>
      <c r="AF43" s="284">
        <f t="shared" si="30"/>
        <v>572.99034216528912</v>
      </c>
      <c r="AG43" s="284">
        <f t="shared" si="30"/>
        <v>599.32678377886839</v>
      </c>
      <c r="AH43" s="284">
        <f t="shared" si="30"/>
        <v>625.26103793933862</v>
      </c>
      <c r="AI43" s="284">
        <f t="shared" si="30"/>
        <v>645.57903916265741</v>
      </c>
      <c r="AJ43" s="284">
        <f t="shared" ref="AJ43:BA43" si="31">AJ42*AJ41</f>
        <v>666.51310132437857</v>
      </c>
      <c r="AK43" s="284">
        <f t="shared" si="31"/>
        <v>688.08183667068806</v>
      </c>
      <c r="AL43" s="284">
        <f t="shared" si="31"/>
        <v>710.30441842351843</v>
      </c>
      <c r="AM43" s="284">
        <f t="shared" si="31"/>
        <v>733.20059766198813</v>
      </c>
      <c r="AN43" s="284">
        <f t="shared" si="31"/>
        <v>756.79072071132691</v>
      </c>
      <c r="AO43" s="284">
        <f t="shared" si="31"/>
        <v>781.09574705453565</v>
      </c>
      <c r="AP43" s="284">
        <f t="shared" si="31"/>
        <v>806.13726778247792</v>
      </c>
      <c r="AQ43" s="284">
        <f t="shared" si="31"/>
        <v>831.93752459858445</v>
      </c>
      <c r="AR43" s="284">
        <f t="shared" si="31"/>
        <v>858.51942939482728</v>
      </c>
      <c r="AS43" s="284">
        <f t="shared" si="31"/>
        <v>885.90658441612277</v>
      </c>
      <c r="AT43" s="284">
        <f t="shared" si="31"/>
        <v>914.12330303084605</v>
      </c>
      <c r="AU43" s="284">
        <f t="shared" si="31"/>
        <v>943.19463112565597</v>
      </c>
      <c r="AV43" s="284">
        <f t="shared" si="31"/>
        <v>973.14636914338791</v>
      </c>
      <c r="AW43" s="284">
        <f t="shared" si="31"/>
        <v>1004.0050947833311</v>
      </c>
      <c r="AX43" s="284">
        <f t="shared" si="31"/>
        <v>1035.7981863837852</v>
      </c>
      <c r="AY43" s="284">
        <f t="shared" si="31"/>
        <v>1068.5538470073923</v>
      </c>
      <c r="AZ43" s="284">
        <f t="shared" si="31"/>
        <v>1102.301129250349</v>
      </c>
      <c r="BA43" s="285">
        <f t="shared" si="31"/>
        <v>1137.0699607972495</v>
      </c>
    </row>
    <row r="45" spans="1:53">
      <c r="B45" s="135" t="s">
        <v>365</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39:C39"/>
    <mergeCell ref="B40:C40"/>
    <mergeCell ref="B41:C41"/>
    <mergeCell ref="B42:C42"/>
    <mergeCell ref="B43:C43"/>
    <mergeCell ref="B28:C28"/>
    <mergeCell ref="B37:C37"/>
    <mergeCell ref="B38:C38"/>
    <mergeCell ref="B32:C32"/>
    <mergeCell ref="B33:C33"/>
    <mergeCell ref="B24:C24"/>
    <mergeCell ref="B25:C25"/>
    <mergeCell ref="B23:C23"/>
    <mergeCell ref="B26:C26"/>
    <mergeCell ref="B27:C27"/>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E9:BA9 E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6" sqref="T26"/>
    </sheetView>
  </sheetViews>
  <sheetFormatPr baseColWidth="10"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5" t="s">
        <v>344</v>
      </c>
      <c r="C1" s="425"/>
      <c r="E1" s="481" t="s">
        <v>352</v>
      </c>
      <c r="F1" s="481"/>
      <c r="G1" s="481"/>
      <c r="H1" s="481"/>
      <c r="I1" s="481"/>
      <c r="J1" s="425" t="s">
        <v>462</v>
      </c>
      <c r="K1" s="425"/>
      <c r="L1" s="425"/>
      <c r="M1" s="425"/>
      <c r="N1" s="425"/>
      <c r="O1" s="425"/>
      <c r="P1" s="425"/>
      <c r="Q1" s="425"/>
      <c r="R1" s="425"/>
      <c r="T1" s="425"/>
      <c r="U1" s="425"/>
    </row>
    <row r="2" spans="1:53" s="150" customFormat="1" ht="15" customHeight="1">
      <c r="B2" s="425"/>
      <c r="C2" s="425"/>
      <c r="E2" s="481"/>
      <c r="F2" s="481"/>
      <c r="G2" s="481"/>
      <c r="H2" s="481"/>
      <c r="I2" s="481"/>
      <c r="J2" s="425"/>
      <c r="K2" s="425"/>
      <c r="L2" s="425"/>
      <c r="M2" s="425"/>
      <c r="N2" s="425"/>
      <c r="O2" s="425"/>
      <c r="P2" s="425"/>
      <c r="Q2" s="425"/>
      <c r="R2" s="425"/>
      <c r="T2" s="425"/>
      <c r="U2" s="425"/>
    </row>
    <row r="3" spans="1:53" s="150" customFormat="1" ht="12.75" customHeight="1">
      <c r="B3" s="425"/>
      <c r="C3" s="425"/>
      <c r="E3" s="481"/>
      <c r="F3" s="481"/>
      <c r="G3" s="481"/>
      <c r="H3" s="481"/>
      <c r="I3" s="481"/>
      <c r="J3" s="425"/>
      <c r="K3" s="425"/>
      <c r="L3" s="425"/>
      <c r="M3" s="425"/>
      <c r="N3" s="425"/>
      <c r="O3" s="425"/>
      <c r="P3" s="425"/>
      <c r="Q3" s="425"/>
      <c r="R3" s="425"/>
      <c r="T3" s="425"/>
      <c r="U3" s="425"/>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3" t="s">
        <v>60</v>
      </c>
      <c r="C6" s="33"/>
      <c r="D6" s="34"/>
      <c r="I6" s="6"/>
      <c r="J6" s="6"/>
      <c r="K6" s="6"/>
      <c r="L6" s="6"/>
    </row>
    <row r="7" spans="1:53" ht="15.7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4" t="s">
        <v>65</v>
      </c>
      <c r="C8" s="485"/>
      <c r="D8" s="291">
        <f>Cockpit!D14+Cockpit!E30</f>
        <v>125000</v>
      </c>
      <c r="E8" s="291">
        <f>D12</f>
        <v>127500</v>
      </c>
      <c r="F8" s="291">
        <f t="shared" ref="F8:BA8" si="1">E12</f>
        <v>130050</v>
      </c>
      <c r="G8" s="291">
        <f t="shared" si="1"/>
        <v>132651</v>
      </c>
      <c r="H8" s="291">
        <f t="shared" si="1"/>
        <v>135304.01999999999</v>
      </c>
      <c r="I8" s="291">
        <f t="shared" si="1"/>
        <v>138010.1004</v>
      </c>
      <c r="J8" s="291">
        <f t="shared" si="1"/>
        <v>140770.30240799999</v>
      </c>
      <c r="K8" s="291">
        <f t="shared" si="1"/>
        <v>143585.70845615998</v>
      </c>
      <c r="L8" s="291">
        <f t="shared" si="1"/>
        <v>146457.42262528319</v>
      </c>
      <c r="M8" s="291">
        <f t="shared" si="1"/>
        <v>149386.57107778886</v>
      </c>
      <c r="N8" s="291">
        <f t="shared" si="1"/>
        <v>152374.30249934463</v>
      </c>
      <c r="O8" s="291">
        <f t="shared" si="1"/>
        <v>155421.78854933151</v>
      </c>
      <c r="P8" s="291">
        <f t="shared" si="1"/>
        <v>158530.22432031814</v>
      </c>
      <c r="Q8" s="291">
        <f t="shared" si="1"/>
        <v>161700.82880672452</v>
      </c>
      <c r="R8" s="291">
        <f t="shared" si="1"/>
        <v>164934.845382859</v>
      </c>
      <c r="S8" s="291">
        <f t="shared" si="1"/>
        <v>168233.54229051617</v>
      </c>
      <c r="T8" s="291">
        <f t="shared" si="1"/>
        <v>171598.21313632649</v>
      </c>
      <c r="U8" s="291">
        <f t="shared" si="1"/>
        <v>175030.17739905303</v>
      </c>
      <c r="V8" s="291">
        <f t="shared" si="1"/>
        <v>178530.7809470341</v>
      </c>
      <c r="W8" s="291">
        <f t="shared" si="1"/>
        <v>182101.39656597478</v>
      </c>
      <c r="X8" s="291">
        <f t="shared" si="1"/>
        <v>185743.42449729427</v>
      </c>
      <c r="Y8" s="291">
        <f t="shared" si="1"/>
        <v>189458.29298724016</v>
      </c>
      <c r="Z8" s="291">
        <f t="shared" si="1"/>
        <v>193247.45884698496</v>
      </c>
      <c r="AA8" s="291">
        <f t="shared" si="1"/>
        <v>197112.40802392465</v>
      </c>
      <c r="AB8" s="291">
        <f t="shared" si="1"/>
        <v>201054.65618440314</v>
      </c>
      <c r="AC8" s="291">
        <f t="shared" si="1"/>
        <v>205075.74930809121</v>
      </c>
      <c r="AD8" s="291">
        <f t="shared" si="1"/>
        <v>209177.26429425302</v>
      </c>
      <c r="AE8" s="291">
        <f t="shared" si="1"/>
        <v>213360.80958013807</v>
      </c>
      <c r="AF8" s="291">
        <f t="shared" si="1"/>
        <v>217628.02577174082</v>
      </c>
      <c r="AG8" s="291">
        <f t="shared" si="1"/>
        <v>221980.58628717565</v>
      </c>
      <c r="AH8" s="291">
        <f t="shared" si="1"/>
        <v>226420.19801291917</v>
      </c>
      <c r="AI8" s="291">
        <f t="shared" si="1"/>
        <v>230948.60197317755</v>
      </c>
      <c r="AJ8" s="291">
        <f t="shared" si="1"/>
        <v>235567.5740126411</v>
      </c>
      <c r="AK8" s="291">
        <f t="shared" si="1"/>
        <v>240278.9254928939</v>
      </c>
      <c r="AL8" s="291">
        <f t="shared" si="1"/>
        <v>245084.50400275178</v>
      </c>
      <c r="AM8" s="291">
        <f t="shared" si="1"/>
        <v>249986.19408280682</v>
      </c>
      <c r="AN8" s="291">
        <f t="shared" si="1"/>
        <v>254985.91796446295</v>
      </c>
      <c r="AO8" s="291">
        <f t="shared" si="1"/>
        <v>260085.6363237522</v>
      </c>
      <c r="AP8" s="291">
        <f t="shared" si="1"/>
        <v>265287.34905022726</v>
      </c>
      <c r="AQ8" s="291">
        <f t="shared" si="1"/>
        <v>270593.09603123181</v>
      </c>
      <c r="AR8" s="291">
        <f t="shared" si="1"/>
        <v>276004.95795185643</v>
      </c>
      <c r="AS8" s="291">
        <f t="shared" si="1"/>
        <v>281525.05711089354</v>
      </c>
      <c r="AT8" s="291">
        <f t="shared" si="1"/>
        <v>287155.55825311143</v>
      </c>
      <c r="AU8" s="291">
        <f t="shared" si="1"/>
        <v>292898.66941817367</v>
      </c>
      <c r="AV8" s="291">
        <f t="shared" si="1"/>
        <v>298756.64280653716</v>
      </c>
      <c r="AW8" s="291">
        <f t="shared" si="1"/>
        <v>304731.77566266787</v>
      </c>
      <c r="AX8" s="291">
        <f t="shared" si="1"/>
        <v>310826.41117592121</v>
      </c>
      <c r="AY8" s="291">
        <f t="shared" si="1"/>
        <v>317042.93939943961</v>
      </c>
      <c r="AZ8" s="291">
        <f t="shared" si="1"/>
        <v>323383.79818742839</v>
      </c>
      <c r="BA8" s="292">
        <f t="shared" si="1"/>
        <v>329851.47415117698</v>
      </c>
    </row>
    <row r="9" spans="1:53">
      <c r="A9"/>
      <c r="B9" s="440" t="s">
        <v>66</v>
      </c>
      <c r="C9" s="441"/>
      <c r="D9" s="4">
        <f>D8-'Wert, AfA, Darlehen'!D106</f>
        <v>25000</v>
      </c>
      <c r="E9" s="4">
        <f>E8-'Wert, AfA, Darlehen'!E106</f>
        <v>29300</v>
      </c>
      <c r="F9" s="4">
        <f>F8-'Wert, AfA, Darlehen'!F106</f>
        <v>33722</v>
      </c>
      <c r="G9" s="4">
        <f>G8-'Wert, AfA, Darlehen'!G106</f>
        <v>38269.880000000005</v>
      </c>
      <c r="H9" s="4">
        <f>H8-'Wert, AfA, Darlehen'!H106</f>
        <v>42947.655199999994</v>
      </c>
      <c r="I9" s="4">
        <f>I8-'Wert, AfA, Darlehen'!I106</f>
        <v>47759.481008000002</v>
      </c>
      <c r="J9" s="4">
        <f>J8-'Wert, AfA, Darlehen'!J106</f>
        <v>52709.658240320001</v>
      </c>
      <c r="K9" s="4">
        <f>K8-'Wert, AfA, Darlehen'!K106</f>
        <v>57802.638521772795</v>
      </c>
      <c r="L9" s="4">
        <f>L8-'Wert, AfA, Darlehen'!L106</f>
        <v>63043.029893520521</v>
      </c>
      <c r="M9" s="4">
        <f>M8-'Wert, AfA, Darlehen'!M106</f>
        <v>68435.602636755691</v>
      </c>
      <c r="N9" s="4">
        <f>N8-'Wert, AfA, Darlehen'!N106</f>
        <v>73985.295320670135</v>
      </c>
      <c r="O9" s="4">
        <f>O8-'Wert, AfA, Darlehen'!O106</f>
        <v>79697.221083510041</v>
      </c>
      <c r="P9" s="4">
        <f>P8-'Wert, AfA, Darlehen'!P106</f>
        <v>85576.674155863817</v>
      </c>
      <c r="Q9" s="4">
        <f>Q8-'Wert, AfA, Darlehen'!Q106</f>
        <v>91629.136635692019</v>
      </c>
      <c r="R9" s="4">
        <f>R8-'Wert, AfA, Darlehen'!R106</f>
        <v>97860.2855249852</v>
      </c>
      <c r="S9" s="4">
        <f>S8-'Wert, AfA, Darlehen'!S106</f>
        <v>104276.00003832742</v>
      </c>
      <c r="T9" s="4">
        <f>T8-'Wert, AfA, Darlehen'!T106</f>
        <v>110882.36919405019</v>
      </c>
      <c r="U9" s="4">
        <f>U8-'Wert, AfA, Darlehen'!U106</f>
        <v>117685.69969908567</v>
      </c>
      <c r="V9" s="4">
        <f>V8-'Wert, AfA, Darlehen'!V106</f>
        <v>124692.52413906806</v>
      </c>
      <c r="W9" s="4">
        <f>W8-'Wert, AfA, Darlehen'!W106</f>
        <v>131909.60948569007</v>
      </c>
      <c r="X9" s="4">
        <f>X8-'Wert, AfA, Darlehen'!X106</f>
        <v>139343.9659337982</v>
      </c>
      <c r="Y9" s="4">
        <f>Y8-'Wert, AfA, Darlehen'!Y106</f>
        <v>147002.85608120426</v>
      </c>
      <c r="Z9" s="4">
        <f>Z8-'Wert, AfA, Darlehen'!Z106</f>
        <v>154893.80446470762</v>
      </c>
      <c r="AA9" s="4">
        <f>AA8-'Wert, AfA, Darlehen'!AA106</f>
        <v>163024.60746635619</v>
      </c>
      <c r="AB9" s="4">
        <f>AB8-'Wert, AfA, Darlehen'!AB106</f>
        <v>171403.34360453195</v>
      </c>
      <c r="AC9" s="4">
        <f>AC8-'Wert, AfA, Darlehen'!AC106</f>
        <v>180038.38422502519</v>
      </c>
      <c r="AD9" s="4">
        <f>AD8-'Wert, AfA, Darlehen'!AD106</f>
        <v>188938.40460786436</v>
      </c>
      <c r="AE9" s="4">
        <f>AE8-'Wert, AfA, Darlehen'!AE106</f>
        <v>198112.39550629386</v>
      </c>
      <c r="AF9" s="4">
        <f>AF8-'Wert, AfA, Darlehen'!AF106</f>
        <v>207569.67513494284</v>
      </c>
      <c r="AG9" s="4">
        <f>AG8-'Wert, AfA, Darlehen'!AG106</f>
        <v>217319.90162490573</v>
      </c>
      <c r="AH9" s="4">
        <f>AH8-'Wert, AfA, Darlehen'!AH106</f>
        <v>226420.19801291917</v>
      </c>
      <c r="AI9" s="4">
        <f>AI8-'Wert, AfA, Darlehen'!AI106</f>
        <v>230948.60197317755</v>
      </c>
      <c r="AJ9" s="4">
        <f>AJ8-'Wert, AfA, Darlehen'!AJ106</f>
        <v>235567.5740126411</v>
      </c>
      <c r="AK9" s="4">
        <f>AK8-'Wert, AfA, Darlehen'!AK106</f>
        <v>240278.9254928939</v>
      </c>
      <c r="AL9" s="4">
        <f>AL8-'Wert, AfA, Darlehen'!AL106</f>
        <v>245084.50400275178</v>
      </c>
      <c r="AM9" s="4">
        <f>AM8-'Wert, AfA, Darlehen'!AM106</f>
        <v>249986.19408280682</v>
      </c>
      <c r="AN9" s="4">
        <f>AN8-'Wert, AfA, Darlehen'!AN106</f>
        <v>254985.91796446295</v>
      </c>
      <c r="AO9" s="4">
        <f>AO8-'Wert, AfA, Darlehen'!AO106</f>
        <v>260085.6363237522</v>
      </c>
      <c r="AP9" s="4">
        <f>AP8-'Wert, AfA, Darlehen'!AP106</f>
        <v>265287.34905022726</v>
      </c>
      <c r="AQ9" s="4">
        <f>AQ8-'Wert, AfA, Darlehen'!AQ106</f>
        <v>270593.09603123181</v>
      </c>
      <c r="AR9" s="4">
        <f>AR8-'Wert, AfA, Darlehen'!AR106</f>
        <v>276004.95795185643</v>
      </c>
      <c r="AS9" s="4">
        <f>AS8-'Wert, AfA, Darlehen'!AS106</f>
        <v>281525.05711089354</v>
      </c>
      <c r="AT9" s="4">
        <f>AT8-'Wert, AfA, Darlehen'!AT106</f>
        <v>287155.55825311143</v>
      </c>
      <c r="AU9" s="4">
        <f>AU8-'Wert, AfA, Darlehen'!AU106</f>
        <v>292898.66941817367</v>
      </c>
      <c r="AV9" s="4">
        <f>AV8-'Wert, AfA, Darlehen'!AV106</f>
        <v>298756.64280653716</v>
      </c>
      <c r="AW9" s="4">
        <f>AW8-'Wert, AfA, Darlehen'!AW106</f>
        <v>304731.77566266787</v>
      </c>
      <c r="AX9" s="4">
        <f>AX8-'Wert, AfA, Darlehen'!AX106</f>
        <v>310826.41117592121</v>
      </c>
      <c r="AY9" s="4">
        <f>AY8-'Wert, AfA, Darlehen'!AY106</f>
        <v>317042.93939943961</v>
      </c>
      <c r="AZ9" s="4">
        <f>AZ8-'Wert, AfA, Darlehen'!AZ106</f>
        <v>323383.79818742839</v>
      </c>
      <c r="BA9" s="295">
        <f>BA8-'Wert, AfA, Darlehen'!BA106</f>
        <v>329851.47415117698</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40" t="s">
        <v>92</v>
      </c>
      <c r="C11" s="441"/>
      <c r="D11" s="4">
        <f>D8*D10</f>
        <v>2500</v>
      </c>
      <c r="E11" s="4">
        <f>E8*E10</f>
        <v>2550</v>
      </c>
      <c r="F11" s="4">
        <f>F8*F10</f>
        <v>2601</v>
      </c>
      <c r="G11" s="4">
        <f t="shared" ref="G11:BA11" si="3">G8*G10</f>
        <v>2653.02</v>
      </c>
      <c r="H11" s="4">
        <f t="shared" si="3"/>
        <v>2706.0803999999998</v>
      </c>
      <c r="I11" s="4">
        <f t="shared" si="3"/>
        <v>2760.2020079999998</v>
      </c>
      <c r="J11" s="4">
        <f t="shared" si="3"/>
        <v>2815.40604816</v>
      </c>
      <c r="K11" s="4">
        <f t="shared" si="3"/>
        <v>2871.7141691231996</v>
      </c>
      <c r="L11" s="4">
        <f t="shared" si="3"/>
        <v>2929.148452505664</v>
      </c>
      <c r="M11" s="4">
        <f t="shared" si="3"/>
        <v>2987.7314215557772</v>
      </c>
      <c r="N11" s="4">
        <f t="shared" si="3"/>
        <v>3047.4860499868928</v>
      </c>
      <c r="O11" s="4">
        <f t="shared" si="3"/>
        <v>3108.4357709866304</v>
      </c>
      <c r="P11" s="4">
        <f t="shared" si="3"/>
        <v>3170.6044864063629</v>
      </c>
      <c r="Q11" s="4">
        <f t="shared" si="3"/>
        <v>3234.0165761344906</v>
      </c>
      <c r="R11" s="4">
        <f t="shared" si="3"/>
        <v>3298.69690765718</v>
      </c>
      <c r="S11" s="4">
        <f t="shared" si="3"/>
        <v>3364.6708458103235</v>
      </c>
      <c r="T11" s="4">
        <f t="shared" si="3"/>
        <v>3431.9642627265298</v>
      </c>
      <c r="U11" s="4">
        <f t="shared" si="3"/>
        <v>3500.6035479810607</v>
      </c>
      <c r="V11" s="4">
        <f t="shared" si="3"/>
        <v>3570.615618940682</v>
      </c>
      <c r="W11" s="4">
        <f t="shared" si="3"/>
        <v>3642.0279313194956</v>
      </c>
      <c r="X11" s="4">
        <f t="shared" si="3"/>
        <v>3714.8684899458854</v>
      </c>
      <c r="Y11" s="4">
        <f t="shared" si="3"/>
        <v>3789.1658597448031</v>
      </c>
      <c r="Z11" s="4">
        <f t="shared" si="3"/>
        <v>3864.9491769396991</v>
      </c>
      <c r="AA11" s="4">
        <f t="shared" si="3"/>
        <v>3942.248160478493</v>
      </c>
      <c r="AB11" s="4">
        <f t="shared" si="3"/>
        <v>4021.0931236880629</v>
      </c>
      <c r="AC11" s="4">
        <f t="shared" si="3"/>
        <v>4101.5149861618247</v>
      </c>
      <c r="AD11" s="4">
        <f t="shared" si="3"/>
        <v>4183.5452858850604</v>
      </c>
      <c r="AE11" s="4">
        <f t="shared" si="3"/>
        <v>4267.2161916027617</v>
      </c>
      <c r="AF11" s="4">
        <f t="shared" si="3"/>
        <v>4352.5605154348168</v>
      </c>
      <c r="AG11" s="4">
        <f t="shared" si="3"/>
        <v>4439.6117257435135</v>
      </c>
      <c r="AH11" s="4">
        <f t="shared" si="3"/>
        <v>4528.4039602583834</v>
      </c>
      <c r="AI11" s="4">
        <f t="shared" si="3"/>
        <v>4618.9720394635506</v>
      </c>
      <c r="AJ11" s="4">
        <f t="shared" si="3"/>
        <v>4711.3514802528216</v>
      </c>
      <c r="AK11" s="4">
        <f t="shared" si="3"/>
        <v>4805.5785098578781</v>
      </c>
      <c r="AL11" s="4">
        <f t="shared" si="3"/>
        <v>4901.6900800550357</v>
      </c>
      <c r="AM11" s="4">
        <f t="shared" si="3"/>
        <v>4999.7238816561367</v>
      </c>
      <c r="AN11" s="4">
        <f t="shared" si="3"/>
        <v>5099.7183592892588</v>
      </c>
      <c r="AO11" s="4">
        <f t="shared" si="3"/>
        <v>5201.7127264750443</v>
      </c>
      <c r="AP11" s="4">
        <f t="shared" si="3"/>
        <v>5305.746981004545</v>
      </c>
      <c r="AQ11" s="4">
        <f t="shared" si="3"/>
        <v>5411.8619206246358</v>
      </c>
      <c r="AR11" s="4">
        <f t="shared" si="3"/>
        <v>5520.0991590371286</v>
      </c>
      <c r="AS11" s="4">
        <f t="shared" si="3"/>
        <v>5630.5011422178713</v>
      </c>
      <c r="AT11" s="4">
        <f t="shared" si="3"/>
        <v>5743.1111650622288</v>
      </c>
      <c r="AU11" s="4">
        <f t="shared" si="3"/>
        <v>5857.9733883634735</v>
      </c>
      <c r="AV11" s="4">
        <f t="shared" si="3"/>
        <v>5975.1328561307437</v>
      </c>
      <c r="AW11" s="4">
        <f t="shared" si="3"/>
        <v>6094.6355132533572</v>
      </c>
      <c r="AX11" s="4">
        <f t="shared" si="3"/>
        <v>6216.5282235184241</v>
      </c>
      <c r="AY11" s="4">
        <f t="shared" si="3"/>
        <v>6340.8587879887928</v>
      </c>
      <c r="AZ11" s="4">
        <f t="shared" si="3"/>
        <v>6467.6759637485675</v>
      </c>
      <c r="BA11" s="295">
        <f t="shared" si="3"/>
        <v>6597.0294830235398</v>
      </c>
    </row>
    <row r="12" spans="1:53" ht="15.75" thickBot="1">
      <c r="A12"/>
      <c r="B12" s="498" t="s">
        <v>273</v>
      </c>
      <c r="C12" s="499"/>
      <c r="D12" s="305">
        <f>D8+D11</f>
        <v>127500</v>
      </c>
      <c r="E12" s="305">
        <f t="shared" ref="E12:BA12" si="4">E8+E11</f>
        <v>130050</v>
      </c>
      <c r="F12" s="305">
        <f t="shared" si="4"/>
        <v>132651</v>
      </c>
      <c r="G12" s="305">
        <f t="shared" si="4"/>
        <v>135304.01999999999</v>
      </c>
      <c r="H12" s="305">
        <f t="shared" si="4"/>
        <v>138010.1004</v>
      </c>
      <c r="I12" s="305">
        <f t="shared" si="4"/>
        <v>140770.30240799999</v>
      </c>
      <c r="J12" s="305">
        <f t="shared" si="4"/>
        <v>143585.70845615998</v>
      </c>
      <c r="K12" s="305">
        <f t="shared" si="4"/>
        <v>146457.42262528319</v>
      </c>
      <c r="L12" s="305">
        <f t="shared" si="4"/>
        <v>149386.57107778886</v>
      </c>
      <c r="M12" s="305">
        <f t="shared" si="4"/>
        <v>152374.30249934463</v>
      </c>
      <c r="N12" s="305">
        <f t="shared" si="4"/>
        <v>155421.78854933151</v>
      </c>
      <c r="O12" s="305">
        <f t="shared" si="4"/>
        <v>158530.22432031814</v>
      </c>
      <c r="P12" s="305">
        <f t="shared" si="4"/>
        <v>161700.82880672452</v>
      </c>
      <c r="Q12" s="305">
        <f t="shared" si="4"/>
        <v>164934.845382859</v>
      </c>
      <c r="R12" s="305">
        <f t="shared" si="4"/>
        <v>168233.54229051617</v>
      </c>
      <c r="S12" s="305">
        <f t="shared" si="4"/>
        <v>171598.21313632649</v>
      </c>
      <c r="T12" s="305">
        <f t="shared" si="4"/>
        <v>175030.17739905303</v>
      </c>
      <c r="U12" s="305">
        <f t="shared" si="4"/>
        <v>178530.7809470341</v>
      </c>
      <c r="V12" s="305">
        <f t="shared" si="4"/>
        <v>182101.39656597478</v>
      </c>
      <c r="W12" s="305">
        <f t="shared" si="4"/>
        <v>185743.42449729427</v>
      </c>
      <c r="X12" s="305">
        <f t="shared" si="4"/>
        <v>189458.29298724016</v>
      </c>
      <c r="Y12" s="305">
        <f t="shared" si="4"/>
        <v>193247.45884698496</v>
      </c>
      <c r="Z12" s="305">
        <f t="shared" si="4"/>
        <v>197112.40802392465</v>
      </c>
      <c r="AA12" s="305">
        <f t="shared" si="4"/>
        <v>201054.65618440314</v>
      </c>
      <c r="AB12" s="305">
        <f t="shared" si="4"/>
        <v>205075.74930809121</v>
      </c>
      <c r="AC12" s="305">
        <f t="shared" si="4"/>
        <v>209177.26429425302</v>
      </c>
      <c r="AD12" s="305">
        <f t="shared" si="4"/>
        <v>213360.80958013807</v>
      </c>
      <c r="AE12" s="305">
        <f t="shared" si="4"/>
        <v>217628.02577174082</v>
      </c>
      <c r="AF12" s="305">
        <f t="shared" si="4"/>
        <v>221980.58628717565</v>
      </c>
      <c r="AG12" s="305">
        <f t="shared" si="4"/>
        <v>226420.19801291917</v>
      </c>
      <c r="AH12" s="305">
        <f t="shared" si="4"/>
        <v>230948.60197317755</v>
      </c>
      <c r="AI12" s="305">
        <f t="shared" si="4"/>
        <v>235567.5740126411</v>
      </c>
      <c r="AJ12" s="305">
        <f t="shared" si="4"/>
        <v>240278.9254928939</v>
      </c>
      <c r="AK12" s="305">
        <f t="shared" si="4"/>
        <v>245084.50400275178</v>
      </c>
      <c r="AL12" s="305">
        <f t="shared" si="4"/>
        <v>249986.19408280682</v>
      </c>
      <c r="AM12" s="305">
        <f t="shared" si="4"/>
        <v>254985.91796446295</v>
      </c>
      <c r="AN12" s="305">
        <f t="shared" si="4"/>
        <v>260085.6363237522</v>
      </c>
      <c r="AO12" s="305">
        <f t="shared" si="4"/>
        <v>265287.34905022726</v>
      </c>
      <c r="AP12" s="305">
        <f t="shared" si="4"/>
        <v>270593.09603123181</v>
      </c>
      <c r="AQ12" s="305">
        <f t="shared" si="4"/>
        <v>276004.95795185643</v>
      </c>
      <c r="AR12" s="305">
        <f t="shared" si="4"/>
        <v>281525.05711089354</v>
      </c>
      <c r="AS12" s="305">
        <f t="shared" si="4"/>
        <v>287155.55825311143</v>
      </c>
      <c r="AT12" s="305">
        <f t="shared" si="4"/>
        <v>292898.66941817367</v>
      </c>
      <c r="AU12" s="305">
        <f t="shared" si="4"/>
        <v>298756.64280653716</v>
      </c>
      <c r="AV12" s="305">
        <f t="shared" si="4"/>
        <v>304731.77566266787</v>
      </c>
      <c r="AW12" s="305">
        <f t="shared" si="4"/>
        <v>310826.41117592121</v>
      </c>
      <c r="AX12" s="305">
        <f t="shared" si="4"/>
        <v>317042.93939943961</v>
      </c>
      <c r="AY12" s="305">
        <f t="shared" si="4"/>
        <v>323383.79818742839</v>
      </c>
      <c r="AZ12" s="305">
        <f t="shared" si="4"/>
        <v>329851.47415117698</v>
      </c>
      <c r="BA12" s="306">
        <f t="shared" si="4"/>
        <v>336448.50363420055</v>
      </c>
    </row>
    <row r="13" spans="1:53" ht="39" customHeight="1" thickBot="1">
      <c r="D13" s="36"/>
    </row>
    <row r="14" spans="1:53" ht="18" thickBot="1">
      <c r="B14" s="273" t="s">
        <v>256</v>
      </c>
      <c r="D14" s="36"/>
    </row>
    <row r="15" spans="1:53" ht="15.7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475</v>
      </c>
      <c r="C16" s="137"/>
      <c r="D16" s="10">
        <f>Cockpit!H22</f>
        <v>82275</v>
      </c>
      <c r="E16" s="10">
        <f>D16</f>
        <v>82275</v>
      </c>
      <c r="F16" s="10">
        <f t="shared" ref="F16:BA16" si="5">E16</f>
        <v>82275</v>
      </c>
      <c r="G16" s="10">
        <f t="shared" si="5"/>
        <v>82275</v>
      </c>
      <c r="H16" s="10">
        <f t="shared" si="5"/>
        <v>82275</v>
      </c>
      <c r="I16" s="10">
        <f t="shared" si="5"/>
        <v>82275</v>
      </c>
      <c r="J16" s="10">
        <f t="shared" si="5"/>
        <v>82275</v>
      </c>
      <c r="K16" s="10">
        <f t="shared" si="5"/>
        <v>82275</v>
      </c>
      <c r="L16" s="10">
        <f t="shared" si="5"/>
        <v>82275</v>
      </c>
      <c r="M16" s="10">
        <f t="shared" si="5"/>
        <v>82275</v>
      </c>
      <c r="N16" s="10">
        <f t="shared" si="5"/>
        <v>82275</v>
      </c>
      <c r="O16" s="10">
        <f t="shared" si="5"/>
        <v>82275</v>
      </c>
      <c r="P16" s="10">
        <f t="shared" si="5"/>
        <v>82275</v>
      </c>
      <c r="Q16" s="10">
        <f t="shared" si="5"/>
        <v>82275</v>
      </c>
      <c r="R16" s="10">
        <f t="shared" si="5"/>
        <v>82275</v>
      </c>
      <c r="S16" s="10">
        <f t="shared" si="5"/>
        <v>82275</v>
      </c>
      <c r="T16" s="10">
        <f t="shared" si="5"/>
        <v>82275</v>
      </c>
      <c r="U16" s="10">
        <f t="shared" si="5"/>
        <v>82275</v>
      </c>
      <c r="V16" s="10">
        <f t="shared" si="5"/>
        <v>82275</v>
      </c>
      <c r="W16" s="10">
        <f t="shared" si="5"/>
        <v>82275</v>
      </c>
      <c r="X16" s="10">
        <f t="shared" si="5"/>
        <v>82275</v>
      </c>
      <c r="Y16" s="10">
        <f t="shared" si="5"/>
        <v>82275</v>
      </c>
      <c r="Z16" s="10">
        <f t="shared" si="5"/>
        <v>82275</v>
      </c>
      <c r="AA16" s="10">
        <f t="shared" si="5"/>
        <v>82275</v>
      </c>
      <c r="AB16" s="10">
        <f t="shared" si="5"/>
        <v>82275</v>
      </c>
      <c r="AC16" s="10">
        <f t="shared" si="5"/>
        <v>82275</v>
      </c>
      <c r="AD16" s="10">
        <f t="shared" si="5"/>
        <v>82275</v>
      </c>
      <c r="AE16" s="10">
        <f t="shared" si="5"/>
        <v>82275</v>
      </c>
      <c r="AF16" s="10">
        <f t="shared" si="5"/>
        <v>82275</v>
      </c>
      <c r="AG16" s="10">
        <f t="shared" si="5"/>
        <v>82275</v>
      </c>
      <c r="AH16" s="10">
        <f t="shared" si="5"/>
        <v>82275</v>
      </c>
      <c r="AI16" s="10">
        <f t="shared" si="5"/>
        <v>82275</v>
      </c>
      <c r="AJ16" s="10">
        <f t="shared" si="5"/>
        <v>82275</v>
      </c>
      <c r="AK16" s="10">
        <f t="shared" si="5"/>
        <v>82275</v>
      </c>
      <c r="AL16" s="10">
        <f t="shared" si="5"/>
        <v>82275</v>
      </c>
      <c r="AM16" s="10">
        <f t="shared" si="5"/>
        <v>82275</v>
      </c>
      <c r="AN16" s="10">
        <f t="shared" si="5"/>
        <v>82275</v>
      </c>
      <c r="AO16" s="10">
        <f t="shared" si="5"/>
        <v>82275</v>
      </c>
      <c r="AP16" s="10">
        <f t="shared" si="5"/>
        <v>82275</v>
      </c>
      <c r="AQ16" s="10">
        <f t="shared" si="5"/>
        <v>82275</v>
      </c>
      <c r="AR16" s="10">
        <f t="shared" si="5"/>
        <v>82275</v>
      </c>
      <c r="AS16" s="10">
        <f t="shared" si="5"/>
        <v>82275</v>
      </c>
      <c r="AT16" s="10">
        <f t="shared" si="5"/>
        <v>82275</v>
      </c>
      <c r="AU16" s="10">
        <f t="shared" si="5"/>
        <v>82275</v>
      </c>
      <c r="AV16" s="10">
        <f t="shared" si="5"/>
        <v>82275</v>
      </c>
      <c r="AW16" s="10">
        <f t="shared" si="5"/>
        <v>82275</v>
      </c>
      <c r="AX16" s="10">
        <f t="shared" si="5"/>
        <v>82275</v>
      </c>
      <c r="AY16" s="10">
        <f t="shared" si="5"/>
        <v>82275</v>
      </c>
      <c r="AZ16" s="10">
        <f t="shared" si="5"/>
        <v>82275</v>
      </c>
      <c r="BA16" s="283">
        <f t="shared" si="5"/>
        <v>82275</v>
      </c>
    </row>
    <row r="17" spans="2:53">
      <c r="B17" s="479" t="s">
        <v>257</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258</v>
      </c>
      <c r="C18" s="480"/>
      <c r="D18" s="10">
        <f>D17*D16</f>
        <v>1234.125</v>
      </c>
      <c r="E18" s="10">
        <f t="shared" ref="E18:AJ18" si="8">MIN(E17*E16,E16-D20)</f>
        <v>1234.125</v>
      </c>
      <c r="F18" s="10">
        <f t="shared" si="8"/>
        <v>1234.125</v>
      </c>
      <c r="G18" s="10">
        <f t="shared" si="8"/>
        <v>1234.125</v>
      </c>
      <c r="H18" s="10">
        <f t="shared" si="8"/>
        <v>1234.125</v>
      </c>
      <c r="I18" s="10">
        <f t="shared" si="8"/>
        <v>1234.125</v>
      </c>
      <c r="J18" s="10">
        <f t="shared" si="8"/>
        <v>1234.125</v>
      </c>
      <c r="K18" s="10">
        <f t="shared" si="8"/>
        <v>1234.125</v>
      </c>
      <c r="L18" s="10">
        <f t="shared" si="8"/>
        <v>1234.125</v>
      </c>
      <c r="M18" s="10">
        <f t="shared" si="8"/>
        <v>1234.125</v>
      </c>
      <c r="N18" s="10">
        <f t="shared" si="8"/>
        <v>1234.125</v>
      </c>
      <c r="O18" s="10">
        <f t="shared" si="8"/>
        <v>1234.125</v>
      </c>
      <c r="P18" s="10">
        <f t="shared" si="8"/>
        <v>1234.125</v>
      </c>
      <c r="Q18" s="10">
        <f t="shared" si="8"/>
        <v>1234.125</v>
      </c>
      <c r="R18" s="10">
        <f t="shared" si="8"/>
        <v>1234.125</v>
      </c>
      <c r="S18" s="10">
        <f t="shared" si="8"/>
        <v>1234.125</v>
      </c>
      <c r="T18" s="10">
        <f t="shared" si="8"/>
        <v>1234.125</v>
      </c>
      <c r="U18" s="10">
        <f t="shared" si="8"/>
        <v>1234.125</v>
      </c>
      <c r="V18" s="10">
        <f t="shared" si="8"/>
        <v>1234.125</v>
      </c>
      <c r="W18" s="10">
        <f t="shared" si="8"/>
        <v>1234.125</v>
      </c>
      <c r="X18" s="10">
        <f t="shared" si="8"/>
        <v>1234.125</v>
      </c>
      <c r="Y18" s="10">
        <f t="shared" si="8"/>
        <v>1234.125</v>
      </c>
      <c r="Z18" s="10">
        <f t="shared" si="8"/>
        <v>1234.125</v>
      </c>
      <c r="AA18" s="10">
        <f t="shared" si="8"/>
        <v>1234.125</v>
      </c>
      <c r="AB18" s="10">
        <f t="shared" si="8"/>
        <v>1234.125</v>
      </c>
      <c r="AC18" s="10">
        <f t="shared" si="8"/>
        <v>1234.125</v>
      </c>
      <c r="AD18" s="10">
        <f t="shared" si="8"/>
        <v>1234.125</v>
      </c>
      <c r="AE18" s="10">
        <f t="shared" si="8"/>
        <v>1234.125</v>
      </c>
      <c r="AF18" s="10">
        <f t="shared" si="8"/>
        <v>1234.125</v>
      </c>
      <c r="AG18" s="10">
        <f t="shared" si="8"/>
        <v>1234.125</v>
      </c>
      <c r="AH18" s="10">
        <f t="shared" si="8"/>
        <v>1234.125</v>
      </c>
      <c r="AI18" s="10">
        <f t="shared" si="8"/>
        <v>1234.125</v>
      </c>
      <c r="AJ18" s="10">
        <f t="shared" si="8"/>
        <v>1234.125</v>
      </c>
      <c r="AK18" s="10">
        <f t="shared" ref="AK18:BA18" si="9">MIN(AK17*AK16,AK16-AJ20)</f>
        <v>1234.125</v>
      </c>
      <c r="AL18" s="10">
        <f t="shared" si="9"/>
        <v>1234.125</v>
      </c>
      <c r="AM18" s="10">
        <f t="shared" si="9"/>
        <v>1234.125</v>
      </c>
      <c r="AN18" s="10">
        <f t="shared" si="9"/>
        <v>1234.125</v>
      </c>
      <c r="AO18" s="10">
        <f t="shared" si="9"/>
        <v>1234.125</v>
      </c>
      <c r="AP18" s="10">
        <f t="shared" si="9"/>
        <v>1234.125</v>
      </c>
      <c r="AQ18" s="10">
        <f t="shared" si="9"/>
        <v>1234.125</v>
      </c>
      <c r="AR18" s="10">
        <f t="shared" si="9"/>
        <v>1234.125</v>
      </c>
      <c r="AS18" s="10">
        <f t="shared" si="9"/>
        <v>1234.125</v>
      </c>
      <c r="AT18" s="10">
        <f t="shared" si="9"/>
        <v>1234.125</v>
      </c>
      <c r="AU18" s="10">
        <f t="shared" si="9"/>
        <v>1234.125</v>
      </c>
      <c r="AV18" s="10">
        <f t="shared" si="9"/>
        <v>1234.125</v>
      </c>
      <c r="AW18" s="10">
        <f t="shared" si="9"/>
        <v>1234.125</v>
      </c>
      <c r="AX18" s="10">
        <f t="shared" si="9"/>
        <v>1234.125</v>
      </c>
      <c r="AY18" s="10">
        <f t="shared" si="9"/>
        <v>1234.125</v>
      </c>
      <c r="AZ18" s="10">
        <f t="shared" si="9"/>
        <v>1234.125</v>
      </c>
      <c r="BA18" s="283">
        <f t="shared" si="9"/>
        <v>1234.125</v>
      </c>
    </row>
    <row r="19" spans="2:53">
      <c r="B19" s="494" t="s">
        <v>259</v>
      </c>
      <c r="C19" s="495"/>
      <c r="D19" s="38">
        <f>D18/12</f>
        <v>102.84375</v>
      </c>
      <c r="E19" s="10">
        <f>E18/12</f>
        <v>102.84375</v>
      </c>
      <c r="F19" s="10">
        <f t="shared" ref="F19:BA19" si="10">F18/12</f>
        <v>102.84375</v>
      </c>
      <c r="G19" s="10">
        <f t="shared" si="10"/>
        <v>102.84375</v>
      </c>
      <c r="H19" s="10">
        <f t="shared" si="10"/>
        <v>102.84375</v>
      </c>
      <c r="I19" s="10">
        <f t="shared" si="10"/>
        <v>102.84375</v>
      </c>
      <c r="J19" s="10">
        <f t="shared" si="10"/>
        <v>102.84375</v>
      </c>
      <c r="K19" s="10">
        <f t="shared" si="10"/>
        <v>102.84375</v>
      </c>
      <c r="L19" s="10">
        <f t="shared" si="10"/>
        <v>102.84375</v>
      </c>
      <c r="M19" s="10">
        <f t="shared" si="10"/>
        <v>102.84375</v>
      </c>
      <c r="N19" s="10">
        <f t="shared" si="10"/>
        <v>102.84375</v>
      </c>
      <c r="O19" s="10">
        <f t="shared" si="10"/>
        <v>102.84375</v>
      </c>
      <c r="P19" s="10">
        <f t="shared" si="10"/>
        <v>102.84375</v>
      </c>
      <c r="Q19" s="10">
        <f t="shared" si="10"/>
        <v>102.84375</v>
      </c>
      <c r="R19" s="10">
        <f t="shared" si="10"/>
        <v>102.84375</v>
      </c>
      <c r="S19" s="10">
        <f t="shared" si="10"/>
        <v>102.84375</v>
      </c>
      <c r="T19" s="10">
        <f t="shared" si="10"/>
        <v>102.84375</v>
      </c>
      <c r="U19" s="10">
        <f t="shared" si="10"/>
        <v>102.84375</v>
      </c>
      <c r="V19" s="10">
        <f t="shared" si="10"/>
        <v>102.84375</v>
      </c>
      <c r="W19" s="10">
        <f t="shared" si="10"/>
        <v>102.84375</v>
      </c>
      <c r="X19" s="10">
        <f t="shared" si="10"/>
        <v>102.84375</v>
      </c>
      <c r="Y19" s="10">
        <f t="shared" si="10"/>
        <v>102.84375</v>
      </c>
      <c r="Z19" s="10">
        <f t="shared" si="10"/>
        <v>102.84375</v>
      </c>
      <c r="AA19" s="10">
        <f t="shared" si="10"/>
        <v>102.84375</v>
      </c>
      <c r="AB19" s="10">
        <f t="shared" si="10"/>
        <v>102.84375</v>
      </c>
      <c r="AC19" s="10">
        <f t="shared" si="10"/>
        <v>102.84375</v>
      </c>
      <c r="AD19" s="10">
        <f t="shared" si="10"/>
        <v>102.84375</v>
      </c>
      <c r="AE19" s="10">
        <f t="shared" si="10"/>
        <v>102.84375</v>
      </c>
      <c r="AF19" s="10">
        <f t="shared" si="10"/>
        <v>102.84375</v>
      </c>
      <c r="AG19" s="10">
        <f t="shared" si="10"/>
        <v>102.84375</v>
      </c>
      <c r="AH19" s="10">
        <f t="shared" si="10"/>
        <v>102.84375</v>
      </c>
      <c r="AI19" s="10">
        <f t="shared" si="10"/>
        <v>102.84375</v>
      </c>
      <c r="AJ19" s="10">
        <f t="shared" si="10"/>
        <v>102.84375</v>
      </c>
      <c r="AK19" s="10">
        <f t="shared" si="10"/>
        <v>102.84375</v>
      </c>
      <c r="AL19" s="10">
        <f t="shared" si="10"/>
        <v>102.84375</v>
      </c>
      <c r="AM19" s="10">
        <f t="shared" si="10"/>
        <v>102.84375</v>
      </c>
      <c r="AN19" s="10">
        <f t="shared" si="10"/>
        <v>102.84375</v>
      </c>
      <c r="AO19" s="10">
        <f t="shared" si="10"/>
        <v>102.84375</v>
      </c>
      <c r="AP19" s="10">
        <f t="shared" si="10"/>
        <v>102.84375</v>
      </c>
      <c r="AQ19" s="10">
        <f t="shared" si="10"/>
        <v>102.84375</v>
      </c>
      <c r="AR19" s="10">
        <f t="shared" si="10"/>
        <v>102.84375</v>
      </c>
      <c r="AS19" s="10">
        <f t="shared" si="10"/>
        <v>102.84375</v>
      </c>
      <c r="AT19" s="10">
        <f t="shared" si="10"/>
        <v>102.84375</v>
      </c>
      <c r="AU19" s="10">
        <f t="shared" si="10"/>
        <v>102.84375</v>
      </c>
      <c r="AV19" s="10">
        <f t="shared" si="10"/>
        <v>102.84375</v>
      </c>
      <c r="AW19" s="10">
        <f t="shared" si="10"/>
        <v>102.84375</v>
      </c>
      <c r="AX19" s="10">
        <f t="shared" si="10"/>
        <v>102.84375</v>
      </c>
      <c r="AY19" s="10">
        <f t="shared" si="10"/>
        <v>102.84375</v>
      </c>
      <c r="AZ19" s="10">
        <f t="shared" si="10"/>
        <v>102.84375</v>
      </c>
      <c r="BA19" s="283">
        <f t="shared" si="10"/>
        <v>102.84375</v>
      </c>
    </row>
    <row r="20" spans="2:53" ht="15.75" thickBot="1">
      <c r="B20" s="482" t="s">
        <v>251</v>
      </c>
      <c r="C20" s="483"/>
      <c r="D20" s="284">
        <f>D18</f>
        <v>1234.125</v>
      </c>
      <c r="E20" s="284">
        <f t="shared" ref="E20:AJ20" si="11">D20+E18</f>
        <v>2468.25</v>
      </c>
      <c r="F20" s="284">
        <f t="shared" si="11"/>
        <v>3702.375</v>
      </c>
      <c r="G20" s="284">
        <f t="shared" si="11"/>
        <v>4936.5</v>
      </c>
      <c r="H20" s="284">
        <f t="shared" si="11"/>
        <v>6170.625</v>
      </c>
      <c r="I20" s="284">
        <f t="shared" si="11"/>
        <v>7404.75</v>
      </c>
      <c r="J20" s="284">
        <f t="shared" si="11"/>
        <v>8638.875</v>
      </c>
      <c r="K20" s="284">
        <f t="shared" si="11"/>
        <v>9873</v>
      </c>
      <c r="L20" s="284">
        <f t="shared" si="11"/>
        <v>11107.125</v>
      </c>
      <c r="M20" s="284">
        <f t="shared" si="11"/>
        <v>12341.25</v>
      </c>
      <c r="N20" s="284">
        <f t="shared" si="11"/>
        <v>13575.375</v>
      </c>
      <c r="O20" s="284">
        <f t="shared" si="11"/>
        <v>14809.5</v>
      </c>
      <c r="P20" s="284">
        <f t="shared" si="11"/>
        <v>16043.625</v>
      </c>
      <c r="Q20" s="284">
        <f t="shared" si="11"/>
        <v>17277.75</v>
      </c>
      <c r="R20" s="284">
        <f t="shared" si="11"/>
        <v>18511.875</v>
      </c>
      <c r="S20" s="284">
        <f t="shared" si="11"/>
        <v>19746</v>
      </c>
      <c r="T20" s="284">
        <f t="shared" si="11"/>
        <v>20980.125</v>
      </c>
      <c r="U20" s="284">
        <f t="shared" si="11"/>
        <v>22214.25</v>
      </c>
      <c r="V20" s="284">
        <f t="shared" si="11"/>
        <v>23448.375</v>
      </c>
      <c r="W20" s="284">
        <f t="shared" si="11"/>
        <v>24682.5</v>
      </c>
      <c r="X20" s="284">
        <f t="shared" si="11"/>
        <v>25916.625</v>
      </c>
      <c r="Y20" s="284">
        <f t="shared" si="11"/>
        <v>27150.75</v>
      </c>
      <c r="Z20" s="284">
        <f t="shared" si="11"/>
        <v>28384.875</v>
      </c>
      <c r="AA20" s="284">
        <f t="shared" si="11"/>
        <v>29619</v>
      </c>
      <c r="AB20" s="284">
        <f t="shared" si="11"/>
        <v>30853.125</v>
      </c>
      <c r="AC20" s="284">
        <f t="shared" si="11"/>
        <v>32087.25</v>
      </c>
      <c r="AD20" s="284">
        <f t="shared" si="11"/>
        <v>33321.375</v>
      </c>
      <c r="AE20" s="284">
        <f t="shared" si="11"/>
        <v>34555.5</v>
      </c>
      <c r="AF20" s="284">
        <f t="shared" si="11"/>
        <v>35789.625</v>
      </c>
      <c r="AG20" s="284">
        <f t="shared" si="11"/>
        <v>37023.75</v>
      </c>
      <c r="AH20" s="284">
        <f t="shared" si="11"/>
        <v>38257.875</v>
      </c>
      <c r="AI20" s="284">
        <f t="shared" si="11"/>
        <v>39492</v>
      </c>
      <c r="AJ20" s="284">
        <f t="shared" si="11"/>
        <v>40726.125</v>
      </c>
      <c r="AK20" s="284">
        <f t="shared" ref="AK20:BA20" si="12">AJ20+AK18</f>
        <v>41960.25</v>
      </c>
      <c r="AL20" s="284">
        <f t="shared" si="12"/>
        <v>43194.375</v>
      </c>
      <c r="AM20" s="284">
        <f t="shared" si="12"/>
        <v>44428.5</v>
      </c>
      <c r="AN20" s="284">
        <f t="shared" si="12"/>
        <v>45662.625</v>
      </c>
      <c r="AO20" s="284">
        <f t="shared" si="12"/>
        <v>46896.75</v>
      </c>
      <c r="AP20" s="284">
        <f t="shared" si="12"/>
        <v>48130.875</v>
      </c>
      <c r="AQ20" s="284">
        <f t="shared" si="12"/>
        <v>49365</v>
      </c>
      <c r="AR20" s="284">
        <f t="shared" si="12"/>
        <v>50599.125</v>
      </c>
      <c r="AS20" s="284">
        <f t="shared" si="12"/>
        <v>51833.25</v>
      </c>
      <c r="AT20" s="284">
        <f t="shared" si="12"/>
        <v>53067.375</v>
      </c>
      <c r="AU20" s="284">
        <f t="shared" si="12"/>
        <v>54301.5</v>
      </c>
      <c r="AV20" s="284">
        <f t="shared" si="12"/>
        <v>55535.625</v>
      </c>
      <c r="AW20" s="284">
        <f t="shared" si="12"/>
        <v>56769.75</v>
      </c>
      <c r="AX20" s="284">
        <f t="shared" si="12"/>
        <v>58003.875</v>
      </c>
      <c r="AY20" s="284">
        <f t="shared" si="12"/>
        <v>59238</v>
      </c>
      <c r="AZ20" s="284">
        <f t="shared" si="12"/>
        <v>60472.125</v>
      </c>
      <c r="BA20" s="285">
        <f t="shared" si="12"/>
        <v>61706.25</v>
      </c>
    </row>
    <row r="21" spans="2:53" ht="15.75" thickBot="1">
      <c r="D21" s="36"/>
    </row>
    <row r="22" spans="2:53" ht="18" hidden="1" thickBot="1">
      <c r="B22" s="273" t="s">
        <v>255</v>
      </c>
      <c r="D22" s="36"/>
    </row>
    <row r="23" spans="2:53" ht="15.7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5.75" hidden="1" thickBot="1">
      <c r="B24" s="482" t="s">
        <v>259</v>
      </c>
      <c r="C24" s="483"/>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5.75" hidden="1" thickBot="1">
      <c r="D25" s="36"/>
    </row>
    <row r="26" spans="2:53" ht="18" thickBot="1">
      <c r="B26" s="273" t="s">
        <v>463</v>
      </c>
      <c r="D26" s="36"/>
    </row>
    <row r="27" spans="2:53" ht="15.7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4" t="str">
        <f>CONCATENATE("Sofort abzugfsähig (",SUMIF(Cockpit!D26:D29,"Sofort",Cockpit!C26:C29)," €)")</f>
        <v>Sofort abzugfsähig (0 €)</v>
      </c>
      <c r="C28" s="485"/>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(0 €)</v>
      </c>
      <c r="C30" s="480"/>
      <c r="D30" s="10">
        <f>SUMIF(Cockpit!D26:D29,"15 Jahre",Cockpit!C26:C29)/15</f>
        <v>0</v>
      </c>
      <c r="E30" s="10">
        <f t="shared" ref="E30:M30" si="18">D30</f>
        <v>0</v>
      </c>
      <c r="F30" s="10">
        <f t="shared" si="18"/>
        <v>0</v>
      </c>
      <c r="G30" s="10">
        <f t="shared" si="18"/>
        <v>0</v>
      </c>
      <c r="H30" s="10">
        <f t="shared" si="18"/>
        <v>0</v>
      </c>
      <c r="I30" s="10">
        <f t="shared" si="18"/>
        <v>0</v>
      </c>
      <c r="J30" s="10">
        <f t="shared" si="18"/>
        <v>0</v>
      </c>
      <c r="K30" s="10">
        <f t="shared" si="18"/>
        <v>0</v>
      </c>
      <c r="L30" s="10">
        <f t="shared" si="18"/>
        <v>0</v>
      </c>
      <c r="M30" s="10">
        <f t="shared" si="18"/>
        <v>0</v>
      </c>
      <c r="N30" s="10">
        <f t="shared" ref="N30:R32" si="19">M30</f>
        <v>0</v>
      </c>
      <c r="O30" s="10">
        <f t="shared" si="19"/>
        <v>0</v>
      </c>
      <c r="P30" s="10">
        <f t="shared" si="19"/>
        <v>0</v>
      </c>
      <c r="Q30" s="10">
        <f t="shared" si="19"/>
        <v>0</v>
      </c>
      <c r="R30" s="10">
        <f t="shared" si="19"/>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465</v>
      </c>
      <c r="C33" s="421"/>
      <c r="D33" s="10">
        <f>SUM(D28:D32)</f>
        <v>0</v>
      </c>
      <c r="E33" s="10">
        <f t="shared" ref="E33:BA33" si="23">SUM(E28:E32)</f>
        <v>0</v>
      </c>
      <c r="F33" s="10">
        <f t="shared" si="23"/>
        <v>0</v>
      </c>
      <c r="G33" s="10">
        <f t="shared" si="23"/>
        <v>0</v>
      </c>
      <c r="H33" s="10">
        <f t="shared" si="23"/>
        <v>0</v>
      </c>
      <c r="I33" s="10">
        <f t="shared" si="23"/>
        <v>0</v>
      </c>
      <c r="J33" s="10">
        <f t="shared" si="23"/>
        <v>0</v>
      </c>
      <c r="K33" s="10">
        <f t="shared" si="23"/>
        <v>0</v>
      </c>
      <c r="L33" s="10">
        <f t="shared" si="23"/>
        <v>0</v>
      </c>
      <c r="M33" s="10">
        <f t="shared" si="23"/>
        <v>0</v>
      </c>
      <c r="N33" s="10">
        <f t="shared" si="23"/>
        <v>0</v>
      </c>
      <c r="O33" s="10">
        <f t="shared" si="23"/>
        <v>0</v>
      </c>
      <c r="P33" s="10">
        <f t="shared" si="23"/>
        <v>0</v>
      </c>
      <c r="Q33" s="10">
        <f t="shared" si="23"/>
        <v>0</v>
      </c>
      <c r="R33" s="10">
        <f t="shared" si="23"/>
        <v>0</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5.75" thickBot="1">
      <c r="B34" s="502" t="s">
        <v>259</v>
      </c>
      <c r="C34" s="503"/>
      <c r="D34" s="367">
        <f>D33/12</f>
        <v>0</v>
      </c>
      <c r="E34" s="367">
        <f t="shared" ref="E34:BA34" si="24">E33/12</f>
        <v>0</v>
      </c>
      <c r="F34" s="367">
        <f t="shared" si="24"/>
        <v>0</v>
      </c>
      <c r="G34" s="367">
        <f t="shared" si="24"/>
        <v>0</v>
      </c>
      <c r="H34" s="367">
        <f t="shared" si="24"/>
        <v>0</v>
      </c>
      <c r="I34" s="367">
        <f t="shared" si="24"/>
        <v>0</v>
      </c>
      <c r="J34" s="367">
        <f t="shared" si="24"/>
        <v>0</v>
      </c>
      <c r="K34" s="367">
        <f t="shared" si="24"/>
        <v>0</v>
      </c>
      <c r="L34" s="367">
        <f t="shared" si="24"/>
        <v>0</v>
      </c>
      <c r="M34" s="367">
        <f t="shared" si="24"/>
        <v>0</v>
      </c>
      <c r="N34" s="367">
        <f t="shared" si="24"/>
        <v>0</v>
      </c>
      <c r="O34" s="367">
        <f t="shared" si="24"/>
        <v>0</v>
      </c>
      <c r="P34" s="367">
        <f t="shared" si="24"/>
        <v>0</v>
      </c>
      <c r="Q34" s="367">
        <f t="shared" si="24"/>
        <v>0</v>
      </c>
      <c r="R34" s="367">
        <f t="shared" si="24"/>
        <v>0</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75" customHeight="1" thickBot="1">
      <c r="I35" s="6"/>
      <c r="J35" s="6"/>
      <c r="K35" s="6"/>
      <c r="L35" s="6"/>
      <c r="M35" s="5"/>
      <c r="N35" s="5"/>
      <c r="O35" s="5"/>
      <c r="P35" s="5"/>
    </row>
    <row r="36" spans="2:53" ht="18" thickBot="1">
      <c r="B36" s="273" t="s">
        <v>20</v>
      </c>
      <c r="C36" s="33"/>
      <c r="I36" s="6"/>
      <c r="J36" s="6"/>
      <c r="K36" s="6"/>
      <c r="L36" s="6"/>
    </row>
    <row r="37" spans="2:53" ht="15.7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4" t="s">
        <v>48</v>
      </c>
      <c r="C38" s="485"/>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40" t="s">
        <v>49</v>
      </c>
      <c r="C39" s="441"/>
      <c r="D39" s="39">
        <f>Cockpit!N18</f>
        <v>0.04</v>
      </c>
      <c r="E39" s="39">
        <f t="shared" ref="E39:AJ39" si="26">IF(E38&lt;&gt;"",E38,D39)</f>
        <v>0.04</v>
      </c>
      <c r="F39" s="39">
        <f t="shared" si="26"/>
        <v>0.04</v>
      </c>
      <c r="G39" s="39">
        <f t="shared" si="26"/>
        <v>0.04</v>
      </c>
      <c r="H39" s="39">
        <f t="shared" si="26"/>
        <v>0.04</v>
      </c>
      <c r="I39" s="39">
        <f t="shared" si="26"/>
        <v>0.04</v>
      </c>
      <c r="J39" s="39">
        <f t="shared" si="26"/>
        <v>0.04</v>
      </c>
      <c r="K39" s="39">
        <f t="shared" si="26"/>
        <v>0.04</v>
      </c>
      <c r="L39" s="39">
        <f t="shared" si="26"/>
        <v>0.04</v>
      </c>
      <c r="M39" s="39">
        <f t="shared" si="26"/>
        <v>0.04</v>
      </c>
      <c r="N39" s="39">
        <f t="shared" si="26"/>
        <v>0.04</v>
      </c>
      <c r="O39" s="39">
        <f t="shared" si="26"/>
        <v>0.04</v>
      </c>
      <c r="P39" s="39">
        <f t="shared" si="26"/>
        <v>0.04</v>
      </c>
      <c r="Q39" s="39">
        <f t="shared" si="26"/>
        <v>0.04</v>
      </c>
      <c r="R39" s="39">
        <f t="shared" si="26"/>
        <v>0.04</v>
      </c>
      <c r="S39" s="39">
        <f t="shared" si="26"/>
        <v>0.04</v>
      </c>
      <c r="T39" s="39">
        <f t="shared" si="26"/>
        <v>0.04</v>
      </c>
      <c r="U39" s="39">
        <f t="shared" si="26"/>
        <v>0.04</v>
      </c>
      <c r="V39" s="39">
        <f t="shared" si="26"/>
        <v>0.04</v>
      </c>
      <c r="W39" s="39">
        <f t="shared" si="26"/>
        <v>0.04</v>
      </c>
      <c r="X39" s="39">
        <f t="shared" si="26"/>
        <v>0.04</v>
      </c>
      <c r="Y39" s="39">
        <f t="shared" si="26"/>
        <v>0.04</v>
      </c>
      <c r="Z39" s="39">
        <f t="shared" si="26"/>
        <v>0.04</v>
      </c>
      <c r="AA39" s="39">
        <f t="shared" si="26"/>
        <v>0.04</v>
      </c>
      <c r="AB39" s="39">
        <f t="shared" si="26"/>
        <v>0.04</v>
      </c>
      <c r="AC39" s="39">
        <f t="shared" si="26"/>
        <v>0.04</v>
      </c>
      <c r="AD39" s="39">
        <f t="shared" si="26"/>
        <v>0.04</v>
      </c>
      <c r="AE39" s="39">
        <f t="shared" si="26"/>
        <v>0.04</v>
      </c>
      <c r="AF39" s="39">
        <f t="shared" si="26"/>
        <v>0.04</v>
      </c>
      <c r="AG39" s="39">
        <f t="shared" si="26"/>
        <v>0.04</v>
      </c>
      <c r="AH39" s="39">
        <f t="shared" si="26"/>
        <v>0.04</v>
      </c>
      <c r="AI39" s="39">
        <f t="shared" si="26"/>
        <v>0.04</v>
      </c>
      <c r="AJ39" s="39">
        <f t="shared" si="26"/>
        <v>0.04</v>
      </c>
      <c r="AK39" s="39">
        <f t="shared" ref="AK39:BA39" si="27">IF(AK38&lt;&gt;"",AK38,AJ39)</f>
        <v>0.04</v>
      </c>
      <c r="AL39" s="39">
        <f t="shared" si="27"/>
        <v>0.04</v>
      </c>
      <c r="AM39" s="39">
        <f t="shared" si="27"/>
        <v>0.04</v>
      </c>
      <c r="AN39" s="39">
        <f t="shared" si="27"/>
        <v>0.04</v>
      </c>
      <c r="AO39" s="39">
        <f t="shared" si="27"/>
        <v>0.04</v>
      </c>
      <c r="AP39" s="39">
        <f t="shared" si="27"/>
        <v>0.04</v>
      </c>
      <c r="AQ39" s="39">
        <f t="shared" si="27"/>
        <v>0.04</v>
      </c>
      <c r="AR39" s="39">
        <f t="shared" si="27"/>
        <v>0.04</v>
      </c>
      <c r="AS39" s="39">
        <f t="shared" si="27"/>
        <v>0.04</v>
      </c>
      <c r="AT39" s="39">
        <f t="shared" si="27"/>
        <v>0.04</v>
      </c>
      <c r="AU39" s="39">
        <f t="shared" si="27"/>
        <v>0.04</v>
      </c>
      <c r="AV39" s="39">
        <f t="shared" si="27"/>
        <v>0.04</v>
      </c>
      <c r="AW39" s="39">
        <f t="shared" si="27"/>
        <v>0.04</v>
      </c>
      <c r="AX39" s="39">
        <f t="shared" si="27"/>
        <v>0.04</v>
      </c>
      <c r="AY39" s="39">
        <f t="shared" si="27"/>
        <v>0.04</v>
      </c>
      <c r="AZ39" s="39">
        <f t="shared" si="27"/>
        <v>0.04</v>
      </c>
      <c r="BA39" s="297">
        <f t="shared" si="27"/>
        <v>0.04</v>
      </c>
    </row>
    <row r="40" spans="2:53" ht="8.25" customHeight="1">
      <c r="B40" s="500"/>
      <c r="C40" s="501"/>
      <c r="I40" s="6"/>
      <c r="J40" s="6"/>
      <c r="K40" s="6"/>
      <c r="L40" s="6"/>
      <c r="BA40" s="302"/>
    </row>
    <row r="41" spans="2:53">
      <c r="B41" s="440" t="s">
        <v>42</v>
      </c>
      <c r="C41" s="441"/>
      <c r="D41" s="4">
        <f>Cockpit!N17</f>
        <v>100000</v>
      </c>
      <c r="E41" s="4">
        <f>D50</f>
        <v>98200</v>
      </c>
      <c r="F41" s="4">
        <f t="shared" ref="F41:M41" si="28">E50</f>
        <v>96328</v>
      </c>
      <c r="G41" s="4">
        <f t="shared" si="28"/>
        <v>94381.119999999995</v>
      </c>
      <c r="H41" s="4">
        <f t="shared" si="28"/>
        <v>92356.364799999996</v>
      </c>
      <c r="I41" s="4">
        <f t="shared" si="28"/>
        <v>90250.619391999993</v>
      </c>
      <c r="J41" s="4">
        <f t="shared" si="28"/>
        <v>88060.644167679988</v>
      </c>
      <c r="K41" s="4">
        <f t="shared" si="28"/>
        <v>85783.069934387182</v>
      </c>
      <c r="L41" s="4">
        <f t="shared" si="28"/>
        <v>83414.392731762666</v>
      </c>
      <c r="M41" s="4">
        <f t="shared" si="28"/>
        <v>80950.968441033168</v>
      </c>
      <c r="N41" s="4">
        <f t="shared" ref="N41:BA41" si="29">M50</f>
        <v>78389.007178674496</v>
      </c>
      <c r="O41" s="4">
        <f t="shared" si="29"/>
        <v>75724.56746582147</v>
      </c>
      <c r="P41" s="4">
        <f t="shared" si="29"/>
        <v>72953.550164454326</v>
      </c>
      <c r="Q41" s="4">
        <f t="shared" si="29"/>
        <v>70071.692171032497</v>
      </c>
      <c r="R41" s="4">
        <f t="shared" si="29"/>
        <v>67074.559857873799</v>
      </c>
      <c r="S41" s="4">
        <f t="shared" si="29"/>
        <v>63957.542252188752</v>
      </c>
      <c r="T41" s="4">
        <f t="shared" si="29"/>
        <v>60715.843942276304</v>
      </c>
      <c r="U41" s="4">
        <f t="shared" si="29"/>
        <v>57344.477699967356</v>
      </c>
      <c r="V41" s="4">
        <f t="shared" si="29"/>
        <v>53838.256807966049</v>
      </c>
      <c r="W41" s="4">
        <f t="shared" si="29"/>
        <v>50191.787080284688</v>
      </c>
      <c r="X41" s="4">
        <f t="shared" si="29"/>
        <v>46399.458563496075</v>
      </c>
      <c r="Y41" s="4">
        <f t="shared" si="29"/>
        <v>42455.436906035917</v>
      </c>
      <c r="Z41" s="4">
        <f t="shared" si="29"/>
        <v>38353.654382277353</v>
      </c>
      <c r="AA41" s="4">
        <f t="shared" si="29"/>
        <v>34087.800557568451</v>
      </c>
      <c r="AB41" s="4">
        <f t="shared" si="29"/>
        <v>29651.312579871188</v>
      </c>
      <c r="AC41" s="4">
        <f t="shared" si="29"/>
        <v>25037.365083066034</v>
      </c>
      <c r="AD41" s="4">
        <f t="shared" si="29"/>
        <v>20238.859686388674</v>
      </c>
      <c r="AE41" s="4">
        <f t="shared" si="29"/>
        <v>15248.414073844222</v>
      </c>
      <c r="AF41" s="4">
        <f t="shared" si="29"/>
        <v>10058.35063679799</v>
      </c>
      <c r="AG41" s="4">
        <f t="shared" si="29"/>
        <v>4660.6846622699095</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40" t="s">
        <v>43</v>
      </c>
      <c r="C42" s="441"/>
      <c r="D42" s="4">
        <f t="shared" ref="D42:AI42" si="30">D39*D41</f>
        <v>4000</v>
      </c>
      <c r="E42" s="4">
        <f t="shared" si="30"/>
        <v>3928</v>
      </c>
      <c r="F42" s="4">
        <f t="shared" si="30"/>
        <v>3853.12</v>
      </c>
      <c r="G42" s="4">
        <f t="shared" si="30"/>
        <v>3775.2447999999999</v>
      </c>
      <c r="H42" s="4">
        <f t="shared" si="30"/>
        <v>3694.2545919999998</v>
      </c>
      <c r="I42" s="4">
        <f t="shared" si="30"/>
        <v>3610.0247756799999</v>
      </c>
      <c r="J42" s="4">
        <f t="shared" si="30"/>
        <v>3522.4257667071997</v>
      </c>
      <c r="K42" s="4">
        <f t="shared" si="30"/>
        <v>3431.3227973754874</v>
      </c>
      <c r="L42" s="4">
        <f t="shared" si="30"/>
        <v>3336.5757092705066</v>
      </c>
      <c r="M42" s="4">
        <f t="shared" si="30"/>
        <v>3238.0387376413269</v>
      </c>
      <c r="N42" s="4">
        <f t="shared" si="30"/>
        <v>3135.56028714698</v>
      </c>
      <c r="O42" s="4">
        <f t="shared" si="30"/>
        <v>3028.982698632859</v>
      </c>
      <c r="P42" s="4">
        <f t="shared" si="30"/>
        <v>2918.1420065781731</v>
      </c>
      <c r="Q42" s="4">
        <f t="shared" si="30"/>
        <v>2802.8676868412999</v>
      </c>
      <c r="R42" s="4">
        <f t="shared" si="30"/>
        <v>2682.9823943149522</v>
      </c>
      <c r="S42" s="4">
        <f t="shared" si="30"/>
        <v>2558.30169008755</v>
      </c>
      <c r="T42" s="4">
        <f t="shared" si="30"/>
        <v>2428.6337576910523</v>
      </c>
      <c r="U42" s="4">
        <f t="shared" si="30"/>
        <v>2293.7791079986941</v>
      </c>
      <c r="V42" s="4">
        <f t="shared" si="30"/>
        <v>2153.5302723186419</v>
      </c>
      <c r="W42" s="4">
        <f t="shared" si="30"/>
        <v>2007.6714832113876</v>
      </c>
      <c r="X42" s="4">
        <f t="shared" si="30"/>
        <v>1855.978342539843</v>
      </c>
      <c r="Y42" s="4">
        <f t="shared" si="30"/>
        <v>1698.2174762414368</v>
      </c>
      <c r="Z42" s="4">
        <f t="shared" si="30"/>
        <v>1534.1461752910941</v>
      </c>
      <c r="AA42" s="4">
        <f t="shared" si="30"/>
        <v>1363.5120223027382</v>
      </c>
      <c r="AB42" s="4">
        <f t="shared" si="30"/>
        <v>1186.0525031948475</v>
      </c>
      <c r="AC42" s="4">
        <f t="shared" si="30"/>
        <v>1001.4946033226414</v>
      </c>
      <c r="AD42" s="4">
        <f t="shared" si="30"/>
        <v>809.55438745554693</v>
      </c>
      <c r="AE42" s="4">
        <f t="shared" si="30"/>
        <v>609.93656295376888</v>
      </c>
      <c r="AF42" s="4">
        <f t="shared" si="30"/>
        <v>402.33402547191963</v>
      </c>
      <c r="AG42" s="4">
        <f t="shared" si="30"/>
        <v>186.42738649079638</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75" customHeight="1">
      <c r="B43" s="500"/>
      <c r="C43" s="501"/>
      <c r="I43" s="6"/>
      <c r="J43" s="6"/>
      <c r="K43" s="6"/>
      <c r="L43" s="6"/>
      <c r="BA43" s="302"/>
    </row>
    <row r="44" spans="2:53">
      <c r="B44" s="440" t="s">
        <v>54</v>
      </c>
      <c r="C44" s="441"/>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40" t="s">
        <v>55</v>
      </c>
      <c r="C45" s="441"/>
      <c r="D45" s="4">
        <f>Cockpit!$N$19*D41</f>
        <v>1799.9999999999998</v>
      </c>
      <c r="E45" s="4">
        <f t="shared" ref="E45:L45" si="32">MIN(D50,IF(E44&lt;&gt;"",E44,MAX(D48-E42,0)))</f>
        <v>1872</v>
      </c>
      <c r="F45" s="4">
        <f t="shared" si="32"/>
        <v>1946.88</v>
      </c>
      <c r="G45" s="4">
        <f t="shared" si="32"/>
        <v>2024.7552000000001</v>
      </c>
      <c r="H45" s="4">
        <f t="shared" si="32"/>
        <v>2105.7454080000002</v>
      </c>
      <c r="I45" s="4">
        <f t="shared" si="32"/>
        <v>2189.9752243200001</v>
      </c>
      <c r="J45" s="4">
        <f t="shared" si="32"/>
        <v>2277.5742332928003</v>
      </c>
      <c r="K45" s="4">
        <f t="shared" si="32"/>
        <v>2368.6772026245126</v>
      </c>
      <c r="L45" s="4">
        <f t="shared" si="32"/>
        <v>2463.4242907294934</v>
      </c>
      <c r="M45" s="4">
        <f>MIN(L50,IF(M44&lt;&gt;"",M44,MAX(L48-M42,0)))</f>
        <v>2561.9612623586731</v>
      </c>
      <c r="N45" s="4">
        <f t="shared" ref="N45:AZ45" si="33">MIN(M50,IF(N44&lt;&gt;"",N44,MAX(M48-N42,0)))</f>
        <v>2664.43971285302</v>
      </c>
      <c r="O45" s="4">
        <f t="shared" si="33"/>
        <v>2771.017301367141</v>
      </c>
      <c r="P45" s="4">
        <f t="shared" si="33"/>
        <v>2881.8579934218269</v>
      </c>
      <c r="Q45" s="4">
        <f t="shared" si="33"/>
        <v>2997.1323131587001</v>
      </c>
      <c r="R45" s="4">
        <f t="shared" si="33"/>
        <v>3117.0176056850478</v>
      </c>
      <c r="S45" s="4">
        <f t="shared" si="33"/>
        <v>3241.69830991245</v>
      </c>
      <c r="T45" s="4">
        <f t="shared" si="33"/>
        <v>3371.3662423089477</v>
      </c>
      <c r="U45" s="4">
        <f t="shared" si="33"/>
        <v>3506.2208920013059</v>
      </c>
      <c r="V45" s="4">
        <f t="shared" si="33"/>
        <v>3646.4697276813581</v>
      </c>
      <c r="W45" s="4">
        <f t="shared" si="33"/>
        <v>3792.3285167886124</v>
      </c>
      <c r="X45" s="4">
        <f t="shared" si="33"/>
        <v>3944.0216574601573</v>
      </c>
      <c r="Y45" s="4">
        <f t="shared" si="33"/>
        <v>4101.782523758563</v>
      </c>
      <c r="Z45" s="4">
        <f t="shared" si="33"/>
        <v>4265.8538247089054</v>
      </c>
      <c r="AA45" s="4">
        <f t="shared" si="33"/>
        <v>4436.4879776972621</v>
      </c>
      <c r="AB45" s="4">
        <f t="shared" si="33"/>
        <v>4613.9474968051527</v>
      </c>
      <c r="AC45" s="4">
        <f t="shared" si="33"/>
        <v>4798.5053966773585</v>
      </c>
      <c r="AD45" s="4">
        <f t="shared" si="33"/>
        <v>4990.4456125444531</v>
      </c>
      <c r="AE45" s="4">
        <f t="shared" si="33"/>
        <v>5190.0634370462312</v>
      </c>
      <c r="AF45" s="4">
        <f t="shared" si="33"/>
        <v>5397.6659745280804</v>
      </c>
      <c r="AG45" s="4">
        <f t="shared" si="33"/>
        <v>4660.6846622699095</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492" t="s">
        <v>56</v>
      </c>
      <c r="C46" s="493"/>
      <c r="D46" s="39">
        <f>IF(D41&gt;0,D45/D41,)</f>
        <v>1.7999999999999999E-2</v>
      </c>
      <c r="E46" s="39">
        <f t="shared" ref="E46:BA46" si="34">IF(E41&gt;0,E45/E41,)</f>
        <v>1.9063136456211813E-2</v>
      </c>
      <c r="F46" s="39">
        <f t="shared" si="34"/>
        <v>2.0210945934723029E-2</v>
      </c>
      <c r="G46" s="39">
        <f t="shared" si="34"/>
        <v>2.145296855981366E-2</v>
      </c>
      <c r="H46" s="39">
        <f t="shared" si="34"/>
        <v>2.2800219698556178E-2</v>
      </c>
      <c r="I46" s="39">
        <f t="shared" si="34"/>
        <v>2.426548691935209E-2</v>
      </c>
      <c r="J46" s="39">
        <f t="shared" si="34"/>
        <v>2.5863701711697398E-2</v>
      </c>
      <c r="K46" s="39">
        <f t="shared" si="34"/>
        <v>2.761240888716434E-2</v>
      </c>
      <c r="L46" s="39">
        <f t="shared" si="34"/>
        <v>2.9532364979880345E-2</v>
      </c>
      <c r="M46" s="39">
        <f t="shared" si="34"/>
        <v>3.1648308991199699E-2</v>
      </c>
      <c r="N46" s="39">
        <f t="shared" si="34"/>
        <v>3.3989966307136403E-2</v>
      </c>
      <c r="O46" s="39">
        <f t="shared" si="34"/>
        <v>3.6593372456275156E-2</v>
      </c>
      <c r="P46" s="39">
        <f t="shared" si="34"/>
        <v>3.9502642255592038E-2</v>
      </c>
      <c r="Q46" s="39">
        <f t="shared" si="34"/>
        <v>4.2772369558925952E-2</v>
      </c>
      <c r="R46" s="39">
        <f t="shared" si="34"/>
        <v>4.6470936407033987E-2</v>
      </c>
      <c r="S46" s="39">
        <f t="shared" si="34"/>
        <v>5.0685160745080268E-2</v>
      </c>
      <c r="T46" s="39">
        <f t="shared" si="34"/>
        <v>5.5526960071808754E-2</v>
      </c>
      <c r="U46" s="39">
        <f t="shared" si="34"/>
        <v>6.1143130648887253E-2</v>
      </c>
      <c r="V46" s="39">
        <f t="shared" si="34"/>
        <v>6.7730085331102641E-2</v>
      </c>
      <c r="W46" s="39">
        <f t="shared" si="34"/>
        <v>7.5556754150286815E-2</v>
      </c>
      <c r="X46" s="39">
        <f t="shared" si="34"/>
        <v>8.5001458628291934E-2</v>
      </c>
      <c r="Y46" s="39">
        <f t="shared" si="34"/>
        <v>9.6613833767316859E-2</v>
      </c>
      <c r="Z46" s="39">
        <f t="shared" si="34"/>
        <v>0.11122418172178379</v>
      </c>
      <c r="AA46" s="39">
        <f t="shared" si="34"/>
        <v>0.13014884812543989</v>
      </c>
      <c r="AB46" s="39">
        <f t="shared" si="34"/>
        <v>0.15560685498750346</v>
      </c>
      <c r="AC46" s="39">
        <f t="shared" si="34"/>
        <v>0.19165376950639335</v>
      </c>
      <c r="AD46" s="39">
        <f t="shared" si="34"/>
        <v>0.24657741048032952</v>
      </c>
      <c r="AE46" s="39">
        <f t="shared" si="34"/>
        <v>0.34036742522285029</v>
      </c>
      <c r="AF46" s="39">
        <f t="shared" si="34"/>
        <v>0.53663529632591855</v>
      </c>
      <c r="AG46" s="39">
        <f t="shared" si="34"/>
        <v>1</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75" customHeight="1">
      <c r="B47" s="500"/>
      <c r="C47" s="501"/>
      <c r="I47" s="6"/>
      <c r="J47" s="6"/>
      <c r="K47" s="6"/>
      <c r="L47" s="6"/>
      <c r="BA47" s="302"/>
    </row>
    <row r="48" spans="2:53">
      <c r="B48" s="440" t="s">
        <v>45</v>
      </c>
      <c r="C48" s="441"/>
      <c r="D48" s="4">
        <f t="shared" ref="D48:AI48" si="35">D42+D45</f>
        <v>5800</v>
      </c>
      <c r="E48" s="4">
        <f t="shared" si="35"/>
        <v>5800</v>
      </c>
      <c r="F48" s="4">
        <f t="shared" si="35"/>
        <v>5800</v>
      </c>
      <c r="G48" s="4">
        <f t="shared" si="35"/>
        <v>5800</v>
      </c>
      <c r="H48" s="4">
        <f t="shared" si="35"/>
        <v>5800</v>
      </c>
      <c r="I48" s="4">
        <f t="shared" si="35"/>
        <v>5800</v>
      </c>
      <c r="J48" s="4">
        <f t="shared" si="35"/>
        <v>5800</v>
      </c>
      <c r="K48" s="4">
        <f t="shared" si="35"/>
        <v>5800</v>
      </c>
      <c r="L48" s="4">
        <f t="shared" si="35"/>
        <v>5800</v>
      </c>
      <c r="M48" s="4">
        <f t="shared" si="35"/>
        <v>5800</v>
      </c>
      <c r="N48" s="4">
        <f t="shared" si="35"/>
        <v>5800</v>
      </c>
      <c r="O48" s="4">
        <f t="shared" si="35"/>
        <v>5800</v>
      </c>
      <c r="P48" s="4">
        <f t="shared" si="35"/>
        <v>5800</v>
      </c>
      <c r="Q48" s="4">
        <f t="shared" si="35"/>
        <v>5800</v>
      </c>
      <c r="R48" s="4">
        <f t="shared" si="35"/>
        <v>5800</v>
      </c>
      <c r="S48" s="4">
        <f t="shared" si="35"/>
        <v>5800</v>
      </c>
      <c r="T48" s="4">
        <f t="shared" si="35"/>
        <v>5800</v>
      </c>
      <c r="U48" s="4">
        <f t="shared" si="35"/>
        <v>5800</v>
      </c>
      <c r="V48" s="4">
        <f t="shared" si="35"/>
        <v>5800</v>
      </c>
      <c r="W48" s="4">
        <f t="shared" si="35"/>
        <v>5800</v>
      </c>
      <c r="X48" s="4">
        <f t="shared" si="35"/>
        <v>5800</v>
      </c>
      <c r="Y48" s="4">
        <f t="shared" si="35"/>
        <v>5800</v>
      </c>
      <c r="Z48" s="4">
        <f t="shared" si="35"/>
        <v>5800</v>
      </c>
      <c r="AA48" s="4">
        <f t="shared" si="35"/>
        <v>5800</v>
      </c>
      <c r="AB48" s="4">
        <f t="shared" si="35"/>
        <v>5800</v>
      </c>
      <c r="AC48" s="4">
        <f t="shared" si="35"/>
        <v>5800</v>
      </c>
      <c r="AD48" s="4">
        <f t="shared" si="35"/>
        <v>5800</v>
      </c>
      <c r="AE48" s="4">
        <f t="shared" si="35"/>
        <v>5800</v>
      </c>
      <c r="AF48" s="4">
        <f t="shared" si="35"/>
        <v>5800</v>
      </c>
      <c r="AG48" s="4">
        <f t="shared" si="35"/>
        <v>4847.1120487607059</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40" t="s">
        <v>64</v>
      </c>
      <c r="C49" s="44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40" t="s">
        <v>47</v>
      </c>
      <c r="C50" s="441"/>
      <c r="D50" s="4">
        <f t="shared" ref="D50:F50" si="37">MAX(D41-D45-D49,0)</f>
        <v>98200</v>
      </c>
      <c r="E50" s="4">
        <f t="shared" si="37"/>
        <v>96328</v>
      </c>
      <c r="F50" s="4">
        <f t="shared" si="37"/>
        <v>94381.119999999995</v>
      </c>
      <c r="G50" s="4">
        <f t="shared" ref="G50" si="38">MAX(G41-G45-G49,0)</f>
        <v>92356.364799999996</v>
      </c>
      <c r="H50" s="4">
        <f t="shared" ref="H50" si="39">MAX(H41-H45-H49,0)</f>
        <v>90250.619391999993</v>
      </c>
      <c r="I50" s="4">
        <f t="shared" ref="I50" si="40">MAX(I41-I45-I49,0)</f>
        <v>88060.644167679988</v>
      </c>
      <c r="J50" s="4">
        <f t="shared" ref="J50" si="41">MAX(J41-J45-J49,0)</f>
        <v>85783.069934387182</v>
      </c>
      <c r="K50" s="4">
        <f t="shared" ref="K50" si="42">MAX(K41-K45-K49,0)</f>
        <v>83414.392731762666</v>
      </c>
      <c r="L50" s="4">
        <f t="shared" ref="L50" si="43">MAX(L41-L45-L49,0)</f>
        <v>80950.968441033168</v>
      </c>
      <c r="M50" s="4">
        <f t="shared" ref="M50" si="44">MAX(M41-M45-M49,0)</f>
        <v>78389.007178674496</v>
      </c>
      <c r="N50" s="4">
        <f t="shared" ref="N50" si="45">MAX(N41-N45-N49,0)</f>
        <v>75724.56746582147</v>
      </c>
      <c r="O50" s="4">
        <f t="shared" ref="O50" si="46">MAX(O41-O45-O49,0)</f>
        <v>72953.550164454326</v>
      </c>
      <c r="P50" s="4">
        <f t="shared" ref="P50" si="47">MAX(P41-P45-P49,0)</f>
        <v>70071.692171032497</v>
      </c>
      <c r="Q50" s="4">
        <f t="shared" ref="Q50" si="48">MAX(Q41-Q45-Q49,0)</f>
        <v>67074.559857873799</v>
      </c>
      <c r="R50" s="4">
        <f t="shared" ref="R50" si="49">MAX(R41-R45-R49,0)</f>
        <v>63957.542252188752</v>
      </c>
      <c r="S50" s="4">
        <f t="shared" ref="S50" si="50">MAX(S41-S45-S49,0)</f>
        <v>60715.843942276304</v>
      </c>
      <c r="T50" s="4">
        <f t="shared" ref="T50" si="51">MAX(T41-T45-T49,0)</f>
        <v>57344.477699967356</v>
      </c>
      <c r="U50" s="4">
        <f t="shared" ref="U50" si="52">MAX(U41-U45-U49,0)</f>
        <v>53838.256807966049</v>
      </c>
      <c r="V50" s="4">
        <f t="shared" ref="V50" si="53">MAX(V41-V45-V49,0)</f>
        <v>50191.787080284688</v>
      </c>
      <c r="W50" s="4">
        <f t="shared" ref="W50" si="54">MAX(W41-W45-W49,0)</f>
        <v>46399.458563496075</v>
      </c>
      <c r="X50" s="4">
        <f t="shared" ref="X50" si="55">MAX(X41-X45-X49,0)</f>
        <v>42455.436906035917</v>
      </c>
      <c r="Y50" s="4">
        <f t="shared" ref="Y50" si="56">MAX(Y41-Y45-Y49,0)</f>
        <v>38353.654382277353</v>
      </c>
      <c r="Z50" s="4">
        <f t="shared" ref="Z50" si="57">MAX(Z41-Z45-Z49,0)</f>
        <v>34087.800557568451</v>
      </c>
      <c r="AA50" s="4">
        <f t="shared" ref="AA50" si="58">MAX(AA41-AA45-AA49,0)</f>
        <v>29651.312579871188</v>
      </c>
      <c r="AB50" s="4">
        <f t="shared" ref="AB50" si="59">MAX(AB41-AB45-AB49,0)</f>
        <v>25037.365083066034</v>
      </c>
      <c r="AC50" s="4">
        <f t="shared" ref="AC50" si="60">MAX(AC41-AC45-AC49,0)</f>
        <v>20238.859686388674</v>
      </c>
      <c r="AD50" s="4">
        <f t="shared" ref="AD50" si="61">MAX(AD41-AD45-AD49,0)</f>
        <v>15248.414073844222</v>
      </c>
      <c r="AE50" s="4">
        <f t="shared" ref="AE50" si="62">MAX(AE41-AE45-AE49,0)</f>
        <v>10058.35063679799</v>
      </c>
      <c r="AF50" s="4">
        <f t="shared" ref="AF50" si="63">MAX(AF41-AF45-AF49,0)</f>
        <v>4660.6846622699095</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5.75" thickBot="1">
      <c r="B51" s="466" t="s">
        <v>24</v>
      </c>
      <c r="C51" s="467"/>
      <c r="D51" s="298">
        <f>D48/12</f>
        <v>483.33333333333331</v>
      </c>
      <c r="E51" s="298">
        <f t="shared" ref="E51:BA51" si="85">E48/12</f>
        <v>483.33333333333331</v>
      </c>
      <c r="F51" s="298">
        <f t="shared" si="85"/>
        <v>483.33333333333331</v>
      </c>
      <c r="G51" s="298">
        <f t="shared" si="85"/>
        <v>483.33333333333331</v>
      </c>
      <c r="H51" s="298">
        <f t="shared" si="85"/>
        <v>483.33333333333331</v>
      </c>
      <c r="I51" s="298">
        <f t="shared" si="85"/>
        <v>483.33333333333331</v>
      </c>
      <c r="J51" s="298">
        <f t="shared" si="85"/>
        <v>483.33333333333331</v>
      </c>
      <c r="K51" s="298">
        <f t="shared" si="85"/>
        <v>483.33333333333331</v>
      </c>
      <c r="L51" s="298">
        <f t="shared" si="85"/>
        <v>483.33333333333331</v>
      </c>
      <c r="M51" s="298">
        <f t="shared" si="85"/>
        <v>483.33333333333331</v>
      </c>
      <c r="N51" s="298">
        <f t="shared" si="85"/>
        <v>483.33333333333331</v>
      </c>
      <c r="O51" s="298">
        <f t="shared" si="85"/>
        <v>483.33333333333331</v>
      </c>
      <c r="P51" s="298">
        <f t="shared" si="85"/>
        <v>483.33333333333331</v>
      </c>
      <c r="Q51" s="298">
        <f t="shared" si="85"/>
        <v>483.33333333333331</v>
      </c>
      <c r="R51" s="298">
        <f t="shared" si="85"/>
        <v>483.33333333333331</v>
      </c>
      <c r="S51" s="298">
        <f t="shared" si="85"/>
        <v>483.33333333333331</v>
      </c>
      <c r="T51" s="298">
        <f t="shared" si="85"/>
        <v>483.33333333333331</v>
      </c>
      <c r="U51" s="298">
        <f t="shared" si="85"/>
        <v>483.33333333333331</v>
      </c>
      <c r="V51" s="298">
        <f t="shared" si="85"/>
        <v>483.33333333333331</v>
      </c>
      <c r="W51" s="298">
        <f t="shared" si="85"/>
        <v>483.33333333333331</v>
      </c>
      <c r="X51" s="298">
        <f t="shared" si="85"/>
        <v>483.33333333333331</v>
      </c>
      <c r="Y51" s="298">
        <f t="shared" si="85"/>
        <v>483.33333333333331</v>
      </c>
      <c r="Z51" s="298">
        <f t="shared" si="85"/>
        <v>483.33333333333331</v>
      </c>
      <c r="AA51" s="298">
        <f t="shared" si="85"/>
        <v>483.33333333333331</v>
      </c>
      <c r="AB51" s="298">
        <f t="shared" si="85"/>
        <v>483.33333333333331</v>
      </c>
      <c r="AC51" s="298">
        <f t="shared" si="85"/>
        <v>483.33333333333331</v>
      </c>
      <c r="AD51" s="298">
        <f t="shared" si="85"/>
        <v>483.33333333333331</v>
      </c>
      <c r="AE51" s="298">
        <f t="shared" si="85"/>
        <v>483.33333333333331</v>
      </c>
      <c r="AF51" s="298">
        <f t="shared" si="85"/>
        <v>483.33333333333331</v>
      </c>
      <c r="AG51" s="298">
        <f t="shared" si="85"/>
        <v>403.92600406339216</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5.75" thickBot="1">
      <c r="I52" s="6"/>
      <c r="J52" s="6"/>
      <c r="K52" s="6"/>
      <c r="L52" s="6"/>
    </row>
    <row r="53" spans="2:53" ht="18" thickBot="1">
      <c r="B53" s="273" t="s">
        <v>25</v>
      </c>
      <c r="C53" s="40"/>
      <c r="I53" s="6"/>
      <c r="J53" s="6"/>
      <c r="K53" s="6"/>
      <c r="L53" s="6"/>
    </row>
    <row r="54" spans="2:53" ht="15.7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4" t="s">
        <v>48</v>
      </c>
      <c r="C55" s="485"/>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40" t="s">
        <v>49</v>
      </c>
      <c r="C56" s="441"/>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25" customHeight="1">
      <c r="B57" s="301"/>
      <c r="I57" s="6"/>
      <c r="J57" s="6"/>
      <c r="K57" s="6"/>
      <c r="L57" s="6"/>
      <c r="BA57" s="302"/>
    </row>
    <row r="58" spans="2:53">
      <c r="B58" s="440" t="s">
        <v>42</v>
      </c>
      <c r="C58" s="441"/>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40" t="s">
        <v>43</v>
      </c>
      <c r="C59" s="441"/>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75" customHeight="1">
      <c r="B60" s="301"/>
      <c r="I60" s="6"/>
      <c r="J60" s="6"/>
      <c r="K60" s="6"/>
      <c r="L60" s="6"/>
      <c r="BA60" s="302"/>
    </row>
    <row r="61" spans="2:53">
      <c r="B61" s="440" t="s">
        <v>54</v>
      </c>
      <c r="C61" s="441"/>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40" t="s">
        <v>55</v>
      </c>
      <c r="C62" s="441"/>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492" t="s">
        <v>56</v>
      </c>
      <c r="C63" s="493"/>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75" customHeight="1">
      <c r="B64" s="301"/>
      <c r="I64" s="6"/>
      <c r="J64" s="6"/>
      <c r="K64" s="6"/>
      <c r="L64" s="6"/>
      <c r="BA64" s="302"/>
    </row>
    <row r="65" spans="1:53">
      <c r="B65" s="440" t="s">
        <v>45</v>
      </c>
      <c r="C65" s="441"/>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40" t="s">
        <v>64</v>
      </c>
      <c r="C66" s="44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40" t="s">
        <v>47</v>
      </c>
      <c r="C67" s="441"/>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5.75" thickBot="1">
      <c r="B68" s="466" t="s">
        <v>24</v>
      </c>
      <c r="C68" s="467"/>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5.75" thickBot="1">
      <c r="I69" s="6"/>
      <c r="J69" s="6"/>
      <c r="K69" s="6"/>
      <c r="L69" s="6"/>
    </row>
    <row r="70" spans="1:53" ht="18" thickBot="1">
      <c r="A70"/>
      <c r="B70" s="273" t="s">
        <v>238</v>
      </c>
      <c r="C70" s="40"/>
      <c r="I70" s="6"/>
      <c r="J70" s="6"/>
      <c r="K70" s="6"/>
      <c r="L70" s="6"/>
    </row>
    <row r="71" spans="1:53" ht="15.7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4" t="s">
        <v>48</v>
      </c>
      <c r="C72" s="485"/>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40" t="s">
        <v>49</v>
      </c>
      <c r="C73" s="441"/>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25" customHeight="1">
      <c r="B74" s="301"/>
      <c r="I74" s="6"/>
      <c r="J74" s="6"/>
      <c r="K74" s="6"/>
      <c r="L74" s="6"/>
      <c r="BA74" s="302"/>
    </row>
    <row r="75" spans="1:53">
      <c r="B75" s="440" t="s">
        <v>42</v>
      </c>
      <c r="C75" s="441"/>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40" t="s">
        <v>43</v>
      </c>
      <c r="C76" s="441"/>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75" customHeight="1">
      <c r="B77" s="301"/>
      <c r="I77" s="6"/>
      <c r="J77" s="6"/>
      <c r="K77" s="6"/>
      <c r="L77" s="6"/>
      <c r="BA77" s="302"/>
    </row>
    <row r="78" spans="1:53">
      <c r="B78" s="440" t="s">
        <v>54</v>
      </c>
      <c r="C78" s="441"/>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40" t="s">
        <v>55</v>
      </c>
      <c r="C79" s="441"/>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492" t="s">
        <v>56</v>
      </c>
      <c r="C80" s="493"/>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75" customHeight="1">
      <c r="B81" s="301"/>
      <c r="I81" s="6"/>
      <c r="J81" s="6"/>
      <c r="K81" s="6"/>
      <c r="L81" s="6"/>
      <c r="BA81" s="302"/>
    </row>
    <row r="82" spans="1:53">
      <c r="B82" s="440" t="s">
        <v>45</v>
      </c>
      <c r="C82" s="441"/>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40" t="s">
        <v>64</v>
      </c>
      <c r="C83" s="44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40" t="s">
        <v>47</v>
      </c>
      <c r="C84" s="441"/>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5.75" thickBot="1">
      <c r="B85" s="466" t="s">
        <v>24</v>
      </c>
      <c r="C85" s="467"/>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5.75" thickBot="1">
      <c r="I86" s="6"/>
      <c r="J86" s="6"/>
      <c r="K86" s="6"/>
      <c r="L86" s="6"/>
    </row>
    <row r="87" spans="1:53" ht="18" thickBot="1">
      <c r="A87"/>
      <c r="B87" s="273" t="s">
        <v>239</v>
      </c>
      <c r="C87" s="40"/>
      <c r="I87" s="6"/>
      <c r="J87" s="6"/>
      <c r="K87" s="6"/>
      <c r="L87" s="6"/>
    </row>
    <row r="88" spans="1:53" ht="15.7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4" t="s">
        <v>48</v>
      </c>
      <c r="C89" s="485"/>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40" t="s">
        <v>49</v>
      </c>
      <c r="C90" s="441"/>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25" customHeight="1">
      <c r="B91" s="301"/>
      <c r="I91" s="6"/>
      <c r="J91" s="6"/>
      <c r="K91" s="6"/>
      <c r="L91" s="6"/>
      <c r="BA91" s="302"/>
    </row>
    <row r="92" spans="1:53">
      <c r="B92" s="440" t="s">
        <v>42</v>
      </c>
      <c r="C92" s="441"/>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40" t="s">
        <v>43</v>
      </c>
      <c r="C93" s="441"/>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75" customHeight="1">
      <c r="B94" s="301"/>
      <c r="I94" s="6"/>
      <c r="J94" s="6"/>
      <c r="K94" s="6"/>
      <c r="L94" s="6"/>
      <c r="BA94" s="302"/>
    </row>
    <row r="95" spans="1:53">
      <c r="B95" s="440" t="s">
        <v>54</v>
      </c>
      <c r="C95" s="441"/>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40" t="s">
        <v>55</v>
      </c>
      <c r="C96" s="441"/>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492" t="s">
        <v>56</v>
      </c>
      <c r="C97" s="493"/>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75" customHeight="1">
      <c r="B98" s="301"/>
      <c r="I98" s="6"/>
      <c r="J98" s="6"/>
      <c r="K98" s="6"/>
      <c r="L98" s="6"/>
      <c r="BA98" s="302"/>
    </row>
    <row r="99" spans="1:53">
      <c r="B99" s="440" t="s">
        <v>45</v>
      </c>
      <c r="C99" s="441"/>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40" t="s">
        <v>64</v>
      </c>
      <c r="C100" s="44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40" t="s">
        <v>47</v>
      </c>
      <c r="C101" s="441"/>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5.75" thickBot="1">
      <c r="B102" s="466" t="s">
        <v>24</v>
      </c>
      <c r="C102" s="467"/>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5.7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8" thickBot="1">
      <c r="B104" s="273" t="s">
        <v>242</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5.7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4" t="s">
        <v>42</v>
      </c>
      <c r="C106" s="485"/>
      <c r="D106" s="291">
        <f>D41+D58+D75+D92</f>
        <v>100000</v>
      </c>
      <c r="E106" s="291">
        <f t="shared" ref="E106:BA106" si="537">E41+E58+E75+E92</f>
        <v>98200</v>
      </c>
      <c r="F106" s="291">
        <f t="shared" si="537"/>
        <v>96328</v>
      </c>
      <c r="G106" s="291">
        <f t="shared" si="537"/>
        <v>94381.119999999995</v>
      </c>
      <c r="H106" s="291">
        <f t="shared" si="537"/>
        <v>92356.364799999996</v>
      </c>
      <c r="I106" s="291">
        <f t="shared" si="537"/>
        <v>90250.619391999993</v>
      </c>
      <c r="J106" s="291">
        <f t="shared" si="537"/>
        <v>88060.644167679988</v>
      </c>
      <c r="K106" s="291">
        <f t="shared" si="537"/>
        <v>85783.069934387182</v>
      </c>
      <c r="L106" s="291">
        <f t="shared" si="537"/>
        <v>83414.392731762666</v>
      </c>
      <c r="M106" s="291">
        <f t="shared" si="537"/>
        <v>80950.968441033168</v>
      </c>
      <c r="N106" s="291">
        <f t="shared" si="537"/>
        <v>78389.007178674496</v>
      </c>
      <c r="O106" s="291">
        <f t="shared" si="537"/>
        <v>75724.56746582147</v>
      </c>
      <c r="P106" s="291">
        <f t="shared" si="537"/>
        <v>72953.550164454326</v>
      </c>
      <c r="Q106" s="291">
        <f t="shared" si="537"/>
        <v>70071.692171032497</v>
      </c>
      <c r="R106" s="291">
        <f t="shared" si="537"/>
        <v>67074.559857873799</v>
      </c>
      <c r="S106" s="291">
        <f t="shared" si="537"/>
        <v>63957.542252188752</v>
      </c>
      <c r="T106" s="291">
        <f t="shared" si="537"/>
        <v>60715.843942276304</v>
      </c>
      <c r="U106" s="291">
        <f t="shared" si="537"/>
        <v>57344.477699967356</v>
      </c>
      <c r="V106" s="291">
        <f t="shared" si="537"/>
        <v>53838.256807966049</v>
      </c>
      <c r="W106" s="291">
        <f t="shared" si="537"/>
        <v>50191.787080284688</v>
      </c>
      <c r="X106" s="291">
        <f t="shared" si="537"/>
        <v>46399.458563496075</v>
      </c>
      <c r="Y106" s="291">
        <f t="shared" si="537"/>
        <v>42455.436906035917</v>
      </c>
      <c r="Z106" s="291">
        <f t="shared" si="537"/>
        <v>38353.654382277353</v>
      </c>
      <c r="AA106" s="291">
        <f t="shared" si="537"/>
        <v>34087.800557568451</v>
      </c>
      <c r="AB106" s="291">
        <f t="shared" si="537"/>
        <v>29651.312579871188</v>
      </c>
      <c r="AC106" s="291">
        <f t="shared" si="537"/>
        <v>25037.365083066034</v>
      </c>
      <c r="AD106" s="291">
        <f t="shared" si="537"/>
        <v>20238.859686388674</v>
      </c>
      <c r="AE106" s="291">
        <f t="shared" si="537"/>
        <v>15248.414073844222</v>
      </c>
      <c r="AF106" s="291">
        <f t="shared" si="537"/>
        <v>10058.35063679799</v>
      </c>
      <c r="AG106" s="291">
        <f t="shared" si="537"/>
        <v>4660.6846622699095</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492" t="s">
        <v>243</v>
      </c>
      <c r="C107" s="493"/>
      <c r="D107" s="43">
        <f>D41</f>
        <v>100000</v>
      </c>
      <c r="E107" s="43">
        <f t="shared" ref="E107:BA107" si="538">E41</f>
        <v>98200</v>
      </c>
      <c r="F107" s="43">
        <f t="shared" si="538"/>
        <v>96328</v>
      </c>
      <c r="G107" s="43">
        <f t="shared" si="538"/>
        <v>94381.119999999995</v>
      </c>
      <c r="H107" s="43">
        <f t="shared" si="538"/>
        <v>92356.364799999996</v>
      </c>
      <c r="I107" s="43">
        <f t="shared" si="538"/>
        <v>90250.619391999993</v>
      </c>
      <c r="J107" s="43">
        <f t="shared" si="538"/>
        <v>88060.644167679988</v>
      </c>
      <c r="K107" s="43">
        <f t="shared" si="538"/>
        <v>85783.069934387182</v>
      </c>
      <c r="L107" s="43">
        <f t="shared" si="538"/>
        <v>83414.392731762666</v>
      </c>
      <c r="M107" s="43">
        <f t="shared" si="538"/>
        <v>80950.968441033168</v>
      </c>
      <c r="N107" s="43">
        <f t="shared" si="538"/>
        <v>78389.007178674496</v>
      </c>
      <c r="O107" s="43">
        <f t="shared" si="538"/>
        <v>75724.56746582147</v>
      </c>
      <c r="P107" s="43">
        <f t="shared" si="538"/>
        <v>72953.550164454326</v>
      </c>
      <c r="Q107" s="43">
        <f t="shared" si="538"/>
        <v>70071.692171032497</v>
      </c>
      <c r="R107" s="43">
        <f t="shared" si="538"/>
        <v>67074.559857873799</v>
      </c>
      <c r="S107" s="43">
        <f t="shared" si="538"/>
        <v>63957.542252188752</v>
      </c>
      <c r="T107" s="43">
        <f t="shared" si="538"/>
        <v>60715.843942276304</v>
      </c>
      <c r="U107" s="43">
        <f t="shared" si="538"/>
        <v>57344.477699967356</v>
      </c>
      <c r="V107" s="43">
        <f t="shared" si="538"/>
        <v>53838.256807966049</v>
      </c>
      <c r="W107" s="43">
        <f t="shared" si="538"/>
        <v>50191.787080284688</v>
      </c>
      <c r="X107" s="43">
        <f t="shared" si="538"/>
        <v>46399.458563496075</v>
      </c>
      <c r="Y107" s="43">
        <f t="shared" si="538"/>
        <v>42455.436906035917</v>
      </c>
      <c r="Z107" s="43">
        <f t="shared" si="538"/>
        <v>38353.654382277353</v>
      </c>
      <c r="AA107" s="43">
        <f t="shared" si="538"/>
        <v>34087.800557568451</v>
      </c>
      <c r="AB107" s="43">
        <f t="shared" si="538"/>
        <v>29651.312579871188</v>
      </c>
      <c r="AC107" s="43">
        <f t="shared" si="538"/>
        <v>25037.365083066034</v>
      </c>
      <c r="AD107" s="43">
        <f t="shared" si="538"/>
        <v>20238.859686388674</v>
      </c>
      <c r="AE107" s="43">
        <f t="shared" si="538"/>
        <v>15248.414073844222</v>
      </c>
      <c r="AF107" s="43">
        <f t="shared" si="538"/>
        <v>10058.35063679799</v>
      </c>
      <c r="AG107" s="43">
        <f t="shared" si="538"/>
        <v>4660.6846622699095</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492" t="s">
        <v>244</v>
      </c>
      <c r="C108" s="493"/>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40" t="s">
        <v>43</v>
      </c>
      <c r="C110" s="441"/>
      <c r="D110" s="4">
        <f>D42+D59+D76+D93</f>
        <v>4000</v>
      </c>
      <c r="E110" s="4">
        <f t="shared" ref="E110:BA110" si="540">E42+E59+E76+E93</f>
        <v>3928</v>
      </c>
      <c r="F110" s="4">
        <f t="shared" si="540"/>
        <v>3853.12</v>
      </c>
      <c r="G110" s="4">
        <f t="shared" si="540"/>
        <v>3775.2447999999999</v>
      </c>
      <c r="H110" s="4">
        <f t="shared" si="540"/>
        <v>3694.2545919999998</v>
      </c>
      <c r="I110" s="4">
        <f t="shared" si="540"/>
        <v>3610.0247756799999</v>
      </c>
      <c r="J110" s="4">
        <f t="shared" si="540"/>
        <v>3522.4257667071997</v>
      </c>
      <c r="K110" s="4">
        <f t="shared" si="540"/>
        <v>3431.3227973754874</v>
      </c>
      <c r="L110" s="4">
        <f t="shared" si="540"/>
        <v>3336.5757092705066</v>
      </c>
      <c r="M110" s="4">
        <f t="shared" si="540"/>
        <v>3238.0387376413269</v>
      </c>
      <c r="N110" s="4">
        <f t="shared" si="540"/>
        <v>3135.56028714698</v>
      </c>
      <c r="O110" s="4">
        <f t="shared" si="540"/>
        <v>3028.982698632859</v>
      </c>
      <c r="P110" s="4">
        <f t="shared" si="540"/>
        <v>2918.1420065781731</v>
      </c>
      <c r="Q110" s="4">
        <f t="shared" si="540"/>
        <v>2802.8676868412999</v>
      </c>
      <c r="R110" s="4">
        <f t="shared" si="540"/>
        <v>2682.9823943149522</v>
      </c>
      <c r="S110" s="4">
        <f t="shared" si="540"/>
        <v>2558.30169008755</v>
      </c>
      <c r="T110" s="4">
        <f t="shared" si="540"/>
        <v>2428.6337576910523</v>
      </c>
      <c r="U110" s="4">
        <f t="shared" si="540"/>
        <v>2293.7791079986941</v>
      </c>
      <c r="V110" s="4">
        <f t="shared" si="540"/>
        <v>2153.5302723186419</v>
      </c>
      <c r="W110" s="4">
        <f t="shared" si="540"/>
        <v>2007.6714832113876</v>
      </c>
      <c r="X110" s="4">
        <f t="shared" si="540"/>
        <v>1855.978342539843</v>
      </c>
      <c r="Y110" s="4">
        <f t="shared" si="540"/>
        <v>1698.2174762414368</v>
      </c>
      <c r="Z110" s="4">
        <f t="shared" si="540"/>
        <v>1534.1461752910941</v>
      </c>
      <c r="AA110" s="4">
        <f t="shared" si="540"/>
        <v>1363.5120223027382</v>
      </c>
      <c r="AB110" s="4">
        <f t="shared" si="540"/>
        <v>1186.0525031948475</v>
      </c>
      <c r="AC110" s="4">
        <f t="shared" si="540"/>
        <v>1001.4946033226414</v>
      </c>
      <c r="AD110" s="4">
        <f t="shared" si="540"/>
        <v>809.55438745554693</v>
      </c>
      <c r="AE110" s="4">
        <f t="shared" si="540"/>
        <v>609.93656295376888</v>
      </c>
      <c r="AF110" s="4">
        <f t="shared" si="540"/>
        <v>402.33402547191963</v>
      </c>
      <c r="AG110" s="4">
        <f t="shared" si="540"/>
        <v>186.42738649079638</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4000</v>
      </c>
      <c r="E111" s="4">
        <f>D111+E110</f>
        <v>7928</v>
      </c>
      <c r="F111" s="4">
        <f t="shared" ref="F111:BA111" si="541">E111+F110</f>
        <v>11781.119999999999</v>
      </c>
      <c r="G111" s="4">
        <f t="shared" si="541"/>
        <v>15556.364799999999</v>
      </c>
      <c r="H111" s="4">
        <f t="shared" si="541"/>
        <v>19250.619392000001</v>
      </c>
      <c r="I111" s="4">
        <f t="shared" si="541"/>
        <v>22860.644167680002</v>
      </c>
      <c r="J111" s="4">
        <f t="shared" si="541"/>
        <v>26383.069934387204</v>
      </c>
      <c r="K111" s="4">
        <f t="shared" si="541"/>
        <v>29814.392731762691</v>
      </c>
      <c r="L111" s="4">
        <f t="shared" si="541"/>
        <v>33150.968441033197</v>
      </c>
      <c r="M111" s="4">
        <f t="shared" si="541"/>
        <v>36389.007178674525</v>
      </c>
      <c r="N111" s="4">
        <f t="shared" si="541"/>
        <v>39524.567465821507</v>
      </c>
      <c r="O111" s="4">
        <f t="shared" si="541"/>
        <v>42553.550164454369</v>
      </c>
      <c r="P111" s="4">
        <f t="shared" si="541"/>
        <v>45471.692171032541</v>
      </c>
      <c r="Q111" s="4">
        <f t="shared" si="541"/>
        <v>48274.559857873843</v>
      </c>
      <c r="R111" s="4">
        <f t="shared" si="541"/>
        <v>50957.542252188796</v>
      </c>
      <c r="S111" s="4">
        <f t="shared" si="541"/>
        <v>53515.843942276348</v>
      </c>
      <c r="T111" s="4">
        <f t="shared" si="541"/>
        <v>55944.4776999674</v>
      </c>
      <c r="U111" s="4">
        <f t="shared" si="541"/>
        <v>58238.256807966092</v>
      </c>
      <c r="V111" s="4">
        <f t="shared" si="541"/>
        <v>60391.787080284732</v>
      </c>
      <c r="W111" s="4">
        <f t="shared" si="541"/>
        <v>62399.458563496119</v>
      </c>
      <c r="X111" s="4">
        <f t="shared" si="541"/>
        <v>64255.43690603596</v>
      </c>
      <c r="Y111" s="4">
        <f t="shared" si="541"/>
        <v>65953.654382277397</v>
      </c>
      <c r="Z111" s="4">
        <f t="shared" si="541"/>
        <v>67487.800557568495</v>
      </c>
      <c r="AA111" s="4">
        <f t="shared" si="541"/>
        <v>68851.312579871228</v>
      </c>
      <c r="AB111" s="4">
        <f t="shared" si="541"/>
        <v>70037.365083066077</v>
      </c>
      <c r="AC111" s="4">
        <f t="shared" si="541"/>
        <v>71038.859686388721</v>
      </c>
      <c r="AD111" s="4">
        <f t="shared" si="541"/>
        <v>71848.414073844266</v>
      </c>
      <c r="AE111" s="4">
        <f t="shared" si="541"/>
        <v>72458.35063679803</v>
      </c>
      <c r="AF111" s="4">
        <f t="shared" si="541"/>
        <v>72860.684662269952</v>
      </c>
      <c r="AG111" s="4">
        <f t="shared" si="541"/>
        <v>73047.112048760755</v>
      </c>
      <c r="AH111" s="4">
        <f t="shared" si="541"/>
        <v>73047.112048760755</v>
      </c>
      <c r="AI111" s="4">
        <f t="shared" si="541"/>
        <v>73047.112048760755</v>
      </c>
      <c r="AJ111" s="4">
        <f t="shared" si="541"/>
        <v>73047.112048760755</v>
      </c>
      <c r="AK111" s="4">
        <f t="shared" si="541"/>
        <v>73047.112048760755</v>
      </c>
      <c r="AL111" s="4">
        <f t="shared" si="541"/>
        <v>73047.112048760755</v>
      </c>
      <c r="AM111" s="4">
        <f t="shared" si="541"/>
        <v>73047.112048760755</v>
      </c>
      <c r="AN111" s="4">
        <f t="shared" si="541"/>
        <v>73047.112048760755</v>
      </c>
      <c r="AO111" s="4">
        <f t="shared" si="541"/>
        <v>73047.112048760755</v>
      </c>
      <c r="AP111" s="4">
        <f t="shared" si="541"/>
        <v>73047.112048760755</v>
      </c>
      <c r="AQ111" s="4">
        <f t="shared" si="541"/>
        <v>73047.112048760755</v>
      </c>
      <c r="AR111" s="4">
        <f t="shared" si="541"/>
        <v>73047.112048760755</v>
      </c>
      <c r="AS111" s="4">
        <f t="shared" si="541"/>
        <v>73047.112048760755</v>
      </c>
      <c r="AT111" s="4">
        <f t="shared" si="541"/>
        <v>73047.112048760755</v>
      </c>
      <c r="AU111" s="4">
        <f t="shared" si="541"/>
        <v>73047.112048760755</v>
      </c>
      <c r="AV111" s="4">
        <f t="shared" si="541"/>
        <v>73047.112048760755</v>
      </c>
      <c r="AW111" s="4">
        <f t="shared" si="541"/>
        <v>73047.112048760755</v>
      </c>
      <c r="AX111" s="4">
        <f t="shared" si="541"/>
        <v>73047.112048760755</v>
      </c>
      <c r="AY111" s="4">
        <f t="shared" si="541"/>
        <v>73047.112048760755</v>
      </c>
      <c r="AZ111" s="4">
        <f t="shared" si="541"/>
        <v>73047.112048760755</v>
      </c>
      <c r="BA111" s="295">
        <f t="shared" si="541"/>
        <v>73047.112048760755</v>
      </c>
    </row>
    <row r="112" spans="1:53">
      <c r="B112" s="494" t="s">
        <v>50</v>
      </c>
      <c r="C112" s="495"/>
      <c r="D112" s="44">
        <f>IF(D106&gt;0,D110/D106,)</f>
        <v>0.04</v>
      </c>
      <c r="E112" s="44">
        <f t="shared" ref="E112:BA112" si="542">IF(E106&gt;0,E110/E106,)</f>
        <v>0.04</v>
      </c>
      <c r="F112" s="44">
        <f t="shared" si="542"/>
        <v>0.04</v>
      </c>
      <c r="G112" s="44">
        <f t="shared" si="542"/>
        <v>0.04</v>
      </c>
      <c r="H112" s="44">
        <f t="shared" si="542"/>
        <v>0.04</v>
      </c>
      <c r="I112" s="44">
        <f t="shared" si="542"/>
        <v>0.04</v>
      </c>
      <c r="J112" s="44">
        <f t="shared" si="542"/>
        <v>0.04</v>
      </c>
      <c r="K112" s="44">
        <f t="shared" si="542"/>
        <v>0.04</v>
      </c>
      <c r="L112" s="44">
        <f t="shared" si="542"/>
        <v>0.04</v>
      </c>
      <c r="M112" s="44">
        <f t="shared" si="542"/>
        <v>0.04</v>
      </c>
      <c r="N112" s="44">
        <f t="shared" si="542"/>
        <v>0.04</v>
      </c>
      <c r="O112" s="44">
        <f t="shared" si="542"/>
        <v>0.04</v>
      </c>
      <c r="P112" s="44">
        <f t="shared" si="542"/>
        <v>0.04</v>
      </c>
      <c r="Q112" s="44">
        <f t="shared" si="542"/>
        <v>0.04</v>
      </c>
      <c r="R112" s="44">
        <f t="shared" si="542"/>
        <v>0.04</v>
      </c>
      <c r="S112" s="44">
        <f t="shared" si="542"/>
        <v>0.04</v>
      </c>
      <c r="T112" s="44">
        <f t="shared" si="542"/>
        <v>0.04</v>
      </c>
      <c r="U112" s="44">
        <f t="shared" si="542"/>
        <v>0.04</v>
      </c>
      <c r="V112" s="44">
        <f t="shared" si="542"/>
        <v>0.04</v>
      </c>
      <c r="W112" s="44">
        <f t="shared" si="542"/>
        <v>0.04</v>
      </c>
      <c r="X112" s="44">
        <f t="shared" si="542"/>
        <v>0.04</v>
      </c>
      <c r="Y112" s="44">
        <f t="shared" si="542"/>
        <v>0.04</v>
      </c>
      <c r="Z112" s="44">
        <f t="shared" si="542"/>
        <v>0.04</v>
      </c>
      <c r="AA112" s="44">
        <f t="shared" si="542"/>
        <v>0.04</v>
      </c>
      <c r="AB112" s="44">
        <f t="shared" si="542"/>
        <v>0.04</v>
      </c>
      <c r="AC112" s="44">
        <f t="shared" si="542"/>
        <v>0.04</v>
      </c>
      <c r="AD112" s="44">
        <f t="shared" si="542"/>
        <v>0.04</v>
      </c>
      <c r="AE112" s="44">
        <f t="shared" si="542"/>
        <v>0.04</v>
      </c>
      <c r="AF112" s="44">
        <f t="shared" si="542"/>
        <v>0.04</v>
      </c>
      <c r="AG112" s="44">
        <f t="shared" si="542"/>
        <v>0.04</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40" t="s">
        <v>44</v>
      </c>
      <c r="C114" s="441"/>
      <c r="D114" s="4">
        <f>D45+D62+D79+D96</f>
        <v>1799.9999999999998</v>
      </c>
      <c r="E114" s="4">
        <f t="shared" ref="E114:BA114" si="543">E45+E62+E79+E96</f>
        <v>1872</v>
      </c>
      <c r="F114" s="4">
        <f t="shared" si="543"/>
        <v>1946.88</v>
      </c>
      <c r="G114" s="4">
        <f t="shared" si="543"/>
        <v>2024.7552000000001</v>
      </c>
      <c r="H114" s="4">
        <f t="shared" si="543"/>
        <v>2105.7454080000002</v>
      </c>
      <c r="I114" s="4">
        <f t="shared" si="543"/>
        <v>2189.9752243200001</v>
      </c>
      <c r="J114" s="4">
        <f t="shared" si="543"/>
        <v>2277.5742332928003</v>
      </c>
      <c r="K114" s="4">
        <f t="shared" si="543"/>
        <v>2368.6772026245126</v>
      </c>
      <c r="L114" s="4">
        <f t="shared" si="543"/>
        <v>2463.4242907294934</v>
      </c>
      <c r="M114" s="4">
        <f t="shared" si="543"/>
        <v>2561.9612623586731</v>
      </c>
      <c r="N114" s="4">
        <f t="shared" si="543"/>
        <v>2664.43971285302</v>
      </c>
      <c r="O114" s="4">
        <f t="shared" si="543"/>
        <v>2771.017301367141</v>
      </c>
      <c r="P114" s="4">
        <f t="shared" si="543"/>
        <v>2881.8579934218269</v>
      </c>
      <c r="Q114" s="4">
        <f t="shared" si="543"/>
        <v>2997.1323131587001</v>
      </c>
      <c r="R114" s="4">
        <f t="shared" si="543"/>
        <v>3117.0176056850478</v>
      </c>
      <c r="S114" s="4">
        <f t="shared" si="543"/>
        <v>3241.69830991245</v>
      </c>
      <c r="T114" s="4">
        <f t="shared" si="543"/>
        <v>3371.3662423089477</v>
      </c>
      <c r="U114" s="4">
        <f t="shared" si="543"/>
        <v>3506.2208920013059</v>
      </c>
      <c r="V114" s="4">
        <f t="shared" si="543"/>
        <v>3646.4697276813581</v>
      </c>
      <c r="W114" s="4">
        <f t="shared" si="543"/>
        <v>3792.3285167886124</v>
      </c>
      <c r="X114" s="4">
        <f t="shared" si="543"/>
        <v>3944.0216574601573</v>
      </c>
      <c r="Y114" s="4">
        <f t="shared" si="543"/>
        <v>4101.782523758563</v>
      </c>
      <c r="Z114" s="4">
        <f t="shared" si="543"/>
        <v>4265.8538247089054</v>
      </c>
      <c r="AA114" s="4">
        <f t="shared" si="543"/>
        <v>4436.4879776972621</v>
      </c>
      <c r="AB114" s="4">
        <f t="shared" si="543"/>
        <v>4613.9474968051527</v>
      </c>
      <c r="AC114" s="4">
        <f t="shared" si="543"/>
        <v>4798.5053966773585</v>
      </c>
      <c r="AD114" s="4">
        <f t="shared" si="543"/>
        <v>4990.4456125444531</v>
      </c>
      <c r="AE114" s="4">
        <f t="shared" si="543"/>
        <v>5190.0634370462312</v>
      </c>
      <c r="AF114" s="4">
        <f t="shared" si="543"/>
        <v>5397.6659745280804</v>
      </c>
      <c r="AG114" s="4">
        <f t="shared" si="543"/>
        <v>4660.6846622699095</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492" t="s">
        <v>56</v>
      </c>
      <c r="C115" s="493"/>
      <c r="D115" s="39">
        <f>IF(D106&gt;0,D114/D106,)</f>
        <v>1.7999999999999999E-2</v>
      </c>
      <c r="E115" s="39">
        <f t="shared" ref="E115:BA115" si="544">IF(E106&gt;0,E114/E106,)</f>
        <v>1.9063136456211813E-2</v>
      </c>
      <c r="F115" s="39">
        <f t="shared" si="544"/>
        <v>2.0210945934723029E-2</v>
      </c>
      <c r="G115" s="39">
        <f t="shared" si="544"/>
        <v>2.145296855981366E-2</v>
      </c>
      <c r="H115" s="39">
        <f t="shared" si="544"/>
        <v>2.2800219698556178E-2</v>
      </c>
      <c r="I115" s="39">
        <f t="shared" si="544"/>
        <v>2.426548691935209E-2</v>
      </c>
      <c r="J115" s="39">
        <f t="shared" si="544"/>
        <v>2.5863701711697398E-2</v>
      </c>
      <c r="K115" s="39">
        <f t="shared" si="544"/>
        <v>2.761240888716434E-2</v>
      </c>
      <c r="L115" s="39">
        <f t="shared" si="544"/>
        <v>2.9532364979880345E-2</v>
      </c>
      <c r="M115" s="39">
        <f t="shared" si="544"/>
        <v>3.1648308991199699E-2</v>
      </c>
      <c r="N115" s="39">
        <f t="shared" si="544"/>
        <v>3.3989966307136403E-2</v>
      </c>
      <c r="O115" s="39">
        <f t="shared" si="544"/>
        <v>3.6593372456275156E-2</v>
      </c>
      <c r="P115" s="39">
        <f t="shared" si="544"/>
        <v>3.9502642255592038E-2</v>
      </c>
      <c r="Q115" s="39">
        <f t="shared" si="544"/>
        <v>4.2772369558925952E-2</v>
      </c>
      <c r="R115" s="39">
        <f t="shared" si="544"/>
        <v>4.6470936407033987E-2</v>
      </c>
      <c r="S115" s="39">
        <f t="shared" si="544"/>
        <v>5.0685160745080268E-2</v>
      </c>
      <c r="T115" s="39">
        <f t="shared" si="544"/>
        <v>5.5526960071808754E-2</v>
      </c>
      <c r="U115" s="39">
        <f t="shared" si="544"/>
        <v>6.1143130648887253E-2</v>
      </c>
      <c r="V115" s="39">
        <f t="shared" si="544"/>
        <v>6.7730085331102641E-2</v>
      </c>
      <c r="W115" s="39">
        <f t="shared" si="544"/>
        <v>7.5556754150286815E-2</v>
      </c>
      <c r="X115" s="39">
        <f t="shared" si="544"/>
        <v>8.5001458628291934E-2</v>
      </c>
      <c r="Y115" s="39">
        <f t="shared" si="544"/>
        <v>9.6613833767316859E-2</v>
      </c>
      <c r="Z115" s="39">
        <f t="shared" si="544"/>
        <v>0.11122418172178379</v>
      </c>
      <c r="AA115" s="39">
        <f t="shared" si="544"/>
        <v>0.13014884812543989</v>
      </c>
      <c r="AB115" s="39">
        <f t="shared" si="544"/>
        <v>0.15560685498750346</v>
      </c>
      <c r="AC115" s="39">
        <f t="shared" si="544"/>
        <v>0.19165376950639335</v>
      </c>
      <c r="AD115" s="39">
        <f t="shared" si="544"/>
        <v>0.24657741048032952</v>
      </c>
      <c r="AE115" s="39">
        <f t="shared" si="544"/>
        <v>0.34036742522285029</v>
      </c>
      <c r="AF115" s="39">
        <f t="shared" si="544"/>
        <v>0.53663529632591855</v>
      </c>
      <c r="AG115" s="39">
        <f t="shared" si="544"/>
        <v>1</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492"/>
      <c r="C116" s="493"/>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40" t="s">
        <v>45</v>
      </c>
      <c r="C117" s="441"/>
      <c r="D117" s="4">
        <f>D48+D65+D82+D99</f>
        <v>5800</v>
      </c>
      <c r="E117" s="4">
        <f t="shared" ref="E117:BA117" si="545">E48+E65+E82+E99</f>
        <v>5800</v>
      </c>
      <c r="F117" s="4">
        <f t="shared" si="545"/>
        <v>5800</v>
      </c>
      <c r="G117" s="4">
        <f t="shared" si="545"/>
        <v>5800</v>
      </c>
      <c r="H117" s="4">
        <f t="shared" si="545"/>
        <v>5800</v>
      </c>
      <c r="I117" s="4">
        <f t="shared" si="545"/>
        <v>5800</v>
      </c>
      <c r="J117" s="4">
        <f t="shared" si="545"/>
        <v>5800</v>
      </c>
      <c r="K117" s="4">
        <f t="shared" si="545"/>
        <v>5800</v>
      </c>
      <c r="L117" s="4">
        <f t="shared" si="545"/>
        <v>5800</v>
      </c>
      <c r="M117" s="4">
        <f t="shared" si="545"/>
        <v>5800</v>
      </c>
      <c r="N117" s="4">
        <f t="shared" si="545"/>
        <v>5800</v>
      </c>
      <c r="O117" s="4">
        <f t="shared" si="545"/>
        <v>5800</v>
      </c>
      <c r="P117" s="4">
        <f t="shared" si="545"/>
        <v>5800</v>
      </c>
      <c r="Q117" s="4">
        <f t="shared" si="545"/>
        <v>5800</v>
      </c>
      <c r="R117" s="4">
        <f t="shared" si="545"/>
        <v>5800</v>
      </c>
      <c r="S117" s="4">
        <f t="shared" si="545"/>
        <v>5800</v>
      </c>
      <c r="T117" s="4">
        <f t="shared" si="545"/>
        <v>5800</v>
      </c>
      <c r="U117" s="4">
        <f t="shared" si="545"/>
        <v>5800</v>
      </c>
      <c r="V117" s="4">
        <f t="shared" si="545"/>
        <v>5800</v>
      </c>
      <c r="W117" s="4">
        <f t="shared" si="545"/>
        <v>5800</v>
      </c>
      <c r="X117" s="4">
        <f t="shared" si="545"/>
        <v>5800</v>
      </c>
      <c r="Y117" s="4">
        <f t="shared" si="545"/>
        <v>5800</v>
      </c>
      <c r="Z117" s="4">
        <f t="shared" si="545"/>
        <v>5800</v>
      </c>
      <c r="AA117" s="4">
        <f t="shared" si="545"/>
        <v>5800</v>
      </c>
      <c r="AB117" s="4">
        <f t="shared" si="545"/>
        <v>5800</v>
      </c>
      <c r="AC117" s="4">
        <f t="shared" si="545"/>
        <v>5800</v>
      </c>
      <c r="AD117" s="4">
        <f t="shared" si="545"/>
        <v>5800</v>
      </c>
      <c r="AE117" s="4">
        <f t="shared" si="545"/>
        <v>5800</v>
      </c>
      <c r="AF117" s="4">
        <f t="shared" si="545"/>
        <v>5800</v>
      </c>
      <c r="AG117" s="4">
        <f t="shared" si="545"/>
        <v>4847.1120487607059</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40" t="s">
        <v>47</v>
      </c>
      <c r="C118" s="441"/>
      <c r="D118" s="4">
        <f>D50+D67+D84+D101</f>
        <v>98200</v>
      </c>
      <c r="E118" s="4">
        <f t="shared" ref="E118:BA118" si="546">E50+E67+E84+E101</f>
        <v>96328</v>
      </c>
      <c r="F118" s="4">
        <f t="shared" si="546"/>
        <v>94381.119999999995</v>
      </c>
      <c r="G118" s="4">
        <f t="shared" si="546"/>
        <v>92356.364799999996</v>
      </c>
      <c r="H118" s="4">
        <f t="shared" si="546"/>
        <v>90250.619391999993</v>
      </c>
      <c r="I118" s="4">
        <f t="shared" si="546"/>
        <v>88060.644167679988</v>
      </c>
      <c r="J118" s="4">
        <f t="shared" si="546"/>
        <v>85783.069934387182</v>
      </c>
      <c r="K118" s="4">
        <f t="shared" si="546"/>
        <v>83414.392731762666</v>
      </c>
      <c r="L118" s="4">
        <f t="shared" si="546"/>
        <v>80950.968441033168</v>
      </c>
      <c r="M118" s="4">
        <f t="shared" si="546"/>
        <v>78389.007178674496</v>
      </c>
      <c r="N118" s="4">
        <f t="shared" si="546"/>
        <v>75724.56746582147</v>
      </c>
      <c r="O118" s="4">
        <f t="shared" si="546"/>
        <v>72953.550164454326</v>
      </c>
      <c r="P118" s="4">
        <f t="shared" si="546"/>
        <v>70071.692171032497</v>
      </c>
      <c r="Q118" s="4">
        <f t="shared" si="546"/>
        <v>67074.559857873799</v>
      </c>
      <c r="R118" s="4">
        <f t="shared" si="546"/>
        <v>63957.542252188752</v>
      </c>
      <c r="S118" s="4">
        <f t="shared" si="546"/>
        <v>60715.843942276304</v>
      </c>
      <c r="T118" s="4">
        <f t="shared" si="546"/>
        <v>57344.477699967356</v>
      </c>
      <c r="U118" s="4">
        <f t="shared" si="546"/>
        <v>53838.256807966049</v>
      </c>
      <c r="V118" s="4">
        <f t="shared" si="546"/>
        <v>50191.787080284688</v>
      </c>
      <c r="W118" s="4">
        <f t="shared" si="546"/>
        <v>46399.458563496075</v>
      </c>
      <c r="X118" s="4">
        <f t="shared" si="546"/>
        <v>42455.436906035917</v>
      </c>
      <c r="Y118" s="4">
        <f t="shared" si="546"/>
        <v>38353.654382277353</v>
      </c>
      <c r="Z118" s="4">
        <f t="shared" si="546"/>
        <v>34087.800557568451</v>
      </c>
      <c r="AA118" s="4">
        <f t="shared" si="546"/>
        <v>29651.312579871188</v>
      </c>
      <c r="AB118" s="4">
        <f t="shared" si="546"/>
        <v>25037.365083066034</v>
      </c>
      <c r="AC118" s="4">
        <f t="shared" si="546"/>
        <v>20238.859686388674</v>
      </c>
      <c r="AD118" s="4">
        <f t="shared" si="546"/>
        <v>15248.414073844222</v>
      </c>
      <c r="AE118" s="4">
        <f t="shared" si="546"/>
        <v>10058.35063679799</v>
      </c>
      <c r="AF118" s="4">
        <f t="shared" si="546"/>
        <v>4660.6846622699095</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5.75" thickBot="1">
      <c r="B119" s="466" t="s">
        <v>24</v>
      </c>
      <c r="C119" s="467"/>
      <c r="D119" s="298">
        <f>D51+D68+D85+D102</f>
        <v>483.33333333333331</v>
      </c>
      <c r="E119" s="298">
        <f t="shared" ref="E119:BA119" si="547">E51+E68+E85+E102</f>
        <v>483.33333333333331</v>
      </c>
      <c r="F119" s="298">
        <f t="shared" si="547"/>
        <v>483.33333333333331</v>
      </c>
      <c r="G119" s="298">
        <f t="shared" si="547"/>
        <v>483.33333333333331</v>
      </c>
      <c r="H119" s="298">
        <f t="shared" si="547"/>
        <v>483.33333333333331</v>
      </c>
      <c r="I119" s="298">
        <f t="shared" si="547"/>
        <v>483.33333333333331</v>
      </c>
      <c r="J119" s="298">
        <f t="shared" si="547"/>
        <v>483.33333333333331</v>
      </c>
      <c r="K119" s="298">
        <f t="shared" si="547"/>
        <v>483.33333333333331</v>
      </c>
      <c r="L119" s="298">
        <f t="shared" si="547"/>
        <v>483.33333333333331</v>
      </c>
      <c r="M119" s="298">
        <f t="shared" si="547"/>
        <v>483.33333333333331</v>
      </c>
      <c r="N119" s="298">
        <f t="shared" si="547"/>
        <v>483.33333333333331</v>
      </c>
      <c r="O119" s="298">
        <f t="shared" si="547"/>
        <v>483.33333333333331</v>
      </c>
      <c r="P119" s="298">
        <f t="shared" si="547"/>
        <v>483.33333333333331</v>
      </c>
      <c r="Q119" s="298">
        <f t="shared" si="547"/>
        <v>483.33333333333331</v>
      </c>
      <c r="R119" s="298">
        <f t="shared" si="547"/>
        <v>483.33333333333331</v>
      </c>
      <c r="S119" s="298">
        <f t="shared" si="547"/>
        <v>483.33333333333331</v>
      </c>
      <c r="T119" s="298">
        <f t="shared" si="547"/>
        <v>483.33333333333331</v>
      </c>
      <c r="U119" s="298">
        <f t="shared" si="547"/>
        <v>483.33333333333331</v>
      </c>
      <c r="V119" s="298">
        <f t="shared" si="547"/>
        <v>483.33333333333331</v>
      </c>
      <c r="W119" s="298">
        <f t="shared" si="547"/>
        <v>483.33333333333331</v>
      </c>
      <c r="X119" s="298">
        <f t="shared" si="547"/>
        <v>483.33333333333331</v>
      </c>
      <c r="Y119" s="298">
        <f t="shared" si="547"/>
        <v>483.33333333333331</v>
      </c>
      <c r="Z119" s="298">
        <f t="shared" si="547"/>
        <v>483.33333333333331</v>
      </c>
      <c r="AA119" s="298">
        <f t="shared" si="547"/>
        <v>483.33333333333331</v>
      </c>
      <c r="AB119" s="298">
        <f t="shared" si="547"/>
        <v>483.33333333333331</v>
      </c>
      <c r="AC119" s="298">
        <f t="shared" si="547"/>
        <v>483.33333333333331</v>
      </c>
      <c r="AD119" s="298">
        <f t="shared" si="547"/>
        <v>483.33333333333331</v>
      </c>
      <c r="AE119" s="298">
        <f t="shared" si="547"/>
        <v>483.33333333333331</v>
      </c>
      <c r="AF119" s="298">
        <f t="shared" si="547"/>
        <v>483.33333333333331</v>
      </c>
      <c r="AG119" s="298">
        <f t="shared" si="547"/>
        <v>403.92600406339216</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365</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8">
      <c r="N133" s="46"/>
    </row>
  </sheetData>
  <sheetProtection algorithmName="SHA-512" hashValue="vQgXH2ohwp287YUb82Gl/Ri431ABM3XG6vWweXOOo2Anoo72mXv0sOD0fdi1j9/o9XLsm80gWlYCfCGNLuGgTA==" saltValue="bCa5T6uv1QO1kKIij4Uw2A==" spinCount="100000" sheet="1" formatCells="0" formatColumns="0"/>
  <mergeCells count="81">
    <mergeCell ref="B32:C32"/>
    <mergeCell ref="B38:C38"/>
    <mergeCell ref="B39:C39"/>
    <mergeCell ref="B29:C29"/>
    <mergeCell ref="B30:C30"/>
    <mergeCell ref="B34:C34"/>
    <mergeCell ref="B31:C31"/>
    <mergeCell ref="T1:U3"/>
    <mergeCell ref="B19:C19"/>
    <mergeCell ref="B20:C20"/>
    <mergeCell ref="B18:C18"/>
    <mergeCell ref="P1:R3"/>
    <mergeCell ref="B17:C17"/>
    <mergeCell ref="B1:C3"/>
    <mergeCell ref="J1:O3"/>
    <mergeCell ref="B8:C8"/>
    <mergeCell ref="B9:C9"/>
    <mergeCell ref="B11:C11"/>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63:C63"/>
    <mergeCell ref="B65:C65"/>
    <mergeCell ref="B66:C66"/>
    <mergeCell ref="B92:C92"/>
    <mergeCell ref="B76:C76"/>
    <mergeCell ref="B78:C78"/>
    <mergeCell ref="B99:C99"/>
    <mergeCell ref="B100:C100"/>
    <mergeCell ref="B67:C67"/>
    <mergeCell ref="B68:C68"/>
    <mergeCell ref="B84:C84"/>
    <mergeCell ref="B85:C85"/>
    <mergeCell ref="B96:C96"/>
    <mergeCell ref="B97:C97"/>
    <mergeCell ref="B75:C75"/>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0" customFormat="1" ht="12.75" customHeight="1">
      <c r="C1" s="425" t="s">
        <v>344</v>
      </c>
      <c r="D1" s="425"/>
      <c r="E1" s="425"/>
      <c r="F1" s="425"/>
      <c r="G1" s="425"/>
      <c r="H1" s="272"/>
      <c r="I1" s="272"/>
      <c r="J1" s="272"/>
      <c r="K1" s="272"/>
      <c r="L1" s="272"/>
      <c r="M1" s="272"/>
      <c r="N1" s="272"/>
      <c r="O1" s="272"/>
      <c r="P1" s="433" t="s">
        <v>341</v>
      </c>
      <c r="Q1" s="433"/>
      <c r="R1" s="433"/>
      <c r="S1" s="433"/>
      <c r="T1" s="147"/>
      <c r="U1" s="147"/>
      <c r="V1" s="147"/>
      <c r="W1" s="425"/>
      <c r="X1" s="425"/>
      <c r="Z1" s="425"/>
      <c r="AA1" s="424"/>
    </row>
    <row r="2" spans="2:38" s="150" customFormat="1" ht="18">
      <c r="C2" s="425"/>
      <c r="D2" s="425"/>
      <c r="E2" s="425"/>
      <c r="F2" s="425"/>
      <c r="G2" s="425"/>
      <c r="H2" s="272"/>
      <c r="I2" s="272"/>
      <c r="J2" s="272"/>
      <c r="K2" s="272"/>
      <c r="L2" s="272"/>
      <c r="M2" s="272"/>
      <c r="N2" s="272"/>
      <c r="O2" s="272"/>
      <c r="P2" s="433"/>
      <c r="Q2" s="433"/>
      <c r="R2" s="433"/>
      <c r="S2" s="433"/>
      <c r="T2" s="147"/>
      <c r="U2" s="147"/>
      <c r="V2" s="147"/>
      <c r="W2" s="425"/>
      <c r="X2" s="425"/>
      <c r="Z2" s="425"/>
      <c r="AA2" s="424"/>
    </row>
    <row r="3" spans="2:38" s="150" customFormat="1" ht="12.75" customHeight="1">
      <c r="C3" s="425"/>
      <c r="D3" s="425"/>
      <c r="E3" s="425"/>
      <c r="F3" s="425"/>
      <c r="G3" s="425"/>
      <c r="H3" s="272"/>
      <c r="I3" s="272"/>
      <c r="J3" s="272"/>
      <c r="K3" s="272"/>
      <c r="L3" s="272"/>
      <c r="M3" s="272"/>
      <c r="N3" s="272"/>
      <c r="O3" s="272"/>
      <c r="P3" s="433"/>
      <c r="Q3" s="433"/>
      <c r="R3" s="433"/>
      <c r="S3" s="433"/>
      <c r="T3" s="147"/>
      <c r="U3" s="147"/>
      <c r="V3" s="147"/>
      <c r="W3" s="425"/>
      <c r="X3" s="425"/>
      <c r="Z3" s="425"/>
      <c r="AA3" s="424"/>
    </row>
    <row r="4" spans="2:38" s="6" customFormat="1" ht="18.75" customHeight="1">
      <c r="S4" s="5"/>
      <c r="T4" s="5"/>
      <c r="U4" s="5"/>
      <c r="V4" s="5"/>
    </row>
    <row r="5" spans="2:38" ht="8.25" customHeight="1"/>
    <row r="6" spans="2:38" ht="13.5" thickBot="1">
      <c r="B6" s="57" t="s">
        <v>277</v>
      </c>
      <c r="C6" s="57"/>
      <c r="R6" s="57"/>
      <c r="S6" s="57"/>
      <c r="U6" s="57" t="s">
        <v>277</v>
      </c>
    </row>
    <row r="7" spans="2:38" ht="15" customHeight="1" thickBot="1">
      <c r="B7" s="355">
        <v>5000</v>
      </c>
      <c r="C7" s="528" t="s">
        <v>362</v>
      </c>
      <c r="D7" s="519" t="s">
        <v>285</v>
      </c>
      <c r="E7" s="519" t="s">
        <v>363</v>
      </c>
      <c r="F7" s="519" t="s">
        <v>364</v>
      </c>
      <c r="G7" s="519" t="s">
        <v>276</v>
      </c>
      <c r="H7" s="519" t="s">
        <v>471</v>
      </c>
      <c r="I7" s="519" t="s">
        <v>79</v>
      </c>
      <c r="J7" s="519" t="s">
        <v>43</v>
      </c>
      <c r="K7" s="519" t="s">
        <v>44</v>
      </c>
      <c r="L7" s="519" t="s">
        <v>280</v>
      </c>
      <c r="M7" s="519" t="s">
        <v>282</v>
      </c>
      <c r="N7" s="519" t="s">
        <v>281</v>
      </c>
      <c r="O7" s="519" t="s">
        <v>101</v>
      </c>
      <c r="P7" s="522" t="s">
        <v>279</v>
      </c>
      <c r="R7" s="524" t="s">
        <v>1</v>
      </c>
      <c r="S7" s="519" t="s">
        <v>362</v>
      </c>
      <c r="T7" s="529" t="s">
        <v>285</v>
      </c>
      <c r="U7" s="356">
        <v>1E-3</v>
      </c>
      <c r="V7" s="528" t="s">
        <v>364</v>
      </c>
      <c r="W7" s="519" t="s">
        <v>276</v>
      </c>
      <c r="X7" s="519" t="s">
        <v>471</v>
      </c>
      <c r="Y7" s="519" t="s">
        <v>79</v>
      </c>
      <c r="Z7" s="519" t="s">
        <v>43</v>
      </c>
      <c r="AA7" s="519" t="s">
        <v>44</v>
      </c>
      <c r="AB7" s="519" t="s">
        <v>280</v>
      </c>
      <c r="AC7" s="519" t="s">
        <v>282</v>
      </c>
      <c r="AD7" s="519" t="s">
        <v>281</v>
      </c>
      <c r="AE7" s="519" t="s">
        <v>101</v>
      </c>
      <c r="AF7" s="522" t="s">
        <v>279</v>
      </c>
      <c r="AH7" s="507" t="s">
        <v>283</v>
      </c>
      <c r="AI7" s="508"/>
      <c r="AJ7" s="508"/>
      <c r="AK7" s="508"/>
      <c r="AL7" s="509"/>
    </row>
    <row r="8" spans="2:38" ht="15.75" customHeight="1" thickBot="1">
      <c r="B8" s="313" t="s">
        <v>1</v>
      </c>
      <c r="C8" s="520"/>
      <c r="D8" s="520"/>
      <c r="E8" s="520"/>
      <c r="F8" s="520"/>
      <c r="G8" s="520"/>
      <c r="H8" s="520"/>
      <c r="I8" s="520"/>
      <c r="J8" s="520"/>
      <c r="K8" s="520"/>
      <c r="L8" s="520"/>
      <c r="M8" s="520"/>
      <c r="N8" s="520"/>
      <c r="O8" s="520"/>
      <c r="P8" s="523"/>
      <c r="R8" s="525"/>
      <c r="S8" s="520"/>
      <c r="T8" s="527"/>
      <c r="U8" s="315" t="s">
        <v>22</v>
      </c>
      <c r="V8" s="520"/>
      <c r="W8" s="520"/>
      <c r="X8" s="520"/>
      <c r="Y8" s="520"/>
      <c r="Z8" s="520"/>
      <c r="AA8" s="520"/>
      <c r="AB8" s="520"/>
      <c r="AC8" s="520"/>
      <c r="AD8" s="520"/>
      <c r="AE8" s="520"/>
      <c r="AF8" s="523"/>
      <c r="AH8" s="510"/>
      <c r="AI8" s="511"/>
      <c r="AJ8" s="511"/>
      <c r="AK8" s="511"/>
      <c r="AL8" s="512"/>
    </row>
    <row r="9" spans="2:38">
      <c r="B9" s="316">
        <f>B10+$B$7</f>
        <v>145000</v>
      </c>
      <c r="C9" s="317">
        <f t="shared" ref="C9:C17" si="0">$AL$10</f>
        <v>0.8</v>
      </c>
      <c r="D9" s="318">
        <f>B9*C9</f>
        <v>116000</v>
      </c>
      <c r="E9" s="319">
        <f t="shared" ref="E9:E17" si="1">$AL$11</f>
        <v>0.04</v>
      </c>
      <c r="F9" s="319">
        <f t="shared" ref="F9:F17" si="2">$AL$12</f>
        <v>1.7999999999999999E-2</v>
      </c>
      <c r="G9" s="318">
        <f t="shared" ref="G9:G17" si="3">$AL$13</f>
        <v>719.95</v>
      </c>
      <c r="H9" s="318">
        <f>G9+Cockpit!$K$9</f>
        <v>823.68000000000006</v>
      </c>
      <c r="I9" s="318">
        <f>-Cockpit!$K$12-Cockpit!$H$25*(Szenarien!G9-Szenarien!$AL$13)</f>
        <v>-208.73206666666664</v>
      </c>
      <c r="J9" s="318">
        <f>Cockpit!$Q$21-E9*(D9-$D13)/12</f>
        <v>-386.66666666666663</v>
      </c>
      <c r="K9" s="318">
        <f>Cockpit!$Q$22-F9*(D9-$D13)/12</f>
        <v>-173.99999999999997</v>
      </c>
      <c r="L9" s="318">
        <f>H9+I9+J9+K9</f>
        <v>54.281266666666767</v>
      </c>
      <c r="M9" s="318">
        <f>Cockpit!$Q$29</f>
        <v>-148.72999999999999</v>
      </c>
      <c r="N9" s="318">
        <f>Cockpit!$Q$31-Cockpit!$H$20*Cockpit!$H$21*(1+Cockpit!$D$22)*(B9-$B13)/12</f>
        <v>-119.47874999999999</v>
      </c>
      <c r="O9" s="318">
        <f>(H9+J9+M9+N9)*Cockpit!$Q$33</f>
        <v>67.521833333333376</v>
      </c>
      <c r="P9" s="320">
        <f t="shared" ref="P9:P12" si="4">L9-O9</f>
        <v>-13.240566666666609</v>
      </c>
      <c r="R9" s="330">
        <f t="shared" ref="R9:R17" si="5">$AL$9</f>
        <v>125000</v>
      </c>
      <c r="S9" s="317">
        <f t="shared" ref="S9:S17" si="6">$AL$10</f>
        <v>0.8</v>
      </c>
      <c r="T9" s="318">
        <f>R9*S9</f>
        <v>100000</v>
      </c>
      <c r="U9" s="338">
        <f>U10+$U$7</f>
        <v>4.4000000000000004E-2</v>
      </c>
      <c r="V9" s="319">
        <f t="shared" ref="V9:V17" si="7">$AL$12</f>
        <v>1.7999999999999999E-2</v>
      </c>
      <c r="W9" s="318">
        <f t="shared" ref="W9:W17" si="8">$AL$13</f>
        <v>719.95</v>
      </c>
      <c r="X9" s="318">
        <f>W9+Cockpit!$K$9</f>
        <v>823.68000000000006</v>
      </c>
      <c r="Y9" s="318">
        <f>-Cockpit!$K$12-Cockpit!$H$25*(Szenarien!W9-Szenarien!$AL$13)</f>
        <v>-208.73206666666664</v>
      </c>
      <c r="Z9" s="318">
        <f>Cockpit!$Q$21-U9*(T9-$T$13)/12-(U9-$U$13)*$T$13/12</f>
        <v>-366.66666666666669</v>
      </c>
      <c r="AA9" s="318">
        <f>Cockpit!$Q$22-V9*(T9-$T$13)/12-(V9-$V$13)*$T$13/12</f>
        <v>-149.99999999999997</v>
      </c>
      <c r="AB9" s="318">
        <f>X9+Y9+Z9+AA9</f>
        <v>98.28126666666671</v>
      </c>
      <c r="AC9" s="318">
        <f>Cockpit!$Q$29</f>
        <v>-148.72999999999999</v>
      </c>
      <c r="AD9" s="318">
        <f>Cockpit!$Q$31-Cockpit!$H$20*Cockpit!$H$21*(1+Cockpit!$D$22)*(R9-$R13)/12</f>
        <v>-102.84375</v>
      </c>
      <c r="AE9" s="318">
        <f>(X9+Z9+AC9+AD9)*Cockpit!$Q$33</f>
        <v>82.175833333333372</v>
      </c>
      <c r="AF9" s="320">
        <f t="shared" ref="AF9:AF12" si="9">AB9-AE9</f>
        <v>16.105433333333337</v>
      </c>
      <c r="AH9" s="513" t="s">
        <v>1</v>
      </c>
      <c r="AI9" s="514"/>
      <c r="AJ9" s="514"/>
      <c r="AK9" s="515"/>
      <c r="AL9" s="351">
        <f>Cockpit!D14</f>
        <v>125000</v>
      </c>
    </row>
    <row r="10" spans="2:38">
      <c r="B10" s="321">
        <f>B11+$B$7</f>
        <v>140000</v>
      </c>
      <c r="C10" s="47">
        <f t="shared" si="0"/>
        <v>0.8</v>
      </c>
      <c r="D10" s="48">
        <f t="shared" ref="D10:D17" si="10">B10*C10</f>
        <v>112000</v>
      </c>
      <c r="E10" s="49">
        <f t="shared" si="1"/>
        <v>0.04</v>
      </c>
      <c r="F10" s="49">
        <f t="shared" si="2"/>
        <v>1.7999999999999999E-2</v>
      </c>
      <c r="G10" s="48">
        <f t="shared" si="3"/>
        <v>719.95</v>
      </c>
      <c r="H10" s="48">
        <f>G10+Cockpit!$K$9</f>
        <v>823.68000000000006</v>
      </c>
      <c r="I10" s="48">
        <f>-Cockpit!$K$12-Cockpit!$H$25*(Szenarien!G10-Szenarien!$AL$13)</f>
        <v>-208.73206666666664</v>
      </c>
      <c r="J10" s="48">
        <f>Cockpit!$Q$21-E10*(D10-$D13)/12</f>
        <v>-373.33333333333331</v>
      </c>
      <c r="K10" s="48">
        <f>Cockpit!$Q$22-F10*(D10-$D13)/12</f>
        <v>-167.99999999999997</v>
      </c>
      <c r="L10" s="48">
        <f t="shared" ref="L10:L17" si="11">H10+I10+J10+K10</f>
        <v>73.614600000000081</v>
      </c>
      <c r="M10" s="48">
        <f>Cockpit!$Q$29</f>
        <v>-148.72999999999999</v>
      </c>
      <c r="N10" s="48">
        <f>Cockpit!$Q$31-Cockpit!$H$20*Cockpit!$H$21*(1+Cockpit!$D$22)*(B10-$B13)/12</f>
        <v>-115.32</v>
      </c>
      <c r="O10" s="48">
        <f>(H10+J10+M10+N10)*Cockpit!$Q$33</f>
        <v>74.518666666666718</v>
      </c>
      <c r="P10" s="286">
        <f t="shared" si="4"/>
        <v>-0.90406666666663682</v>
      </c>
      <c r="R10" s="333">
        <f t="shared" si="5"/>
        <v>125000</v>
      </c>
      <c r="S10" s="47">
        <f t="shared" si="6"/>
        <v>0.8</v>
      </c>
      <c r="T10" s="48">
        <f t="shared" ref="T10:T17" si="12">R10*S10</f>
        <v>100000</v>
      </c>
      <c r="U10" s="129">
        <f>U11+$U$7</f>
        <v>4.3000000000000003E-2</v>
      </c>
      <c r="V10" s="49">
        <f t="shared" si="7"/>
        <v>1.7999999999999999E-2</v>
      </c>
      <c r="W10" s="48">
        <f t="shared" si="8"/>
        <v>719.95</v>
      </c>
      <c r="X10" s="48">
        <f>W10+Cockpit!$K$9</f>
        <v>823.68000000000006</v>
      </c>
      <c r="Y10" s="48">
        <f>-Cockpit!$K$12-Cockpit!$H$25*(Szenarien!W10-Szenarien!$AL$13)</f>
        <v>-208.73206666666664</v>
      </c>
      <c r="Z10" s="48">
        <f>Cockpit!$Q$21-U10*(T10-$T$13)/12-(U10-$U$13)*$T$13/12</f>
        <v>-358.33333333333331</v>
      </c>
      <c r="AA10" s="48">
        <f>Cockpit!$Q$22-V10*(T10-$T$13)/12-(V10-$V$13)*$T$13/12</f>
        <v>-149.99999999999997</v>
      </c>
      <c r="AB10" s="48">
        <f t="shared" ref="AB10:AB17" si="13">X10+Y10+Z10+AA10</f>
        <v>106.61460000000008</v>
      </c>
      <c r="AC10" s="48">
        <f>Cockpit!$Q$29</f>
        <v>-148.72999999999999</v>
      </c>
      <c r="AD10" s="48">
        <f>Cockpit!$Q$31-Cockpit!$H$20*Cockpit!$H$21*(1+Cockpit!$D$22)*(R10-$R13)/12</f>
        <v>-102.84375</v>
      </c>
      <c r="AE10" s="48">
        <f>(X10+Z10+AC10+AD10)*Cockpit!$Q$33</f>
        <v>85.509166666666715</v>
      </c>
      <c r="AF10" s="286">
        <f t="shared" si="9"/>
        <v>21.105433333333366</v>
      </c>
      <c r="AH10" s="516" t="s">
        <v>284</v>
      </c>
      <c r="AI10" s="517"/>
      <c r="AJ10" s="517"/>
      <c r="AK10" s="518"/>
      <c r="AL10" s="352">
        <f>Cockpit!N17/AL9</f>
        <v>0.8</v>
      </c>
    </row>
    <row r="11" spans="2:38">
      <c r="B11" s="321">
        <f>B12+$B$7</f>
        <v>135000</v>
      </c>
      <c r="C11" s="47">
        <f t="shared" si="0"/>
        <v>0.8</v>
      </c>
      <c r="D11" s="48">
        <f t="shared" si="10"/>
        <v>108000</v>
      </c>
      <c r="E11" s="49">
        <f t="shared" si="1"/>
        <v>0.04</v>
      </c>
      <c r="F11" s="49">
        <f t="shared" si="2"/>
        <v>1.7999999999999999E-2</v>
      </c>
      <c r="G11" s="48">
        <f t="shared" si="3"/>
        <v>719.95</v>
      </c>
      <c r="H11" s="48">
        <f>G11+Cockpit!$K$9</f>
        <v>823.68000000000006</v>
      </c>
      <c r="I11" s="48">
        <f>-Cockpit!$K$12-Cockpit!$H$25*(Szenarien!G11-Szenarien!$AL$13)</f>
        <v>-208.73206666666664</v>
      </c>
      <c r="J11" s="48">
        <f>Cockpit!$Q$21-E11*(D11-$D13)/12</f>
        <v>-360</v>
      </c>
      <c r="K11" s="48">
        <f>Cockpit!$Q$22-F11*(D11-$D13)/12</f>
        <v>-161.99999999999997</v>
      </c>
      <c r="L11" s="48">
        <f t="shared" si="11"/>
        <v>92.947933333333395</v>
      </c>
      <c r="M11" s="48">
        <f>Cockpit!$Q$29</f>
        <v>-148.72999999999999</v>
      </c>
      <c r="N11" s="48">
        <f>Cockpit!$Q$31-Cockpit!$H$20*Cockpit!$H$21*(1+Cockpit!$D$22)*(B11-$B13)/12</f>
        <v>-111.16125</v>
      </c>
      <c r="O11" s="48">
        <f>(H11+J11+M11+N11)*Cockpit!$Q$33</f>
        <v>81.515500000000031</v>
      </c>
      <c r="P11" s="286">
        <f t="shared" si="4"/>
        <v>11.432433333333364</v>
      </c>
      <c r="R11" s="333">
        <f t="shared" si="5"/>
        <v>125000</v>
      </c>
      <c r="S11" s="47">
        <f t="shared" si="6"/>
        <v>0.8</v>
      </c>
      <c r="T11" s="48">
        <f t="shared" si="12"/>
        <v>100000</v>
      </c>
      <c r="U11" s="129">
        <f>U12+$U$7</f>
        <v>4.2000000000000003E-2</v>
      </c>
      <c r="V11" s="49">
        <f t="shared" si="7"/>
        <v>1.7999999999999999E-2</v>
      </c>
      <c r="W11" s="48">
        <f t="shared" si="8"/>
        <v>719.95</v>
      </c>
      <c r="X11" s="48">
        <f>W11+Cockpit!$K$9</f>
        <v>823.68000000000006</v>
      </c>
      <c r="Y11" s="48">
        <f>-Cockpit!$K$12-Cockpit!$H$25*(Szenarien!W11-Szenarien!$AL$13)</f>
        <v>-208.73206666666664</v>
      </c>
      <c r="Z11" s="48">
        <f>Cockpit!$Q$21-U11*(T11-$T$13)/12-(U11-$U$13)*$T$13/12</f>
        <v>-350</v>
      </c>
      <c r="AA11" s="48">
        <f>Cockpit!$Q$22-V11*(T11-$T$13)/12-(V11-$V$13)*$T$13/12</f>
        <v>-149.99999999999997</v>
      </c>
      <c r="AB11" s="48">
        <f t="shared" si="13"/>
        <v>114.9479333333334</v>
      </c>
      <c r="AC11" s="48">
        <f>Cockpit!$Q$29</f>
        <v>-148.72999999999999</v>
      </c>
      <c r="AD11" s="48">
        <f>Cockpit!$Q$31-Cockpit!$H$20*Cockpit!$H$21*(1+Cockpit!$D$22)*(R11-$R13)/12</f>
        <v>-102.84375</v>
      </c>
      <c r="AE11" s="48">
        <f>(X11+Z11+AC11+AD11)*Cockpit!$Q$33</f>
        <v>88.84250000000003</v>
      </c>
      <c r="AF11" s="286">
        <f t="shared" si="9"/>
        <v>26.105433333333366</v>
      </c>
      <c r="AH11" s="516" t="s">
        <v>336</v>
      </c>
      <c r="AI11" s="517"/>
      <c r="AJ11" s="517"/>
      <c r="AK11" s="518"/>
      <c r="AL11" s="353">
        <f>Cockpit!N18</f>
        <v>0.04</v>
      </c>
    </row>
    <row r="12" spans="2:38" ht="13.5" thickBot="1">
      <c r="B12" s="322">
        <f>B13+$B$7</f>
        <v>130000</v>
      </c>
      <c r="C12" s="50">
        <f t="shared" si="0"/>
        <v>0.8</v>
      </c>
      <c r="D12" s="51">
        <f t="shared" si="10"/>
        <v>104000</v>
      </c>
      <c r="E12" s="52">
        <f t="shared" si="1"/>
        <v>0.04</v>
      </c>
      <c r="F12" s="52">
        <f t="shared" si="2"/>
        <v>1.7999999999999999E-2</v>
      </c>
      <c r="G12" s="51">
        <f t="shared" si="3"/>
        <v>719.95</v>
      </c>
      <c r="H12" s="51">
        <f>G12+Cockpit!$K$9</f>
        <v>823.68000000000006</v>
      </c>
      <c r="I12" s="51">
        <f>-Cockpit!$K$12-Cockpit!$H$25*(Szenarien!G12-Szenarien!$AL$13)</f>
        <v>-208.73206666666664</v>
      </c>
      <c r="J12" s="51">
        <f>Cockpit!$Q$21-E12*(D12-$D13)/12</f>
        <v>-346.66666666666663</v>
      </c>
      <c r="K12" s="51">
        <f>Cockpit!$Q$22-F12*(D12-$D13)/12</f>
        <v>-155.99999999999997</v>
      </c>
      <c r="L12" s="51">
        <f t="shared" si="11"/>
        <v>112.28126666666677</v>
      </c>
      <c r="M12" s="51">
        <f>Cockpit!$Q$29</f>
        <v>-148.72999999999999</v>
      </c>
      <c r="N12" s="51">
        <f>Cockpit!$Q$31-Cockpit!$H$20*Cockpit!$H$21*(1+Cockpit!$D$22)*(B12-$B13)/12</f>
        <v>-107.0025</v>
      </c>
      <c r="O12" s="51">
        <f>(H12+J12+M12+N12)*Cockpit!$Q$33</f>
        <v>88.512333333333373</v>
      </c>
      <c r="P12" s="323">
        <f t="shared" si="4"/>
        <v>23.768933333333393</v>
      </c>
      <c r="Q12" s="53"/>
      <c r="R12" s="334">
        <f t="shared" si="5"/>
        <v>125000</v>
      </c>
      <c r="S12" s="50">
        <f t="shared" si="6"/>
        <v>0.8</v>
      </c>
      <c r="T12" s="51">
        <f t="shared" si="12"/>
        <v>100000</v>
      </c>
      <c r="U12" s="130">
        <f>U13+$U$7</f>
        <v>4.1000000000000002E-2</v>
      </c>
      <c r="V12" s="52">
        <f t="shared" si="7"/>
        <v>1.7999999999999999E-2</v>
      </c>
      <c r="W12" s="51">
        <f t="shared" si="8"/>
        <v>719.95</v>
      </c>
      <c r="X12" s="51">
        <f>W12+Cockpit!$K$9</f>
        <v>823.68000000000006</v>
      </c>
      <c r="Y12" s="51">
        <f>-Cockpit!$K$12-Cockpit!$H$25*(Szenarien!W12-Szenarien!$AL$13)</f>
        <v>-208.73206666666664</v>
      </c>
      <c r="Z12" s="51">
        <f>Cockpit!$Q$21-U12*(T12-$T$13)/12-(U12-$U$13)*$T$13/12</f>
        <v>-341.66666666666663</v>
      </c>
      <c r="AA12" s="51">
        <f>Cockpit!$Q$22-V12*(T12-$T$13)/12-(V12-$V$13)*$T$13/12</f>
        <v>-149.99999999999997</v>
      </c>
      <c r="AB12" s="51">
        <f t="shared" si="13"/>
        <v>123.28126666666677</v>
      </c>
      <c r="AC12" s="51">
        <f>Cockpit!$Q$29</f>
        <v>-148.72999999999999</v>
      </c>
      <c r="AD12" s="51">
        <f>Cockpit!$Q$31-Cockpit!$H$20*Cockpit!$H$21*(1+Cockpit!$D$22)*(R12-$R13)/12</f>
        <v>-102.84375</v>
      </c>
      <c r="AE12" s="51">
        <f>(X12+Z12+AC12+AD12)*Cockpit!$Q$33</f>
        <v>92.175833333333372</v>
      </c>
      <c r="AF12" s="323">
        <f t="shared" si="9"/>
        <v>31.105433333333394</v>
      </c>
      <c r="AH12" s="516" t="s">
        <v>337</v>
      </c>
      <c r="AI12" s="517"/>
      <c r="AJ12" s="517"/>
      <c r="AK12" s="518"/>
      <c r="AL12" s="353">
        <f>Cockpit!N19</f>
        <v>1.7999999999999999E-2</v>
      </c>
    </row>
    <row r="13" spans="2:38" ht="13.5" thickBot="1">
      <c r="B13" s="342">
        <f>$AL$9</f>
        <v>125000</v>
      </c>
      <c r="C13" s="343">
        <f t="shared" si="0"/>
        <v>0.8</v>
      </c>
      <c r="D13" s="344">
        <f t="shared" si="10"/>
        <v>100000</v>
      </c>
      <c r="E13" s="345">
        <f t="shared" si="1"/>
        <v>0.04</v>
      </c>
      <c r="F13" s="345">
        <f t="shared" si="2"/>
        <v>1.7999999999999999E-2</v>
      </c>
      <c r="G13" s="344">
        <f t="shared" si="3"/>
        <v>719.95</v>
      </c>
      <c r="H13" s="344">
        <f>G13+Cockpit!$K$9</f>
        <v>823.68000000000006</v>
      </c>
      <c r="I13" s="344">
        <f>-Cockpit!$K$12-Cockpit!$H$25*(Szenarien!G13-Szenarien!$AL$13)</f>
        <v>-208.73206666666664</v>
      </c>
      <c r="J13" s="344">
        <f>Cockpit!$Q$21-E13*(D13-$D13)/12</f>
        <v>-333.33333333333331</v>
      </c>
      <c r="K13" s="344">
        <f>Cockpit!$Q$22-F13*(D13-$D13)/12</f>
        <v>-149.99999999999997</v>
      </c>
      <c r="L13" s="344">
        <f t="shared" si="11"/>
        <v>131.61460000000008</v>
      </c>
      <c r="M13" s="344">
        <f>Cockpit!$Q$29</f>
        <v>-148.72999999999999</v>
      </c>
      <c r="N13" s="344">
        <f>Cockpit!$Q$31-Cockpit!$H$20*Cockpit!$H$21*(1+Cockpit!$D$22)*(B13-$B13)/12</f>
        <v>-102.84375</v>
      </c>
      <c r="O13" s="344">
        <f>(H13+J13+M13+N13)*Cockpit!$Q$33</f>
        <v>95.509166666666715</v>
      </c>
      <c r="P13" s="346">
        <f>L13-O13</f>
        <v>36.105433333333366</v>
      </c>
      <c r="R13" s="347">
        <f t="shared" si="5"/>
        <v>125000</v>
      </c>
      <c r="S13" s="343">
        <f t="shared" si="6"/>
        <v>0.8</v>
      </c>
      <c r="T13" s="344">
        <f t="shared" si="12"/>
        <v>100000</v>
      </c>
      <c r="U13" s="348">
        <f>$AL$11</f>
        <v>0.04</v>
      </c>
      <c r="V13" s="345">
        <f t="shared" si="7"/>
        <v>1.7999999999999999E-2</v>
      </c>
      <c r="W13" s="344">
        <f t="shared" si="8"/>
        <v>719.95</v>
      </c>
      <c r="X13" s="344">
        <f>W13+Cockpit!$K$9</f>
        <v>823.68000000000006</v>
      </c>
      <c r="Y13" s="344">
        <f>-Cockpit!$K$12-Cockpit!$H$25*(Szenarien!W13-Szenarien!$AL$13)</f>
        <v>-208.73206666666664</v>
      </c>
      <c r="Z13" s="344">
        <f>Cockpit!$Q$21-U13*(T13-$T$13)/12-(U13-$U$13)*$T$13/12</f>
        <v>-333.33333333333331</v>
      </c>
      <c r="AA13" s="344">
        <f>Cockpit!$Q$22-V13*(T13-$T$13)/12-(V13-$V$13)*$T$13/12</f>
        <v>-149.99999999999997</v>
      </c>
      <c r="AB13" s="344">
        <f t="shared" si="13"/>
        <v>131.61460000000008</v>
      </c>
      <c r="AC13" s="344">
        <f>Cockpit!$Q$29</f>
        <v>-148.72999999999999</v>
      </c>
      <c r="AD13" s="344">
        <f>Cockpit!$Q$31-Cockpit!$H$20*Cockpit!$H$21*(1+Cockpit!$D$22)*(R13-$R13)/12</f>
        <v>-102.84375</v>
      </c>
      <c r="AE13" s="344">
        <f>(X13+Z13+AC13+AD13)*Cockpit!$Q$33</f>
        <v>95.509166666666715</v>
      </c>
      <c r="AF13" s="346">
        <f>AB13-AE13</f>
        <v>36.105433333333366</v>
      </c>
      <c r="AH13" s="504" t="s">
        <v>78</v>
      </c>
      <c r="AI13" s="505"/>
      <c r="AJ13" s="505"/>
      <c r="AK13" s="506"/>
      <c r="AL13" s="354">
        <f>Cockpit!H15</f>
        <v>719.95</v>
      </c>
    </row>
    <row r="14" spans="2:38">
      <c r="B14" s="324">
        <f>B13-$B$7</f>
        <v>120000</v>
      </c>
      <c r="C14" s="54">
        <f t="shared" si="0"/>
        <v>0.8</v>
      </c>
      <c r="D14" s="55">
        <f t="shared" si="10"/>
        <v>96000</v>
      </c>
      <c r="E14" s="56">
        <f t="shared" si="1"/>
        <v>0.04</v>
      </c>
      <c r="F14" s="56">
        <f t="shared" si="2"/>
        <v>1.7999999999999999E-2</v>
      </c>
      <c r="G14" s="55">
        <f t="shared" si="3"/>
        <v>719.95</v>
      </c>
      <c r="H14" s="55">
        <f>G14+Cockpit!$K$9</f>
        <v>823.68000000000006</v>
      </c>
      <c r="I14" s="55">
        <f>-Cockpit!$K$12-Cockpit!$H$25*(Szenarien!G14-Szenarien!$AL$13)</f>
        <v>-208.73206666666664</v>
      </c>
      <c r="J14" s="55">
        <f>Cockpit!$Q$21-E14*(D14-$D13)/12</f>
        <v>-320</v>
      </c>
      <c r="K14" s="55">
        <f>Cockpit!$Q$22-F14*(D14-$D13)/12</f>
        <v>-143.99999999999997</v>
      </c>
      <c r="L14" s="55">
        <f t="shared" si="11"/>
        <v>150.9479333333334</v>
      </c>
      <c r="M14" s="55">
        <f>Cockpit!$Q$29</f>
        <v>-148.72999999999999</v>
      </c>
      <c r="N14" s="55">
        <f>Cockpit!$Q$31-Cockpit!$H$20*Cockpit!$H$21*(1+Cockpit!$D$22)*(B14-$B13)/12</f>
        <v>-98.685000000000002</v>
      </c>
      <c r="O14" s="55">
        <f>(H14+J14+M14+N14)*Cockpit!$Q$33</f>
        <v>102.50600000000003</v>
      </c>
      <c r="P14" s="325">
        <f t="shared" ref="P14:P17" si="14">L14-O14</f>
        <v>48.441933333333367</v>
      </c>
      <c r="R14" s="335">
        <f t="shared" si="5"/>
        <v>125000</v>
      </c>
      <c r="S14" s="54">
        <f t="shared" si="6"/>
        <v>0.8</v>
      </c>
      <c r="T14" s="55">
        <f t="shared" si="12"/>
        <v>100000</v>
      </c>
      <c r="U14" s="131">
        <f>U13-$U$7</f>
        <v>3.9E-2</v>
      </c>
      <c r="V14" s="56">
        <f t="shared" si="7"/>
        <v>1.7999999999999999E-2</v>
      </c>
      <c r="W14" s="55">
        <f t="shared" si="8"/>
        <v>719.95</v>
      </c>
      <c r="X14" s="55">
        <f>W14+Cockpit!$K$9</f>
        <v>823.68000000000006</v>
      </c>
      <c r="Y14" s="55">
        <f>-Cockpit!$K$12-Cockpit!$H$25*(Szenarien!W14-Szenarien!$AL$13)</f>
        <v>-208.73206666666664</v>
      </c>
      <c r="Z14" s="55">
        <f>Cockpit!$Q$21-U14*(T14-$T$13)/12-(U14-$U$13)*$T$13/12</f>
        <v>-325</v>
      </c>
      <c r="AA14" s="55">
        <f>Cockpit!$Q$22-V14*(T14-$T$13)/12-(V14-$V$13)*$T$13/12</f>
        <v>-149.99999999999997</v>
      </c>
      <c r="AB14" s="55">
        <f t="shared" si="13"/>
        <v>139.9479333333334</v>
      </c>
      <c r="AC14" s="55">
        <f>Cockpit!$Q$29</f>
        <v>-148.72999999999999</v>
      </c>
      <c r="AD14" s="55">
        <f>Cockpit!$Q$31-Cockpit!$H$20*Cockpit!$H$21*(1+Cockpit!$D$22)*(R14-$R13)/12</f>
        <v>-102.84375</v>
      </c>
      <c r="AE14" s="55">
        <f>(X14+Z14+AC14+AD14)*Cockpit!$Q$33</f>
        <v>98.84250000000003</v>
      </c>
      <c r="AF14" s="325">
        <f t="shared" ref="AF14:AF17" si="15">AB14-AE14</f>
        <v>41.105433333333366</v>
      </c>
    </row>
    <row r="15" spans="2:38">
      <c r="B15" s="321">
        <f>B14-$B$7</f>
        <v>115000</v>
      </c>
      <c r="C15" s="47">
        <f t="shared" si="0"/>
        <v>0.8</v>
      </c>
      <c r="D15" s="48">
        <f t="shared" si="10"/>
        <v>92000</v>
      </c>
      <c r="E15" s="49">
        <f t="shared" si="1"/>
        <v>0.04</v>
      </c>
      <c r="F15" s="49">
        <f t="shared" si="2"/>
        <v>1.7999999999999999E-2</v>
      </c>
      <c r="G15" s="48">
        <f t="shared" si="3"/>
        <v>719.95</v>
      </c>
      <c r="H15" s="48">
        <f>G15+Cockpit!$K$9</f>
        <v>823.68000000000006</v>
      </c>
      <c r="I15" s="48">
        <f>-Cockpit!$K$12-Cockpit!$H$25*(Szenarien!G15-Szenarien!$AL$13)</f>
        <v>-208.73206666666664</v>
      </c>
      <c r="J15" s="48">
        <f>Cockpit!$Q$21-E15*(D15-$D13)/12</f>
        <v>-306.66666666666663</v>
      </c>
      <c r="K15" s="48">
        <f>Cockpit!$Q$22-F15*(D15-$D13)/12</f>
        <v>-137.99999999999997</v>
      </c>
      <c r="L15" s="48">
        <f t="shared" si="11"/>
        <v>170.28126666666677</v>
      </c>
      <c r="M15" s="48">
        <f>Cockpit!$Q$29</f>
        <v>-148.72999999999999</v>
      </c>
      <c r="N15" s="48">
        <f>Cockpit!$Q$31-Cockpit!$H$20*Cockpit!$H$21*(1+Cockpit!$D$22)*(B15-$B13)/12</f>
        <v>-94.526250000000005</v>
      </c>
      <c r="O15" s="48">
        <f>(H15+J15+M15+N15)*Cockpit!$Q$33</f>
        <v>109.50283333333337</v>
      </c>
      <c r="P15" s="286">
        <f t="shared" si="14"/>
        <v>60.778433333333396</v>
      </c>
      <c r="R15" s="333">
        <f t="shared" si="5"/>
        <v>125000</v>
      </c>
      <c r="S15" s="47">
        <f t="shared" si="6"/>
        <v>0.8</v>
      </c>
      <c r="T15" s="48">
        <f t="shared" si="12"/>
        <v>100000</v>
      </c>
      <c r="U15" s="129">
        <f>U14-$U$7</f>
        <v>3.7999999999999999E-2</v>
      </c>
      <c r="V15" s="49">
        <f t="shared" si="7"/>
        <v>1.7999999999999999E-2</v>
      </c>
      <c r="W15" s="48">
        <f t="shared" si="8"/>
        <v>719.95</v>
      </c>
      <c r="X15" s="48">
        <f>W15+Cockpit!$K$9</f>
        <v>823.68000000000006</v>
      </c>
      <c r="Y15" s="48">
        <f>-Cockpit!$K$12-Cockpit!$H$25*(Szenarien!W15-Szenarien!$AL$13)</f>
        <v>-208.73206666666664</v>
      </c>
      <c r="Z15" s="48">
        <f>Cockpit!$Q$21-U15*(T15-$T$13)/12-(U15-$U$13)*$T$13/12</f>
        <v>-316.66666666666663</v>
      </c>
      <c r="AA15" s="48">
        <f>Cockpit!$Q$22-V15*(T15-$T$13)/12-(V15-$V$13)*$T$13/12</f>
        <v>-149.99999999999997</v>
      </c>
      <c r="AB15" s="48">
        <f t="shared" si="13"/>
        <v>148.28126666666677</v>
      </c>
      <c r="AC15" s="48">
        <f>Cockpit!$Q$29</f>
        <v>-148.72999999999999</v>
      </c>
      <c r="AD15" s="48">
        <f>Cockpit!$Q$31-Cockpit!$H$20*Cockpit!$H$21*(1+Cockpit!$D$22)*(R15-$R13)/12</f>
        <v>-102.84375</v>
      </c>
      <c r="AE15" s="48">
        <f>(X15+Z15+AC15+AD15)*Cockpit!$Q$33</f>
        <v>102.17583333333337</v>
      </c>
      <c r="AF15" s="286">
        <f t="shared" si="15"/>
        <v>46.105433333333394</v>
      </c>
    </row>
    <row r="16" spans="2:38">
      <c r="B16" s="321">
        <f>B15-$B$7</f>
        <v>110000</v>
      </c>
      <c r="C16" s="47">
        <f t="shared" si="0"/>
        <v>0.8</v>
      </c>
      <c r="D16" s="48">
        <f t="shared" si="10"/>
        <v>88000</v>
      </c>
      <c r="E16" s="49">
        <f t="shared" si="1"/>
        <v>0.04</v>
      </c>
      <c r="F16" s="49">
        <f t="shared" si="2"/>
        <v>1.7999999999999999E-2</v>
      </c>
      <c r="G16" s="48">
        <f t="shared" si="3"/>
        <v>719.95</v>
      </c>
      <c r="H16" s="48">
        <f>G16+Cockpit!$K$9</f>
        <v>823.68000000000006</v>
      </c>
      <c r="I16" s="48">
        <f>-Cockpit!$K$12-Cockpit!$H$25*(Szenarien!G16-Szenarien!$AL$13)</f>
        <v>-208.73206666666664</v>
      </c>
      <c r="J16" s="48">
        <f>Cockpit!$Q$21-E16*(D16-$D13)/12</f>
        <v>-293.33333333333331</v>
      </c>
      <c r="K16" s="48">
        <f>Cockpit!$Q$22-F16*(D16-$D13)/12</f>
        <v>-131.99999999999997</v>
      </c>
      <c r="L16" s="48">
        <f t="shared" si="11"/>
        <v>189.61460000000008</v>
      </c>
      <c r="M16" s="48">
        <f>Cockpit!$Q$29</f>
        <v>-148.72999999999999</v>
      </c>
      <c r="N16" s="48">
        <f>Cockpit!$Q$31-Cockpit!$H$20*Cockpit!$H$21*(1+Cockpit!$D$22)*(B16-$B13)/12</f>
        <v>-90.367500000000007</v>
      </c>
      <c r="O16" s="48">
        <f>(H16+J16+M16+N16)*Cockpit!$Q$33</f>
        <v>116.49966666666671</v>
      </c>
      <c r="P16" s="286">
        <f t="shared" si="14"/>
        <v>73.114933333333369</v>
      </c>
      <c r="R16" s="333">
        <f t="shared" si="5"/>
        <v>125000</v>
      </c>
      <c r="S16" s="47">
        <f t="shared" si="6"/>
        <v>0.8</v>
      </c>
      <c r="T16" s="48">
        <f t="shared" si="12"/>
        <v>100000</v>
      </c>
      <c r="U16" s="129">
        <f>U15-$U$7</f>
        <v>3.6999999999999998E-2</v>
      </c>
      <c r="V16" s="49">
        <f t="shared" si="7"/>
        <v>1.7999999999999999E-2</v>
      </c>
      <c r="W16" s="48">
        <f t="shared" si="8"/>
        <v>719.95</v>
      </c>
      <c r="X16" s="48">
        <f>W16+Cockpit!$K$9</f>
        <v>823.68000000000006</v>
      </c>
      <c r="Y16" s="48">
        <f>-Cockpit!$K$12-Cockpit!$H$25*(Szenarien!W16-Szenarien!$AL$13)</f>
        <v>-208.73206666666664</v>
      </c>
      <c r="Z16" s="48">
        <f>Cockpit!$Q$21-U16*(T16-$T$13)/12-(U16-$U$13)*$T$13/12</f>
        <v>-308.33333333333331</v>
      </c>
      <c r="AA16" s="48">
        <f>Cockpit!$Q$22-V16*(T16-$T$13)/12-(V16-$V$13)*$T$13/12</f>
        <v>-149.99999999999997</v>
      </c>
      <c r="AB16" s="48">
        <f t="shared" si="13"/>
        <v>156.61460000000008</v>
      </c>
      <c r="AC16" s="48">
        <f>Cockpit!$Q$29</f>
        <v>-148.72999999999999</v>
      </c>
      <c r="AD16" s="48">
        <f>Cockpit!$Q$31-Cockpit!$H$20*Cockpit!$H$21*(1+Cockpit!$D$22)*(R16-$R13)/12</f>
        <v>-102.84375</v>
      </c>
      <c r="AE16" s="48">
        <f>(X16+Z16+AC16+AD16)*Cockpit!$Q$33</f>
        <v>105.50916666666672</v>
      </c>
      <c r="AF16" s="286">
        <f t="shared" si="15"/>
        <v>51.105433333333366</v>
      </c>
    </row>
    <row r="17" spans="2:48" ht="13.5" thickBot="1">
      <c r="B17" s="326">
        <f>B16-$B$7</f>
        <v>105000</v>
      </c>
      <c r="C17" s="327">
        <f t="shared" si="0"/>
        <v>0.8</v>
      </c>
      <c r="D17" s="328">
        <f t="shared" si="10"/>
        <v>84000</v>
      </c>
      <c r="E17" s="329">
        <f t="shared" si="1"/>
        <v>0.04</v>
      </c>
      <c r="F17" s="329">
        <f t="shared" si="2"/>
        <v>1.7999999999999999E-2</v>
      </c>
      <c r="G17" s="328">
        <f t="shared" si="3"/>
        <v>719.95</v>
      </c>
      <c r="H17" s="328">
        <f>G17+Cockpit!$K$9</f>
        <v>823.68000000000006</v>
      </c>
      <c r="I17" s="328">
        <f>-Cockpit!$K$12-Cockpit!$H$25*(Szenarien!G17-Szenarien!$AL$13)</f>
        <v>-208.73206666666664</v>
      </c>
      <c r="J17" s="328">
        <f>Cockpit!$Q$21-E17*(D17-$D13)/12</f>
        <v>-280</v>
      </c>
      <c r="K17" s="328">
        <f>Cockpit!$Q$22-F17*(D17-$D13)/12</f>
        <v>-125.99999999999997</v>
      </c>
      <c r="L17" s="328">
        <f t="shared" si="11"/>
        <v>208.9479333333334</v>
      </c>
      <c r="M17" s="328">
        <f>Cockpit!$Q$29</f>
        <v>-148.72999999999999</v>
      </c>
      <c r="N17" s="328">
        <f>Cockpit!$Q$31-Cockpit!$H$20*Cockpit!$H$21*(1+Cockpit!$D$22)*(B17-$B13)/12</f>
        <v>-86.208750000000009</v>
      </c>
      <c r="O17" s="328">
        <f>(H17+J17+M17+N17)*Cockpit!$Q$33</f>
        <v>123.49650000000003</v>
      </c>
      <c r="P17" s="288">
        <f t="shared" si="14"/>
        <v>85.45143333333337</v>
      </c>
      <c r="R17" s="336">
        <f t="shared" si="5"/>
        <v>125000</v>
      </c>
      <c r="S17" s="327">
        <f t="shared" si="6"/>
        <v>0.8</v>
      </c>
      <c r="T17" s="328">
        <f t="shared" si="12"/>
        <v>100000</v>
      </c>
      <c r="U17" s="339">
        <f>U16-$U$7</f>
        <v>3.5999999999999997E-2</v>
      </c>
      <c r="V17" s="329">
        <f t="shared" si="7"/>
        <v>1.7999999999999999E-2</v>
      </c>
      <c r="W17" s="328">
        <f t="shared" si="8"/>
        <v>719.95</v>
      </c>
      <c r="X17" s="328">
        <f>W17+Cockpit!$K$9</f>
        <v>823.68000000000006</v>
      </c>
      <c r="Y17" s="328">
        <f>-Cockpit!$K$12-Cockpit!$H$25*(Szenarien!W17-Szenarien!$AL$13)</f>
        <v>-208.73206666666664</v>
      </c>
      <c r="Z17" s="328">
        <f>Cockpit!$Q$21-U17*(T17-$T$13)/12-(U17-$U$13)*$T$13/12</f>
        <v>-299.99999999999994</v>
      </c>
      <c r="AA17" s="328">
        <f>Cockpit!$Q$22-V17*(T17-$T$13)/12-(V17-$V$13)*$T$13/12</f>
        <v>-149.99999999999997</v>
      </c>
      <c r="AB17" s="328">
        <f t="shared" si="13"/>
        <v>164.94793333333345</v>
      </c>
      <c r="AC17" s="328">
        <f>Cockpit!$Q$29</f>
        <v>-148.72999999999999</v>
      </c>
      <c r="AD17" s="328">
        <f>Cockpit!$Q$31-Cockpit!$H$20*Cockpit!$H$21*(1+Cockpit!$D$22)*(R17-$R13)/12</f>
        <v>-102.84375</v>
      </c>
      <c r="AE17" s="328">
        <f>(X17+Z17+AC17+AD17)*Cockpit!$Q$33</f>
        <v>108.84250000000003</v>
      </c>
      <c r="AF17" s="288">
        <f t="shared" si="15"/>
        <v>56.105433333333423</v>
      </c>
    </row>
    <row r="20" spans="2:48" ht="13.5" thickBot="1">
      <c r="B20" s="57"/>
      <c r="C20" s="57" t="s">
        <v>277</v>
      </c>
      <c r="R20" s="57"/>
      <c r="S20" s="57"/>
      <c r="U20" s="57"/>
      <c r="V20" s="57" t="s">
        <v>277</v>
      </c>
      <c r="AH20" s="57"/>
      <c r="AI20" s="57"/>
      <c r="AK20" s="57"/>
      <c r="AL20" s="57"/>
      <c r="AM20" s="57" t="s">
        <v>277</v>
      </c>
    </row>
    <row r="21" spans="2:48" ht="12.75" customHeight="1" thickBot="1">
      <c r="B21" s="507" t="s">
        <v>1</v>
      </c>
      <c r="C21" s="357">
        <v>0.05</v>
      </c>
      <c r="D21" s="530" t="s">
        <v>285</v>
      </c>
      <c r="E21" s="519" t="s">
        <v>363</v>
      </c>
      <c r="F21" s="519" t="s">
        <v>364</v>
      </c>
      <c r="G21" s="519" t="s">
        <v>276</v>
      </c>
      <c r="H21" s="519" t="s">
        <v>471</v>
      </c>
      <c r="I21" s="519" t="s">
        <v>79</v>
      </c>
      <c r="J21" s="519" t="s">
        <v>43</v>
      </c>
      <c r="K21" s="519" t="s">
        <v>44</v>
      </c>
      <c r="L21" s="519" t="s">
        <v>280</v>
      </c>
      <c r="M21" s="519" t="s">
        <v>282</v>
      </c>
      <c r="N21" s="519" t="s">
        <v>281</v>
      </c>
      <c r="O21" s="519" t="s">
        <v>101</v>
      </c>
      <c r="P21" s="522" t="s">
        <v>279</v>
      </c>
      <c r="R21" s="524" t="s">
        <v>1</v>
      </c>
      <c r="S21" s="519" t="s">
        <v>362</v>
      </c>
      <c r="T21" s="519" t="s">
        <v>285</v>
      </c>
      <c r="U21" s="521" t="s">
        <v>363</v>
      </c>
      <c r="V21" s="356">
        <v>5.0000000000000001E-3</v>
      </c>
      <c r="W21" s="528" t="s">
        <v>276</v>
      </c>
      <c r="X21" s="526" t="s">
        <v>471</v>
      </c>
      <c r="Y21" s="526" t="s">
        <v>79</v>
      </c>
      <c r="Z21" s="526" t="s">
        <v>43</v>
      </c>
      <c r="AA21" s="526" t="s">
        <v>44</v>
      </c>
      <c r="AB21" s="526" t="s">
        <v>280</v>
      </c>
      <c r="AC21" s="526" t="s">
        <v>282</v>
      </c>
      <c r="AD21" s="526" t="s">
        <v>281</v>
      </c>
      <c r="AE21" s="526" t="s">
        <v>101</v>
      </c>
      <c r="AF21" s="522" t="s">
        <v>279</v>
      </c>
      <c r="AH21" s="524" t="s">
        <v>1</v>
      </c>
      <c r="AI21" s="519" t="s">
        <v>362</v>
      </c>
      <c r="AJ21" s="519" t="s">
        <v>285</v>
      </c>
      <c r="AK21" s="519" t="s">
        <v>363</v>
      </c>
      <c r="AL21" s="521" t="s">
        <v>364</v>
      </c>
      <c r="AM21" s="358">
        <v>20</v>
      </c>
      <c r="AN21" s="530" t="s">
        <v>471</v>
      </c>
      <c r="AO21" s="526" t="s">
        <v>79</v>
      </c>
      <c r="AP21" s="526" t="s">
        <v>43</v>
      </c>
      <c r="AQ21" s="526" t="s">
        <v>44</v>
      </c>
      <c r="AR21" s="526" t="s">
        <v>280</v>
      </c>
      <c r="AS21" s="526" t="s">
        <v>282</v>
      </c>
      <c r="AT21" s="526" t="s">
        <v>281</v>
      </c>
      <c r="AU21" s="526" t="s">
        <v>101</v>
      </c>
      <c r="AV21" s="522" t="s">
        <v>279</v>
      </c>
    </row>
    <row r="22" spans="2:48" ht="15.75" customHeight="1" thickBot="1">
      <c r="B22" s="525"/>
      <c r="C22" s="315" t="s">
        <v>278</v>
      </c>
      <c r="D22" s="527"/>
      <c r="E22" s="520"/>
      <c r="F22" s="520"/>
      <c r="G22" s="520"/>
      <c r="H22" s="520"/>
      <c r="I22" s="520"/>
      <c r="J22" s="520"/>
      <c r="K22" s="520"/>
      <c r="L22" s="520"/>
      <c r="M22" s="520"/>
      <c r="N22" s="520"/>
      <c r="O22" s="520"/>
      <c r="P22" s="523"/>
      <c r="R22" s="525"/>
      <c r="S22" s="520"/>
      <c r="T22" s="520"/>
      <c r="U22" s="520"/>
      <c r="V22" s="315" t="s">
        <v>44</v>
      </c>
      <c r="W22" s="520"/>
      <c r="X22" s="527"/>
      <c r="Y22" s="527"/>
      <c r="Z22" s="527"/>
      <c r="AA22" s="527"/>
      <c r="AB22" s="527"/>
      <c r="AC22" s="527"/>
      <c r="AD22" s="527"/>
      <c r="AE22" s="527"/>
      <c r="AF22" s="523"/>
      <c r="AH22" s="525"/>
      <c r="AI22" s="520"/>
      <c r="AJ22" s="520"/>
      <c r="AK22" s="520"/>
      <c r="AL22" s="520"/>
      <c r="AM22" s="315" t="s">
        <v>276</v>
      </c>
      <c r="AN22" s="527"/>
      <c r="AO22" s="527"/>
      <c r="AP22" s="527"/>
      <c r="AQ22" s="527"/>
      <c r="AR22" s="527"/>
      <c r="AS22" s="527"/>
      <c r="AT22" s="527"/>
      <c r="AU22" s="527"/>
      <c r="AV22" s="523"/>
    </row>
    <row r="23" spans="2:48">
      <c r="B23" s="330">
        <f t="shared" ref="B23:B31" si="16">$AL$9</f>
        <v>125000</v>
      </c>
      <c r="C23" s="331">
        <f>C24+$C$21</f>
        <v>1.0000000000000002</v>
      </c>
      <c r="D23" s="332">
        <f t="shared" ref="D23:D31" si="17">C23*B23</f>
        <v>125000.00000000003</v>
      </c>
      <c r="E23" s="319">
        <f t="shared" ref="E23:E31" si="18">$AL$11</f>
        <v>0.04</v>
      </c>
      <c r="F23" s="319">
        <f t="shared" ref="F23:F31" si="19">$AL$12</f>
        <v>1.7999999999999999E-2</v>
      </c>
      <c r="G23" s="318">
        <f t="shared" ref="G23:G31" si="20">$AL$13</f>
        <v>719.95</v>
      </c>
      <c r="H23" s="318">
        <f>G23+Cockpit!$K$9</f>
        <v>823.68000000000006</v>
      </c>
      <c r="I23" s="318">
        <f>-Cockpit!$K$12-Cockpit!$H$25*(Szenarien!G23-Szenarien!$AL$13)</f>
        <v>-208.73206666666664</v>
      </c>
      <c r="J23" s="318">
        <f>Cockpit!$Q$21-E23*(D23-$D27)/12</f>
        <v>-416.66666666666674</v>
      </c>
      <c r="K23" s="318">
        <f>Cockpit!$Q$22-F23*(D23-$D27)/12</f>
        <v>-187.5</v>
      </c>
      <c r="L23" s="318">
        <f>H23+I23+J23+K23</f>
        <v>10.781266666666625</v>
      </c>
      <c r="M23" s="318">
        <f>Cockpit!$Q$29</f>
        <v>-148.72999999999999</v>
      </c>
      <c r="N23" s="318">
        <f>Cockpit!$Q$31-Cockpit!$H$20*Cockpit!$H$21*(1+Cockpit!$D$22)*(B23-$B27)/12</f>
        <v>-102.84375</v>
      </c>
      <c r="O23" s="318">
        <f>(H23+J23+M23+N23)*Cockpit!$Q$33</f>
        <v>62.175833333333323</v>
      </c>
      <c r="P23" s="320">
        <f t="shared" ref="P23:P26" si="21">L23-O23</f>
        <v>-51.394566666666698</v>
      </c>
      <c r="R23" s="330">
        <f t="shared" ref="R23:R31" si="22">$AL$9</f>
        <v>125000</v>
      </c>
      <c r="S23" s="317">
        <f t="shared" ref="S23:S31" si="23">$AL$10</f>
        <v>0.8</v>
      </c>
      <c r="T23" s="318">
        <f>R23*S23</f>
        <v>100000</v>
      </c>
      <c r="U23" s="319">
        <f t="shared" ref="U23:U31" si="24">$AL$11</f>
        <v>0.04</v>
      </c>
      <c r="V23" s="338">
        <f>V24+$V$21</f>
        <v>3.7999999999999999E-2</v>
      </c>
      <c r="W23" s="318">
        <f t="shared" ref="W23:W31" si="25">$AL$13</f>
        <v>719.95</v>
      </c>
      <c r="X23" s="318">
        <f>W23+Cockpit!$K$9</f>
        <v>823.68000000000006</v>
      </c>
      <c r="Y23" s="318">
        <f>-Cockpit!$K$12-Cockpit!$H$25*(Szenarien!W23-Szenarien!$AL$13)</f>
        <v>-208.73206666666664</v>
      </c>
      <c r="Z23" s="318">
        <f>Cockpit!$Q$21-U23*(T23-$T$13)/12-(U23-$U$13)*$T$13/12</f>
        <v>-333.33333333333331</v>
      </c>
      <c r="AA23" s="318">
        <f>Cockpit!$Q$22-V23*(T23-$T$13)/12-(V23-$V$13)*$T$13/12</f>
        <v>-316.66666666666663</v>
      </c>
      <c r="AB23" s="318">
        <f>X23+Y23+Z23+AA23</f>
        <v>-35.052066666666576</v>
      </c>
      <c r="AC23" s="318">
        <f>Cockpit!$Q$29</f>
        <v>-148.72999999999999</v>
      </c>
      <c r="AD23" s="318">
        <f>Cockpit!$Q$31-Cockpit!$H$20*Cockpit!$H$21*(1+Cockpit!$D$22)*(R23-$R27)/12</f>
        <v>-102.84375</v>
      </c>
      <c r="AE23" s="318">
        <f>(X23+Z23+AC23+AD23)*Cockpit!$Q$33</f>
        <v>95.509166666666715</v>
      </c>
      <c r="AF23" s="320">
        <f t="shared" ref="AF23:AF26" si="26">AB23-AE23</f>
        <v>-130.56123333333329</v>
      </c>
      <c r="AH23" s="330">
        <f t="shared" ref="AH23:AH31" si="27">$AL$9</f>
        <v>125000</v>
      </c>
      <c r="AI23" s="317">
        <f t="shared" ref="AI23:AI31" si="28">$AL$10</f>
        <v>0.8</v>
      </c>
      <c r="AJ23" s="318">
        <f>AH23*AI23</f>
        <v>100000</v>
      </c>
      <c r="AK23" s="319">
        <f t="shared" ref="AK23:AK31" si="29">$AL$11</f>
        <v>0.04</v>
      </c>
      <c r="AL23" s="319">
        <f t="shared" ref="AL23:AL31" si="30">$AL$12</f>
        <v>1.7999999999999999E-2</v>
      </c>
      <c r="AM23" s="340">
        <f>AM24+$AM$21</f>
        <v>799.95</v>
      </c>
      <c r="AN23" s="318">
        <f>AM23+Cockpit!$K$9</f>
        <v>903.68000000000006</v>
      </c>
      <c r="AO23" s="318">
        <f>-Cockpit!$K$12-Cockpit!$H$25*(Szenarien!AM23-Szenarien!$AL$13)</f>
        <v>-211.13206666666665</v>
      </c>
      <c r="AP23" s="318">
        <f>Cockpit!$Q$21-AK23*(AJ23-$T$13)/12-(AK23-$U$13)*$T$13/12</f>
        <v>-333.33333333333331</v>
      </c>
      <c r="AQ23" s="318">
        <f>Cockpit!$Q$22-AL23*(AJ23-$T$13)/12-(AL23-$V$13)*$T$13/12</f>
        <v>-149.99999999999997</v>
      </c>
      <c r="AR23" s="318">
        <f>AN23+AO23+AP23+AQ23</f>
        <v>209.2146000000001</v>
      </c>
      <c r="AS23" s="318">
        <f>Cockpit!$Q$29</f>
        <v>-148.72999999999999</v>
      </c>
      <c r="AT23" s="318">
        <f>Cockpit!$Q$31-Cockpit!$H$20*Cockpit!$H$21*(1+Cockpit!$D$22)*(AH23-$AH27)/12</f>
        <v>-102.84375</v>
      </c>
      <c r="AU23" s="318">
        <f>(AN23+AP23+AS23+AT23)*Cockpit!$Q$33</f>
        <v>127.50916666666672</v>
      </c>
      <c r="AV23" s="320">
        <f t="shared" ref="AV23:AV26" si="31">AR23-AU23</f>
        <v>81.705433333333389</v>
      </c>
    </row>
    <row r="24" spans="2:48">
      <c r="B24" s="333">
        <f t="shared" si="16"/>
        <v>125000</v>
      </c>
      <c r="C24" s="126">
        <f>C25+$C$21</f>
        <v>0.95000000000000018</v>
      </c>
      <c r="D24" s="51">
        <f t="shared" si="17"/>
        <v>118750.00000000003</v>
      </c>
      <c r="E24" s="49">
        <f t="shared" si="18"/>
        <v>0.04</v>
      </c>
      <c r="F24" s="49">
        <f t="shared" si="19"/>
        <v>1.7999999999999999E-2</v>
      </c>
      <c r="G24" s="48">
        <f t="shared" si="20"/>
        <v>719.95</v>
      </c>
      <c r="H24" s="48">
        <f>G24+Cockpit!$K$9</f>
        <v>823.68000000000006</v>
      </c>
      <c r="I24" s="48">
        <f>-Cockpit!$K$12-Cockpit!$H$25*(Szenarien!G24-Szenarien!$AL$13)</f>
        <v>-208.73206666666664</v>
      </c>
      <c r="J24" s="48">
        <f>Cockpit!$Q$21-E24*(D24-$D27)/12</f>
        <v>-395.83333333333343</v>
      </c>
      <c r="K24" s="48">
        <f>Cockpit!$Q$22-F24*(D24-$D27)/12</f>
        <v>-178.125</v>
      </c>
      <c r="L24" s="48">
        <f t="shared" ref="L24:L31" si="32">H24+I24+J24+K24</f>
        <v>40.989599999999939</v>
      </c>
      <c r="M24" s="48">
        <f>Cockpit!$Q$29</f>
        <v>-148.72999999999999</v>
      </c>
      <c r="N24" s="48">
        <f>Cockpit!$Q$31-Cockpit!$H$20*Cockpit!$H$21*(1+Cockpit!$D$22)*(B24-$B27)/12</f>
        <v>-102.84375</v>
      </c>
      <c r="O24" s="48">
        <f>(H24+J24+M24+N24)*Cockpit!$Q$33</f>
        <v>70.509166666666673</v>
      </c>
      <c r="P24" s="286">
        <f t="shared" si="21"/>
        <v>-29.519566666666734</v>
      </c>
      <c r="R24" s="333">
        <f t="shared" si="22"/>
        <v>125000</v>
      </c>
      <c r="S24" s="47">
        <f t="shared" si="23"/>
        <v>0.8</v>
      </c>
      <c r="T24" s="48">
        <f t="shared" ref="T24:T31" si="33">R24*S24</f>
        <v>100000</v>
      </c>
      <c r="U24" s="49">
        <f t="shared" si="24"/>
        <v>0.04</v>
      </c>
      <c r="V24" s="129">
        <f>V25+$V$21</f>
        <v>3.3000000000000002E-2</v>
      </c>
      <c r="W24" s="48">
        <f t="shared" si="25"/>
        <v>719.95</v>
      </c>
      <c r="X24" s="48">
        <f>W24+Cockpit!$K$9</f>
        <v>823.68000000000006</v>
      </c>
      <c r="Y24" s="48">
        <f>-Cockpit!$K$12-Cockpit!$H$25*(Szenarien!W24-Szenarien!$AL$13)</f>
        <v>-208.73206666666664</v>
      </c>
      <c r="Z24" s="48">
        <f>Cockpit!$Q$21-U24*(T24-$T$13)/12-(U24-$U$13)*$T$13/12</f>
        <v>-333.33333333333331</v>
      </c>
      <c r="AA24" s="48">
        <f>Cockpit!$Q$22-V24*(T24-$T$13)/12-(V24-$V$13)*$T$13/12</f>
        <v>-275</v>
      </c>
      <c r="AB24" s="48">
        <f t="shared" ref="AB24:AB31" si="34">X24+Y24+Z24+AA24</f>
        <v>6.6146000000000527</v>
      </c>
      <c r="AC24" s="48">
        <f>Cockpit!$Q$29</f>
        <v>-148.72999999999999</v>
      </c>
      <c r="AD24" s="48">
        <f>Cockpit!$Q$31-Cockpit!$H$20*Cockpit!$H$21*(1+Cockpit!$D$22)*(R24-$R27)/12</f>
        <v>-102.84375</v>
      </c>
      <c r="AE24" s="48">
        <f>(X24+Z24+AC24+AD24)*Cockpit!$Q$33</f>
        <v>95.509166666666715</v>
      </c>
      <c r="AF24" s="286">
        <f t="shared" si="26"/>
        <v>-88.894566666666663</v>
      </c>
      <c r="AH24" s="333">
        <f t="shared" si="27"/>
        <v>125000</v>
      </c>
      <c r="AI24" s="47">
        <f t="shared" si="28"/>
        <v>0.8</v>
      </c>
      <c r="AJ24" s="48">
        <f t="shared" ref="AJ24:AJ31" si="35">AH24*AI24</f>
        <v>100000</v>
      </c>
      <c r="AK24" s="49">
        <f t="shared" si="29"/>
        <v>0.04</v>
      </c>
      <c r="AL24" s="49">
        <f t="shared" si="30"/>
        <v>1.7999999999999999E-2</v>
      </c>
      <c r="AM24" s="132">
        <f>AM25+$AM$21</f>
        <v>779.95</v>
      </c>
      <c r="AN24" s="48">
        <f>AM24+Cockpit!$K$9</f>
        <v>883.68000000000006</v>
      </c>
      <c r="AO24" s="48">
        <f>-Cockpit!$K$12-Cockpit!$H$25*(Szenarien!AM24-Szenarien!$AL$13)</f>
        <v>-210.53206666666665</v>
      </c>
      <c r="AP24" s="48">
        <f>Cockpit!$Q$21-AK24*(AJ24-$T$13)/12-(AK24-$U$13)*$T$13/12</f>
        <v>-333.33333333333331</v>
      </c>
      <c r="AQ24" s="48">
        <f>Cockpit!$Q$22-AL24*(AJ24-$T$13)/12-(AL24-$V$13)*$T$13/12</f>
        <v>-149.99999999999997</v>
      </c>
      <c r="AR24" s="48">
        <f t="shared" ref="AR24:AR31" si="36">AN24+AO24+AP24+AQ24</f>
        <v>189.81460000000013</v>
      </c>
      <c r="AS24" s="48">
        <f>Cockpit!$Q$29</f>
        <v>-148.72999999999999</v>
      </c>
      <c r="AT24" s="48">
        <f>Cockpit!$Q$31-Cockpit!$H$20*Cockpit!$H$21*(1+Cockpit!$D$22)*(AH24-$AH27)/12</f>
        <v>-102.84375</v>
      </c>
      <c r="AU24" s="48">
        <f>(AN24+AP24+AS24+AT24)*Cockpit!$Q$33</f>
        <v>119.50916666666672</v>
      </c>
      <c r="AV24" s="286">
        <f t="shared" si="31"/>
        <v>70.305433333333411</v>
      </c>
    </row>
    <row r="25" spans="2:48">
      <c r="B25" s="333">
        <f t="shared" si="16"/>
        <v>125000</v>
      </c>
      <c r="C25" s="126">
        <f>C26+$C$21</f>
        <v>0.90000000000000013</v>
      </c>
      <c r="D25" s="51">
        <f t="shared" si="17"/>
        <v>112500.00000000001</v>
      </c>
      <c r="E25" s="49">
        <f t="shared" si="18"/>
        <v>0.04</v>
      </c>
      <c r="F25" s="49">
        <f t="shared" si="19"/>
        <v>1.7999999999999999E-2</v>
      </c>
      <c r="G25" s="48">
        <f t="shared" si="20"/>
        <v>719.95</v>
      </c>
      <c r="H25" s="48">
        <f>G25+Cockpit!$K$9</f>
        <v>823.68000000000006</v>
      </c>
      <c r="I25" s="48">
        <f>-Cockpit!$K$12-Cockpit!$H$25*(Szenarien!G25-Szenarien!$AL$13)</f>
        <v>-208.73206666666664</v>
      </c>
      <c r="J25" s="48">
        <f>Cockpit!$Q$21-E25*(D25-$D27)/12</f>
        <v>-375</v>
      </c>
      <c r="K25" s="48">
        <f>Cockpit!$Q$22-F25*(D25-$D27)/12</f>
        <v>-168.75</v>
      </c>
      <c r="L25" s="48">
        <f t="shared" si="32"/>
        <v>71.197933333333367</v>
      </c>
      <c r="M25" s="48">
        <f>Cockpit!$Q$29</f>
        <v>-148.72999999999999</v>
      </c>
      <c r="N25" s="48">
        <f>Cockpit!$Q$31-Cockpit!$H$20*Cockpit!$H$21*(1+Cockpit!$D$22)*(B25-$B27)/12</f>
        <v>-102.84375</v>
      </c>
      <c r="O25" s="48">
        <f>(H25+J25+M25+N25)*Cockpit!$Q$33</f>
        <v>78.84250000000003</v>
      </c>
      <c r="P25" s="286">
        <f t="shared" si="21"/>
        <v>-7.6445666666666625</v>
      </c>
      <c r="R25" s="333">
        <f t="shared" si="22"/>
        <v>125000</v>
      </c>
      <c r="S25" s="47">
        <f t="shared" si="23"/>
        <v>0.8</v>
      </c>
      <c r="T25" s="48">
        <f t="shared" si="33"/>
        <v>100000</v>
      </c>
      <c r="U25" s="49">
        <f t="shared" si="24"/>
        <v>0.04</v>
      </c>
      <c r="V25" s="129">
        <f>V26+$V$21</f>
        <v>2.8000000000000001E-2</v>
      </c>
      <c r="W25" s="48">
        <f t="shared" si="25"/>
        <v>719.95</v>
      </c>
      <c r="X25" s="48">
        <f>W25+Cockpit!$K$9</f>
        <v>823.68000000000006</v>
      </c>
      <c r="Y25" s="48">
        <f>-Cockpit!$K$12-Cockpit!$H$25*(Szenarien!W25-Szenarien!$AL$13)</f>
        <v>-208.73206666666664</v>
      </c>
      <c r="Z25" s="48">
        <f>Cockpit!$Q$21-U25*(T25-$T$13)/12-(U25-$U$13)*$T$13/12</f>
        <v>-333.33333333333331</v>
      </c>
      <c r="AA25" s="48">
        <f>Cockpit!$Q$22-V25*(T25-$T$13)/12-(V25-$V$13)*$T$13/12</f>
        <v>-233.33333333333331</v>
      </c>
      <c r="AB25" s="48">
        <f t="shared" si="34"/>
        <v>48.281266666666738</v>
      </c>
      <c r="AC25" s="48">
        <f>Cockpit!$Q$29</f>
        <v>-148.72999999999999</v>
      </c>
      <c r="AD25" s="48">
        <f>Cockpit!$Q$31-Cockpit!$H$20*Cockpit!$H$21*(1+Cockpit!$D$22)*(R25-$R27)/12</f>
        <v>-102.84375</v>
      </c>
      <c r="AE25" s="48">
        <f>(X25+Z25+AC25+AD25)*Cockpit!$Q$33</f>
        <v>95.509166666666715</v>
      </c>
      <c r="AF25" s="286">
        <f t="shared" si="26"/>
        <v>-47.227899999999977</v>
      </c>
      <c r="AH25" s="333">
        <f t="shared" si="27"/>
        <v>125000</v>
      </c>
      <c r="AI25" s="47">
        <f t="shared" si="28"/>
        <v>0.8</v>
      </c>
      <c r="AJ25" s="48">
        <f t="shared" si="35"/>
        <v>100000</v>
      </c>
      <c r="AK25" s="49">
        <f t="shared" si="29"/>
        <v>0.04</v>
      </c>
      <c r="AL25" s="49">
        <f t="shared" si="30"/>
        <v>1.7999999999999999E-2</v>
      </c>
      <c r="AM25" s="132">
        <f>AM26+$AM$21</f>
        <v>759.95</v>
      </c>
      <c r="AN25" s="48">
        <f>AM25+Cockpit!$K$9</f>
        <v>863.68000000000006</v>
      </c>
      <c r="AO25" s="48">
        <f>-Cockpit!$K$12-Cockpit!$H$25*(Szenarien!AM25-Szenarien!$AL$13)</f>
        <v>-209.93206666666663</v>
      </c>
      <c r="AP25" s="48">
        <f>Cockpit!$Q$21-AK25*(AJ25-$T$13)/12-(AK25-$U$13)*$T$13/12</f>
        <v>-333.33333333333331</v>
      </c>
      <c r="AQ25" s="48">
        <f>Cockpit!$Q$22-AL25*(AJ25-$T$13)/12-(AL25-$V$13)*$T$13/12</f>
        <v>-149.99999999999997</v>
      </c>
      <c r="AR25" s="48">
        <f t="shared" si="36"/>
        <v>170.41460000000015</v>
      </c>
      <c r="AS25" s="48">
        <f>Cockpit!$Q$29</f>
        <v>-148.72999999999999</v>
      </c>
      <c r="AT25" s="48">
        <f>Cockpit!$Q$31-Cockpit!$H$20*Cockpit!$H$21*(1+Cockpit!$D$22)*(AH25-$AH27)/12</f>
        <v>-102.84375</v>
      </c>
      <c r="AU25" s="48">
        <f>(AN25+AP25+AS25+AT25)*Cockpit!$Q$33</f>
        <v>111.50916666666672</v>
      </c>
      <c r="AV25" s="286">
        <f t="shared" si="31"/>
        <v>58.905433333333434</v>
      </c>
    </row>
    <row r="26" spans="2:48" ht="13.5" thickBot="1">
      <c r="B26" s="334">
        <f t="shared" si="16"/>
        <v>125000</v>
      </c>
      <c r="C26" s="126">
        <f>C27+$C$21</f>
        <v>0.85000000000000009</v>
      </c>
      <c r="D26" s="51">
        <f t="shared" si="17"/>
        <v>106250.00000000001</v>
      </c>
      <c r="E26" s="52">
        <f t="shared" si="18"/>
        <v>0.04</v>
      </c>
      <c r="F26" s="52">
        <f t="shared" si="19"/>
        <v>1.7999999999999999E-2</v>
      </c>
      <c r="G26" s="51">
        <f t="shared" si="20"/>
        <v>719.95</v>
      </c>
      <c r="H26" s="51">
        <f>G26+Cockpit!$K$9</f>
        <v>823.68000000000006</v>
      </c>
      <c r="I26" s="51">
        <f>-Cockpit!$K$12-Cockpit!$H$25*(Szenarien!G26-Szenarien!$AL$13)</f>
        <v>-208.73206666666664</v>
      </c>
      <c r="J26" s="51">
        <f>Cockpit!$Q$21-E26*(D26-$D27)/12</f>
        <v>-354.16666666666669</v>
      </c>
      <c r="K26" s="51">
        <f>Cockpit!$Q$22-F26*(D26-$D27)/12</f>
        <v>-159.375</v>
      </c>
      <c r="L26" s="51">
        <f t="shared" si="32"/>
        <v>101.40626666666668</v>
      </c>
      <c r="M26" s="51">
        <f>Cockpit!$Q$29</f>
        <v>-148.72999999999999</v>
      </c>
      <c r="N26" s="51">
        <f>Cockpit!$Q$31-Cockpit!$H$20*Cockpit!$H$21*(1+Cockpit!$D$22)*(B26-$B27)/12</f>
        <v>-102.84375</v>
      </c>
      <c r="O26" s="51">
        <f>(H26+J26+M26+N26)*Cockpit!$Q$33</f>
        <v>87.175833333333372</v>
      </c>
      <c r="P26" s="323">
        <f t="shared" si="21"/>
        <v>14.230433333333309</v>
      </c>
      <c r="R26" s="334">
        <f t="shared" si="22"/>
        <v>125000</v>
      </c>
      <c r="S26" s="50">
        <f t="shared" si="23"/>
        <v>0.8</v>
      </c>
      <c r="T26" s="51">
        <f t="shared" si="33"/>
        <v>100000</v>
      </c>
      <c r="U26" s="52">
        <f t="shared" si="24"/>
        <v>0.04</v>
      </c>
      <c r="V26" s="130">
        <f>V27+$V$21</f>
        <v>2.3E-2</v>
      </c>
      <c r="W26" s="51">
        <f t="shared" si="25"/>
        <v>719.95</v>
      </c>
      <c r="X26" s="51">
        <f>W26+Cockpit!$K$9</f>
        <v>823.68000000000006</v>
      </c>
      <c r="Y26" s="51">
        <f>-Cockpit!$K$12-Cockpit!$H$25*(Szenarien!W26-Szenarien!$AL$13)</f>
        <v>-208.73206666666664</v>
      </c>
      <c r="Z26" s="51">
        <f>Cockpit!$Q$21-U26*(T26-$T$13)/12-(U26-$U$13)*$T$13/12</f>
        <v>-333.33333333333331</v>
      </c>
      <c r="AA26" s="51">
        <f>Cockpit!$Q$22-V26*(T26-$T$13)/12-(V26-$V$13)*$T$13/12</f>
        <v>-191.66666666666666</v>
      </c>
      <c r="AB26" s="51">
        <f t="shared" si="34"/>
        <v>89.947933333333395</v>
      </c>
      <c r="AC26" s="51">
        <f>Cockpit!$Q$29</f>
        <v>-148.72999999999999</v>
      </c>
      <c r="AD26" s="51">
        <f>Cockpit!$Q$31-Cockpit!$H$20*Cockpit!$H$21*(1+Cockpit!$D$22)*(R26-$R27)/12</f>
        <v>-102.84375</v>
      </c>
      <c r="AE26" s="51">
        <f>(X26+Z26+AC26+AD26)*Cockpit!$Q$33</f>
        <v>95.509166666666715</v>
      </c>
      <c r="AF26" s="323">
        <f t="shared" si="26"/>
        <v>-5.5612333333333197</v>
      </c>
      <c r="AH26" s="334">
        <f t="shared" si="27"/>
        <v>125000</v>
      </c>
      <c r="AI26" s="50">
        <f t="shared" si="28"/>
        <v>0.8</v>
      </c>
      <c r="AJ26" s="51">
        <f t="shared" si="35"/>
        <v>100000</v>
      </c>
      <c r="AK26" s="52">
        <f t="shared" si="29"/>
        <v>0.04</v>
      </c>
      <c r="AL26" s="52">
        <f t="shared" si="30"/>
        <v>1.7999999999999999E-2</v>
      </c>
      <c r="AM26" s="133">
        <f>AM27+$AM$21</f>
        <v>739.95</v>
      </c>
      <c r="AN26" s="51">
        <f>AM26+Cockpit!$K$9</f>
        <v>843.68000000000006</v>
      </c>
      <c r="AO26" s="51">
        <f>-Cockpit!$K$12-Cockpit!$H$25*(Szenarien!AM26-Szenarien!$AL$13)</f>
        <v>-209.33206666666663</v>
      </c>
      <c r="AP26" s="51">
        <f>Cockpit!$Q$21-AK26*(AJ26-$T$13)/12-(AK26-$U$13)*$T$13/12</f>
        <v>-333.33333333333331</v>
      </c>
      <c r="AQ26" s="51">
        <f>Cockpit!$Q$22-AL26*(AJ26-$T$13)/12-(AL26-$V$13)*$T$13/12</f>
        <v>-149.99999999999997</v>
      </c>
      <c r="AR26" s="51">
        <f t="shared" si="36"/>
        <v>151.01460000000017</v>
      </c>
      <c r="AS26" s="51">
        <f>Cockpit!$Q$29</f>
        <v>-148.72999999999999</v>
      </c>
      <c r="AT26" s="51">
        <f>Cockpit!$Q$31-Cockpit!$H$20*Cockpit!$H$21*(1+Cockpit!$D$22)*(AH26-$AH27)/12</f>
        <v>-102.84375</v>
      </c>
      <c r="AU26" s="51">
        <f>(AN26+AP26+AS26+AT26)*Cockpit!$Q$33</f>
        <v>103.50916666666672</v>
      </c>
      <c r="AV26" s="323">
        <f t="shared" si="31"/>
        <v>47.505433333333457</v>
      </c>
    </row>
    <row r="27" spans="2:48" ht="13.5" thickBot="1">
      <c r="B27" s="347">
        <f t="shared" si="16"/>
        <v>125000</v>
      </c>
      <c r="C27" s="350">
        <f>$AL$10</f>
        <v>0.8</v>
      </c>
      <c r="D27" s="344">
        <f t="shared" si="17"/>
        <v>100000</v>
      </c>
      <c r="E27" s="345">
        <f t="shared" si="18"/>
        <v>0.04</v>
      </c>
      <c r="F27" s="345">
        <f t="shared" si="19"/>
        <v>1.7999999999999999E-2</v>
      </c>
      <c r="G27" s="344">
        <f t="shared" si="20"/>
        <v>719.95</v>
      </c>
      <c r="H27" s="344">
        <f>G27+Cockpit!$K$9</f>
        <v>823.68000000000006</v>
      </c>
      <c r="I27" s="344">
        <f>-Cockpit!$K$12-Cockpit!$H$25*(Szenarien!G27-Szenarien!$AL$13)</f>
        <v>-208.73206666666664</v>
      </c>
      <c r="J27" s="344">
        <f>Cockpit!$Q$21-E27*(D27-$D27)/12</f>
        <v>-333.33333333333331</v>
      </c>
      <c r="K27" s="344">
        <f>Cockpit!$Q$22-F27*(D27-$D27)/12</f>
        <v>-149.99999999999997</v>
      </c>
      <c r="L27" s="344">
        <f t="shared" si="32"/>
        <v>131.61460000000008</v>
      </c>
      <c r="M27" s="344">
        <f>Cockpit!$Q$29</f>
        <v>-148.72999999999999</v>
      </c>
      <c r="N27" s="344">
        <f>Cockpit!$Q$31-Cockpit!$H$20*Cockpit!$H$21*(1+Cockpit!$D$22)*(B27-$B27)/12</f>
        <v>-102.84375</v>
      </c>
      <c r="O27" s="344">
        <f>(H27+J27+M27+N27)*Cockpit!$Q$33</f>
        <v>95.509166666666715</v>
      </c>
      <c r="P27" s="346">
        <f>L27-O27</f>
        <v>36.105433333333366</v>
      </c>
      <c r="R27" s="347">
        <f t="shared" si="22"/>
        <v>125000</v>
      </c>
      <c r="S27" s="343">
        <f t="shared" si="23"/>
        <v>0.8</v>
      </c>
      <c r="T27" s="344">
        <f t="shared" si="33"/>
        <v>100000</v>
      </c>
      <c r="U27" s="345">
        <f t="shared" si="24"/>
        <v>0.04</v>
      </c>
      <c r="V27" s="348">
        <f>$AL$12</f>
        <v>1.7999999999999999E-2</v>
      </c>
      <c r="W27" s="344">
        <f t="shared" si="25"/>
        <v>719.95</v>
      </c>
      <c r="X27" s="344">
        <f>W27+Cockpit!$K$9</f>
        <v>823.68000000000006</v>
      </c>
      <c r="Y27" s="344">
        <f>-Cockpit!$K$12-Cockpit!$H$25*(Szenarien!W27-Szenarien!$AL$13)</f>
        <v>-208.73206666666664</v>
      </c>
      <c r="Z27" s="344">
        <f>Cockpit!$Q$21-U27*(T27-$T$13)/12-(U27-$U$13)*$T$13/12</f>
        <v>-333.33333333333331</v>
      </c>
      <c r="AA27" s="344">
        <f>Cockpit!$Q$22-V27*(T27-$T$13)/12-(V27-$V$13)*$T$13/12</f>
        <v>-149.99999999999997</v>
      </c>
      <c r="AB27" s="344">
        <f t="shared" si="34"/>
        <v>131.61460000000008</v>
      </c>
      <c r="AC27" s="344">
        <f>Cockpit!$Q$29</f>
        <v>-148.72999999999999</v>
      </c>
      <c r="AD27" s="344">
        <f>Cockpit!$Q$31-Cockpit!$H$20*Cockpit!$H$21*(1+Cockpit!$D$22)*(R27-$R27)/12</f>
        <v>-102.84375</v>
      </c>
      <c r="AE27" s="344">
        <f>(X27+Z27+AC27+AD27)*Cockpit!$Q$33</f>
        <v>95.509166666666715</v>
      </c>
      <c r="AF27" s="346">
        <f>AB27-AE27</f>
        <v>36.105433333333366</v>
      </c>
      <c r="AH27" s="347">
        <f t="shared" si="27"/>
        <v>125000</v>
      </c>
      <c r="AI27" s="343">
        <f t="shared" si="28"/>
        <v>0.8</v>
      </c>
      <c r="AJ27" s="344">
        <f t="shared" si="35"/>
        <v>100000</v>
      </c>
      <c r="AK27" s="345">
        <f t="shared" si="29"/>
        <v>0.04</v>
      </c>
      <c r="AL27" s="345">
        <f t="shared" si="30"/>
        <v>1.7999999999999999E-2</v>
      </c>
      <c r="AM27" s="349">
        <f>$AL$13</f>
        <v>719.95</v>
      </c>
      <c r="AN27" s="344">
        <f>AM27+Cockpit!$K$9</f>
        <v>823.68000000000006</v>
      </c>
      <c r="AO27" s="344">
        <f>-Cockpit!$K$12-Cockpit!$H$25*(Szenarien!AM27-Szenarien!$AL$13)</f>
        <v>-208.73206666666664</v>
      </c>
      <c r="AP27" s="344">
        <f>Cockpit!$Q$21-AK27*(AJ27-$T$13)/12-(AK27-$U$13)*$T$13/12</f>
        <v>-333.33333333333331</v>
      </c>
      <c r="AQ27" s="344">
        <f>Cockpit!$Q$22-AL27*(AJ27-$T$13)/12-(AL27-$V$13)*$T$13/12</f>
        <v>-149.99999999999997</v>
      </c>
      <c r="AR27" s="344">
        <f t="shared" si="36"/>
        <v>131.61460000000008</v>
      </c>
      <c r="AS27" s="344">
        <f>Cockpit!$Q$29</f>
        <v>-148.72999999999999</v>
      </c>
      <c r="AT27" s="344">
        <f>Cockpit!$Q$31-Cockpit!$H$20*Cockpit!$H$21*(1+Cockpit!$D$22)*(AH27-$AH27)/12</f>
        <v>-102.84375</v>
      </c>
      <c r="AU27" s="344">
        <f>(AN27+AP27+AS27+AT27)*Cockpit!$Q$33</f>
        <v>95.509166666666715</v>
      </c>
      <c r="AV27" s="346">
        <f>AR27-AU27</f>
        <v>36.105433333333366</v>
      </c>
    </row>
    <row r="28" spans="2:48">
      <c r="B28" s="335">
        <f t="shared" si="16"/>
        <v>125000</v>
      </c>
      <c r="C28" s="127">
        <f>C27-$C$21</f>
        <v>0.75</v>
      </c>
      <c r="D28" s="314">
        <f t="shared" si="17"/>
        <v>93750</v>
      </c>
      <c r="E28" s="56">
        <f t="shared" si="18"/>
        <v>0.04</v>
      </c>
      <c r="F28" s="56">
        <f t="shared" si="19"/>
        <v>1.7999999999999999E-2</v>
      </c>
      <c r="G28" s="55">
        <f t="shared" si="20"/>
        <v>719.95</v>
      </c>
      <c r="H28" s="55">
        <f>G28+Cockpit!$K$9</f>
        <v>823.68000000000006</v>
      </c>
      <c r="I28" s="55">
        <f>-Cockpit!$K$12-Cockpit!$H$25*(Szenarien!G28-Szenarien!$AL$13)</f>
        <v>-208.73206666666664</v>
      </c>
      <c r="J28" s="55">
        <f>Cockpit!$Q$21-E28*(D28-$D27)/12</f>
        <v>-312.5</v>
      </c>
      <c r="K28" s="55">
        <f>Cockpit!$Q$22-F28*(D28-$D27)/12</f>
        <v>-140.62499999999997</v>
      </c>
      <c r="L28" s="55">
        <f t="shared" si="32"/>
        <v>161.8229333333334</v>
      </c>
      <c r="M28" s="55">
        <f>Cockpit!$Q$29</f>
        <v>-148.72999999999999</v>
      </c>
      <c r="N28" s="55">
        <f>Cockpit!$Q$31-Cockpit!$H$20*Cockpit!$H$21*(1+Cockpit!$D$22)*(B28-$B27)/12</f>
        <v>-102.84375</v>
      </c>
      <c r="O28" s="55">
        <f>(H28+J28+M28+N28)*Cockpit!$Q$33</f>
        <v>103.84250000000003</v>
      </c>
      <c r="P28" s="325">
        <f t="shared" ref="P28:P31" si="37">L28-O28</f>
        <v>57.980433333333366</v>
      </c>
      <c r="R28" s="335">
        <f t="shared" si="22"/>
        <v>125000</v>
      </c>
      <c r="S28" s="54">
        <f t="shared" si="23"/>
        <v>0.8</v>
      </c>
      <c r="T28" s="55">
        <f t="shared" si="33"/>
        <v>100000</v>
      </c>
      <c r="U28" s="56">
        <f t="shared" si="24"/>
        <v>0.04</v>
      </c>
      <c r="V28" s="131">
        <f>V27-$V$21</f>
        <v>1.2999999999999998E-2</v>
      </c>
      <c r="W28" s="55">
        <f t="shared" si="25"/>
        <v>719.95</v>
      </c>
      <c r="X28" s="55">
        <f>W28+Cockpit!$K$9</f>
        <v>823.68000000000006</v>
      </c>
      <c r="Y28" s="55">
        <f>-Cockpit!$K$12-Cockpit!$H$25*(Szenarien!W28-Szenarien!$AL$13)</f>
        <v>-208.73206666666664</v>
      </c>
      <c r="Z28" s="55">
        <f>Cockpit!$Q$21-U28*(T28-$T$13)/12-(U28-$U$13)*$T$13/12</f>
        <v>-333.33333333333331</v>
      </c>
      <c r="AA28" s="55">
        <f>Cockpit!$Q$22-V28*(T28-$T$13)/12-(V28-$V$13)*$T$13/12</f>
        <v>-108.33333333333329</v>
      </c>
      <c r="AB28" s="55">
        <f t="shared" si="34"/>
        <v>173.28126666666677</v>
      </c>
      <c r="AC28" s="55">
        <f>Cockpit!$Q$29</f>
        <v>-148.72999999999999</v>
      </c>
      <c r="AD28" s="55">
        <f>Cockpit!$Q$31-Cockpit!$H$20*Cockpit!$H$21*(1+Cockpit!$D$22)*(R28-$R27)/12</f>
        <v>-102.84375</v>
      </c>
      <c r="AE28" s="55">
        <f>(X28+Z28+AC28+AD28)*Cockpit!$Q$33</f>
        <v>95.509166666666715</v>
      </c>
      <c r="AF28" s="325">
        <f t="shared" ref="AF28:AF31" si="38">AB28-AE28</f>
        <v>77.772100000000052</v>
      </c>
      <c r="AH28" s="335">
        <f t="shared" si="27"/>
        <v>125000</v>
      </c>
      <c r="AI28" s="54">
        <f t="shared" si="28"/>
        <v>0.8</v>
      </c>
      <c r="AJ28" s="55">
        <f t="shared" si="35"/>
        <v>100000</v>
      </c>
      <c r="AK28" s="56">
        <f t="shared" si="29"/>
        <v>0.04</v>
      </c>
      <c r="AL28" s="56">
        <f t="shared" si="30"/>
        <v>1.7999999999999999E-2</v>
      </c>
      <c r="AM28" s="134">
        <f>AM27-$AM$21</f>
        <v>699.95</v>
      </c>
      <c r="AN28" s="55">
        <f>AM28+Cockpit!$K$9</f>
        <v>803.68000000000006</v>
      </c>
      <c r="AO28" s="55">
        <f>-Cockpit!$K$12-Cockpit!$H$25*(Szenarien!AM28-Szenarien!$AL$13)</f>
        <v>-208.13206666666665</v>
      </c>
      <c r="AP28" s="55">
        <f>Cockpit!$Q$21-AK28*(AJ28-$T$13)/12-(AK28-$U$13)*$T$13/12</f>
        <v>-333.33333333333331</v>
      </c>
      <c r="AQ28" s="55">
        <f>Cockpit!$Q$22-AL28*(AJ28-$T$13)/12-(AL28-$V$13)*$T$13/12</f>
        <v>-149.99999999999997</v>
      </c>
      <c r="AR28" s="55">
        <f t="shared" si="36"/>
        <v>112.2146000000001</v>
      </c>
      <c r="AS28" s="55">
        <f>Cockpit!$Q$29</f>
        <v>-148.72999999999999</v>
      </c>
      <c r="AT28" s="55">
        <f>Cockpit!$Q$31-Cockpit!$H$20*Cockpit!$H$21*(1+Cockpit!$D$22)*(AH28-$AH27)/12</f>
        <v>-102.84375</v>
      </c>
      <c r="AU28" s="55">
        <f>(AN28+AP28+AS28+AT28)*Cockpit!$Q$33</f>
        <v>87.509166666666715</v>
      </c>
      <c r="AV28" s="325">
        <f t="shared" ref="AV28:AV31" si="39">AR28-AU28</f>
        <v>24.705433333333389</v>
      </c>
    </row>
    <row r="29" spans="2:48">
      <c r="B29" s="333">
        <f t="shared" si="16"/>
        <v>125000</v>
      </c>
      <c r="C29" s="128">
        <f>C28-$C$21</f>
        <v>0.7</v>
      </c>
      <c r="D29" s="51">
        <f t="shared" si="17"/>
        <v>87500</v>
      </c>
      <c r="E29" s="49">
        <f t="shared" si="18"/>
        <v>0.04</v>
      </c>
      <c r="F29" s="49">
        <f t="shared" si="19"/>
        <v>1.7999999999999999E-2</v>
      </c>
      <c r="G29" s="48">
        <f t="shared" si="20"/>
        <v>719.95</v>
      </c>
      <c r="H29" s="48">
        <f>G29+Cockpit!$K$9</f>
        <v>823.68000000000006</v>
      </c>
      <c r="I29" s="48">
        <f>-Cockpit!$K$12-Cockpit!$H$25*(Szenarien!G29-Szenarien!$AL$13)</f>
        <v>-208.73206666666664</v>
      </c>
      <c r="J29" s="48">
        <f>Cockpit!$Q$21-E29*(D29-$D27)/12</f>
        <v>-291.66666666666663</v>
      </c>
      <c r="K29" s="48">
        <f>Cockpit!$Q$22-F29*(D29-$D27)/12</f>
        <v>-131.24999999999997</v>
      </c>
      <c r="L29" s="48">
        <f t="shared" si="32"/>
        <v>192.03126666666677</v>
      </c>
      <c r="M29" s="48">
        <f>Cockpit!$Q$29</f>
        <v>-148.72999999999999</v>
      </c>
      <c r="N29" s="48">
        <f>Cockpit!$Q$31-Cockpit!$H$20*Cockpit!$H$21*(1+Cockpit!$D$22)*(B29-$B27)/12</f>
        <v>-102.84375</v>
      </c>
      <c r="O29" s="48">
        <f>(H29+J29+M29+N29)*Cockpit!$Q$33</f>
        <v>112.17583333333337</v>
      </c>
      <c r="P29" s="286">
        <f t="shared" si="37"/>
        <v>79.855433333333394</v>
      </c>
      <c r="R29" s="333">
        <f t="shared" si="22"/>
        <v>125000</v>
      </c>
      <c r="S29" s="47">
        <f t="shared" si="23"/>
        <v>0.8</v>
      </c>
      <c r="T29" s="48">
        <f t="shared" si="33"/>
        <v>100000</v>
      </c>
      <c r="U29" s="49">
        <f t="shared" si="24"/>
        <v>0.04</v>
      </c>
      <c r="V29" s="129">
        <f>V28-$V$21</f>
        <v>7.9999999999999967E-3</v>
      </c>
      <c r="W29" s="48">
        <f t="shared" si="25"/>
        <v>719.95</v>
      </c>
      <c r="X29" s="48">
        <f>W29+Cockpit!$K$9</f>
        <v>823.68000000000006</v>
      </c>
      <c r="Y29" s="48">
        <f>-Cockpit!$K$12-Cockpit!$H$25*(Szenarien!W29-Szenarien!$AL$13)</f>
        <v>-208.73206666666664</v>
      </c>
      <c r="Z29" s="48">
        <f>Cockpit!$Q$21-U29*(T29-$T$13)/12-(U29-$U$13)*$T$13/12</f>
        <v>-333.33333333333331</v>
      </c>
      <c r="AA29" s="48">
        <f>Cockpit!$Q$22-V29*(T29-$T$13)/12-(V29-$V$13)*$T$13/12</f>
        <v>-66.666666666666615</v>
      </c>
      <c r="AB29" s="48">
        <f t="shared" si="34"/>
        <v>214.94793333333342</v>
      </c>
      <c r="AC29" s="48">
        <f>Cockpit!$Q$29</f>
        <v>-148.72999999999999</v>
      </c>
      <c r="AD29" s="48">
        <f>Cockpit!$Q$31-Cockpit!$H$20*Cockpit!$H$21*(1+Cockpit!$D$22)*(R29-$R27)/12</f>
        <v>-102.84375</v>
      </c>
      <c r="AE29" s="48">
        <f>(X29+Z29+AC29+AD29)*Cockpit!$Q$33</f>
        <v>95.509166666666715</v>
      </c>
      <c r="AF29" s="286">
        <f t="shared" si="38"/>
        <v>119.43876666666671</v>
      </c>
      <c r="AH29" s="333">
        <f t="shared" si="27"/>
        <v>125000</v>
      </c>
      <c r="AI29" s="47">
        <f t="shared" si="28"/>
        <v>0.8</v>
      </c>
      <c r="AJ29" s="48">
        <f t="shared" si="35"/>
        <v>100000</v>
      </c>
      <c r="AK29" s="49">
        <f t="shared" si="29"/>
        <v>0.04</v>
      </c>
      <c r="AL29" s="49">
        <f t="shared" si="30"/>
        <v>1.7999999999999999E-2</v>
      </c>
      <c r="AM29" s="132">
        <f>AM28-$AM$21</f>
        <v>679.95</v>
      </c>
      <c r="AN29" s="48">
        <f>AM29+Cockpit!$K$9</f>
        <v>783.68000000000006</v>
      </c>
      <c r="AO29" s="48">
        <f>-Cockpit!$K$12-Cockpit!$H$25*(Szenarien!AM29-Szenarien!$AL$13)</f>
        <v>-207.53206666666665</v>
      </c>
      <c r="AP29" s="48">
        <f>Cockpit!$Q$21-AK29*(AJ29-$T$13)/12-(AK29-$U$13)*$T$13/12</f>
        <v>-333.33333333333331</v>
      </c>
      <c r="AQ29" s="48">
        <f>Cockpit!$Q$22-AL29*(AJ29-$T$13)/12-(AL29-$V$13)*$T$13/12</f>
        <v>-149.99999999999997</v>
      </c>
      <c r="AR29" s="48">
        <f t="shared" si="36"/>
        <v>92.814600000000127</v>
      </c>
      <c r="AS29" s="48">
        <f>Cockpit!$Q$29</f>
        <v>-148.72999999999999</v>
      </c>
      <c r="AT29" s="48">
        <f>Cockpit!$Q$31-Cockpit!$H$20*Cockpit!$H$21*(1+Cockpit!$D$22)*(AH29-$AH27)/12</f>
        <v>-102.84375</v>
      </c>
      <c r="AU29" s="48">
        <f>(AN29+AP29+AS29+AT29)*Cockpit!$Q$33</f>
        <v>79.509166666666715</v>
      </c>
      <c r="AV29" s="286">
        <f t="shared" si="39"/>
        <v>13.305433333333411</v>
      </c>
    </row>
    <row r="30" spans="2:48">
      <c r="B30" s="333">
        <f t="shared" si="16"/>
        <v>125000</v>
      </c>
      <c r="C30" s="128">
        <f>C29-$C$21</f>
        <v>0.64999999999999991</v>
      </c>
      <c r="D30" s="51">
        <f t="shared" si="17"/>
        <v>81249.999999999985</v>
      </c>
      <c r="E30" s="49">
        <f t="shared" si="18"/>
        <v>0.04</v>
      </c>
      <c r="F30" s="49">
        <f t="shared" si="19"/>
        <v>1.7999999999999999E-2</v>
      </c>
      <c r="G30" s="48">
        <f t="shared" si="20"/>
        <v>719.95</v>
      </c>
      <c r="H30" s="48">
        <f>G30+Cockpit!$K$9</f>
        <v>823.68000000000006</v>
      </c>
      <c r="I30" s="48">
        <f>-Cockpit!$K$12-Cockpit!$H$25*(Szenarien!G30-Szenarien!$AL$13)</f>
        <v>-208.73206666666664</v>
      </c>
      <c r="J30" s="48">
        <f>Cockpit!$Q$21-E30*(D30-$D27)/12</f>
        <v>-270.83333333333326</v>
      </c>
      <c r="K30" s="48">
        <f>Cockpit!$Q$22-F30*(D30-$D27)/12</f>
        <v>-121.87499999999996</v>
      </c>
      <c r="L30" s="48">
        <f t="shared" si="32"/>
        <v>222.23960000000017</v>
      </c>
      <c r="M30" s="48">
        <f>Cockpit!$Q$29</f>
        <v>-148.72999999999999</v>
      </c>
      <c r="N30" s="48">
        <f>Cockpit!$Q$31-Cockpit!$H$20*Cockpit!$H$21*(1+Cockpit!$D$22)*(B30-$B27)/12</f>
        <v>-102.84375</v>
      </c>
      <c r="O30" s="48">
        <f>(H30+J30+M30+N30)*Cockpit!$Q$33</f>
        <v>120.50916666666672</v>
      </c>
      <c r="P30" s="286">
        <f t="shared" si="37"/>
        <v>101.73043333333345</v>
      </c>
      <c r="R30" s="333">
        <f t="shared" si="22"/>
        <v>125000</v>
      </c>
      <c r="S30" s="47">
        <f t="shared" si="23"/>
        <v>0.8</v>
      </c>
      <c r="T30" s="48">
        <f t="shared" si="33"/>
        <v>100000</v>
      </c>
      <c r="U30" s="49">
        <f t="shared" si="24"/>
        <v>0.04</v>
      </c>
      <c r="V30" s="129">
        <f>V29-$V$21</f>
        <v>2.9999999999999966E-3</v>
      </c>
      <c r="W30" s="48">
        <f t="shared" si="25"/>
        <v>719.95</v>
      </c>
      <c r="X30" s="48">
        <f>W30+Cockpit!$K$9</f>
        <v>823.68000000000006</v>
      </c>
      <c r="Y30" s="48">
        <f>-Cockpit!$K$12-Cockpit!$H$25*(Szenarien!W30-Szenarien!$AL$13)</f>
        <v>-208.73206666666664</v>
      </c>
      <c r="Z30" s="48">
        <f>Cockpit!$Q$21-U30*(T30-$T$13)/12-(U30-$U$13)*$T$13/12</f>
        <v>-333.33333333333331</v>
      </c>
      <c r="AA30" s="48">
        <f>Cockpit!$Q$22-V30*(T30-$T$13)/12-(V30-$V$13)*$T$13/12</f>
        <v>-24.999999999999957</v>
      </c>
      <c r="AB30" s="48">
        <f t="shared" si="34"/>
        <v>256.61460000000011</v>
      </c>
      <c r="AC30" s="48">
        <f>Cockpit!$Q$29</f>
        <v>-148.72999999999999</v>
      </c>
      <c r="AD30" s="48">
        <f>Cockpit!$Q$31-Cockpit!$H$20*Cockpit!$H$21*(1+Cockpit!$D$22)*(R30-$R27)/12</f>
        <v>-102.84375</v>
      </c>
      <c r="AE30" s="48">
        <f>(X30+Z30+AC30+AD30)*Cockpit!$Q$33</f>
        <v>95.509166666666715</v>
      </c>
      <c r="AF30" s="286">
        <f t="shared" si="38"/>
        <v>161.10543333333339</v>
      </c>
      <c r="AH30" s="333">
        <f t="shared" si="27"/>
        <v>125000</v>
      </c>
      <c r="AI30" s="47">
        <f t="shared" si="28"/>
        <v>0.8</v>
      </c>
      <c r="AJ30" s="48">
        <f t="shared" si="35"/>
        <v>100000</v>
      </c>
      <c r="AK30" s="49">
        <f t="shared" si="29"/>
        <v>0.04</v>
      </c>
      <c r="AL30" s="49">
        <f t="shared" si="30"/>
        <v>1.7999999999999999E-2</v>
      </c>
      <c r="AM30" s="132">
        <f>AM29-$AM$21</f>
        <v>659.95</v>
      </c>
      <c r="AN30" s="48">
        <f>AM30+Cockpit!$K$9</f>
        <v>763.68000000000006</v>
      </c>
      <c r="AO30" s="48">
        <f>-Cockpit!$K$12-Cockpit!$H$25*(Szenarien!AM30-Szenarien!$AL$13)</f>
        <v>-206.93206666666663</v>
      </c>
      <c r="AP30" s="48">
        <f>Cockpit!$Q$21-AK30*(AJ30-$T$13)/12-(AK30-$U$13)*$T$13/12</f>
        <v>-333.33333333333331</v>
      </c>
      <c r="AQ30" s="48">
        <f>Cockpit!$Q$22-AL30*(AJ30-$T$13)/12-(AL30-$V$13)*$T$13/12</f>
        <v>-149.99999999999997</v>
      </c>
      <c r="AR30" s="48">
        <f t="shared" si="36"/>
        <v>73.414600000000149</v>
      </c>
      <c r="AS30" s="48">
        <f>Cockpit!$Q$29</f>
        <v>-148.72999999999999</v>
      </c>
      <c r="AT30" s="48">
        <f>Cockpit!$Q$31-Cockpit!$H$20*Cockpit!$H$21*(1+Cockpit!$D$22)*(AH30-$AH27)/12</f>
        <v>-102.84375</v>
      </c>
      <c r="AU30" s="48">
        <f>(AN30+AP30+AS30+AT30)*Cockpit!$Q$33</f>
        <v>71.509166666666715</v>
      </c>
      <c r="AV30" s="286">
        <f t="shared" si="39"/>
        <v>1.9054333333334341</v>
      </c>
    </row>
    <row r="31" spans="2:48" ht="13.5" thickBot="1">
      <c r="B31" s="336">
        <f t="shared" si="16"/>
        <v>125000</v>
      </c>
      <c r="C31" s="337">
        <f>C30-$C$21</f>
        <v>0.59999999999999987</v>
      </c>
      <c r="D31" s="328">
        <f t="shared" si="17"/>
        <v>74999.999999999985</v>
      </c>
      <c r="E31" s="329">
        <f t="shared" si="18"/>
        <v>0.04</v>
      </c>
      <c r="F31" s="329">
        <f t="shared" si="19"/>
        <v>1.7999999999999999E-2</v>
      </c>
      <c r="G31" s="328">
        <f t="shared" si="20"/>
        <v>719.95</v>
      </c>
      <c r="H31" s="328">
        <f>G31+Cockpit!$K$9</f>
        <v>823.68000000000006</v>
      </c>
      <c r="I31" s="328">
        <f>-Cockpit!$K$12-Cockpit!$H$25*(Szenarien!G31-Szenarien!$AL$13)</f>
        <v>-208.73206666666664</v>
      </c>
      <c r="J31" s="328">
        <f>Cockpit!$Q$21-E31*(D31-$D27)/12</f>
        <v>-249.99999999999994</v>
      </c>
      <c r="K31" s="328">
        <f>Cockpit!$Q$22-F31*(D31-$D27)/12</f>
        <v>-112.49999999999994</v>
      </c>
      <c r="L31" s="328">
        <f t="shared" si="32"/>
        <v>252.44793333333348</v>
      </c>
      <c r="M31" s="328">
        <f>Cockpit!$Q$29</f>
        <v>-148.72999999999999</v>
      </c>
      <c r="N31" s="328">
        <f>Cockpit!$Q$31-Cockpit!$H$20*Cockpit!$H$21*(1+Cockpit!$D$22)*(B31-$B27)/12</f>
        <v>-102.84375</v>
      </c>
      <c r="O31" s="328">
        <f>(H31+J31+M31+N31)*Cockpit!$Q$33</f>
        <v>128.84250000000003</v>
      </c>
      <c r="P31" s="288">
        <f t="shared" si="37"/>
        <v>123.60543333333345</v>
      </c>
      <c r="R31" s="336">
        <f t="shared" si="22"/>
        <v>125000</v>
      </c>
      <c r="S31" s="327">
        <f t="shared" si="23"/>
        <v>0.8</v>
      </c>
      <c r="T31" s="328">
        <f t="shared" si="33"/>
        <v>100000</v>
      </c>
      <c r="U31" s="329">
        <f t="shared" si="24"/>
        <v>0.04</v>
      </c>
      <c r="V31" s="339">
        <f>V30-$V$21</f>
        <v>-2.0000000000000035E-3</v>
      </c>
      <c r="W31" s="328">
        <f t="shared" si="25"/>
        <v>719.95</v>
      </c>
      <c r="X31" s="328">
        <f>W31+Cockpit!$K$9</f>
        <v>823.68000000000006</v>
      </c>
      <c r="Y31" s="328">
        <f>-Cockpit!$K$12-Cockpit!$H$25*(Szenarien!W31-Szenarien!$AL$13)</f>
        <v>-208.73206666666664</v>
      </c>
      <c r="Z31" s="328">
        <f>Cockpit!$Q$21-U31*(T31-$T$13)/12-(U31-$U$13)*$T$13/12</f>
        <v>-333.33333333333331</v>
      </c>
      <c r="AA31" s="328">
        <f>Cockpit!$Q$22-V31*(T31-$T$13)/12-(V31-$V$13)*$T$13/12</f>
        <v>16.666666666666742</v>
      </c>
      <c r="AB31" s="328">
        <f t="shared" si="34"/>
        <v>298.2812666666668</v>
      </c>
      <c r="AC31" s="328">
        <f>Cockpit!$Q$29</f>
        <v>-148.72999999999999</v>
      </c>
      <c r="AD31" s="328">
        <f>Cockpit!$Q$31-Cockpit!$H$20*Cockpit!$H$21*(1+Cockpit!$D$22)*(R31-$R27)/12</f>
        <v>-102.84375</v>
      </c>
      <c r="AE31" s="328">
        <f>(X31+Z31+AC31+AD31)*Cockpit!$Q$33</f>
        <v>95.509166666666715</v>
      </c>
      <c r="AF31" s="288">
        <f t="shared" si="38"/>
        <v>202.77210000000008</v>
      </c>
      <c r="AH31" s="336">
        <f t="shared" si="27"/>
        <v>125000</v>
      </c>
      <c r="AI31" s="327">
        <f t="shared" si="28"/>
        <v>0.8</v>
      </c>
      <c r="AJ31" s="328">
        <f t="shared" si="35"/>
        <v>100000</v>
      </c>
      <c r="AK31" s="329">
        <f t="shared" si="29"/>
        <v>0.04</v>
      </c>
      <c r="AL31" s="329">
        <f t="shared" si="30"/>
        <v>1.7999999999999999E-2</v>
      </c>
      <c r="AM31" s="341">
        <f>AM30-$AM$21</f>
        <v>639.95000000000005</v>
      </c>
      <c r="AN31" s="328">
        <f>AM31+Cockpit!$K$9</f>
        <v>743.68000000000006</v>
      </c>
      <c r="AO31" s="328">
        <f>-Cockpit!$K$12-Cockpit!$H$25*(Szenarien!AM31-Szenarien!$AL$13)</f>
        <v>-206.33206666666663</v>
      </c>
      <c r="AP31" s="328">
        <f>Cockpit!$Q$21-AK31*(AJ31-$T$13)/12-(AK31-$U$13)*$T$13/12</f>
        <v>-333.33333333333331</v>
      </c>
      <c r="AQ31" s="328">
        <f>Cockpit!$Q$22-AL31*(AJ31-$T$13)/12-(AL31-$V$13)*$T$13/12</f>
        <v>-149.99999999999997</v>
      </c>
      <c r="AR31" s="328">
        <f t="shared" si="36"/>
        <v>54.014600000000172</v>
      </c>
      <c r="AS31" s="328">
        <f>Cockpit!$Q$29</f>
        <v>-148.72999999999999</v>
      </c>
      <c r="AT31" s="328">
        <f>Cockpit!$Q$31-Cockpit!$H$20*Cockpit!$H$21*(1+Cockpit!$D$22)*(AH31-$AH27)/12</f>
        <v>-102.84375</v>
      </c>
      <c r="AU31" s="328">
        <f>(AN31+AP31+AS31+AT31)*Cockpit!$Q$33</f>
        <v>63.509166666666715</v>
      </c>
      <c r="AV31" s="288">
        <f t="shared" si="39"/>
        <v>-9.4945666666665431</v>
      </c>
    </row>
    <row r="33" spans="2:2">
      <c r="B33" s="135" t="s">
        <v>365</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H7:H8"/>
    <mergeCell ref="I7:I8"/>
    <mergeCell ref="J7:J8"/>
    <mergeCell ref="K7:K8"/>
    <mergeCell ref="L7:L8"/>
    <mergeCell ref="B21:B22"/>
    <mergeCell ref="D7:D8"/>
    <mergeCell ref="E7:E8"/>
    <mergeCell ref="F7:F8"/>
    <mergeCell ref="G7:G8"/>
    <mergeCell ref="C7:C8"/>
    <mergeCell ref="D21:D22"/>
    <mergeCell ref="E21:E22"/>
    <mergeCell ref="F21:F22"/>
    <mergeCell ref="G21:G22"/>
    <mergeCell ref="H21:H22"/>
    <mergeCell ref="I21:I22"/>
    <mergeCell ref="J21:J22"/>
    <mergeCell ref="K21:K22"/>
    <mergeCell ref="L21:L22"/>
    <mergeCell ref="M21:M22"/>
    <mergeCell ref="N21:N22"/>
    <mergeCell ref="O21:O22"/>
    <mergeCell ref="P21:P22"/>
    <mergeCell ref="P7:P8"/>
    <mergeCell ref="N7:N8"/>
    <mergeCell ref="O7:O8"/>
    <mergeCell ref="M7:M8"/>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AR21:AR22"/>
    <mergeCell ref="AS21:AS22"/>
    <mergeCell ref="AT21:AT22"/>
    <mergeCell ref="AU21:AU22"/>
    <mergeCell ref="AV21:AV22"/>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0" customFormat="1" ht="12.75" customHeight="1">
      <c r="B1" s="532" t="s">
        <v>344</v>
      </c>
      <c r="C1" s="532"/>
      <c r="D1" s="532"/>
      <c r="E1" s="481" t="s">
        <v>114</v>
      </c>
      <c r="F1" s="481"/>
      <c r="G1" s="481"/>
      <c r="N1" s="474"/>
      <c r="O1" s="474"/>
    </row>
    <row r="2" spans="2:18" s="150" customFormat="1" ht="15" customHeight="1">
      <c r="B2" s="532"/>
      <c r="C2" s="532"/>
      <c r="D2" s="532"/>
      <c r="E2" s="481"/>
      <c r="F2" s="481"/>
      <c r="G2" s="481"/>
      <c r="N2" s="474"/>
      <c r="O2" s="474"/>
    </row>
    <row r="3" spans="2:18" s="150" customFormat="1" ht="12.75" customHeight="1">
      <c r="B3" s="532"/>
      <c r="C3" s="532"/>
      <c r="D3" s="532"/>
      <c r="E3" s="481"/>
      <c r="F3" s="481"/>
      <c r="G3" s="481"/>
      <c r="N3" s="474"/>
      <c r="O3" s="474"/>
    </row>
    <row r="4" spans="2:18" ht="18.75" customHeight="1">
      <c r="N4" s="5"/>
      <c r="O4" s="5"/>
      <c r="P4" s="5"/>
      <c r="Q4" s="5"/>
    </row>
    <row r="5" spans="2:18" ht="9" customHeight="1">
      <c r="N5" s="5"/>
      <c r="O5" s="5"/>
      <c r="P5" s="5"/>
      <c r="Q5" s="5"/>
    </row>
    <row r="6" spans="2:18" ht="28.5" customHeight="1">
      <c r="B6" s="531" t="str">
        <f>Cockpit!C9</f>
        <v>Rapfstraße 3/1, Hollabrunn</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125000</v>
      </c>
      <c r="H10" s="6" t="s">
        <v>354</v>
      </c>
      <c r="I10" s="7">
        <f>IF((Cockpit!N17)=0,#N/A,Cockpit!N17)</f>
        <v>100000</v>
      </c>
      <c r="L10" s="6" t="s">
        <v>471</v>
      </c>
      <c r="M10" s="6">
        <f>Cockpit!Q19</f>
        <v>823.68000000000006</v>
      </c>
    </row>
    <row r="11" spans="2:18">
      <c r="C11" s="6" t="s">
        <v>360</v>
      </c>
      <c r="D11" s="7">
        <f>IF(Cockpit!E22=0,#N/A,Cockpit!E22)</f>
        <v>13325</v>
      </c>
      <c r="H11" s="6" t="s">
        <v>240</v>
      </c>
      <c r="I11" s="7" t="e">
        <f>IF((Cockpit!N9-Cockpit!N17)=0,#N/A,Cockpit!N9-Cockpit!N17)</f>
        <v>#N/A</v>
      </c>
      <c r="L11" s="6" t="s">
        <v>79</v>
      </c>
      <c r="N11" s="8">
        <f>-Cockpit!Q20</f>
        <v>208.73206666666664</v>
      </c>
    </row>
    <row r="12" spans="2:18">
      <c r="C12" s="6" t="s">
        <v>361</v>
      </c>
      <c r="D12" s="7" t="e">
        <f>IF(Cockpit!C30=0,#N/A,Cockpit!C30)</f>
        <v>#N/A</v>
      </c>
      <c r="H12" s="6" t="s">
        <v>26</v>
      </c>
      <c r="I12" s="7">
        <f>Cockpit!N10</f>
        <v>38325</v>
      </c>
      <c r="L12" s="6" t="s">
        <v>43</v>
      </c>
      <c r="N12" s="8">
        <f>-Cockpit!Q21</f>
        <v>333.33333333333331</v>
      </c>
    </row>
    <row r="13" spans="2:18">
      <c r="L13" s="6" t="s">
        <v>44</v>
      </c>
      <c r="N13" s="8">
        <f>-Cockpit!Q22</f>
        <v>149.99999999999997</v>
      </c>
    </row>
    <row r="14" spans="2:18">
      <c r="L14" s="6" t="s">
        <v>101</v>
      </c>
      <c r="N14" s="8">
        <f>-Cockpit!Q24</f>
        <v>95.509166666666701</v>
      </c>
    </row>
    <row r="15" spans="2:18">
      <c r="N15" s="8"/>
    </row>
    <row r="18" spans="14:14">
      <c r="N18" s="8"/>
    </row>
    <row r="52" ht="5.25" customHeight="1"/>
    <row r="53" ht="5.25" customHeight="1"/>
    <row r="54" ht="5.25" customHeight="1"/>
    <row r="107" spans="2:2">
      <c r="B107" s="135" t="s">
        <v>365</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0" customFormat="1" ht="12.75" customHeight="1">
      <c r="B1" s="474" t="s">
        <v>344</v>
      </c>
      <c r="C1" s="474"/>
      <c r="D1" s="474"/>
      <c r="F1" s="481" t="s">
        <v>345</v>
      </c>
      <c r="G1" s="481"/>
      <c r="H1" s="481"/>
      <c r="I1" s="481"/>
      <c r="J1" s="481"/>
      <c r="K1" s="481"/>
      <c r="L1" s="481"/>
      <c r="N1" s="474"/>
      <c r="O1" s="474"/>
      <c r="Q1" s="474"/>
      <c r="R1" s="474"/>
      <c r="S1" s="474"/>
      <c r="U1" s="474"/>
      <c r="V1" s="474"/>
    </row>
    <row r="2" spans="1:54" s="150" customFormat="1" ht="15" customHeight="1">
      <c r="B2" s="474"/>
      <c r="C2" s="474"/>
      <c r="D2" s="474"/>
      <c r="F2" s="481"/>
      <c r="G2" s="481"/>
      <c r="H2" s="481"/>
      <c r="I2" s="481"/>
      <c r="J2" s="481"/>
      <c r="K2" s="481"/>
      <c r="L2" s="481"/>
      <c r="N2" s="474"/>
      <c r="O2" s="474"/>
      <c r="Q2" s="474"/>
      <c r="R2" s="474"/>
      <c r="S2" s="474"/>
      <c r="U2" s="474"/>
      <c r="V2" s="474"/>
    </row>
    <row r="3" spans="1:54" s="150" customFormat="1" ht="12.75" customHeight="1">
      <c r="B3" s="474"/>
      <c r="C3" s="474"/>
      <c r="D3" s="474"/>
      <c r="F3" s="481"/>
      <c r="G3" s="481"/>
      <c r="H3" s="481"/>
      <c r="I3" s="481"/>
      <c r="J3" s="481"/>
      <c r="K3" s="481"/>
      <c r="L3" s="481"/>
      <c r="N3" s="474"/>
      <c r="O3" s="474"/>
      <c r="Q3" s="474"/>
      <c r="R3" s="474"/>
      <c r="S3" s="474"/>
      <c r="U3" s="474"/>
      <c r="V3" s="474"/>
    </row>
    <row r="4" spans="1:54" ht="18.75" customHeight="1">
      <c r="J4" s="6"/>
      <c r="K4" s="6"/>
      <c r="L4" s="6"/>
      <c r="M4" s="6"/>
      <c r="N4" s="5"/>
      <c r="O4" s="5"/>
      <c r="P4" s="5"/>
      <c r="Q4" s="5"/>
    </row>
    <row r="5" spans="1:54" s="5" customFormat="1" ht="9" customHeight="1" thickBot="1"/>
    <row r="6" spans="1:54" s="5" customFormat="1" ht="13.5" thickBot="1">
      <c r="A6" s="19"/>
      <c r="B6" s="359" t="s">
        <v>321</v>
      </c>
      <c r="C6" s="370" t="s">
        <v>338</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38" t="s">
        <v>319</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4" t="s">
        <v>254</v>
      </c>
      <c r="C10" s="534"/>
      <c r="D10" s="485"/>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3"/>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3"/>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5.75" thickBot="1">
      <c r="B13" s="502" t="s">
        <v>294</v>
      </c>
      <c r="C13" s="535"/>
      <c r="D13" s="50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8" thickBot="1">
      <c r="A15"/>
      <c r="B15" s="536" t="s">
        <v>295</v>
      </c>
      <c r="C15" s="537"/>
      <c r="D15" s="32"/>
      <c r="E15" s="275"/>
      <c r="J15" s="6"/>
      <c r="K15" s="6"/>
      <c r="L15" s="6"/>
      <c r="M15" s="6"/>
    </row>
    <row r="16" spans="1:54" ht="15.7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4" t="s">
        <v>254</v>
      </c>
      <c r="C17" s="534"/>
      <c r="D17" s="485"/>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3"/>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3"/>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5.75" thickBot="1">
      <c r="B20" s="502" t="s">
        <v>294</v>
      </c>
      <c r="C20" s="535"/>
      <c r="D20" s="50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25" customHeight="1" thickBot="1">
      <c r="J21" s="6"/>
      <c r="K21" s="6"/>
      <c r="L21" s="6"/>
      <c r="M21" s="6"/>
      <c r="O21" s="5"/>
      <c r="P21" s="5"/>
      <c r="Q21" s="5"/>
      <c r="R21" s="5"/>
    </row>
    <row r="22" spans="1:54" ht="18" thickBot="1">
      <c r="A22"/>
      <c r="B22" s="536" t="s">
        <v>296</v>
      </c>
      <c r="C22" s="537"/>
      <c r="D22" s="32"/>
      <c r="E22" s="275"/>
      <c r="J22" s="6"/>
      <c r="K22" s="6"/>
      <c r="L22" s="6"/>
      <c r="M22" s="6"/>
    </row>
    <row r="23" spans="1:54" ht="15.7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4" t="s">
        <v>254</v>
      </c>
      <c r="C24" s="534"/>
      <c r="D24" s="485"/>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3"/>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3"/>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5.75" thickBot="1">
      <c r="B27" s="502" t="s">
        <v>294</v>
      </c>
      <c r="C27" s="535"/>
      <c r="D27" s="50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25" customHeight="1" thickBot="1">
      <c r="J28" s="6"/>
      <c r="K28" s="6"/>
      <c r="L28" s="6"/>
      <c r="M28" s="6"/>
      <c r="O28" s="5"/>
      <c r="P28" s="5"/>
      <c r="Q28" s="5"/>
      <c r="R28" s="5"/>
    </row>
    <row r="29" spans="1:54" ht="18" thickBot="1">
      <c r="A29"/>
      <c r="B29" s="536" t="s">
        <v>297</v>
      </c>
      <c r="C29" s="537"/>
      <c r="D29" s="32"/>
      <c r="E29" s="275"/>
      <c r="J29" s="6"/>
      <c r="K29" s="6"/>
      <c r="L29" s="6"/>
      <c r="M29" s="6"/>
    </row>
    <row r="30" spans="1:54" ht="15.7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4" t="s">
        <v>254</v>
      </c>
      <c r="C31" s="534"/>
      <c r="D31" s="485"/>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3"/>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3"/>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5.75" thickBot="1">
      <c r="B34" s="502" t="s">
        <v>294</v>
      </c>
      <c r="C34" s="535"/>
      <c r="D34" s="50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25" customHeight="1" thickBot="1">
      <c r="J35" s="6"/>
      <c r="K35" s="6"/>
      <c r="L35" s="6"/>
      <c r="M35" s="6"/>
      <c r="O35" s="5"/>
      <c r="P35" s="5"/>
      <c r="Q35" s="5"/>
      <c r="R35" s="5"/>
    </row>
    <row r="36" spans="1:54" ht="18" thickBot="1">
      <c r="A36"/>
      <c r="B36" s="536" t="s">
        <v>298</v>
      </c>
      <c r="C36" s="537"/>
      <c r="D36" s="32"/>
      <c r="E36" s="275"/>
      <c r="J36" s="6"/>
      <c r="K36" s="6"/>
      <c r="L36" s="6"/>
      <c r="M36" s="6"/>
    </row>
    <row r="37" spans="1:54" ht="15.7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4" t="s">
        <v>254</v>
      </c>
      <c r="C38" s="534"/>
      <c r="D38" s="485"/>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3"/>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3"/>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5.75" thickBot="1">
      <c r="B41" s="502" t="s">
        <v>294</v>
      </c>
      <c r="C41" s="535"/>
      <c r="D41" s="50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25" customHeight="1" thickBot="1">
      <c r="J42" s="6"/>
      <c r="K42" s="6"/>
      <c r="L42" s="6"/>
      <c r="M42" s="6"/>
      <c r="O42" s="5"/>
      <c r="P42" s="5"/>
      <c r="Q42" s="5"/>
      <c r="R42" s="5"/>
    </row>
    <row r="43" spans="1:54" ht="18" thickBot="1">
      <c r="A43"/>
      <c r="B43" s="536" t="s">
        <v>288</v>
      </c>
      <c r="C43" s="537"/>
      <c r="D43" s="32"/>
      <c r="E43" s="275"/>
      <c r="J43" s="6"/>
      <c r="K43" s="6"/>
      <c r="L43" s="6"/>
      <c r="M43" s="6"/>
    </row>
    <row r="44" spans="1:54" ht="15.7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4" t="s">
        <v>254</v>
      </c>
      <c r="C45" s="534"/>
      <c r="D45" s="485"/>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3"/>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3"/>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5.75" thickBot="1">
      <c r="B48" s="502" t="s">
        <v>294</v>
      </c>
      <c r="C48" s="535"/>
      <c r="D48" s="50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25" customHeight="1" thickBot="1">
      <c r="J49" s="6"/>
      <c r="K49" s="6"/>
      <c r="L49" s="6"/>
      <c r="M49" s="6"/>
      <c r="O49" s="5"/>
      <c r="P49" s="5"/>
      <c r="Q49" s="5"/>
      <c r="R49" s="5"/>
    </row>
    <row r="50" spans="1:54" ht="18" thickBot="1">
      <c r="A50"/>
      <c r="B50" s="536" t="s">
        <v>289</v>
      </c>
      <c r="C50" s="537"/>
      <c r="D50" s="32"/>
      <c r="E50" s="275"/>
      <c r="J50" s="6"/>
      <c r="K50" s="6"/>
      <c r="L50" s="6"/>
      <c r="M50" s="6"/>
    </row>
    <row r="51" spans="1:54" ht="15.7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4" t="s">
        <v>254</v>
      </c>
      <c r="C52" s="534"/>
      <c r="D52" s="485"/>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3"/>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3"/>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5.75" thickBot="1">
      <c r="B55" s="502" t="s">
        <v>294</v>
      </c>
      <c r="C55" s="535"/>
      <c r="D55" s="50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25" customHeight="1" thickBot="1">
      <c r="J56" s="6"/>
      <c r="K56" s="6"/>
      <c r="L56" s="6"/>
      <c r="M56" s="6"/>
      <c r="O56" s="5"/>
      <c r="P56" s="5"/>
      <c r="Q56" s="5"/>
      <c r="R56" s="5"/>
    </row>
    <row r="57" spans="1:54" ht="18" thickBot="1">
      <c r="A57"/>
      <c r="B57" s="536" t="s">
        <v>290</v>
      </c>
      <c r="C57" s="537"/>
      <c r="D57" s="32"/>
      <c r="E57" s="275"/>
      <c r="J57" s="6"/>
      <c r="K57" s="6"/>
      <c r="L57" s="6"/>
      <c r="M57" s="6"/>
    </row>
    <row r="58" spans="1:54" ht="15.7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4" t="s">
        <v>254</v>
      </c>
      <c r="C59" s="534"/>
      <c r="D59" s="485"/>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3"/>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3"/>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5.75" thickBot="1">
      <c r="B62" s="502" t="s">
        <v>294</v>
      </c>
      <c r="C62" s="535"/>
      <c r="D62" s="50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25" customHeight="1" thickBot="1">
      <c r="J63" s="6"/>
      <c r="K63" s="6"/>
      <c r="L63" s="6"/>
      <c r="M63" s="6"/>
      <c r="O63" s="5"/>
      <c r="P63" s="5"/>
      <c r="Q63" s="5"/>
      <c r="R63" s="5"/>
    </row>
    <row r="64" spans="1:54" ht="18" thickBot="1">
      <c r="A64"/>
      <c r="B64" s="536" t="s">
        <v>291</v>
      </c>
      <c r="C64" s="537"/>
      <c r="D64" s="32"/>
      <c r="E64" s="275"/>
      <c r="J64" s="6"/>
      <c r="K64" s="6"/>
      <c r="L64" s="6"/>
      <c r="M64" s="6"/>
    </row>
    <row r="65" spans="1:54" ht="15.7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4" t="s">
        <v>254</v>
      </c>
      <c r="C66" s="534"/>
      <c r="D66" s="485"/>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3"/>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3"/>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5.75" thickBot="1">
      <c r="B69" s="502" t="s">
        <v>294</v>
      </c>
      <c r="C69" s="535"/>
      <c r="D69" s="50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25" customHeight="1" thickBot="1">
      <c r="J70" s="6"/>
      <c r="K70" s="6"/>
      <c r="L70" s="6"/>
      <c r="M70" s="6"/>
      <c r="O70" s="5"/>
      <c r="P70" s="5"/>
      <c r="Q70" s="5"/>
      <c r="R70" s="5"/>
    </row>
    <row r="71" spans="1:54" ht="18" thickBot="1">
      <c r="A71"/>
      <c r="B71" s="536" t="s">
        <v>299</v>
      </c>
      <c r="C71" s="537"/>
      <c r="D71" s="32"/>
      <c r="E71" s="275"/>
      <c r="J71" s="6"/>
      <c r="K71" s="6"/>
      <c r="L71" s="6"/>
      <c r="M71" s="6"/>
    </row>
    <row r="72" spans="1:54" ht="15.7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4" t="s">
        <v>254</v>
      </c>
      <c r="C73" s="534"/>
      <c r="D73" s="485"/>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3"/>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3"/>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5.75" thickBot="1">
      <c r="B76" s="502" t="s">
        <v>294</v>
      </c>
      <c r="C76" s="535"/>
      <c r="D76" s="50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25" customHeight="1" thickBot="1">
      <c r="J77" s="6"/>
      <c r="K77" s="6"/>
      <c r="L77" s="6"/>
      <c r="M77" s="6"/>
      <c r="O77" s="5"/>
      <c r="P77" s="5"/>
      <c r="Q77" s="5"/>
      <c r="R77" s="5"/>
    </row>
    <row r="78" spans="1:54" ht="18" thickBot="1">
      <c r="A78"/>
      <c r="B78" s="536" t="s">
        <v>292</v>
      </c>
      <c r="C78" s="537"/>
      <c r="D78" s="32"/>
      <c r="E78" s="275"/>
      <c r="J78" s="6"/>
      <c r="K78" s="6"/>
      <c r="L78" s="6"/>
      <c r="M78" s="6"/>
    </row>
    <row r="79" spans="1:54" ht="15.7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4" t="s">
        <v>254</v>
      </c>
      <c r="C80" s="534"/>
      <c r="D80" s="485"/>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3"/>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3"/>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5.75" thickBot="1">
      <c r="B83" s="502" t="s">
        <v>294</v>
      </c>
      <c r="C83" s="535"/>
      <c r="D83" s="50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25" customHeight="1" thickBot="1">
      <c r="J84" s="6"/>
      <c r="K84" s="6"/>
      <c r="L84" s="6"/>
      <c r="M84" s="6"/>
      <c r="O84" s="5"/>
      <c r="P84" s="5"/>
      <c r="Q84" s="5"/>
      <c r="R84" s="5"/>
    </row>
    <row r="85" spans="1:54" ht="18" thickBot="1">
      <c r="A85"/>
      <c r="B85" s="536" t="s">
        <v>293</v>
      </c>
      <c r="C85" s="537"/>
      <c r="D85" s="32"/>
      <c r="E85" s="275"/>
      <c r="J85" s="6"/>
      <c r="K85" s="6"/>
      <c r="L85" s="6"/>
      <c r="M85" s="6"/>
    </row>
    <row r="86" spans="1:54" ht="15.7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4" t="s">
        <v>254</v>
      </c>
      <c r="C87" s="534"/>
      <c r="D87" s="485"/>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3"/>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3"/>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5.75" thickBot="1">
      <c r="B90" s="502" t="s">
        <v>294</v>
      </c>
      <c r="C90" s="535"/>
      <c r="D90" s="50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25" customHeight="1" thickBot="1">
      <c r="J91" s="6"/>
      <c r="K91" s="6"/>
      <c r="L91" s="6"/>
      <c r="M91" s="6"/>
      <c r="O91" s="5"/>
      <c r="P91" s="5"/>
      <c r="Q91" s="5"/>
      <c r="R91" s="5"/>
    </row>
    <row r="92" spans="1:54" ht="18" thickBot="1">
      <c r="A92"/>
      <c r="B92" s="536" t="s">
        <v>300</v>
      </c>
      <c r="C92" s="537"/>
      <c r="D92" s="32"/>
      <c r="E92" s="275"/>
      <c r="J92" s="6"/>
      <c r="K92" s="6"/>
      <c r="L92" s="6"/>
      <c r="M92" s="6"/>
    </row>
    <row r="93" spans="1:54" ht="15.7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4" t="s">
        <v>254</v>
      </c>
      <c r="C94" s="534"/>
      <c r="D94" s="485"/>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3"/>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3"/>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5.75" thickBot="1">
      <c r="B97" s="502" t="s">
        <v>294</v>
      </c>
      <c r="C97" s="535"/>
      <c r="D97" s="50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25" customHeight="1" thickBot="1">
      <c r="J98" s="6"/>
      <c r="K98" s="6"/>
      <c r="L98" s="6"/>
      <c r="M98" s="6"/>
      <c r="O98" s="5"/>
      <c r="P98" s="5"/>
      <c r="Q98" s="5"/>
      <c r="R98" s="5"/>
    </row>
    <row r="99" spans="1:54" ht="18" thickBot="1">
      <c r="A99"/>
      <c r="B99" s="536" t="s">
        <v>301</v>
      </c>
      <c r="C99" s="537"/>
      <c r="D99" s="32"/>
      <c r="E99" s="275"/>
      <c r="J99" s="6"/>
      <c r="K99" s="6"/>
      <c r="L99" s="6"/>
      <c r="M99" s="6"/>
    </row>
    <row r="100" spans="1:54" ht="15.7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4" t="s">
        <v>254</v>
      </c>
      <c r="C101" s="534"/>
      <c r="D101" s="485"/>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3"/>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3"/>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5.75" thickBot="1">
      <c r="B104" s="502" t="s">
        <v>294</v>
      </c>
      <c r="C104" s="535"/>
      <c r="D104" s="50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25" customHeight="1" thickBot="1">
      <c r="J105" s="6"/>
      <c r="K105" s="6"/>
      <c r="L105" s="6"/>
      <c r="M105" s="6"/>
      <c r="O105" s="5"/>
      <c r="P105" s="5"/>
      <c r="Q105" s="5"/>
      <c r="R105" s="5"/>
    </row>
    <row r="106" spans="1:54" ht="18" thickBot="1">
      <c r="A106"/>
      <c r="B106" s="536" t="s">
        <v>302</v>
      </c>
      <c r="C106" s="537"/>
      <c r="D106" s="32"/>
      <c r="E106" s="275"/>
      <c r="J106" s="6"/>
      <c r="K106" s="6"/>
      <c r="L106" s="6"/>
      <c r="M106" s="6"/>
    </row>
    <row r="107" spans="1:54" ht="15.7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4" t="s">
        <v>254</v>
      </c>
      <c r="C108" s="534"/>
      <c r="D108" s="485"/>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3"/>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3"/>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5.75" thickBot="1">
      <c r="B111" s="502" t="s">
        <v>294</v>
      </c>
      <c r="C111" s="535"/>
      <c r="D111" s="50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25" customHeight="1" thickBot="1">
      <c r="J112" s="6"/>
      <c r="K112" s="6"/>
      <c r="L112" s="6"/>
      <c r="M112" s="6"/>
      <c r="O112" s="5"/>
      <c r="P112" s="5"/>
      <c r="Q112" s="5"/>
      <c r="R112" s="5"/>
    </row>
    <row r="113" spans="1:54" ht="18" thickBot="1">
      <c r="A113"/>
      <c r="B113" s="536" t="s">
        <v>303</v>
      </c>
      <c r="C113" s="537"/>
      <c r="D113" s="32"/>
      <c r="E113" s="275"/>
      <c r="J113" s="6"/>
      <c r="K113" s="6"/>
      <c r="L113" s="6"/>
      <c r="M113" s="6"/>
    </row>
    <row r="114" spans="1:54" ht="15.7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4" t="s">
        <v>254</v>
      </c>
      <c r="C115" s="534"/>
      <c r="D115" s="485"/>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3"/>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3"/>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5.75" thickBot="1">
      <c r="B118" s="502" t="s">
        <v>294</v>
      </c>
      <c r="C118" s="535"/>
      <c r="D118" s="50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25" customHeight="1" thickBot="1">
      <c r="J119" s="6"/>
      <c r="K119" s="6"/>
      <c r="L119" s="6"/>
      <c r="M119" s="6"/>
      <c r="O119" s="5"/>
      <c r="P119" s="5"/>
      <c r="Q119" s="5"/>
      <c r="R119" s="5"/>
    </row>
    <row r="120" spans="1:54" ht="18" thickBot="1">
      <c r="A120"/>
      <c r="B120" s="536" t="s">
        <v>304</v>
      </c>
      <c r="C120" s="537"/>
      <c r="D120" s="32"/>
      <c r="E120" s="275"/>
      <c r="J120" s="6"/>
      <c r="K120" s="6"/>
      <c r="L120" s="6"/>
      <c r="M120" s="6"/>
    </row>
    <row r="121" spans="1:54" ht="15.7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4" t="s">
        <v>254</v>
      </c>
      <c r="C122" s="534"/>
      <c r="D122" s="485"/>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3"/>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3"/>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5.75" thickBot="1">
      <c r="B125" s="502" t="s">
        <v>294</v>
      </c>
      <c r="C125" s="535"/>
      <c r="D125" s="50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25" customHeight="1" thickBot="1">
      <c r="J126" s="6"/>
      <c r="K126" s="6"/>
      <c r="L126" s="6"/>
      <c r="M126" s="6"/>
      <c r="O126" s="5"/>
      <c r="P126" s="5"/>
      <c r="Q126" s="5"/>
      <c r="R126" s="5"/>
    </row>
    <row r="127" spans="1:54" ht="18" thickBot="1">
      <c r="A127"/>
      <c r="B127" s="536" t="s">
        <v>305</v>
      </c>
      <c r="C127" s="537"/>
      <c r="D127" s="32"/>
      <c r="E127" s="275"/>
      <c r="J127" s="6"/>
      <c r="K127" s="6"/>
      <c r="L127" s="6"/>
      <c r="M127" s="6"/>
    </row>
    <row r="128" spans="1:54" ht="15.7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4" t="s">
        <v>254</v>
      </c>
      <c r="C129" s="534"/>
      <c r="D129" s="485"/>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3"/>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3"/>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5.75" thickBot="1">
      <c r="B132" s="502" t="s">
        <v>294</v>
      </c>
      <c r="C132" s="535"/>
      <c r="D132" s="50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25" customHeight="1" thickBot="1">
      <c r="J133" s="6"/>
      <c r="K133" s="6"/>
      <c r="L133" s="6"/>
      <c r="M133" s="6"/>
      <c r="O133" s="5"/>
      <c r="P133" s="5"/>
      <c r="Q133" s="5"/>
      <c r="R133" s="5"/>
    </row>
    <row r="134" spans="1:54" ht="18" thickBot="1">
      <c r="A134"/>
      <c r="B134" s="536" t="s">
        <v>306</v>
      </c>
      <c r="C134" s="537"/>
      <c r="D134" s="32"/>
      <c r="E134" s="275"/>
      <c r="J134" s="6"/>
      <c r="K134" s="6"/>
      <c r="L134" s="6"/>
      <c r="M134" s="6"/>
    </row>
    <row r="135" spans="1:54" ht="15.7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4" t="s">
        <v>254</v>
      </c>
      <c r="C136" s="534"/>
      <c r="D136" s="485"/>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3"/>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3"/>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5.75" thickBot="1">
      <c r="B139" s="502" t="s">
        <v>294</v>
      </c>
      <c r="C139" s="535"/>
      <c r="D139" s="50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25" customHeight="1" thickBot="1">
      <c r="J140" s="6"/>
      <c r="K140" s="6"/>
      <c r="L140" s="6"/>
      <c r="M140" s="6"/>
      <c r="O140" s="5"/>
      <c r="P140" s="5"/>
      <c r="Q140" s="5"/>
      <c r="R140" s="5"/>
    </row>
    <row r="141" spans="1:54" ht="18" thickBot="1">
      <c r="A141"/>
      <c r="B141" s="536" t="s">
        <v>307</v>
      </c>
      <c r="C141" s="537"/>
      <c r="D141" s="32"/>
      <c r="E141" s="275"/>
      <c r="J141" s="6"/>
      <c r="K141" s="6"/>
      <c r="L141" s="6"/>
      <c r="M141" s="6"/>
    </row>
    <row r="142" spans="1:54" ht="15.7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4" t="s">
        <v>254</v>
      </c>
      <c r="C143" s="534"/>
      <c r="D143" s="485"/>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3"/>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3"/>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5.75" thickBot="1">
      <c r="B146" s="502" t="s">
        <v>294</v>
      </c>
      <c r="C146" s="535"/>
      <c r="D146" s="50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25" customHeight="1" thickBot="1">
      <c r="J147" s="6"/>
      <c r="K147" s="6"/>
      <c r="L147" s="6"/>
      <c r="M147" s="6"/>
      <c r="O147" s="5"/>
      <c r="P147" s="5"/>
      <c r="Q147" s="5"/>
      <c r="R147" s="5"/>
    </row>
    <row r="148" spans="1:54" ht="18" thickBot="1">
      <c r="A148"/>
      <c r="B148" s="536" t="s">
        <v>308</v>
      </c>
      <c r="C148" s="537"/>
      <c r="D148" s="32"/>
      <c r="E148" s="275"/>
      <c r="J148" s="6"/>
      <c r="K148" s="6"/>
      <c r="L148" s="6"/>
      <c r="M148" s="6"/>
    </row>
    <row r="149" spans="1:54" ht="15.7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4" t="s">
        <v>254</v>
      </c>
      <c r="C150" s="534"/>
      <c r="D150" s="485"/>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3"/>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3"/>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5.75" thickBot="1">
      <c r="B153" s="502" t="s">
        <v>294</v>
      </c>
      <c r="C153" s="535"/>
      <c r="D153" s="50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25" customHeight="1" thickBot="1">
      <c r="J154" s="6"/>
      <c r="K154" s="6"/>
      <c r="L154" s="6"/>
      <c r="M154" s="6"/>
      <c r="O154" s="5"/>
      <c r="P154" s="5"/>
      <c r="Q154" s="5"/>
      <c r="R154" s="5"/>
    </row>
    <row r="155" spans="1:54" ht="18" thickBot="1">
      <c r="A155"/>
      <c r="B155" s="536" t="s">
        <v>309</v>
      </c>
      <c r="C155" s="537"/>
      <c r="D155" s="32"/>
      <c r="E155" s="275"/>
      <c r="J155" s="6"/>
      <c r="K155" s="6"/>
      <c r="L155" s="6"/>
      <c r="M155" s="6"/>
    </row>
    <row r="156" spans="1:54" ht="15.7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4" t="s">
        <v>254</v>
      </c>
      <c r="C157" s="534"/>
      <c r="D157" s="485"/>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3"/>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3"/>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5.75" thickBot="1">
      <c r="B160" s="502" t="s">
        <v>294</v>
      </c>
      <c r="C160" s="535"/>
      <c r="D160" s="50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25" customHeight="1" thickBot="1">
      <c r="J161" s="6"/>
      <c r="K161" s="6"/>
      <c r="L161" s="6"/>
      <c r="M161" s="6"/>
      <c r="O161" s="5"/>
      <c r="P161" s="5"/>
      <c r="Q161" s="5"/>
      <c r="R161" s="5"/>
    </row>
    <row r="162" spans="1:54" ht="18" thickBot="1">
      <c r="A162"/>
      <c r="B162" s="536" t="s">
        <v>310</v>
      </c>
      <c r="C162" s="537"/>
      <c r="D162" s="32"/>
      <c r="E162" s="275"/>
      <c r="J162" s="6"/>
      <c r="K162" s="6"/>
      <c r="L162" s="6"/>
      <c r="M162" s="6"/>
    </row>
    <row r="163" spans="1:54" ht="15.7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4" t="s">
        <v>254</v>
      </c>
      <c r="C164" s="534"/>
      <c r="D164" s="485"/>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3"/>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3"/>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5.75" thickBot="1">
      <c r="B167" s="502" t="s">
        <v>294</v>
      </c>
      <c r="C167" s="535"/>
      <c r="D167" s="50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25" customHeight="1" thickBot="1">
      <c r="J168" s="6"/>
      <c r="K168" s="6"/>
      <c r="L168" s="6"/>
      <c r="M168" s="6"/>
      <c r="O168" s="5"/>
      <c r="P168" s="5"/>
      <c r="Q168" s="5"/>
      <c r="R168" s="5"/>
    </row>
    <row r="169" spans="1:54" ht="18" thickBot="1">
      <c r="A169"/>
      <c r="B169" s="536" t="s">
        <v>311</v>
      </c>
      <c r="C169" s="537"/>
      <c r="D169" s="32"/>
      <c r="E169" s="275"/>
      <c r="J169" s="6"/>
      <c r="K169" s="6"/>
      <c r="L169" s="6"/>
      <c r="M169" s="6"/>
    </row>
    <row r="170" spans="1:54" ht="15.7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4" t="s">
        <v>254</v>
      </c>
      <c r="C171" s="534"/>
      <c r="D171" s="485"/>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3"/>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3"/>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5.75" thickBot="1">
      <c r="B174" s="502" t="s">
        <v>294</v>
      </c>
      <c r="C174" s="535"/>
      <c r="D174" s="50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25" customHeight="1" thickBot="1">
      <c r="J175" s="6"/>
      <c r="K175" s="6"/>
      <c r="L175" s="6"/>
      <c r="M175" s="6"/>
      <c r="O175" s="5"/>
      <c r="P175" s="5"/>
      <c r="Q175" s="5"/>
      <c r="R175" s="5"/>
    </row>
    <row r="176" spans="1:54" ht="18" thickBot="1">
      <c r="A176"/>
      <c r="B176" s="536" t="s">
        <v>312</v>
      </c>
      <c r="C176" s="537"/>
      <c r="D176" s="32"/>
      <c r="E176" s="275"/>
      <c r="J176" s="6"/>
      <c r="K176" s="6"/>
      <c r="L176" s="6"/>
      <c r="M176" s="6"/>
    </row>
    <row r="177" spans="1:54" ht="15.7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4" t="s">
        <v>254</v>
      </c>
      <c r="C178" s="534"/>
      <c r="D178" s="485"/>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3"/>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3"/>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5.75" thickBot="1">
      <c r="B181" s="502" t="s">
        <v>294</v>
      </c>
      <c r="C181" s="535"/>
      <c r="D181" s="50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25" customHeight="1" thickBot="1">
      <c r="J182" s="6"/>
      <c r="K182" s="6"/>
      <c r="L182" s="6"/>
      <c r="M182" s="6"/>
      <c r="O182" s="5"/>
      <c r="P182" s="5"/>
      <c r="Q182" s="5"/>
      <c r="R182" s="5"/>
    </row>
    <row r="183" spans="1:54" ht="18" thickBot="1">
      <c r="A183"/>
      <c r="B183" s="536" t="s">
        <v>313</v>
      </c>
      <c r="C183" s="537"/>
      <c r="D183" s="32"/>
      <c r="E183" s="275"/>
      <c r="J183" s="6"/>
      <c r="K183" s="6"/>
      <c r="L183" s="6"/>
      <c r="M183" s="6"/>
    </row>
    <row r="184" spans="1:54" ht="15.7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4" t="s">
        <v>254</v>
      </c>
      <c r="C185" s="534"/>
      <c r="D185" s="485"/>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3"/>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3"/>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5.75" thickBot="1">
      <c r="B188" s="502" t="s">
        <v>294</v>
      </c>
      <c r="C188" s="535"/>
      <c r="D188" s="50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25" customHeight="1" thickBot="1">
      <c r="J189" s="6"/>
      <c r="K189" s="6"/>
      <c r="L189" s="6"/>
      <c r="M189" s="6"/>
      <c r="O189" s="5"/>
      <c r="P189" s="5"/>
      <c r="Q189" s="5"/>
      <c r="R189" s="5"/>
    </row>
    <row r="190" spans="1:54" ht="18" thickBot="1">
      <c r="A190"/>
      <c r="B190" s="536" t="s">
        <v>314</v>
      </c>
      <c r="C190" s="537"/>
      <c r="D190" s="32"/>
      <c r="E190" s="275"/>
      <c r="J190" s="6"/>
      <c r="K190" s="6"/>
      <c r="L190" s="6"/>
      <c r="M190" s="6"/>
    </row>
    <row r="191" spans="1:54" ht="15.7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4" t="s">
        <v>254</v>
      </c>
      <c r="C192" s="534"/>
      <c r="D192" s="485"/>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3"/>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3"/>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5.75" thickBot="1">
      <c r="B195" s="502" t="s">
        <v>294</v>
      </c>
      <c r="C195" s="535"/>
      <c r="D195" s="50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25" customHeight="1" thickBot="1">
      <c r="J196" s="6"/>
      <c r="K196" s="6"/>
      <c r="L196" s="6"/>
      <c r="M196" s="6"/>
      <c r="O196" s="5"/>
      <c r="P196" s="5"/>
      <c r="Q196" s="5"/>
      <c r="R196" s="5"/>
    </row>
    <row r="197" spans="1:54" ht="18" thickBot="1">
      <c r="A197"/>
      <c r="B197" s="536" t="s">
        <v>315</v>
      </c>
      <c r="C197" s="537"/>
      <c r="D197" s="32"/>
      <c r="E197" s="275"/>
      <c r="J197" s="6"/>
      <c r="K197" s="6"/>
      <c r="L197" s="6"/>
      <c r="M197" s="6"/>
    </row>
    <row r="198" spans="1:54" ht="15.7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4" t="s">
        <v>254</v>
      </c>
      <c r="C199" s="534"/>
      <c r="D199" s="485"/>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3"/>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3"/>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5.75" thickBot="1">
      <c r="B202" s="502" t="s">
        <v>294</v>
      </c>
      <c r="C202" s="535"/>
      <c r="D202" s="50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25" customHeight="1" thickBot="1">
      <c r="J203" s="6"/>
      <c r="K203" s="6"/>
      <c r="L203" s="6"/>
      <c r="M203" s="6"/>
      <c r="O203" s="5"/>
      <c r="P203" s="5"/>
      <c r="Q203" s="5"/>
      <c r="R203" s="5"/>
    </row>
    <row r="204" spans="1:54" ht="18" thickBot="1">
      <c r="A204"/>
      <c r="B204" s="536" t="s">
        <v>316</v>
      </c>
      <c r="C204" s="537"/>
      <c r="D204" s="32"/>
      <c r="E204" s="275"/>
      <c r="J204" s="6"/>
      <c r="K204" s="6"/>
      <c r="L204" s="6"/>
      <c r="M204" s="6"/>
    </row>
    <row r="205" spans="1:54" ht="15.7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4" t="s">
        <v>254</v>
      </c>
      <c r="C206" s="534"/>
      <c r="D206" s="485"/>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3"/>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3"/>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5.75" thickBot="1">
      <c r="B209" s="502" t="s">
        <v>294</v>
      </c>
      <c r="C209" s="535"/>
      <c r="D209" s="50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25" customHeight="1" thickBot="1">
      <c r="J210" s="6"/>
      <c r="K210" s="6"/>
      <c r="L210" s="6"/>
      <c r="M210" s="6"/>
      <c r="O210" s="5"/>
      <c r="P210" s="5"/>
      <c r="Q210" s="5"/>
      <c r="R210" s="5"/>
    </row>
    <row r="211" spans="1:54" ht="18" thickBot="1">
      <c r="A211"/>
      <c r="B211" s="536" t="s">
        <v>317</v>
      </c>
      <c r="C211" s="537"/>
      <c r="D211" s="32"/>
      <c r="E211" s="275"/>
      <c r="J211" s="6"/>
      <c r="K211" s="6"/>
      <c r="L211" s="6"/>
      <c r="M211" s="6"/>
    </row>
    <row r="212" spans="1:54" ht="15.7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4" t="s">
        <v>254</v>
      </c>
      <c r="C213" s="534"/>
      <c r="D213" s="485"/>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3"/>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3"/>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5.75" thickBot="1">
      <c r="B216" s="502" t="s">
        <v>294</v>
      </c>
      <c r="C216" s="535"/>
      <c r="D216" s="50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25" customHeight="1" thickBot="1">
      <c r="J217" s="6"/>
      <c r="K217" s="6"/>
      <c r="L217" s="6"/>
      <c r="M217" s="6"/>
      <c r="O217" s="5"/>
      <c r="P217" s="5"/>
      <c r="Q217" s="5"/>
      <c r="R217" s="5"/>
    </row>
    <row r="218" spans="1:54" ht="18" thickBot="1">
      <c r="A218"/>
      <c r="B218" s="536" t="s">
        <v>318</v>
      </c>
      <c r="C218" s="537"/>
      <c r="D218" s="32"/>
      <c r="E218" s="275"/>
      <c r="J218" s="6"/>
      <c r="K218" s="6"/>
      <c r="L218" s="6"/>
      <c r="M218" s="6"/>
    </row>
    <row r="219" spans="1:54" ht="15.7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4" t="s">
        <v>254</v>
      </c>
      <c r="C220" s="534"/>
      <c r="D220" s="485"/>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3"/>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3"/>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5.75" thickBot="1">
      <c r="B223" s="502" t="s">
        <v>294</v>
      </c>
      <c r="C223" s="535"/>
      <c r="D223" s="50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365</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09:D109"/>
    <mergeCell ref="B110:D110"/>
    <mergeCell ref="B111:D111"/>
    <mergeCell ref="B137:D137"/>
    <mergeCell ref="B138:D138"/>
    <mergeCell ref="B139:D139"/>
    <mergeCell ref="B141:C141"/>
    <mergeCell ref="B143:D143"/>
    <mergeCell ref="B144:D144"/>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0" customFormat="1" ht="12.75" customHeight="1">
      <c r="B1" s="474" t="s">
        <v>344</v>
      </c>
      <c r="C1" s="475" t="s">
        <v>342</v>
      </c>
      <c r="D1" s="475"/>
      <c r="E1" s="475"/>
      <c r="F1" s="475"/>
      <c r="H1" s="238"/>
      <c r="K1" s="474"/>
      <c r="L1" s="474"/>
      <c r="M1" s="237"/>
      <c r="N1" s="474"/>
      <c r="O1" s="474"/>
      <c r="P1" s="237"/>
      <c r="Q1" s="474"/>
      <c r="R1" s="474"/>
      <c r="T1" s="474"/>
      <c r="U1" s="424"/>
    </row>
    <row r="2" spans="1:21" s="150" customFormat="1" ht="15" customHeight="1">
      <c r="B2" s="474"/>
      <c r="C2" s="475"/>
      <c r="D2" s="475"/>
      <c r="E2" s="475"/>
      <c r="F2" s="475"/>
      <c r="H2" s="238"/>
      <c r="K2" s="474"/>
      <c r="L2" s="474"/>
      <c r="M2" s="237"/>
      <c r="N2" s="474"/>
      <c r="O2" s="474"/>
      <c r="P2" s="237"/>
      <c r="Q2" s="474"/>
      <c r="R2" s="474"/>
      <c r="T2" s="474"/>
      <c r="U2" s="424"/>
    </row>
    <row r="3" spans="1:21" s="150" customFormat="1" ht="12.75" customHeight="1">
      <c r="B3" s="474"/>
      <c r="C3" s="475"/>
      <c r="D3" s="475"/>
      <c r="E3" s="475"/>
      <c r="F3" s="475"/>
      <c r="H3" s="238"/>
      <c r="K3" s="474"/>
      <c r="L3" s="474"/>
      <c r="M3" s="237"/>
      <c r="N3" s="474"/>
      <c r="O3" s="474"/>
      <c r="P3" s="237"/>
      <c r="Q3" s="474"/>
      <c r="R3" s="474"/>
      <c r="T3" s="474"/>
      <c r="U3" s="424"/>
    </row>
    <row r="4" spans="1:21" s="6" customFormat="1" ht="18.75" customHeight="1">
      <c r="M4" s="5"/>
      <c r="N4" s="5"/>
      <c r="O4" s="5"/>
      <c r="P4" s="5"/>
    </row>
    <row r="5" spans="1:21" ht="15.75" customHeight="1" thickBot="1">
      <c r="A5" s="372" t="s">
        <v>231</v>
      </c>
      <c r="B5" s="371" t="s">
        <v>230</v>
      </c>
      <c r="C5" s="13"/>
      <c r="E5" s="6"/>
      <c r="F5" s="5"/>
      <c r="G5" s="5"/>
    </row>
    <row r="6" spans="1:21" ht="26.25" customHeight="1" thickBot="1">
      <c r="A6" s="373"/>
      <c r="B6" s="374" t="s">
        <v>206</v>
      </c>
      <c r="C6" s="375" t="s">
        <v>207</v>
      </c>
      <c r="D6" s="375" t="s">
        <v>208</v>
      </c>
      <c r="E6" s="375" t="s">
        <v>233</v>
      </c>
      <c r="F6" s="376" t="s">
        <v>232</v>
      </c>
      <c r="G6" s="376" t="s">
        <v>234</v>
      </c>
      <c r="H6" s="376" t="s">
        <v>209</v>
      </c>
      <c r="I6" s="376" t="s">
        <v>210</v>
      </c>
      <c r="J6" s="558" t="s">
        <v>148</v>
      </c>
      <c r="K6" s="559"/>
    </row>
    <row r="7" spans="1:21" s="6" customFormat="1" ht="10.5" customHeight="1">
      <c r="A7" s="15" t="s">
        <v>229</v>
      </c>
    </row>
    <row r="8" spans="1:21" s="6" customFormat="1" ht="15" customHeight="1">
      <c r="A8" s="15"/>
      <c r="B8" s="540" t="s">
        <v>375</v>
      </c>
      <c r="C8" s="540"/>
      <c r="D8" s="540"/>
      <c r="E8" s="540"/>
      <c r="F8" s="540"/>
      <c r="G8" s="540"/>
      <c r="H8" s="540"/>
      <c r="I8" s="540"/>
      <c r="J8" s="540"/>
      <c r="K8" s="540"/>
    </row>
    <row r="9" spans="1:21" s="6" customFormat="1" ht="10.5" customHeight="1">
      <c r="A9" s="15"/>
      <c r="B9" s="540"/>
      <c r="C9" s="540"/>
      <c r="D9" s="540"/>
      <c r="E9" s="540"/>
      <c r="F9" s="540"/>
      <c r="G9" s="540"/>
      <c r="H9" s="540"/>
      <c r="I9" s="540"/>
      <c r="J9" s="540"/>
      <c r="K9" s="540"/>
    </row>
    <row r="10" spans="1:21" s="6" customFormat="1" ht="10.5" customHeight="1">
      <c r="A10" s="15"/>
      <c r="B10" s="540"/>
      <c r="C10" s="540"/>
      <c r="D10" s="540"/>
      <c r="E10" s="540"/>
      <c r="F10" s="540"/>
      <c r="G10" s="540"/>
      <c r="H10" s="540"/>
      <c r="I10" s="540"/>
      <c r="J10" s="540"/>
      <c r="K10" s="540"/>
    </row>
    <row r="11" spans="1:21" s="6" customFormat="1" ht="10.5" customHeight="1">
      <c r="A11" s="15"/>
      <c r="B11" s="540"/>
      <c r="C11" s="540"/>
      <c r="D11" s="540"/>
      <c r="E11" s="540"/>
      <c r="F11" s="540"/>
      <c r="G11" s="540"/>
      <c r="H11" s="540"/>
      <c r="I11" s="540"/>
      <c r="J11" s="540"/>
      <c r="K11" s="540"/>
    </row>
    <row r="12" spans="1:21" s="6" customFormat="1" ht="10.5" customHeight="1">
      <c r="A12" s="15"/>
      <c r="B12" s="540"/>
      <c r="C12" s="540"/>
      <c r="D12" s="540"/>
      <c r="E12" s="540"/>
      <c r="F12" s="540"/>
      <c r="G12" s="540"/>
      <c r="H12" s="540"/>
      <c r="I12" s="540"/>
      <c r="J12" s="540"/>
      <c r="K12" s="540"/>
    </row>
    <row r="13" spans="1:21" s="6" customFormat="1" ht="10.5" customHeight="1">
      <c r="A13" s="15"/>
      <c r="B13" s="540"/>
      <c r="C13" s="540"/>
      <c r="D13" s="540"/>
      <c r="E13" s="540"/>
      <c r="F13" s="540"/>
      <c r="G13" s="540"/>
      <c r="H13" s="540"/>
      <c r="I13" s="540"/>
      <c r="J13" s="540"/>
      <c r="K13" s="540"/>
    </row>
    <row r="14" spans="1:21" s="6" customFormat="1" ht="10.5" customHeight="1">
      <c r="A14" s="15"/>
      <c r="B14" s="540"/>
      <c r="C14" s="540"/>
      <c r="D14" s="540"/>
      <c r="E14" s="540"/>
      <c r="F14" s="540"/>
      <c r="G14" s="540"/>
      <c r="H14" s="540"/>
      <c r="I14" s="540"/>
      <c r="J14" s="540"/>
      <c r="K14" s="540"/>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79" t="s">
        <v>228</v>
      </c>
      <c r="C16" s="380"/>
      <c r="D16" s="380"/>
      <c r="E16" s="380"/>
      <c r="F16" s="380"/>
      <c r="G16" s="381">
        <f>SUM(G17:G31)</f>
        <v>5810</v>
      </c>
      <c r="H16" s="381">
        <f>SUM(H17:H31)</f>
        <v>4887</v>
      </c>
      <c r="I16" s="381">
        <f>SUM(I17:I31)</f>
        <v>6733</v>
      </c>
      <c r="J16" s="548"/>
      <c r="K16" s="549"/>
    </row>
    <row r="17" spans="1:11">
      <c r="A17" s="14" t="str">
        <f t="shared" ref="A17:A31" si="0">IF(OR(H17&gt;0,I17&gt;0),"Nur Tätigkeiten mit geplantem Aufwand","")</f>
        <v>Nur Tätigkeiten mit geplantem Aufwand</v>
      </c>
      <c r="B17" s="230" t="s">
        <v>211</v>
      </c>
      <c r="C17" s="382" t="s">
        <v>212</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0"/>
      <c r="K17" s="551"/>
    </row>
    <row r="18" spans="1:11">
      <c r="A18" s="14" t="str">
        <f t="shared" si="0"/>
        <v>Nur Tätigkeiten mit geplantem Aufwand</v>
      </c>
      <c r="B18" s="231" t="s">
        <v>213</v>
      </c>
      <c r="C18" s="386" t="s">
        <v>212</v>
      </c>
      <c r="D18" s="387">
        <v>20.5</v>
      </c>
      <c r="E18" s="388">
        <v>10</v>
      </c>
      <c r="F18" s="389">
        <v>200</v>
      </c>
      <c r="G18" s="17">
        <f t="shared" si="1"/>
        <v>4100</v>
      </c>
      <c r="H18" s="17">
        <f t="shared" si="2"/>
        <v>3690</v>
      </c>
      <c r="I18" s="17">
        <f t="shared" si="3"/>
        <v>4510</v>
      </c>
      <c r="J18" s="541"/>
      <c r="K18" s="542"/>
    </row>
    <row r="19" spans="1:11">
      <c r="A19" s="14" t="str">
        <f t="shared" si="0"/>
        <v/>
      </c>
      <c r="B19" s="231"/>
      <c r="C19" s="386"/>
      <c r="D19" s="387"/>
      <c r="E19" s="388"/>
      <c r="F19" s="389"/>
      <c r="G19" s="17">
        <f t="shared" ref="G19" si="4">D19*F19</f>
        <v>0</v>
      </c>
      <c r="H19" s="17">
        <f t="shared" ref="H19" si="5">G19*(100-E19)/100</f>
        <v>0</v>
      </c>
      <c r="I19" s="17">
        <f t="shared" ref="I19" si="6">G19*(100+E19)/100</f>
        <v>0</v>
      </c>
      <c r="J19" s="543"/>
      <c r="K19" s="544"/>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1"/>
      <c r="K20" s="542"/>
    </row>
    <row r="21" spans="1:11">
      <c r="A21" s="14" t="str">
        <f t="shared" si="0"/>
        <v/>
      </c>
      <c r="B21" s="231"/>
      <c r="C21" s="386"/>
      <c r="D21" s="387"/>
      <c r="E21" s="388"/>
      <c r="F21" s="389"/>
      <c r="G21" s="17">
        <f t="shared" si="7"/>
        <v>0</v>
      </c>
      <c r="H21" s="17">
        <f t="shared" si="8"/>
        <v>0</v>
      </c>
      <c r="I21" s="17">
        <f t="shared" si="9"/>
        <v>0</v>
      </c>
      <c r="J21" s="541"/>
      <c r="K21" s="542"/>
    </row>
    <row r="22" spans="1:11">
      <c r="A22" s="14" t="str">
        <f t="shared" si="0"/>
        <v/>
      </c>
      <c r="B22" s="231"/>
      <c r="C22" s="386"/>
      <c r="D22" s="387"/>
      <c r="E22" s="388"/>
      <c r="F22" s="389"/>
      <c r="G22" s="17">
        <f t="shared" si="7"/>
        <v>0</v>
      </c>
      <c r="H22" s="17">
        <f t="shared" si="8"/>
        <v>0</v>
      </c>
      <c r="I22" s="17">
        <f t="shared" si="9"/>
        <v>0</v>
      </c>
      <c r="J22" s="541"/>
      <c r="K22" s="542"/>
    </row>
    <row r="23" spans="1:11">
      <c r="A23" s="14" t="str">
        <f t="shared" si="0"/>
        <v/>
      </c>
      <c r="B23" s="231"/>
      <c r="C23" s="386"/>
      <c r="D23" s="387"/>
      <c r="E23" s="388"/>
      <c r="F23" s="389"/>
      <c r="G23" s="17">
        <f t="shared" si="7"/>
        <v>0</v>
      </c>
      <c r="H23" s="17">
        <f t="shared" si="8"/>
        <v>0</v>
      </c>
      <c r="I23" s="17">
        <f t="shared" si="9"/>
        <v>0</v>
      </c>
      <c r="J23" s="541"/>
      <c r="K23" s="542"/>
    </row>
    <row r="24" spans="1:11">
      <c r="A24" s="14" t="str">
        <f t="shared" si="0"/>
        <v/>
      </c>
      <c r="B24" s="231"/>
      <c r="C24" s="386"/>
      <c r="D24" s="387"/>
      <c r="E24" s="388"/>
      <c r="F24" s="389"/>
      <c r="G24" s="17">
        <f t="shared" si="7"/>
        <v>0</v>
      </c>
      <c r="H24" s="17">
        <f t="shared" si="8"/>
        <v>0</v>
      </c>
      <c r="I24" s="17">
        <f t="shared" si="9"/>
        <v>0</v>
      </c>
      <c r="J24" s="541"/>
      <c r="K24" s="542"/>
    </row>
    <row r="25" spans="1:11">
      <c r="A25" s="14" t="str">
        <f t="shared" si="0"/>
        <v/>
      </c>
      <c r="B25" s="231"/>
      <c r="C25" s="386"/>
      <c r="D25" s="387"/>
      <c r="E25" s="388"/>
      <c r="F25" s="389"/>
      <c r="G25" s="17">
        <f t="shared" si="7"/>
        <v>0</v>
      </c>
      <c r="H25" s="17">
        <f t="shared" si="8"/>
        <v>0</v>
      </c>
      <c r="I25" s="17">
        <f t="shared" si="9"/>
        <v>0</v>
      </c>
      <c r="J25" s="541"/>
      <c r="K25" s="542"/>
    </row>
    <row r="26" spans="1:11">
      <c r="A26" s="14" t="str">
        <f t="shared" si="0"/>
        <v/>
      </c>
      <c r="B26" s="231"/>
      <c r="C26" s="386"/>
      <c r="D26" s="387"/>
      <c r="E26" s="388"/>
      <c r="F26" s="389"/>
      <c r="G26" s="17">
        <f t="shared" si="7"/>
        <v>0</v>
      </c>
      <c r="H26" s="17">
        <f t="shared" si="8"/>
        <v>0</v>
      </c>
      <c r="I26" s="17">
        <f t="shared" si="9"/>
        <v>0</v>
      </c>
      <c r="J26" s="541"/>
      <c r="K26" s="542"/>
    </row>
    <row r="27" spans="1:11">
      <c r="A27" s="14" t="str">
        <f t="shared" si="0"/>
        <v/>
      </c>
      <c r="B27" s="231"/>
      <c r="C27" s="386"/>
      <c r="D27" s="387"/>
      <c r="E27" s="388"/>
      <c r="F27" s="389"/>
      <c r="G27" s="17">
        <f t="shared" si="7"/>
        <v>0</v>
      </c>
      <c r="H27" s="17">
        <f t="shared" si="8"/>
        <v>0</v>
      </c>
      <c r="I27" s="17">
        <f t="shared" si="9"/>
        <v>0</v>
      </c>
      <c r="J27" s="541"/>
      <c r="K27" s="542"/>
    </row>
    <row r="28" spans="1:11">
      <c r="A28" s="14" t="str">
        <f t="shared" si="0"/>
        <v/>
      </c>
      <c r="B28" s="231"/>
      <c r="C28" s="386"/>
      <c r="D28" s="387"/>
      <c r="E28" s="388"/>
      <c r="F28" s="389"/>
      <c r="G28" s="17">
        <f t="shared" si="7"/>
        <v>0</v>
      </c>
      <c r="H28" s="17">
        <f t="shared" si="8"/>
        <v>0</v>
      </c>
      <c r="I28" s="17">
        <f t="shared" si="9"/>
        <v>0</v>
      </c>
      <c r="J28" s="541"/>
      <c r="K28" s="542"/>
    </row>
    <row r="29" spans="1:11">
      <c r="A29" s="14" t="str">
        <f t="shared" si="0"/>
        <v/>
      </c>
      <c r="B29" s="231"/>
      <c r="C29" s="386"/>
      <c r="D29" s="387"/>
      <c r="E29" s="388"/>
      <c r="F29" s="389"/>
      <c r="G29" s="17">
        <f t="shared" si="7"/>
        <v>0</v>
      </c>
      <c r="H29" s="17">
        <f t="shared" si="8"/>
        <v>0</v>
      </c>
      <c r="I29" s="17">
        <f t="shared" si="9"/>
        <v>0</v>
      </c>
      <c r="J29" s="541"/>
      <c r="K29" s="542"/>
    </row>
    <row r="30" spans="1:11">
      <c r="A30" s="14" t="str">
        <f t="shared" si="0"/>
        <v/>
      </c>
      <c r="B30" s="231"/>
      <c r="C30" s="386"/>
      <c r="D30" s="387"/>
      <c r="E30" s="388"/>
      <c r="F30" s="389"/>
      <c r="G30" s="17">
        <f t="shared" si="7"/>
        <v>0</v>
      </c>
      <c r="H30" s="17">
        <f t="shared" si="8"/>
        <v>0</v>
      </c>
      <c r="I30" s="17">
        <f t="shared" si="9"/>
        <v>0</v>
      </c>
      <c r="J30" s="541"/>
      <c r="K30" s="542"/>
    </row>
    <row r="31" spans="1:11" ht="13.5" thickBot="1">
      <c r="A31" s="14" t="str">
        <f t="shared" si="0"/>
        <v/>
      </c>
      <c r="B31" s="390"/>
      <c r="C31" s="391"/>
      <c r="D31" s="392"/>
      <c r="E31" s="393"/>
      <c r="F31" s="394"/>
      <c r="G31" s="378">
        <f t="shared" si="7"/>
        <v>0</v>
      </c>
      <c r="H31" s="378">
        <f t="shared" si="8"/>
        <v>0</v>
      </c>
      <c r="I31" s="378">
        <f t="shared" si="9"/>
        <v>0</v>
      </c>
      <c r="J31" s="545"/>
      <c r="K31" s="546"/>
    </row>
    <row r="32" spans="1:11" ht="13.5" thickBot="1">
      <c r="A32" s="14" t="str">
        <f>IF(COUNTIF(A34:A48,"Nur Tätigkeiten mit geplantem Aufwand")&gt;0,"Nur Tätigkeiten mit geplantem Aufwand","")</f>
        <v/>
      </c>
      <c r="B32" s="405"/>
      <c r="C32" s="405"/>
      <c r="D32" s="405"/>
      <c r="E32" s="405"/>
      <c r="F32" s="405"/>
      <c r="G32" s="405"/>
      <c r="H32" s="405"/>
      <c r="I32" s="405"/>
      <c r="J32" s="547"/>
      <c r="K32" s="547"/>
    </row>
    <row r="33" spans="1:11" ht="13.5" thickBot="1">
      <c r="A33" s="14" t="str">
        <f>IF(COUNTIF(A34:A48,"Nur Tätigkeiten mit geplantem Aufwand")&gt;0,"Nur Tätigkeiten mit geplantem Aufwand","")</f>
        <v/>
      </c>
      <c r="B33" s="379" t="s">
        <v>222</v>
      </c>
      <c r="C33" s="380"/>
      <c r="D33" s="380"/>
      <c r="E33" s="380"/>
      <c r="F33" s="380"/>
      <c r="G33" s="381">
        <f>SUM(G34:G48)</f>
        <v>0</v>
      </c>
      <c r="H33" s="381">
        <f>SUM(H34:H48)</f>
        <v>0</v>
      </c>
      <c r="I33" s="381">
        <f>SUM(I34:I48)</f>
        <v>0</v>
      </c>
      <c r="J33" s="548"/>
      <c r="K33" s="549"/>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0"/>
      <c r="K34" s="551"/>
    </row>
    <row r="35" spans="1:11">
      <c r="A35" s="14" t="str">
        <f t="shared" si="10"/>
        <v/>
      </c>
      <c r="B35" s="231"/>
      <c r="C35" s="386"/>
      <c r="D35" s="387"/>
      <c r="E35" s="388"/>
      <c r="F35" s="389"/>
      <c r="G35" s="17">
        <f t="shared" si="11"/>
        <v>0</v>
      </c>
      <c r="H35" s="17">
        <f t="shared" si="12"/>
        <v>0</v>
      </c>
      <c r="I35" s="17">
        <f t="shared" si="13"/>
        <v>0</v>
      </c>
      <c r="J35" s="541"/>
      <c r="K35" s="542"/>
    </row>
    <row r="36" spans="1:11">
      <c r="A36" s="14" t="str">
        <f t="shared" si="10"/>
        <v/>
      </c>
      <c r="B36" s="231"/>
      <c r="C36" s="386"/>
      <c r="D36" s="387"/>
      <c r="E36" s="388"/>
      <c r="F36" s="389"/>
      <c r="G36" s="17">
        <f t="shared" si="11"/>
        <v>0</v>
      </c>
      <c r="H36" s="17">
        <f t="shared" si="12"/>
        <v>0</v>
      </c>
      <c r="I36" s="17">
        <f t="shared" si="13"/>
        <v>0</v>
      </c>
      <c r="J36" s="543"/>
      <c r="K36" s="544"/>
    </row>
    <row r="37" spans="1:11">
      <c r="A37" s="14" t="str">
        <f t="shared" si="10"/>
        <v/>
      </c>
      <c r="B37" s="231"/>
      <c r="C37" s="386"/>
      <c r="D37" s="387"/>
      <c r="E37" s="388"/>
      <c r="F37" s="389"/>
      <c r="G37" s="17">
        <f t="shared" si="11"/>
        <v>0</v>
      </c>
      <c r="H37" s="17">
        <f t="shared" si="12"/>
        <v>0</v>
      </c>
      <c r="I37" s="17">
        <f t="shared" si="13"/>
        <v>0</v>
      </c>
      <c r="J37" s="541"/>
      <c r="K37" s="542"/>
    </row>
    <row r="38" spans="1:11">
      <c r="A38" s="14" t="str">
        <f t="shared" si="10"/>
        <v/>
      </c>
      <c r="B38" s="231"/>
      <c r="C38" s="386"/>
      <c r="D38" s="387"/>
      <c r="E38" s="388"/>
      <c r="F38" s="389"/>
      <c r="G38" s="17">
        <f t="shared" si="11"/>
        <v>0</v>
      </c>
      <c r="H38" s="17">
        <f t="shared" si="12"/>
        <v>0</v>
      </c>
      <c r="I38" s="17">
        <f t="shared" si="13"/>
        <v>0</v>
      </c>
      <c r="J38" s="541"/>
      <c r="K38" s="542"/>
    </row>
    <row r="39" spans="1:11">
      <c r="A39" s="14" t="str">
        <f t="shared" si="10"/>
        <v/>
      </c>
      <c r="B39" s="231"/>
      <c r="C39" s="386"/>
      <c r="D39" s="387"/>
      <c r="E39" s="388"/>
      <c r="F39" s="389"/>
      <c r="G39" s="17">
        <f t="shared" si="11"/>
        <v>0</v>
      </c>
      <c r="H39" s="17">
        <f t="shared" si="12"/>
        <v>0</v>
      </c>
      <c r="I39" s="17">
        <f t="shared" si="13"/>
        <v>0</v>
      </c>
      <c r="J39" s="541"/>
      <c r="K39" s="542"/>
    </row>
    <row r="40" spans="1:11">
      <c r="A40" s="14" t="str">
        <f t="shared" si="10"/>
        <v/>
      </c>
      <c r="B40" s="231"/>
      <c r="C40" s="386"/>
      <c r="D40" s="387"/>
      <c r="E40" s="388"/>
      <c r="F40" s="389"/>
      <c r="G40" s="17">
        <f t="shared" si="11"/>
        <v>0</v>
      </c>
      <c r="H40" s="17">
        <f t="shared" si="12"/>
        <v>0</v>
      </c>
      <c r="I40" s="17">
        <f t="shared" si="13"/>
        <v>0</v>
      </c>
      <c r="J40" s="541"/>
      <c r="K40" s="542"/>
    </row>
    <row r="41" spans="1:11">
      <c r="A41" s="14" t="str">
        <f t="shared" si="10"/>
        <v/>
      </c>
      <c r="B41" s="231"/>
      <c r="C41" s="386"/>
      <c r="D41" s="387"/>
      <c r="E41" s="388"/>
      <c r="F41" s="389"/>
      <c r="G41" s="17">
        <f t="shared" si="11"/>
        <v>0</v>
      </c>
      <c r="H41" s="17">
        <f t="shared" si="12"/>
        <v>0</v>
      </c>
      <c r="I41" s="17">
        <f t="shared" si="13"/>
        <v>0</v>
      </c>
      <c r="J41" s="541"/>
      <c r="K41" s="542"/>
    </row>
    <row r="42" spans="1:11">
      <c r="A42" s="14" t="str">
        <f t="shared" si="10"/>
        <v/>
      </c>
      <c r="B42" s="231"/>
      <c r="C42" s="386"/>
      <c r="D42" s="387"/>
      <c r="E42" s="388"/>
      <c r="F42" s="389"/>
      <c r="G42" s="17">
        <f t="shared" si="11"/>
        <v>0</v>
      </c>
      <c r="H42" s="17">
        <f t="shared" si="12"/>
        <v>0</v>
      </c>
      <c r="I42" s="17">
        <f t="shared" si="13"/>
        <v>0</v>
      </c>
      <c r="J42" s="541"/>
      <c r="K42" s="542"/>
    </row>
    <row r="43" spans="1:11">
      <c r="A43" s="14" t="str">
        <f t="shared" si="10"/>
        <v/>
      </c>
      <c r="B43" s="231"/>
      <c r="C43" s="386"/>
      <c r="D43" s="387"/>
      <c r="E43" s="388"/>
      <c r="F43" s="389"/>
      <c r="G43" s="17">
        <f t="shared" si="11"/>
        <v>0</v>
      </c>
      <c r="H43" s="17">
        <f t="shared" si="12"/>
        <v>0</v>
      </c>
      <c r="I43" s="17">
        <f t="shared" si="13"/>
        <v>0</v>
      </c>
      <c r="J43" s="541"/>
      <c r="K43" s="542"/>
    </row>
    <row r="44" spans="1:11">
      <c r="A44" s="14" t="str">
        <f t="shared" si="10"/>
        <v/>
      </c>
      <c r="B44" s="231"/>
      <c r="C44" s="386"/>
      <c r="D44" s="387"/>
      <c r="E44" s="388"/>
      <c r="F44" s="389"/>
      <c r="G44" s="17">
        <f t="shared" si="11"/>
        <v>0</v>
      </c>
      <c r="H44" s="17">
        <f t="shared" si="12"/>
        <v>0</v>
      </c>
      <c r="I44" s="17">
        <f t="shared" si="13"/>
        <v>0</v>
      </c>
      <c r="J44" s="541"/>
      <c r="K44" s="542"/>
    </row>
    <row r="45" spans="1:11">
      <c r="A45" s="14" t="str">
        <f t="shared" si="10"/>
        <v/>
      </c>
      <c r="B45" s="231"/>
      <c r="C45" s="386"/>
      <c r="D45" s="387"/>
      <c r="E45" s="388"/>
      <c r="F45" s="389"/>
      <c r="G45" s="17">
        <f t="shared" si="11"/>
        <v>0</v>
      </c>
      <c r="H45" s="17">
        <f t="shared" si="12"/>
        <v>0</v>
      </c>
      <c r="I45" s="17">
        <f t="shared" si="13"/>
        <v>0</v>
      </c>
      <c r="J45" s="541"/>
      <c r="K45" s="542"/>
    </row>
    <row r="46" spans="1:11">
      <c r="A46" s="14" t="str">
        <f t="shared" si="10"/>
        <v/>
      </c>
      <c r="B46" s="231"/>
      <c r="C46" s="386"/>
      <c r="D46" s="387"/>
      <c r="E46" s="388"/>
      <c r="F46" s="389"/>
      <c r="G46" s="17">
        <f t="shared" si="11"/>
        <v>0</v>
      </c>
      <c r="H46" s="17">
        <f t="shared" si="12"/>
        <v>0</v>
      </c>
      <c r="I46" s="17">
        <f t="shared" si="13"/>
        <v>0</v>
      </c>
      <c r="J46" s="541"/>
      <c r="K46" s="542"/>
    </row>
    <row r="47" spans="1:11">
      <c r="A47" s="14" t="str">
        <f t="shared" si="10"/>
        <v/>
      </c>
      <c r="B47" s="231"/>
      <c r="C47" s="386"/>
      <c r="D47" s="387"/>
      <c r="E47" s="388"/>
      <c r="F47" s="389"/>
      <c r="G47" s="17">
        <f t="shared" si="11"/>
        <v>0</v>
      </c>
      <c r="H47" s="17">
        <f t="shared" si="12"/>
        <v>0</v>
      </c>
      <c r="I47" s="17">
        <f t="shared" si="13"/>
        <v>0</v>
      </c>
      <c r="J47" s="541"/>
      <c r="K47" s="542"/>
    </row>
    <row r="48" spans="1:11" ht="13.5" thickBot="1">
      <c r="A48" s="14" t="str">
        <f t="shared" si="10"/>
        <v/>
      </c>
      <c r="B48" s="390"/>
      <c r="C48" s="391"/>
      <c r="D48" s="392"/>
      <c r="E48" s="393"/>
      <c r="F48" s="394"/>
      <c r="G48" s="378">
        <f t="shared" si="11"/>
        <v>0</v>
      </c>
      <c r="H48" s="378">
        <f t="shared" si="12"/>
        <v>0</v>
      </c>
      <c r="I48" s="378">
        <f t="shared" si="13"/>
        <v>0</v>
      </c>
      <c r="J48" s="545"/>
      <c r="K48" s="546"/>
    </row>
    <row r="49" spans="1:11" ht="13.5" thickBot="1">
      <c r="A49" s="14" t="str">
        <f>IF(COUNTIF(A51:A65,"Nur Tätigkeiten mit geplantem Aufwand")&gt;0,"Nur Tätigkeiten mit geplantem Aufwand","")</f>
        <v/>
      </c>
      <c r="B49" s="405"/>
      <c r="C49" s="405"/>
      <c r="D49" s="405"/>
      <c r="E49" s="405"/>
      <c r="F49" s="405"/>
      <c r="G49" s="405"/>
      <c r="H49" s="405"/>
      <c r="I49" s="405"/>
      <c r="J49" s="547"/>
      <c r="K49" s="547"/>
    </row>
    <row r="50" spans="1:11" ht="13.5" thickBot="1">
      <c r="A50" s="14" t="str">
        <f>IF(COUNTIF(A51:A65,"Nur Tätigkeiten mit geplantem Aufwand")&gt;0,"Nur Tätigkeiten mit geplantem Aufwand","")</f>
        <v/>
      </c>
      <c r="B50" s="379" t="s">
        <v>214</v>
      </c>
      <c r="C50" s="380"/>
      <c r="D50" s="380"/>
      <c r="E50" s="380"/>
      <c r="F50" s="380"/>
      <c r="G50" s="381">
        <f>SUM(G51:G65)</f>
        <v>0</v>
      </c>
      <c r="H50" s="381">
        <f>SUM(H51:H65)</f>
        <v>0</v>
      </c>
      <c r="I50" s="381">
        <f>SUM(I51:I65)</f>
        <v>0</v>
      </c>
      <c r="J50" s="548"/>
      <c r="K50" s="549"/>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0"/>
      <c r="K51" s="551"/>
    </row>
    <row r="52" spans="1:11">
      <c r="A52" s="14" t="str">
        <f t="shared" si="14"/>
        <v/>
      </c>
      <c r="B52" s="231"/>
      <c r="C52" s="386"/>
      <c r="D52" s="387"/>
      <c r="E52" s="388"/>
      <c r="F52" s="389"/>
      <c r="G52" s="17">
        <f t="shared" si="15"/>
        <v>0</v>
      </c>
      <c r="H52" s="17">
        <f t="shared" si="16"/>
        <v>0</v>
      </c>
      <c r="I52" s="17">
        <f t="shared" si="17"/>
        <v>0</v>
      </c>
      <c r="J52" s="541"/>
      <c r="K52" s="542"/>
    </row>
    <row r="53" spans="1:11">
      <c r="A53" s="14" t="str">
        <f t="shared" si="14"/>
        <v/>
      </c>
      <c r="B53" s="231"/>
      <c r="C53" s="386"/>
      <c r="D53" s="387"/>
      <c r="E53" s="388"/>
      <c r="F53" s="389"/>
      <c r="G53" s="17">
        <f t="shared" si="15"/>
        <v>0</v>
      </c>
      <c r="H53" s="17">
        <f t="shared" si="16"/>
        <v>0</v>
      </c>
      <c r="I53" s="17">
        <f t="shared" si="17"/>
        <v>0</v>
      </c>
      <c r="J53" s="543"/>
      <c r="K53" s="544"/>
    </row>
    <row r="54" spans="1:11">
      <c r="A54" s="14" t="str">
        <f t="shared" si="14"/>
        <v/>
      </c>
      <c r="B54" s="231"/>
      <c r="C54" s="386"/>
      <c r="D54" s="387"/>
      <c r="E54" s="388"/>
      <c r="F54" s="389"/>
      <c r="G54" s="17">
        <f t="shared" si="15"/>
        <v>0</v>
      </c>
      <c r="H54" s="17">
        <f t="shared" si="16"/>
        <v>0</v>
      </c>
      <c r="I54" s="17">
        <f t="shared" si="17"/>
        <v>0</v>
      </c>
      <c r="J54" s="541"/>
      <c r="K54" s="542"/>
    </row>
    <row r="55" spans="1:11">
      <c r="A55" s="14" t="str">
        <f t="shared" si="14"/>
        <v/>
      </c>
      <c r="B55" s="231"/>
      <c r="C55" s="386"/>
      <c r="D55" s="387"/>
      <c r="E55" s="388"/>
      <c r="F55" s="389"/>
      <c r="G55" s="17">
        <f t="shared" si="15"/>
        <v>0</v>
      </c>
      <c r="H55" s="17">
        <f t="shared" si="16"/>
        <v>0</v>
      </c>
      <c r="I55" s="17">
        <f t="shared" si="17"/>
        <v>0</v>
      </c>
      <c r="J55" s="541"/>
      <c r="K55" s="542"/>
    </row>
    <row r="56" spans="1:11">
      <c r="A56" s="14" t="str">
        <f t="shared" si="14"/>
        <v/>
      </c>
      <c r="B56" s="231"/>
      <c r="C56" s="386"/>
      <c r="D56" s="387"/>
      <c r="E56" s="388"/>
      <c r="F56" s="389"/>
      <c r="G56" s="17">
        <f t="shared" si="15"/>
        <v>0</v>
      </c>
      <c r="H56" s="17">
        <f t="shared" si="16"/>
        <v>0</v>
      </c>
      <c r="I56" s="17">
        <f t="shared" si="17"/>
        <v>0</v>
      </c>
      <c r="J56" s="541"/>
      <c r="K56" s="542"/>
    </row>
    <row r="57" spans="1:11">
      <c r="A57" s="14" t="str">
        <f t="shared" si="14"/>
        <v/>
      </c>
      <c r="B57" s="231"/>
      <c r="C57" s="386"/>
      <c r="D57" s="387"/>
      <c r="E57" s="388"/>
      <c r="F57" s="389"/>
      <c r="G57" s="17">
        <f t="shared" si="15"/>
        <v>0</v>
      </c>
      <c r="H57" s="17">
        <f t="shared" si="16"/>
        <v>0</v>
      </c>
      <c r="I57" s="17">
        <f t="shared" si="17"/>
        <v>0</v>
      </c>
      <c r="J57" s="541"/>
      <c r="K57" s="542"/>
    </row>
    <row r="58" spans="1:11">
      <c r="A58" s="14" t="str">
        <f t="shared" si="14"/>
        <v/>
      </c>
      <c r="B58" s="231"/>
      <c r="C58" s="386"/>
      <c r="D58" s="387"/>
      <c r="E58" s="388"/>
      <c r="F58" s="389"/>
      <c r="G58" s="17">
        <f t="shared" si="15"/>
        <v>0</v>
      </c>
      <c r="H58" s="17">
        <f t="shared" si="16"/>
        <v>0</v>
      </c>
      <c r="I58" s="17">
        <f t="shared" si="17"/>
        <v>0</v>
      </c>
      <c r="J58" s="541"/>
      <c r="K58" s="542"/>
    </row>
    <row r="59" spans="1:11">
      <c r="A59" s="14" t="str">
        <f t="shared" si="14"/>
        <v/>
      </c>
      <c r="B59" s="231"/>
      <c r="C59" s="386"/>
      <c r="D59" s="387"/>
      <c r="E59" s="388"/>
      <c r="F59" s="389"/>
      <c r="G59" s="17">
        <f t="shared" si="15"/>
        <v>0</v>
      </c>
      <c r="H59" s="17">
        <f t="shared" si="16"/>
        <v>0</v>
      </c>
      <c r="I59" s="17">
        <f t="shared" si="17"/>
        <v>0</v>
      </c>
      <c r="J59" s="541"/>
      <c r="K59" s="542"/>
    </row>
    <row r="60" spans="1:11">
      <c r="A60" s="14" t="str">
        <f t="shared" si="14"/>
        <v/>
      </c>
      <c r="B60" s="231"/>
      <c r="C60" s="386"/>
      <c r="D60" s="387"/>
      <c r="E60" s="388"/>
      <c r="F60" s="389"/>
      <c r="G60" s="17">
        <f t="shared" si="15"/>
        <v>0</v>
      </c>
      <c r="H60" s="17">
        <f t="shared" si="16"/>
        <v>0</v>
      </c>
      <c r="I60" s="17">
        <f t="shared" si="17"/>
        <v>0</v>
      </c>
      <c r="J60" s="541"/>
      <c r="K60" s="542"/>
    </row>
    <row r="61" spans="1:11">
      <c r="A61" s="14" t="str">
        <f t="shared" si="14"/>
        <v/>
      </c>
      <c r="B61" s="231"/>
      <c r="C61" s="386"/>
      <c r="D61" s="387"/>
      <c r="E61" s="388"/>
      <c r="F61" s="389"/>
      <c r="G61" s="17">
        <f t="shared" si="15"/>
        <v>0</v>
      </c>
      <c r="H61" s="17">
        <f t="shared" si="16"/>
        <v>0</v>
      </c>
      <c r="I61" s="17">
        <f t="shared" si="17"/>
        <v>0</v>
      </c>
      <c r="J61" s="541"/>
      <c r="K61" s="542"/>
    </row>
    <row r="62" spans="1:11">
      <c r="A62" s="14" t="str">
        <f t="shared" si="14"/>
        <v/>
      </c>
      <c r="B62" s="231"/>
      <c r="C62" s="386"/>
      <c r="D62" s="387"/>
      <c r="E62" s="388"/>
      <c r="F62" s="389"/>
      <c r="G62" s="17">
        <f t="shared" si="15"/>
        <v>0</v>
      </c>
      <c r="H62" s="17">
        <f t="shared" si="16"/>
        <v>0</v>
      </c>
      <c r="I62" s="17">
        <f t="shared" si="17"/>
        <v>0</v>
      </c>
      <c r="J62" s="541"/>
      <c r="K62" s="542"/>
    </row>
    <row r="63" spans="1:11">
      <c r="A63" s="14" t="str">
        <f t="shared" si="14"/>
        <v/>
      </c>
      <c r="B63" s="231"/>
      <c r="C63" s="386"/>
      <c r="D63" s="387"/>
      <c r="E63" s="388"/>
      <c r="F63" s="389"/>
      <c r="G63" s="17">
        <f t="shared" si="15"/>
        <v>0</v>
      </c>
      <c r="H63" s="17">
        <f t="shared" si="16"/>
        <v>0</v>
      </c>
      <c r="I63" s="17">
        <f t="shared" si="17"/>
        <v>0</v>
      </c>
      <c r="J63" s="541"/>
      <c r="K63" s="542"/>
    </row>
    <row r="64" spans="1:11">
      <c r="A64" s="14" t="str">
        <f t="shared" si="14"/>
        <v/>
      </c>
      <c r="B64" s="231"/>
      <c r="C64" s="386"/>
      <c r="D64" s="387"/>
      <c r="E64" s="388"/>
      <c r="F64" s="389"/>
      <c r="G64" s="17">
        <f t="shared" si="15"/>
        <v>0</v>
      </c>
      <c r="H64" s="17">
        <f t="shared" si="16"/>
        <v>0</v>
      </c>
      <c r="I64" s="17">
        <f t="shared" si="17"/>
        <v>0</v>
      </c>
      <c r="J64" s="541"/>
      <c r="K64" s="542"/>
    </row>
    <row r="65" spans="1:11" ht="13.5" thickBot="1">
      <c r="A65" s="14" t="str">
        <f t="shared" si="14"/>
        <v/>
      </c>
      <c r="B65" s="390"/>
      <c r="C65" s="391"/>
      <c r="D65" s="392"/>
      <c r="E65" s="393"/>
      <c r="F65" s="394"/>
      <c r="G65" s="378">
        <f t="shared" si="15"/>
        <v>0</v>
      </c>
      <c r="H65" s="378">
        <f t="shared" si="16"/>
        <v>0</v>
      </c>
      <c r="I65" s="378">
        <f t="shared" si="17"/>
        <v>0</v>
      </c>
      <c r="J65" s="545"/>
      <c r="K65" s="546"/>
    </row>
    <row r="66" spans="1:11" ht="13.5" thickBot="1">
      <c r="A66" s="14" t="str">
        <f>IF(COUNTIF(A68:A82,"Nur Tätigkeiten mit geplantem Aufwand")&gt;0,"Nur Tätigkeiten mit geplantem Aufwand","")</f>
        <v/>
      </c>
      <c r="B66" s="405"/>
      <c r="C66" s="405"/>
      <c r="D66" s="405"/>
      <c r="E66" s="405"/>
      <c r="F66" s="405"/>
      <c r="G66" s="405"/>
      <c r="H66" s="405"/>
      <c r="I66" s="405"/>
      <c r="J66" s="547"/>
      <c r="K66" s="547"/>
    </row>
    <row r="67" spans="1:11" ht="13.5" thickBot="1">
      <c r="A67" s="14" t="str">
        <f>IF(COUNTIF(A68:A82,"Nur Tätigkeiten mit geplantem Aufwand")&gt;0,"Nur Tätigkeiten mit geplantem Aufwand","")</f>
        <v/>
      </c>
      <c r="B67" s="379" t="s">
        <v>223</v>
      </c>
      <c r="C67" s="380"/>
      <c r="D67" s="380"/>
      <c r="E67" s="380"/>
      <c r="F67" s="380"/>
      <c r="G67" s="381">
        <f>SUM(G68:G82)</f>
        <v>0</v>
      </c>
      <c r="H67" s="381">
        <f>SUM(H68:H82)</f>
        <v>0</v>
      </c>
      <c r="I67" s="381">
        <f>SUM(I68:I82)</f>
        <v>0</v>
      </c>
      <c r="J67" s="548"/>
      <c r="K67" s="549"/>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0"/>
      <c r="K68" s="551"/>
    </row>
    <row r="69" spans="1:11">
      <c r="A69" s="14" t="str">
        <f t="shared" si="18"/>
        <v/>
      </c>
      <c r="B69" s="231"/>
      <c r="C69" s="386"/>
      <c r="D69" s="387"/>
      <c r="E69" s="388"/>
      <c r="F69" s="389"/>
      <c r="G69" s="17">
        <f t="shared" si="19"/>
        <v>0</v>
      </c>
      <c r="H69" s="17">
        <f t="shared" si="20"/>
        <v>0</v>
      </c>
      <c r="I69" s="17">
        <f t="shared" si="21"/>
        <v>0</v>
      </c>
      <c r="J69" s="541"/>
      <c r="K69" s="542"/>
    </row>
    <row r="70" spans="1:11">
      <c r="A70" s="14" t="str">
        <f t="shared" si="18"/>
        <v/>
      </c>
      <c r="B70" s="231"/>
      <c r="C70" s="386"/>
      <c r="D70" s="387"/>
      <c r="E70" s="388"/>
      <c r="F70" s="389"/>
      <c r="G70" s="17">
        <f t="shared" si="19"/>
        <v>0</v>
      </c>
      <c r="H70" s="17">
        <f t="shared" si="20"/>
        <v>0</v>
      </c>
      <c r="I70" s="17">
        <f t="shared" si="21"/>
        <v>0</v>
      </c>
      <c r="J70" s="543"/>
      <c r="K70" s="544"/>
    </row>
    <row r="71" spans="1:11">
      <c r="A71" s="14" t="str">
        <f t="shared" si="18"/>
        <v/>
      </c>
      <c r="B71" s="231"/>
      <c r="C71" s="386"/>
      <c r="D71" s="387"/>
      <c r="E71" s="388"/>
      <c r="F71" s="389"/>
      <c r="G71" s="17">
        <f t="shared" si="19"/>
        <v>0</v>
      </c>
      <c r="H71" s="17">
        <f t="shared" si="20"/>
        <v>0</v>
      </c>
      <c r="I71" s="17">
        <f t="shared" si="21"/>
        <v>0</v>
      </c>
      <c r="J71" s="541"/>
      <c r="K71" s="542"/>
    </row>
    <row r="72" spans="1:11">
      <c r="A72" s="14" t="str">
        <f t="shared" si="18"/>
        <v/>
      </c>
      <c r="B72" s="231"/>
      <c r="C72" s="386"/>
      <c r="D72" s="387"/>
      <c r="E72" s="388"/>
      <c r="F72" s="389"/>
      <c r="G72" s="17">
        <f t="shared" si="19"/>
        <v>0</v>
      </c>
      <c r="H72" s="17">
        <f t="shared" si="20"/>
        <v>0</v>
      </c>
      <c r="I72" s="17">
        <f t="shared" si="21"/>
        <v>0</v>
      </c>
      <c r="J72" s="541"/>
      <c r="K72" s="542"/>
    </row>
    <row r="73" spans="1:11">
      <c r="A73" s="14" t="str">
        <f t="shared" si="18"/>
        <v/>
      </c>
      <c r="B73" s="231"/>
      <c r="C73" s="386"/>
      <c r="D73" s="387"/>
      <c r="E73" s="388"/>
      <c r="F73" s="389"/>
      <c r="G73" s="17">
        <f t="shared" si="19"/>
        <v>0</v>
      </c>
      <c r="H73" s="17">
        <f t="shared" si="20"/>
        <v>0</v>
      </c>
      <c r="I73" s="17">
        <f t="shared" si="21"/>
        <v>0</v>
      </c>
      <c r="J73" s="541"/>
      <c r="K73" s="542"/>
    </row>
    <row r="74" spans="1:11">
      <c r="A74" s="14" t="str">
        <f t="shared" si="18"/>
        <v/>
      </c>
      <c r="B74" s="231"/>
      <c r="C74" s="386"/>
      <c r="D74" s="387"/>
      <c r="E74" s="388"/>
      <c r="F74" s="389"/>
      <c r="G74" s="17">
        <f t="shared" si="19"/>
        <v>0</v>
      </c>
      <c r="H74" s="17">
        <f t="shared" si="20"/>
        <v>0</v>
      </c>
      <c r="I74" s="17">
        <f t="shared" si="21"/>
        <v>0</v>
      </c>
      <c r="J74" s="541"/>
      <c r="K74" s="542"/>
    </row>
    <row r="75" spans="1:11">
      <c r="A75" s="14" t="str">
        <f t="shared" si="18"/>
        <v/>
      </c>
      <c r="B75" s="231"/>
      <c r="C75" s="386"/>
      <c r="D75" s="387"/>
      <c r="E75" s="388"/>
      <c r="F75" s="389"/>
      <c r="G75" s="17">
        <f t="shared" si="19"/>
        <v>0</v>
      </c>
      <c r="H75" s="17">
        <f t="shared" si="20"/>
        <v>0</v>
      </c>
      <c r="I75" s="17">
        <f t="shared" si="21"/>
        <v>0</v>
      </c>
      <c r="J75" s="541"/>
      <c r="K75" s="542"/>
    </row>
    <row r="76" spans="1:11">
      <c r="A76" s="14" t="str">
        <f t="shared" si="18"/>
        <v/>
      </c>
      <c r="B76" s="231"/>
      <c r="C76" s="386"/>
      <c r="D76" s="387"/>
      <c r="E76" s="388"/>
      <c r="F76" s="389"/>
      <c r="G76" s="17">
        <f t="shared" si="19"/>
        <v>0</v>
      </c>
      <c r="H76" s="17">
        <f t="shared" si="20"/>
        <v>0</v>
      </c>
      <c r="I76" s="17">
        <f t="shared" si="21"/>
        <v>0</v>
      </c>
      <c r="J76" s="541"/>
      <c r="K76" s="542"/>
    </row>
    <row r="77" spans="1:11">
      <c r="A77" s="14" t="str">
        <f t="shared" si="18"/>
        <v/>
      </c>
      <c r="B77" s="231"/>
      <c r="C77" s="386"/>
      <c r="D77" s="387"/>
      <c r="E77" s="388"/>
      <c r="F77" s="389"/>
      <c r="G77" s="17">
        <f t="shared" si="19"/>
        <v>0</v>
      </c>
      <c r="H77" s="17">
        <f t="shared" si="20"/>
        <v>0</v>
      </c>
      <c r="I77" s="17">
        <f t="shared" si="21"/>
        <v>0</v>
      </c>
      <c r="J77" s="541"/>
      <c r="K77" s="542"/>
    </row>
    <row r="78" spans="1:11">
      <c r="A78" s="14" t="str">
        <f t="shared" si="18"/>
        <v/>
      </c>
      <c r="B78" s="231"/>
      <c r="C78" s="386"/>
      <c r="D78" s="387"/>
      <c r="E78" s="388"/>
      <c r="F78" s="389"/>
      <c r="G78" s="17">
        <f t="shared" si="19"/>
        <v>0</v>
      </c>
      <c r="H78" s="17">
        <f t="shared" si="20"/>
        <v>0</v>
      </c>
      <c r="I78" s="17">
        <f t="shared" si="21"/>
        <v>0</v>
      </c>
      <c r="J78" s="541"/>
      <c r="K78" s="542"/>
    </row>
    <row r="79" spans="1:11">
      <c r="A79" s="14" t="str">
        <f t="shared" si="18"/>
        <v/>
      </c>
      <c r="B79" s="231"/>
      <c r="C79" s="386"/>
      <c r="D79" s="387"/>
      <c r="E79" s="388"/>
      <c r="F79" s="389"/>
      <c r="G79" s="17">
        <f t="shared" si="19"/>
        <v>0</v>
      </c>
      <c r="H79" s="17">
        <f t="shared" si="20"/>
        <v>0</v>
      </c>
      <c r="I79" s="17">
        <f t="shared" si="21"/>
        <v>0</v>
      </c>
      <c r="J79" s="541"/>
      <c r="K79" s="542"/>
    </row>
    <row r="80" spans="1:11">
      <c r="A80" s="14" t="str">
        <f t="shared" si="18"/>
        <v/>
      </c>
      <c r="B80" s="231"/>
      <c r="C80" s="386"/>
      <c r="D80" s="387"/>
      <c r="E80" s="388"/>
      <c r="F80" s="389"/>
      <c r="G80" s="17">
        <f t="shared" si="19"/>
        <v>0</v>
      </c>
      <c r="H80" s="17">
        <f t="shared" si="20"/>
        <v>0</v>
      </c>
      <c r="I80" s="17">
        <f t="shared" si="21"/>
        <v>0</v>
      </c>
      <c r="J80" s="541"/>
      <c r="K80" s="542"/>
    </row>
    <row r="81" spans="1:11">
      <c r="A81" s="14" t="str">
        <f t="shared" si="18"/>
        <v/>
      </c>
      <c r="B81" s="231"/>
      <c r="C81" s="386"/>
      <c r="D81" s="387"/>
      <c r="E81" s="388"/>
      <c r="F81" s="389"/>
      <c r="G81" s="17">
        <f t="shared" si="19"/>
        <v>0</v>
      </c>
      <c r="H81" s="17">
        <f t="shared" si="20"/>
        <v>0</v>
      </c>
      <c r="I81" s="17">
        <f t="shared" si="21"/>
        <v>0</v>
      </c>
      <c r="J81" s="541"/>
      <c r="K81" s="542"/>
    </row>
    <row r="82" spans="1:11" ht="13.5" thickBot="1">
      <c r="A82" s="14" t="str">
        <f t="shared" si="18"/>
        <v/>
      </c>
      <c r="B82" s="390"/>
      <c r="C82" s="391"/>
      <c r="D82" s="392"/>
      <c r="E82" s="393"/>
      <c r="F82" s="394"/>
      <c r="G82" s="378">
        <f t="shared" si="19"/>
        <v>0</v>
      </c>
      <c r="H82" s="378">
        <f t="shared" si="20"/>
        <v>0</v>
      </c>
      <c r="I82" s="378">
        <f t="shared" si="21"/>
        <v>0</v>
      </c>
      <c r="J82" s="545"/>
      <c r="K82" s="546"/>
    </row>
    <row r="83" spans="1:11" ht="13.5" thickBot="1">
      <c r="A83" s="14" t="str">
        <f>IF(COUNTIF(A85:A98,"Nur Tätigkeiten mit geplantem Aufwand")&gt;0,"Nur Tätigkeiten mit geplantem Aufwand","")</f>
        <v/>
      </c>
      <c r="B83" s="405"/>
      <c r="C83" s="405"/>
      <c r="D83" s="405"/>
      <c r="E83" s="405"/>
      <c r="F83" s="405"/>
      <c r="G83" s="405"/>
      <c r="H83" s="405"/>
      <c r="I83" s="405"/>
      <c r="J83" s="547"/>
      <c r="K83" s="547"/>
    </row>
    <row r="84" spans="1:11" ht="13.5" thickBot="1">
      <c r="A84" s="14" t="str">
        <f>IF(COUNTIF(A85:A98,"Nur Tätigkeiten mit geplantem Aufwand")&gt;0,"Nur Tätigkeiten mit geplantem Aufwand","")</f>
        <v/>
      </c>
      <c r="B84" s="379" t="s">
        <v>215</v>
      </c>
      <c r="C84" s="380"/>
      <c r="D84" s="380"/>
      <c r="E84" s="380"/>
      <c r="F84" s="380"/>
      <c r="G84" s="381">
        <f>SUM(G85:G99)</f>
        <v>0</v>
      </c>
      <c r="H84" s="381">
        <f>SUM(H85:H99)</f>
        <v>0</v>
      </c>
      <c r="I84" s="381">
        <f>SUM(I85:I99)</f>
        <v>0</v>
      </c>
      <c r="J84" s="548"/>
      <c r="K84" s="549"/>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0"/>
      <c r="K85" s="551"/>
    </row>
    <row r="86" spans="1:11">
      <c r="A86" s="14" t="str">
        <f t="shared" si="22"/>
        <v/>
      </c>
      <c r="B86" s="231"/>
      <c r="C86" s="386"/>
      <c r="D86" s="387"/>
      <c r="E86" s="388"/>
      <c r="F86" s="389"/>
      <c r="G86" s="17">
        <f t="shared" si="23"/>
        <v>0</v>
      </c>
      <c r="H86" s="17">
        <f t="shared" si="24"/>
        <v>0</v>
      </c>
      <c r="I86" s="17">
        <f t="shared" si="25"/>
        <v>0</v>
      </c>
      <c r="J86" s="541"/>
      <c r="K86" s="542"/>
    </row>
    <row r="87" spans="1:11">
      <c r="A87" s="14" t="str">
        <f t="shared" si="22"/>
        <v/>
      </c>
      <c r="B87" s="231"/>
      <c r="C87" s="386"/>
      <c r="D87" s="387"/>
      <c r="E87" s="388"/>
      <c r="F87" s="389"/>
      <c r="G87" s="17">
        <f t="shared" si="23"/>
        <v>0</v>
      </c>
      <c r="H87" s="17">
        <f t="shared" si="24"/>
        <v>0</v>
      </c>
      <c r="I87" s="17">
        <f t="shared" si="25"/>
        <v>0</v>
      </c>
      <c r="J87" s="543"/>
      <c r="K87" s="544"/>
    </row>
    <row r="88" spans="1:11">
      <c r="A88" s="14" t="str">
        <f t="shared" si="22"/>
        <v/>
      </c>
      <c r="B88" s="231"/>
      <c r="C88" s="386"/>
      <c r="D88" s="387"/>
      <c r="E88" s="388"/>
      <c r="F88" s="389"/>
      <c r="G88" s="17">
        <f t="shared" si="23"/>
        <v>0</v>
      </c>
      <c r="H88" s="17">
        <f t="shared" si="24"/>
        <v>0</v>
      </c>
      <c r="I88" s="17">
        <f t="shared" si="25"/>
        <v>0</v>
      </c>
      <c r="J88" s="541"/>
      <c r="K88" s="542"/>
    </row>
    <row r="89" spans="1:11">
      <c r="A89" s="14" t="str">
        <f t="shared" si="22"/>
        <v/>
      </c>
      <c r="B89" s="231"/>
      <c r="C89" s="386"/>
      <c r="D89" s="387"/>
      <c r="E89" s="388"/>
      <c r="F89" s="389"/>
      <c r="G89" s="17">
        <f t="shared" si="23"/>
        <v>0</v>
      </c>
      <c r="H89" s="17">
        <f t="shared" si="24"/>
        <v>0</v>
      </c>
      <c r="I89" s="17">
        <f t="shared" si="25"/>
        <v>0</v>
      </c>
      <c r="J89" s="541"/>
      <c r="K89" s="542"/>
    </row>
    <row r="90" spans="1:11">
      <c r="A90" s="14" t="str">
        <f t="shared" si="22"/>
        <v/>
      </c>
      <c r="B90" s="231"/>
      <c r="C90" s="386"/>
      <c r="D90" s="387"/>
      <c r="E90" s="388"/>
      <c r="F90" s="389"/>
      <c r="G90" s="17">
        <f t="shared" si="23"/>
        <v>0</v>
      </c>
      <c r="H90" s="17">
        <f t="shared" si="24"/>
        <v>0</v>
      </c>
      <c r="I90" s="17">
        <f t="shared" si="25"/>
        <v>0</v>
      </c>
      <c r="J90" s="541"/>
      <c r="K90" s="542"/>
    </row>
    <row r="91" spans="1:11">
      <c r="A91" s="14" t="str">
        <f t="shared" si="22"/>
        <v/>
      </c>
      <c r="B91" s="231"/>
      <c r="C91" s="386"/>
      <c r="D91" s="387"/>
      <c r="E91" s="388"/>
      <c r="F91" s="389"/>
      <c r="G91" s="17">
        <f t="shared" si="23"/>
        <v>0</v>
      </c>
      <c r="H91" s="17">
        <f t="shared" si="24"/>
        <v>0</v>
      </c>
      <c r="I91" s="17">
        <f t="shared" si="25"/>
        <v>0</v>
      </c>
      <c r="J91" s="541"/>
      <c r="K91" s="542"/>
    </row>
    <row r="92" spans="1:11">
      <c r="A92" s="14" t="str">
        <f t="shared" si="22"/>
        <v/>
      </c>
      <c r="B92" s="231"/>
      <c r="C92" s="386"/>
      <c r="D92" s="387"/>
      <c r="E92" s="388"/>
      <c r="F92" s="389"/>
      <c r="G92" s="17">
        <f t="shared" si="23"/>
        <v>0</v>
      </c>
      <c r="H92" s="17">
        <f t="shared" si="24"/>
        <v>0</v>
      </c>
      <c r="I92" s="17">
        <f t="shared" si="25"/>
        <v>0</v>
      </c>
      <c r="J92" s="541"/>
      <c r="K92" s="542"/>
    </row>
    <row r="93" spans="1:11">
      <c r="A93" s="14" t="str">
        <f t="shared" si="22"/>
        <v/>
      </c>
      <c r="B93" s="231"/>
      <c r="C93" s="386"/>
      <c r="D93" s="387"/>
      <c r="E93" s="388"/>
      <c r="F93" s="389"/>
      <c r="G93" s="17">
        <f t="shared" si="23"/>
        <v>0</v>
      </c>
      <c r="H93" s="17">
        <f t="shared" si="24"/>
        <v>0</v>
      </c>
      <c r="I93" s="17">
        <f t="shared" si="25"/>
        <v>0</v>
      </c>
      <c r="J93" s="541"/>
      <c r="K93" s="542"/>
    </row>
    <row r="94" spans="1:11">
      <c r="A94" s="14" t="str">
        <f t="shared" si="22"/>
        <v/>
      </c>
      <c r="B94" s="231"/>
      <c r="C94" s="386"/>
      <c r="D94" s="387"/>
      <c r="E94" s="388"/>
      <c r="F94" s="389"/>
      <c r="G94" s="17">
        <f t="shared" si="23"/>
        <v>0</v>
      </c>
      <c r="H94" s="17">
        <f t="shared" si="24"/>
        <v>0</v>
      </c>
      <c r="I94" s="17">
        <f t="shared" si="25"/>
        <v>0</v>
      </c>
      <c r="J94" s="541"/>
      <c r="K94" s="542"/>
    </row>
    <row r="95" spans="1:11">
      <c r="A95" s="14" t="str">
        <f t="shared" si="22"/>
        <v/>
      </c>
      <c r="B95" s="231"/>
      <c r="C95" s="386"/>
      <c r="D95" s="387"/>
      <c r="E95" s="388"/>
      <c r="F95" s="389"/>
      <c r="G95" s="17">
        <f t="shared" si="23"/>
        <v>0</v>
      </c>
      <c r="H95" s="17">
        <f t="shared" si="24"/>
        <v>0</v>
      </c>
      <c r="I95" s="17">
        <f t="shared" si="25"/>
        <v>0</v>
      </c>
      <c r="J95" s="541"/>
      <c r="K95" s="542"/>
    </row>
    <row r="96" spans="1:11">
      <c r="A96" s="14" t="str">
        <f t="shared" si="22"/>
        <v/>
      </c>
      <c r="B96" s="231"/>
      <c r="C96" s="386"/>
      <c r="D96" s="387"/>
      <c r="E96" s="388"/>
      <c r="F96" s="389"/>
      <c r="G96" s="17">
        <f t="shared" si="23"/>
        <v>0</v>
      </c>
      <c r="H96" s="17">
        <f t="shared" si="24"/>
        <v>0</v>
      </c>
      <c r="I96" s="17">
        <f t="shared" si="25"/>
        <v>0</v>
      </c>
      <c r="J96" s="541"/>
      <c r="K96" s="542"/>
    </row>
    <row r="97" spans="1:11">
      <c r="A97" s="14" t="str">
        <f t="shared" si="22"/>
        <v/>
      </c>
      <c r="B97" s="231"/>
      <c r="C97" s="386"/>
      <c r="D97" s="387"/>
      <c r="E97" s="388"/>
      <c r="F97" s="389"/>
      <c r="G97" s="17">
        <f t="shared" si="23"/>
        <v>0</v>
      </c>
      <c r="H97" s="17">
        <f t="shared" si="24"/>
        <v>0</v>
      </c>
      <c r="I97" s="17">
        <f t="shared" si="25"/>
        <v>0</v>
      </c>
      <c r="J97" s="541"/>
      <c r="K97" s="542"/>
    </row>
    <row r="98" spans="1:11">
      <c r="A98" s="14" t="str">
        <f t="shared" si="22"/>
        <v/>
      </c>
      <c r="B98" s="231"/>
      <c r="C98" s="386"/>
      <c r="D98" s="387"/>
      <c r="E98" s="388"/>
      <c r="F98" s="389"/>
      <c r="G98" s="17">
        <f t="shared" si="23"/>
        <v>0</v>
      </c>
      <c r="H98" s="17">
        <f t="shared" si="24"/>
        <v>0</v>
      </c>
      <c r="I98" s="17">
        <f t="shared" si="25"/>
        <v>0</v>
      </c>
      <c r="J98" s="541"/>
      <c r="K98" s="542"/>
    </row>
    <row r="99" spans="1:11" ht="13.5" thickBot="1">
      <c r="A99" s="14" t="str">
        <f t="shared" si="22"/>
        <v/>
      </c>
      <c r="B99" s="390"/>
      <c r="C99" s="391"/>
      <c r="D99" s="392"/>
      <c r="E99" s="393"/>
      <c r="F99" s="394"/>
      <c r="G99" s="378">
        <f t="shared" si="23"/>
        <v>0</v>
      </c>
      <c r="H99" s="378">
        <f t="shared" si="24"/>
        <v>0</v>
      </c>
      <c r="I99" s="378">
        <f t="shared" si="25"/>
        <v>0</v>
      </c>
      <c r="J99" s="545"/>
      <c r="K99" s="546"/>
    </row>
    <row r="100" spans="1:11" ht="13.5" thickBot="1">
      <c r="A100" s="14" t="str">
        <f>IF(COUNTIF(A102:A115,"Nur Tätigkeiten mit geplantem Aufwand")&gt;0,"Nur Tätigkeiten mit geplantem Aufwand","")</f>
        <v/>
      </c>
      <c r="B100" s="405"/>
      <c r="C100" s="405"/>
      <c r="D100" s="405"/>
      <c r="E100" s="405"/>
      <c r="F100" s="405"/>
      <c r="G100" s="405"/>
      <c r="H100" s="405"/>
      <c r="I100" s="405"/>
      <c r="J100" s="547"/>
      <c r="K100" s="547"/>
    </row>
    <row r="101" spans="1:11" ht="13.5" thickBot="1">
      <c r="A101" s="14" t="str">
        <f>IF(COUNTIF(A102:A115,"Nur Tätigkeiten mit geplantem Aufwand")&gt;0,"Nur Tätigkeiten mit geplantem Aufwand","")</f>
        <v/>
      </c>
      <c r="B101" s="379" t="s">
        <v>216</v>
      </c>
      <c r="C101" s="380"/>
      <c r="D101" s="380"/>
      <c r="E101" s="380"/>
      <c r="F101" s="380"/>
      <c r="G101" s="381">
        <f>SUM(G102:G116)</f>
        <v>0</v>
      </c>
      <c r="H101" s="381">
        <f>SUM(H102:H116)</f>
        <v>0</v>
      </c>
      <c r="I101" s="381">
        <f>SUM(I102:I116)</f>
        <v>0</v>
      </c>
      <c r="J101" s="548"/>
      <c r="K101" s="549"/>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0"/>
      <c r="K102" s="551"/>
    </row>
    <row r="103" spans="1:11">
      <c r="A103" s="14" t="str">
        <f t="shared" si="26"/>
        <v/>
      </c>
      <c r="B103" s="231"/>
      <c r="C103" s="386"/>
      <c r="D103" s="387"/>
      <c r="E103" s="388"/>
      <c r="F103" s="389"/>
      <c r="G103" s="17">
        <f t="shared" si="27"/>
        <v>0</v>
      </c>
      <c r="H103" s="17">
        <f t="shared" si="28"/>
        <v>0</v>
      </c>
      <c r="I103" s="17">
        <f t="shared" si="29"/>
        <v>0</v>
      </c>
      <c r="J103" s="541"/>
      <c r="K103" s="542"/>
    </row>
    <row r="104" spans="1:11">
      <c r="A104" s="14" t="str">
        <f t="shared" si="26"/>
        <v/>
      </c>
      <c r="B104" s="231"/>
      <c r="C104" s="386"/>
      <c r="D104" s="387"/>
      <c r="E104" s="388"/>
      <c r="F104" s="389"/>
      <c r="G104" s="17">
        <f t="shared" si="27"/>
        <v>0</v>
      </c>
      <c r="H104" s="17">
        <f t="shared" si="28"/>
        <v>0</v>
      </c>
      <c r="I104" s="17">
        <f t="shared" si="29"/>
        <v>0</v>
      </c>
      <c r="J104" s="543"/>
      <c r="K104" s="544"/>
    </row>
    <row r="105" spans="1:11">
      <c r="A105" s="14" t="str">
        <f t="shared" si="26"/>
        <v/>
      </c>
      <c r="B105" s="231"/>
      <c r="C105" s="386"/>
      <c r="D105" s="387"/>
      <c r="E105" s="388"/>
      <c r="F105" s="389"/>
      <c r="G105" s="17">
        <f t="shared" si="27"/>
        <v>0</v>
      </c>
      <c r="H105" s="17">
        <f t="shared" si="28"/>
        <v>0</v>
      </c>
      <c r="I105" s="17">
        <f t="shared" si="29"/>
        <v>0</v>
      </c>
      <c r="J105" s="541"/>
      <c r="K105" s="542"/>
    </row>
    <row r="106" spans="1:11">
      <c r="A106" s="14" t="str">
        <f t="shared" si="26"/>
        <v/>
      </c>
      <c r="B106" s="231"/>
      <c r="C106" s="386"/>
      <c r="D106" s="387"/>
      <c r="E106" s="388"/>
      <c r="F106" s="389"/>
      <c r="G106" s="17">
        <f t="shared" si="27"/>
        <v>0</v>
      </c>
      <c r="H106" s="17">
        <f t="shared" si="28"/>
        <v>0</v>
      </c>
      <c r="I106" s="17">
        <f t="shared" si="29"/>
        <v>0</v>
      </c>
      <c r="J106" s="541"/>
      <c r="K106" s="542"/>
    </row>
    <row r="107" spans="1:11">
      <c r="A107" s="14" t="str">
        <f t="shared" si="26"/>
        <v/>
      </c>
      <c r="B107" s="231"/>
      <c r="C107" s="386"/>
      <c r="D107" s="387"/>
      <c r="E107" s="388"/>
      <c r="F107" s="389"/>
      <c r="G107" s="17">
        <f t="shared" si="27"/>
        <v>0</v>
      </c>
      <c r="H107" s="17">
        <f t="shared" si="28"/>
        <v>0</v>
      </c>
      <c r="I107" s="17">
        <f t="shared" si="29"/>
        <v>0</v>
      </c>
      <c r="J107" s="541"/>
      <c r="K107" s="542"/>
    </row>
    <row r="108" spans="1:11">
      <c r="A108" s="14" t="str">
        <f t="shared" si="26"/>
        <v/>
      </c>
      <c r="B108" s="231"/>
      <c r="C108" s="386"/>
      <c r="D108" s="387"/>
      <c r="E108" s="388"/>
      <c r="F108" s="389"/>
      <c r="G108" s="17">
        <f t="shared" si="27"/>
        <v>0</v>
      </c>
      <c r="H108" s="17">
        <f t="shared" si="28"/>
        <v>0</v>
      </c>
      <c r="I108" s="17">
        <f t="shared" si="29"/>
        <v>0</v>
      </c>
      <c r="J108" s="541"/>
      <c r="K108" s="542"/>
    </row>
    <row r="109" spans="1:11">
      <c r="A109" s="14" t="str">
        <f t="shared" si="26"/>
        <v/>
      </c>
      <c r="B109" s="231"/>
      <c r="C109" s="386"/>
      <c r="D109" s="387"/>
      <c r="E109" s="388"/>
      <c r="F109" s="389"/>
      <c r="G109" s="17">
        <f t="shared" si="27"/>
        <v>0</v>
      </c>
      <c r="H109" s="17">
        <f t="shared" si="28"/>
        <v>0</v>
      </c>
      <c r="I109" s="17">
        <f t="shared" si="29"/>
        <v>0</v>
      </c>
      <c r="J109" s="541"/>
      <c r="K109" s="542"/>
    </row>
    <row r="110" spans="1:11">
      <c r="A110" s="14" t="str">
        <f t="shared" si="26"/>
        <v/>
      </c>
      <c r="B110" s="231"/>
      <c r="C110" s="386"/>
      <c r="D110" s="387"/>
      <c r="E110" s="388"/>
      <c r="F110" s="389"/>
      <c r="G110" s="17">
        <f t="shared" si="27"/>
        <v>0</v>
      </c>
      <c r="H110" s="17">
        <f t="shared" si="28"/>
        <v>0</v>
      </c>
      <c r="I110" s="17">
        <f t="shared" si="29"/>
        <v>0</v>
      </c>
      <c r="J110" s="541"/>
      <c r="K110" s="542"/>
    </row>
    <row r="111" spans="1:11">
      <c r="A111" s="14" t="str">
        <f t="shared" si="26"/>
        <v/>
      </c>
      <c r="B111" s="231"/>
      <c r="C111" s="386"/>
      <c r="D111" s="387"/>
      <c r="E111" s="388"/>
      <c r="F111" s="389"/>
      <c r="G111" s="17">
        <f t="shared" si="27"/>
        <v>0</v>
      </c>
      <c r="H111" s="17">
        <f t="shared" si="28"/>
        <v>0</v>
      </c>
      <c r="I111" s="17">
        <f t="shared" si="29"/>
        <v>0</v>
      </c>
      <c r="J111" s="541"/>
      <c r="K111" s="542"/>
    </row>
    <row r="112" spans="1:11">
      <c r="A112" s="14" t="str">
        <f t="shared" si="26"/>
        <v/>
      </c>
      <c r="B112" s="231"/>
      <c r="C112" s="386"/>
      <c r="D112" s="387"/>
      <c r="E112" s="388"/>
      <c r="F112" s="389"/>
      <c r="G112" s="17">
        <f t="shared" si="27"/>
        <v>0</v>
      </c>
      <c r="H112" s="17">
        <f t="shared" si="28"/>
        <v>0</v>
      </c>
      <c r="I112" s="17">
        <f t="shared" si="29"/>
        <v>0</v>
      </c>
      <c r="J112" s="541"/>
      <c r="K112" s="542"/>
    </row>
    <row r="113" spans="1:11">
      <c r="A113" s="14" t="str">
        <f t="shared" si="26"/>
        <v/>
      </c>
      <c r="B113" s="231"/>
      <c r="C113" s="386"/>
      <c r="D113" s="387"/>
      <c r="E113" s="388"/>
      <c r="F113" s="389"/>
      <c r="G113" s="17">
        <f t="shared" si="27"/>
        <v>0</v>
      </c>
      <c r="H113" s="17">
        <f t="shared" si="28"/>
        <v>0</v>
      </c>
      <c r="I113" s="17">
        <f t="shared" si="29"/>
        <v>0</v>
      </c>
      <c r="J113" s="541"/>
      <c r="K113" s="542"/>
    </row>
    <row r="114" spans="1:11">
      <c r="A114" s="14" t="str">
        <f t="shared" si="26"/>
        <v/>
      </c>
      <c r="B114" s="231"/>
      <c r="C114" s="386"/>
      <c r="D114" s="387"/>
      <c r="E114" s="388"/>
      <c r="F114" s="389"/>
      <c r="G114" s="17">
        <f t="shared" si="27"/>
        <v>0</v>
      </c>
      <c r="H114" s="17">
        <f t="shared" si="28"/>
        <v>0</v>
      </c>
      <c r="I114" s="17">
        <f t="shared" si="29"/>
        <v>0</v>
      </c>
      <c r="J114" s="541"/>
      <c r="K114" s="542"/>
    </row>
    <row r="115" spans="1:11">
      <c r="A115" s="14" t="str">
        <f t="shared" si="26"/>
        <v/>
      </c>
      <c r="B115" s="231"/>
      <c r="C115" s="386"/>
      <c r="D115" s="387"/>
      <c r="E115" s="388"/>
      <c r="F115" s="389"/>
      <c r="G115" s="17">
        <f t="shared" si="27"/>
        <v>0</v>
      </c>
      <c r="H115" s="17">
        <f t="shared" si="28"/>
        <v>0</v>
      </c>
      <c r="I115" s="17">
        <f t="shared" si="29"/>
        <v>0</v>
      </c>
      <c r="J115" s="541"/>
      <c r="K115" s="542"/>
    </row>
    <row r="116" spans="1:11" ht="13.5" thickBot="1">
      <c r="A116" s="14" t="str">
        <f t="shared" si="26"/>
        <v/>
      </c>
      <c r="B116" s="390"/>
      <c r="C116" s="391"/>
      <c r="D116" s="392"/>
      <c r="E116" s="393"/>
      <c r="F116" s="394"/>
      <c r="G116" s="378">
        <f t="shared" si="27"/>
        <v>0</v>
      </c>
      <c r="H116" s="378">
        <f t="shared" si="28"/>
        <v>0</v>
      </c>
      <c r="I116" s="378">
        <f t="shared" si="29"/>
        <v>0</v>
      </c>
      <c r="J116" s="545"/>
      <c r="K116" s="546"/>
    </row>
    <row r="117" spans="1:11" ht="13.5"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47"/>
      <c r="K117" s="547"/>
    </row>
    <row r="118" spans="1:11" ht="13.5" thickBot="1">
      <c r="A118" s="14" t="str">
        <f>IF(COUNTIF(A119:A133,"Nur Tätigkeiten mit geplantem Aufwand")&gt;0,"Nur Tätigkeiten mit geplantem Aufwand","")</f>
        <v>Nur Tätigkeiten mit geplantem Aufwand</v>
      </c>
      <c r="B118" s="379" t="s">
        <v>227</v>
      </c>
      <c r="C118" s="380"/>
      <c r="D118" s="380"/>
      <c r="E118" s="380"/>
      <c r="F118" s="380"/>
      <c r="G118" s="381">
        <f>SUM(G119:G133)</f>
        <v>1260</v>
      </c>
      <c r="H118" s="381">
        <f>SUM(H119:H133)</f>
        <v>1008</v>
      </c>
      <c r="I118" s="381">
        <f>SUM(I119:I133)</f>
        <v>1512</v>
      </c>
      <c r="J118" s="548"/>
      <c r="K118" s="549"/>
    </row>
    <row r="119" spans="1:11">
      <c r="A119" s="14" t="str">
        <f t="shared" ref="A119:A133" si="30">IF(OR(H119&gt;0,I119&gt;0),"Nur Tätigkeiten mit geplantem Aufwand","")</f>
        <v>Nur Tätigkeiten mit geplantem Aufwand</v>
      </c>
      <c r="B119" s="230" t="s">
        <v>218</v>
      </c>
      <c r="C119" s="382" t="s">
        <v>217</v>
      </c>
      <c r="D119" s="383">
        <v>10</v>
      </c>
      <c r="E119" s="384">
        <v>20</v>
      </c>
      <c r="F119" s="385">
        <v>30</v>
      </c>
      <c r="G119" s="377">
        <f t="shared" ref="G119:G120" si="31">D119*F119</f>
        <v>300</v>
      </c>
      <c r="H119" s="377">
        <f t="shared" ref="H119:H120" si="32">G119*(100-E119)/100</f>
        <v>240</v>
      </c>
      <c r="I119" s="377">
        <f t="shared" ref="I119:I120" si="33">G119*(100+E119)/100</f>
        <v>360</v>
      </c>
      <c r="J119" s="550"/>
      <c r="K119" s="551"/>
    </row>
    <row r="120" spans="1:11">
      <c r="A120" s="14" t="str">
        <f t="shared" si="30"/>
        <v>Nur Tätigkeiten mit geplantem Aufwand</v>
      </c>
      <c r="B120" s="231" t="s">
        <v>219</v>
      </c>
      <c r="C120" s="386" t="s">
        <v>217</v>
      </c>
      <c r="D120" s="387">
        <v>32</v>
      </c>
      <c r="E120" s="388">
        <v>20</v>
      </c>
      <c r="F120" s="389">
        <v>30</v>
      </c>
      <c r="G120" s="17">
        <f t="shared" si="31"/>
        <v>960</v>
      </c>
      <c r="H120" s="17">
        <f t="shared" si="32"/>
        <v>768</v>
      </c>
      <c r="I120" s="17">
        <f t="shared" si="33"/>
        <v>1152</v>
      </c>
      <c r="J120" s="541"/>
      <c r="K120" s="542"/>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43"/>
      <c r="K121" s="544"/>
    </row>
    <row r="122" spans="1:11">
      <c r="A122" s="14" t="str">
        <f t="shared" si="30"/>
        <v/>
      </c>
      <c r="B122" s="231"/>
      <c r="C122" s="386"/>
      <c r="D122" s="387"/>
      <c r="E122" s="388"/>
      <c r="F122" s="389"/>
      <c r="G122" s="17">
        <f t="shared" si="34"/>
        <v>0</v>
      </c>
      <c r="H122" s="17">
        <f t="shared" si="35"/>
        <v>0</v>
      </c>
      <c r="I122" s="17">
        <f t="shared" si="36"/>
        <v>0</v>
      </c>
      <c r="J122" s="541"/>
      <c r="K122" s="542"/>
    </row>
    <row r="123" spans="1:11">
      <c r="A123" s="14" t="str">
        <f t="shared" si="30"/>
        <v/>
      </c>
      <c r="B123" s="231"/>
      <c r="C123" s="386"/>
      <c r="D123" s="387"/>
      <c r="E123" s="388"/>
      <c r="F123" s="389"/>
      <c r="G123" s="17">
        <f t="shared" si="34"/>
        <v>0</v>
      </c>
      <c r="H123" s="17">
        <f t="shared" si="35"/>
        <v>0</v>
      </c>
      <c r="I123" s="17">
        <f t="shared" si="36"/>
        <v>0</v>
      </c>
      <c r="J123" s="541"/>
      <c r="K123" s="542"/>
    </row>
    <row r="124" spans="1:11">
      <c r="A124" s="14" t="str">
        <f t="shared" si="30"/>
        <v/>
      </c>
      <c r="B124" s="231"/>
      <c r="C124" s="386"/>
      <c r="D124" s="387"/>
      <c r="E124" s="388"/>
      <c r="F124" s="389"/>
      <c r="G124" s="17">
        <f t="shared" si="34"/>
        <v>0</v>
      </c>
      <c r="H124" s="17">
        <f t="shared" si="35"/>
        <v>0</v>
      </c>
      <c r="I124" s="17">
        <f t="shared" si="36"/>
        <v>0</v>
      </c>
      <c r="J124" s="541"/>
      <c r="K124" s="542"/>
    </row>
    <row r="125" spans="1:11">
      <c r="A125" s="14" t="str">
        <f t="shared" si="30"/>
        <v/>
      </c>
      <c r="B125" s="231"/>
      <c r="C125" s="386"/>
      <c r="D125" s="387"/>
      <c r="E125" s="388"/>
      <c r="F125" s="389"/>
      <c r="G125" s="17">
        <f t="shared" si="34"/>
        <v>0</v>
      </c>
      <c r="H125" s="17">
        <f t="shared" si="35"/>
        <v>0</v>
      </c>
      <c r="I125" s="17">
        <f t="shared" si="36"/>
        <v>0</v>
      </c>
      <c r="J125" s="541"/>
      <c r="K125" s="542"/>
    </row>
    <row r="126" spans="1:11">
      <c r="A126" s="14" t="str">
        <f t="shared" si="30"/>
        <v/>
      </c>
      <c r="B126" s="231"/>
      <c r="C126" s="386"/>
      <c r="D126" s="387"/>
      <c r="E126" s="388"/>
      <c r="F126" s="389"/>
      <c r="G126" s="17">
        <f t="shared" si="34"/>
        <v>0</v>
      </c>
      <c r="H126" s="17">
        <f t="shared" si="35"/>
        <v>0</v>
      </c>
      <c r="I126" s="17">
        <f t="shared" si="36"/>
        <v>0</v>
      </c>
      <c r="J126" s="541"/>
      <c r="K126" s="542"/>
    </row>
    <row r="127" spans="1:11">
      <c r="A127" s="14" t="str">
        <f t="shared" si="30"/>
        <v/>
      </c>
      <c r="B127" s="231"/>
      <c r="C127" s="386"/>
      <c r="D127" s="387"/>
      <c r="E127" s="388"/>
      <c r="F127" s="389"/>
      <c r="G127" s="17">
        <f t="shared" si="34"/>
        <v>0</v>
      </c>
      <c r="H127" s="17">
        <f t="shared" si="35"/>
        <v>0</v>
      </c>
      <c r="I127" s="17">
        <f t="shared" si="36"/>
        <v>0</v>
      </c>
      <c r="J127" s="541"/>
      <c r="K127" s="542"/>
    </row>
    <row r="128" spans="1:11">
      <c r="A128" s="14" t="str">
        <f t="shared" si="30"/>
        <v/>
      </c>
      <c r="B128" s="231"/>
      <c r="C128" s="386"/>
      <c r="D128" s="387"/>
      <c r="E128" s="388"/>
      <c r="F128" s="389"/>
      <c r="G128" s="17">
        <f t="shared" si="34"/>
        <v>0</v>
      </c>
      <c r="H128" s="17">
        <f t="shared" si="35"/>
        <v>0</v>
      </c>
      <c r="I128" s="17">
        <f t="shared" si="36"/>
        <v>0</v>
      </c>
      <c r="J128" s="541"/>
      <c r="K128" s="542"/>
    </row>
    <row r="129" spans="1:11">
      <c r="A129" s="14" t="str">
        <f t="shared" si="30"/>
        <v/>
      </c>
      <c r="B129" s="231"/>
      <c r="C129" s="386"/>
      <c r="D129" s="387"/>
      <c r="E129" s="388"/>
      <c r="F129" s="389"/>
      <c r="G129" s="17">
        <f t="shared" si="34"/>
        <v>0</v>
      </c>
      <c r="H129" s="17">
        <f t="shared" si="35"/>
        <v>0</v>
      </c>
      <c r="I129" s="17">
        <f t="shared" si="36"/>
        <v>0</v>
      </c>
      <c r="J129" s="541"/>
      <c r="K129" s="542"/>
    </row>
    <row r="130" spans="1:11">
      <c r="A130" s="14" t="str">
        <f t="shared" si="30"/>
        <v/>
      </c>
      <c r="B130" s="231"/>
      <c r="C130" s="386"/>
      <c r="D130" s="387"/>
      <c r="E130" s="388"/>
      <c r="F130" s="389"/>
      <c r="G130" s="17">
        <f t="shared" si="34"/>
        <v>0</v>
      </c>
      <c r="H130" s="17">
        <f t="shared" si="35"/>
        <v>0</v>
      </c>
      <c r="I130" s="17">
        <f t="shared" si="36"/>
        <v>0</v>
      </c>
      <c r="J130" s="541"/>
      <c r="K130" s="542"/>
    </row>
    <row r="131" spans="1:11">
      <c r="A131" s="14" t="str">
        <f t="shared" si="30"/>
        <v/>
      </c>
      <c r="B131" s="231"/>
      <c r="C131" s="386"/>
      <c r="D131" s="387"/>
      <c r="E131" s="388"/>
      <c r="F131" s="389"/>
      <c r="G131" s="17">
        <f t="shared" si="34"/>
        <v>0</v>
      </c>
      <c r="H131" s="17">
        <f t="shared" si="35"/>
        <v>0</v>
      </c>
      <c r="I131" s="17">
        <f t="shared" si="36"/>
        <v>0</v>
      </c>
      <c r="J131" s="541"/>
      <c r="K131" s="542"/>
    </row>
    <row r="132" spans="1:11">
      <c r="A132" s="14" t="str">
        <f t="shared" si="30"/>
        <v/>
      </c>
      <c r="B132" s="231"/>
      <c r="C132" s="386"/>
      <c r="D132" s="387"/>
      <c r="E132" s="388"/>
      <c r="F132" s="389"/>
      <c r="G132" s="17">
        <f t="shared" si="34"/>
        <v>0</v>
      </c>
      <c r="H132" s="17">
        <f t="shared" si="35"/>
        <v>0</v>
      </c>
      <c r="I132" s="17">
        <f t="shared" si="36"/>
        <v>0</v>
      </c>
      <c r="J132" s="541"/>
      <c r="K132" s="542"/>
    </row>
    <row r="133" spans="1:11" ht="13.5" thickBot="1">
      <c r="A133" s="14" t="str">
        <f t="shared" si="30"/>
        <v/>
      </c>
      <c r="B133" s="390"/>
      <c r="C133" s="391"/>
      <c r="D133" s="392"/>
      <c r="E133" s="393"/>
      <c r="F133" s="394"/>
      <c r="G133" s="378">
        <f t="shared" si="34"/>
        <v>0</v>
      </c>
      <c r="H133" s="378">
        <f t="shared" si="35"/>
        <v>0</v>
      </c>
      <c r="I133" s="378">
        <f t="shared" si="36"/>
        <v>0</v>
      </c>
      <c r="J133" s="545"/>
      <c r="K133" s="546"/>
    </row>
    <row r="134" spans="1:11" s="6" customFormat="1" ht="10.5" customHeight="1" thickBot="1">
      <c r="A134" s="14" t="str">
        <f>IF(COUNTIF(A136:A150,"Nur Tätigkeiten mit geplantem Aufwand")&gt;0,"Nur Tätigkeiten mit geplantem Aufwand","")</f>
        <v/>
      </c>
      <c r="B134" s="405"/>
      <c r="C134" s="405"/>
      <c r="D134" s="405"/>
      <c r="E134" s="405"/>
      <c r="F134" s="405"/>
      <c r="G134" s="405"/>
      <c r="H134" s="405"/>
      <c r="I134" s="405"/>
      <c r="J134" s="547"/>
      <c r="K134" s="547"/>
    </row>
    <row r="135" spans="1:11" ht="13.5" thickBot="1">
      <c r="A135" s="14" t="str">
        <f>IF(COUNTIF(A136:A150,"Nur Tätigkeiten mit geplantem Aufwand")&gt;0,"Nur Tätigkeiten mit geplantem Aufwand","")</f>
        <v/>
      </c>
      <c r="B135" s="379" t="s">
        <v>224</v>
      </c>
      <c r="C135" s="380"/>
      <c r="D135" s="380"/>
      <c r="E135" s="380"/>
      <c r="F135" s="380"/>
      <c r="G135" s="381">
        <f>SUM(G136:G150)</f>
        <v>0</v>
      </c>
      <c r="H135" s="381">
        <f>SUM(H136:H150)</f>
        <v>0</v>
      </c>
      <c r="I135" s="381">
        <f>SUM(I136:I150)</f>
        <v>0</v>
      </c>
      <c r="J135" s="548"/>
      <c r="K135" s="549"/>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0"/>
      <c r="K136" s="551"/>
    </row>
    <row r="137" spans="1:11">
      <c r="A137" s="14" t="str">
        <f t="shared" si="37"/>
        <v/>
      </c>
      <c r="B137" s="231"/>
      <c r="C137" s="386"/>
      <c r="D137" s="387"/>
      <c r="E137" s="388"/>
      <c r="F137" s="389"/>
      <c r="G137" s="17">
        <f t="shared" si="38"/>
        <v>0</v>
      </c>
      <c r="H137" s="17">
        <f t="shared" si="39"/>
        <v>0</v>
      </c>
      <c r="I137" s="17">
        <f t="shared" si="40"/>
        <v>0</v>
      </c>
      <c r="J137" s="541"/>
      <c r="K137" s="542"/>
    </row>
    <row r="138" spans="1:11">
      <c r="A138" s="14" t="str">
        <f t="shared" si="37"/>
        <v/>
      </c>
      <c r="B138" s="231"/>
      <c r="C138" s="386"/>
      <c r="D138" s="387"/>
      <c r="E138" s="388"/>
      <c r="F138" s="389"/>
      <c r="G138" s="17">
        <f t="shared" si="38"/>
        <v>0</v>
      </c>
      <c r="H138" s="17">
        <f t="shared" si="39"/>
        <v>0</v>
      </c>
      <c r="I138" s="17">
        <f t="shared" si="40"/>
        <v>0</v>
      </c>
      <c r="J138" s="543"/>
      <c r="K138" s="544"/>
    </row>
    <row r="139" spans="1:11">
      <c r="A139" s="14" t="str">
        <f t="shared" si="37"/>
        <v/>
      </c>
      <c r="B139" s="231"/>
      <c r="C139" s="386"/>
      <c r="D139" s="387"/>
      <c r="E139" s="388"/>
      <c r="F139" s="389"/>
      <c r="G139" s="17">
        <f t="shared" si="38"/>
        <v>0</v>
      </c>
      <c r="H139" s="17">
        <f t="shared" si="39"/>
        <v>0</v>
      </c>
      <c r="I139" s="17">
        <f t="shared" si="40"/>
        <v>0</v>
      </c>
      <c r="J139" s="541"/>
      <c r="K139" s="542"/>
    </row>
    <row r="140" spans="1:11">
      <c r="A140" s="14" t="str">
        <f t="shared" si="37"/>
        <v/>
      </c>
      <c r="B140" s="231"/>
      <c r="C140" s="386"/>
      <c r="D140" s="387"/>
      <c r="E140" s="388"/>
      <c r="F140" s="389"/>
      <c r="G140" s="17">
        <f t="shared" si="38"/>
        <v>0</v>
      </c>
      <c r="H140" s="17">
        <f t="shared" si="39"/>
        <v>0</v>
      </c>
      <c r="I140" s="17">
        <f t="shared" si="40"/>
        <v>0</v>
      </c>
      <c r="J140" s="541"/>
      <c r="K140" s="542"/>
    </row>
    <row r="141" spans="1:11">
      <c r="A141" s="14" t="str">
        <f t="shared" si="37"/>
        <v/>
      </c>
      <c r="B141" s="231"/>
      <c r="C141" s="386"/>
      <c r="D141" s="387"/>
      <c r="E141" s="388"/>
      <c r="F141" s="389"/>
      <c r="G141" s="17">
        <f t="shared" si="38"/>
        <v>0</v>
      </c>
      <c r="H141" s="17">
        <f t="shared" si="39"/>
        <v>0</v>
      </c>
      <c r="I141" s="17">
        <f t="shared" si="40"/>
        <v>0</v>
      </c>
      <c r="J141" s="541"/>
      <c r="K141" s="542"/>
    </row>
    <row r="142" spans="1:11">
      <c r="A142" s="14" t="str">
        <f t="shared" si="37"/>
        <v/>
      </c>
      <c r="B142" s="231"/>
      <c r="C142" s="386"/>
      <c r="D142" s="387"/>
      <c r="E142" s="388"/>
      <c r="F142" s="389"/>
      <c r="G142" s="17">
        <f t="shared" si="38"/>
        <v>0</v>
      </c>
      <c r="H142" s="17">
        <f t="shared" si="39"/>
        <v>0</v>
      </c>
      <c r="I142" s="17">
        <f t="shared" si="40"/>
        <v>0</v>
      </c>
      <c r="J142" s="541"/>
      <c r="K142" s="542"/>
    </row>
    <row r="143" spans="1:11">
      <c r="A143" s="14" t="str">
        <f t="shared" si="37"/>
        <v/>
      </c>
      <c r="B143" s="231"/>
      <c r="C143" s="386"/>
      <c r="D143" s="387"/>
      <c r="E143" s="388"/>
      <c r="F143" s="389"/>
      <c r="G143" s="17">
        <f t="shared" si="38"/>
        <v>0</v>
      </c>
      <c r="H143" s="17">
        <f t="shared" si="39"/>
        <v>0</v>
      </c>
      <c r="I143" s="17">
        <f t="shared" si="40"/>
        <v>0</v>
      </c>
      <c r="J143" s="541"/>
      <c r="K143" s="542"/>
    </row>
    <row r="144" spans="1:11">
      <c r="A144" s="14" t="str">
        <f t="shared" si="37"/>
        <v/>
      </c>
      <c r="B144" s="231"/>
      <c r="C144" s="386"/>
      <c r="D144" s="387"/>
      <c r="E144" s="388"/>
      <c r="F144" s="389"/>
      <c r="G144" s="17">
        <f t="shared" si="38"/>
        <v>0</v>
      </c>
      <c r="H144" s="17">
        <f t="shared" si="39"/>
        <v>0</v>
      </c>
      <c r="I144" s="17">
        <f t="shared" si="40"/>
        <v>0</v>
      </c>
      <c r="J144" s="541"/>
      <c r="K144" s="542"/>
    </row>
    <row r="145" spans="1:11">
      <c r="A145" s="14" t="str">
        <f t="shared" si="37"/>
        <v/>
      </c>
      <c r="B145" s="231"/>
      <c r="C145" s="386"/>
      <c r="D145" s="387"/>
      <c r="E145" s="388"/>
      <c r="F145" s="389"/>
      <c r="G145" s="17">
        <f t="shared" si="38"/>
        <v>0</v>
      </c>
      <c r="H145" s="17">
        <f t="shared" si="39"/>
        <v>0</v>
      </c>
      <c r="I145" s="17">
        <f t="shared" si="40"/>
        <v>0</v>
      </c>
      <c r="J145" s="541"/>
      <c r="K145" s="542"/>
    </row>
    <row r="146" spans="1:11">
      <c r="A146" s="14" t="str">
        <f t="shared" si="37"/>
        <v/>
      </c>
      <c r="B146" s="231"/>
      <c r="C146" s="386"/>
      <c r="D146" s="387"/>
      <c r="E146" s="388"/>
      <c r="F146" s="389"/>
      <c r="G146" s="17">
        <f t="shared" si="38"/>
        <v>0</v>
      </c>
      <c r="H146" s="17">
        <f t="shared" si="39"/>
        <v>0</v>
      </c>
      <c r="I146" s="17">
        <f t="shared" si="40"/>
        <v>0</v>
      </c>
      <c r="J146" s="541"/>
      <c r="K146" s="542"/>
    </row>
    <row r="147" spans="1:11">
      <c r="A147" s="14" t="str">
        <f t="shared" si="37"/>
        <v/>
      </c>
      <c r="B147" s="231"/>
      <c r="C147" s="386"/>
      <c r="D147" s="387"/>
      <c r="E147" s="388"/>
      <c r="F147" s="389"/>
      <c r="G147" s="17">
        <f t="shared" si="38"/>
        <v>0</v>
      </c>
      <c r="H147" s="17">
        <f t="shared" si="39"/>
        <v>0</v>
      </c>
      <c r="I147" s="17">
        <f t="shared" si="40"/>
        <v>0</v>
      </c>
      <c r="J147" s="541"/>
      <c r="K147" s="542"/>
    </row>
    <row r="148" spans="1:11">
      <c r="A148" s="14" t="str">
        <f t="shared" si="37"/>
        <v/>
      </c>
      <c r="B148" s="231"/>
      <c r="C148" s="386"/>
      <c r="D148" s="387"/>
      <c r="E148" s="388"/>
      <c r="F148" s="389"/>
      <c r="G148" s="17">
        <f t="shared" si="38"/>
        <v>0</v>
      </c>
      <c r="H148" s="17">
        <f t="shared" si="39"/>
        <v>0</v>
      </c>
      <c r="I148" s="17">
        <f t="shared" si="40"/>
        <v>0</v>
      </c>
      <c r="J148" s="541"/>
      <c r="K148" s="542"/>
    </row>
    <row r="149" spans="1:11">
      <c r="A149" s="14" t="str">
        <f t="shared" si="37"/>
        <v/>
      </c>
      <c r="B149" s="231"/>
      <c r="C149" s="386"/>
      <c r="D149" s="387"/>
      <c r="E149" s="388"/>
      <c r="F149" s="389"/>
      <c r="G149" s="17">
        <f t="shared" si="38"/>
        <v>0</v>
      </c>
      <c r="H149" s="17">
        <f t="shared" si="39"/>
        <v>0</v>
      </c>
      <c r="I149" s="17">
        <f t="shared" si="40"/>
        <v>0</v>
      </c>
      <c r="J149" s="541"/>
      <c r="K149" s="542"/>
    </row>
    <row r="150" spans="1:11" ht="13.5" thickBot="1">
      <c r="A150" s="14" t="str">
        <f t="shared" si="37"/>
        <v/>
      </c>
      <c r="B150" s="390"/>
      <c r="C150" s="391"/>
      <c r="D150" s="392"/>
      <c r="E150" s="393"/>
      <c r="F150" s="394"/>
      <c r="G150" s="378">
        <f t="shared" si="38"/>
        <v>0</v>
      </c>
      <c r="H150" s="378">
        <f t="shared" si="39"/>
        <v>0</v>
      </c>
      <c r="I150" s="378">
        <f t="shared" si="40"/>
        <v>0</v>
      </c>
      <c r="J150" s="545"/>
      <c r="K150" s="546"/>
    </row>
    <row r="151" spans="1:11" s="6" customFormat="1" ht="10.5" customHeight="1" thickBot="1">
      <c r="A151" s="14" t="str">
        <f>IF(COUNTIF(A153:A166,"Nur Tätigkeiten mit geplantem Aufwand")&gt;0,"Nur Tätigkeiten mit geplantem Aufwand","")</f>
        <v/>
      </c>
      <c r="B151" s="405"/>
      <c r="C151" s="405"/>
      <c r="D151" s="405"/>
      <c r="E151" s="405"/>
      <c r="F151" s="405"/>
      <c r="G151" s="405"/>
      <c r="H151" s="405"/>
      <c r="I151" s="405"/>
      <c r="J151" s="547"/>
      <c r="K151" s="547"/>
    </row>
    <row r="152" spans="1:11" ht="13.5" thickBot="1">
      <c r="A152" s="14" t="str">
        <f>IF(COUNTIF(A153:A166,"Nur Tätigkeiten mit geplantem Aufwand")&gt;0,"Nur Tätigkeiten mit geplantem Aufwand","")</f>
        <v/>
      </c>
      <c r="B152" s="379" t="s">
        <v>225</v>
      </c>
      <c r="C152" s="380"/>
      <c r="D152" s="380"/>
      <c r="E152" s="380"/>
      <c r="F152" s="380"/>
      <c r="G152" s="381">
        <f>SUM(G153:G167)</f>
        <v>0</v>
      </c>
      <c r="H152" s="381">
        <f>SUM(H153:H167)</f>
        <v>0</v>
      </c>
      <c r="I152" s="381">
        <f>SUM(I153:I167)</f>
        <v>0</v>
      </c>
      <c r="J152" s="548"/>
      <c r="K152" s="549"/>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0"/>
      <c r="K153" s="551"/>
    </row>
    <row r="154" spans="1:11">
      <c r="A154" s="14" t="str">
        <f t="shared" si="41"/>
        <v/>
      </c>
      <c r="B154" s="231"/>
      <c r="C154" s="386"/>
      <c r="D154" s="387"/>
      <c r="E154" s="388"/>
      <c r="F154" s="389"/>
      <c r="G154" s="17">
        <f t="shared" si="42"/>
        <v>0</v>
      </c>
      <c r="H154" s="17">
        <f t="shared" si="43"/>
        <v>0</v>
      </c>
      <c r="I154" s="17">
        <f t="shared" si="44"/>
        <v>0</v>
      </c>
      <c r="J154" s="541"/>
      <c r="K154" s="542"/>
    </row>
    <row r="155" spans="1:11">
      <c r="A155" s="14" t="str">
        <f t="shared" si="41"/>
        <v/>
      </c>
      <c r="B155" s="231"/>
      <c r="C155" s="386"/>
      <c r="D155" s="387"/>
      <c r="E155" s="388"/>
      <c r="F155" s="389"/>
      <c r="G155" s="17">
        <f t="shared" si="42"/>
        <v>0</v>
      </c>
      <c r="H155" s="17">
        <f t="shared" si="43"/>
        <v>0</v>
      </c>
      <c r="I155" s="17">
        <f t="shared" si="44"/>
        <v>0</v>
      </c>
      <c r="J155" s="543"/>
      <c r="K155" s="544"/>
    </row>
    <row r="156" spans="1:11">
      <c r="A156" s="14" t="str">
        <f t="shared" si="41"/>
        <v/>
      </c>
      <c r="B156" s="231"/>
      <c r="C156" s="386"/>
      <c r="D156" s="387"/>
      <c r="E156" s="388"/>
      <c r="F156" s="389"/>
      <c r="G156" s="17">
        <f t="shared" si="42"/>
        <v>0</v>
      </c>
      <c r="H156" s="17">
        <f t="shared" si="43"/>
        <v>0</v>
      </c>
      <c r="I156" s="17">
        <f t="shared" si="44"/>
        <v>0</v>
      </c>
      <c r="J156" s="541"/>
      <c r="K156" s="542"/>
    </row>
    <row r="157" spans="1:11">
      <c r="A157" s="14" t="str">
        <f t="shared" si="41"/>
        <v/>
      </c>
      <c r="B157" s="231"/>
      <c r="C157" s="386"/>
      <c r="D157" s="387"/>
      <c r="E157" s="388"/>
      <c r="F157" s="389"/>
      <c r="G157" s="17">
        <f t="shared" si="42"/>
        <v>0</v>
      </c>
      <c r="H157" s="17">
        <f t="shared" si="43"/>
        <v>0</v>
      </c>
      <c r="I157" s="17">
        <f t="shared" si="44"/>
        <v>0</v>
      </c>
      <c r="J157" s="541"/>
      <c r="K157" s="542"/>
    </row>
    <row r="158" spans="1:11">
      <c r="A158" s="14" t="str">
        <f t="shared" si="41"/>
        <v/>
      </c>
      <c r="B158" s="231"/>
      <c r="C158" s="386"/>
      <c r="D158" s="387"/>
      <c r="E158" s="388"/>
      <c r="F158" s="389"/>
      <c r="G158" s="17">
        <f t="shared" si="42"/>
        <v>0</v>
      </c>
      <c r="H158" s="17">
        <f t="shared" si="43"/>
        <v>0</v>
      </c>
      <c r="I158" s="17">
        <f t="shared" si="44"/>
        <v>0</v>
      </c>
      <c r="J158" s="541"/>
      <c r="K158" s="542"/>
    </row>
    <row r="159" spans="1:11">
      <c r="A159" s="14" t="str">
        <f t="shared" si="41"/>
        <v/>
      </c>
      <c r="B159" s="231"/>
      <c r="C159" s="386"/>
      <c r="D159" s="387"/>
      <c r="E159" s="388"/>
      <c r="F159" s="389"/>
      <c r="G159" s="17">
        <f t="shared" si="42"/>
        <v>0</v>
      </c>
      <c r="H159" s="17">
        <f t="shared" si="43"/>
        <v>0</v>
      </c>
      <c r="I159" s="17">
        <f t="shared" si="44"/>
        <v>0</v>
      </c>
      <c r="J159" s="541"/>
      <c r="K159" s="542"/>
    </row>
    <row r="160" spans="1:11">
      <c r="A160" s="14" t="str">
        <f t="shared" si="41"/>
        <v/>
      </c>
      <c r="B160" s="231"/>
      <c r="C160" s="386"/>
      <c r="D160" s="387"/>
      <c r="E160" s="388"/>
      <c r="F160" s="389"/>
      <c r="G160" s="17">
        <f t="shared" si="42"/>
        <v>0</v>
      </c>
      <c r="H160" s="17">
        <f t="shared" si="43"/>
        <v>0</v>
      </c>
      <c r="I160" s="17">
        <f t="shared" si="44"/>
        <v>0</v>
      </c>
      <c r="J160" s="541"/>
      <c r="K160" s="542"/>
    </row>
    <row r="161" spans="1:11">
      <c r="A161" s="14" t="str">
        <f t="shared" si="41"/>
        <v/>
      </c>
      <c r="B161" s="231"/>
      <c r="C161" s="386"/>
      <c r="D161" s="387"/>
      <c r="E161" s="388"/>
      <c r="F161" s="389"/>
      <c r="G161" s="17">
        <f t="shared" si="42"/>
        <v>0</v>
      </c>
      <c r="H161" s="17">
        <f t="shared" si="43"/>
        <v>0</v>
      </c>
      <c r="I161" s="17">
        <f t="shared" si="44"/>
        <v>0</v>
      </c>
      <c r="J161" s="541"/>
      <c r="K161" s="542"/>
    </row>
    <row r="162" spans="1:11">
      <c r="A162" s="14" t="str">
        <f t="shared" si="41"/>
        <v/>
      </c>
      <c r="B162" s="231"/>
      <c r="C162" s="386"/>
      <c r="D162" s="387"/>
      <c r="E162" s="388"/>
      <c r="F162" s="389"/>
      <c r="G162" s="17">
        <f t="shared" si="42"/>
        <v>0</v>
      </c>
      <c r="H162" s="17">
        <f t="shared" si="43"/>
        <v>0</v>
      </c>
      <c r="I162" s="17">
        <f t="shared" si="44"/>
        <v>0</v>
      </c>
      <c r="J162" s="541"/>
      <c r="K162" s="542"/>
    </row>
    <row r="163" spans="1:11">
      <c r="A163" s="14" t="str">
        <f t="shared" si="41"/>
        <v/>
      </c>
      <c r="B163" s="231"/>
      <c r="C163" s="386"/>
      <c r="D163" s="387"/>
      <c r="E163" s="388"/>
      <c r="F163" s="389"/>
      <c r="G163" s="17">
        <f t="shared" si="42"/>
        <v>0</v>
      </c>
      <c r="H163" s="17">
        <f t="shared" si="43"/>
        <v>0</v>
      </c>
      <c r="I163" s="17">
        <f t="shared" si="44"/>
        <v>0</v>
      </c>
      <c r="J163" s="541"/>
      <c r="K163" s="542"/>
    </row>
    <row r="164" spans="1:11">
      <c r="A164" s="14" t="str">
        <f t="shared" si="41"/>
        <v/>
      </c>
      <c r="B164" s="231"/>
      <c r="C164" s="386"/>
      <c r="D164" s="387"/>
      <c r="E164" s="388"/>
      <c r="F164" s="389"/>
      <c r="G164" s="17">
        <f t="shared" si="42"/>
        <v>0</v>
      </c>
      <c r="H164" s="17">
        <f t="shared" si="43"/>
        <v>0</v>
      </c>
      <c r="I164" s="17">
        <f t="shared" si="44"/>
        <v>0</v>
      </c>
      <c r="J164" s="541"/>
      <c r="K164" s="542"/>
    </row>
    <row r="165" spans="1:11">
      <c r="A165" s="14" t="str">
        <f t="shared" si="41"/>
        <v/>
      </c>
      <c r="B165" s="231"/>
      <c r="C165" s="386"/>
      <c r="D165" s="387"/>
      <c r="E165" s="388"/>
      <c r="F165" s="389"/>
      <c r="G165" s="17">
        <f t="shared" si="42"/>
        <v>0</v>
      </c>
      <c r="H165" s="17">
        <f t="shared" si="43"/>
        <v>0</v>
      </c>
      <c r="I165" s="17">
        <f t="shared" si="44"/>
        <v>0</v>
      </c>
      <c r="J165" s="541"/>
      <c r="K165" s="542"/>
    </row>
    <row r="166" spans="1:11">
      <c r="A166" s="14" t="str">
        <f t="shared" si="41"/>
        <v/>
      </c>
      <c r="B166" s="231"/>
      <c r="C166" s="386"/>
      <c r="D166" s="387"/>
      <c r="E166" s="388"/>
      <c r="F166" s="389"/>
      <c r="G166" s="17">
        <f t="shared" si="42"/>
        <v>0</v>
      </c>
      <c r="H166" s="17">
        <f t="shared" si="43"/>
        <v>0</v>
      </c>
      <c r="I166" s="17">
        <f t="shared" si="44"/>
        <v>0</v>
      </c>
      <c r="J166" s="541"/>
      <c r="K166" s="542"/>
    </row>
    <row r="167" spans="1:11" ht="13.5" thickBot="1">
      <c r="A167" s="14" t="str">
        <f t="shared" si="41"/>
        <v/>
      </c>
      <c r="B167" s="390"/>
      <c r="C167" s="391"/>
      <c r="D167" s="392"/>
      <c r="E167" s="393"/>
      <c r="F167" s="394"/>
      <c r="G167" s="378">
        <f t="shared" si="42"/>
        <v>0</v>
      </c>
      <c r="H167" s="378">
        <f t="shared" si="43"/>
        <v>0</v>
      </c>
      <c r="I167" s="378">
        <f t="shared" si="44"/>
        <v>0</v>
      </c>
      <c r="J167" s="545"/>
      <c r="K167" s="546"/>
    </row>
    <row r="168" spans="1:11" ht="13.5" thickBot="1">
      <c r="A168" s="14" t="str">
        <f>IF(COUNTIF(A170:A184,"Nur Tätigkeiten mit geplantem Aufwand")&gt;0,"Nur Tätigkeiten mit geplantem Aufwand","")</f>
        <v/>
      </c>
      <c r="B168" s="405"/>
      <c r="C168" s="405"/>
      <c r="D168" s="405"/>
      <c r="E168" s="405"/>
      <c r="F168" s="405"/>
      <c r="G168" s="405"/>
      <c r="H168" s="405"/>
      <c r="I168" s="405"/>
      <c r="J168" s="547"/>
      <c r="K168" s="547"/>
    </row>
    <row r="169" spans="1:11" ht="13.5" thickBot="1">
      <c r="A169" s="14" t="str">
        <f>IF(COUNTIF(A170:A184,"Nur Tätigkeiten mit geplantem Aufwand")&gt;0,"Nur Tätigkeiten mit geplantem Aufwand","")</f>
        <v/>
      </c>
      <c r="B169" s="379" t="s">
        <v>226</v>
      </c>
      <c r="C169" s="380"/>
      <c r="D169" s="380"/>
      <c r="E169" s="380"/>
      <c r="F169" s="380"/>
      <c r="G169" s="381">
        <f>SUM(G170:G184)</f>
        <v>0</v>
      </c>
      <c r="H169" s="381">
        <f>SUM(H170:H184)</f>
        <v>0</v>
      </c>
      <c r="I169" s="381">
        <f>SUM(I170:I184)</f>
        <v>0</v>
      </c>
      <c r="J169" s="548"/>
      <c r="K169" s="549"/>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0"/>
      <c r="K170" s="551"/>
    </row>
    <row r="171" spans="1:11">
      <c r="A171" s="14" t="str">
        <f t="shared" si="45"/>
        <v/>
      </c>
      <c r="B171" s="231"/>
      <c r="C171" s="386"/>
      <c r="D171" s="387"/>
      <c r="E171" s="388"/>
      <c r="F171" s="389"/>
      <c r="G171" s="17">
        <f t="shared" si="46"/>
        <v>0</v>
      </c>
      <c r="H171" s="17">
        <f t="shared" si="47"/>
        <v>0</v>
      </c>
      <c r="I171" s="17">
        <f t="shared" si="48"/>
        <v>0</v>
      </c>
      <c r="J171" s="541"/>
      <c r="K171" s="542"/>
    </row>
    <row r="172" spans="1:11">
      <c r="A172" s="14" t="str">
        <f t="shared" si="45"/>
        <v/>
      </c>
      <c r="B172" s="231"/>
      <c r="C172" s="386"/>
      <c r="D172" s="387"/>
      <c r="E172" s="388"/>
      <c r="F172" s="389"/>
      <c r="G172" s="17">
        <f t="shared" si="46"/>
        <v>0</v>
      </c>
      <c r="H172" s="17">
        <f t="shared" si="47"/>
        <v>0</v>
      </c>
      <c r="I172" s="17">
        <f t="shared" si="48"/>
        <v>0</v>
      </c>
      <c r="J172" s="543"/>
      <c r="K172" s="544"/>
    </row>
    <row r="173" spans="1:11">
      <c r="A173" s="14" t="str">
        <f t="shared" si="45"/>
        <v/>
      </c>
      <c r="B173" s="231"/>
      <c r="C173" s="386"/>
      <c r="D173" s="387"/>
      <c r="E173" s="388"/>
      <c r="F173" s="389"/>
      <c r="G173" s="17">
        <f t="shared" si="46"/>
        <v>0</v>
      </c>
      <c r="H173" s="17">
        <f t="shared" si="47"/>
        <v>0</v>
      </c>
      <c r="I173" s="17">
        <f t="shared" si="48"/>
        <v>0</v>
      </c>
      <c r="J173" s="541"/>
      <c r="K173" s="542"/>
    </row>
    <row r="174" spans="1:11">
      <c r="A174" s="14" t="str">
        <f t="shared" si="45"/>
        <v/>
      </c>
      <c r="B174" s="231"/>
      <c r="C174" s="386"/>
      <c r="D174" s="387"/>
      <c r="E174" s="388"/>
      <c r="F174" s="389"/>
      <c r="G174" s="17">
        <f t="shared" si="46"/>
        <v>0</v>
      </c>
      <c r="H174" s="17">
        <f t="shared" si="47"/>
        <v>0</v>
      </c>
      <c r="I174" s="17">
        <f t="shared" si="48"/>
        <v>0</v>
      </c>
      <c r="J174" s="541"/>
      <c r="K174" s="542"/>
    </row>
    <row r="175" spans="1:11">
      <c r="A175" s="14" t="str">
        <f t="shared" si="45"/>
        <v/>
      </c>
      <c r="B175" s="231"/>
      <c r="C175" s="386"/>
      <c r="D175" s="387"/>
      <c r="E175" s="388"/>
      <c r="F175" s="389"/>
      <c r="G175" s="17">
        <f t="shared" si="46"/>
        <v>0</v>
      </c>
      <c r="H175" s="17">
        <f t="shared" si="47"/>
        <v>0</v>
      </c>
      <c r="I175" s="17">
        <f t="shared" si="48"/>
        <v>0</v>
      </c>
      <c r="J175" s="541"/>
      <c r="K175" s="542"/>
    </row>
    <row r="176" spans="1:11">
      <c r="A176" s="14" t="str">
        <f t="shared" si="45"/>
        <v/>
      </c>
      <c r="B176" s="231"/>
      <c r="C176" s="386"/>
      <c r="D176" s="387"/>
      <c r="E176" s="388"/>
      <c r="F176" s="389"/>
      <c r="G176" s="17">
        <f t="shared" si="46"/>
        <v>0</v>
      </c>
      <c r="H176" s="17">
        <f t="shared" si="47"/>
        <v>0</v>
      </c>
      <c r="I176" s="17">
        <f t="shared" si="48"/>
        <v>0</v>
      </c>
      <c r="J176" s="541"/>
      <c r="K176" s="542"/>
    </row>
    <row r="177" spans="1:11">
      <c r="A177" s="14" t="str">
        <f t="shared" si="45"/>
        <v/>
      </c>
      <c r="B177" s="231"/>
      <c r="C177" s="386"/>
      <c r="D177" s="387"/>
      <c r="E177" s="388"/>
      <c r="F177" s="389"/>
      <c r="G177" s="17">
        <f t="shared" si="46"/>
        <v>0</v>
      </c>
      <c r="H177" s="17">
        <f t="shared" si="47"/>
        <v>0</v>
      </c>
      <c r="I177" s="17">
        <f t="shared" si="48"/>
        <v>0</v>
      </c>
      <c r="J177" s="541"/>
      <c r="K177" s="542"/>
    </row>
    <row r="178" spans="1:11">
      <c r="A178" s="14" t="str">
        <f t="shared" si="45"/>
        <v/>
      </c>
      <c r="B178" s="231"/>
      <c r="C178" s="386"/>
      <c r="D178" s="387"/>
      <c r="E178" s="388"/>
      <c r="F178" s="389"/>
      <c r="G178" s="17">
        <f t="shared" si="46"/>
        <v>0</v>
      </c>
      <c r="H178" s="17">
        <f t="shared" si="47"/>
        <v>0</v>
      </c>
      <c r="I178" s="17">
        <f t="shared" si="48"/>
        <v>0</v>
      </c>
      <c r="J178" s="541"/>
      <c r="K178" s="542"/>
    </row>
    <row r="179" spans="1:11">
      <c r="A179" s="14" t="str">
        <f t="shared" si="45"/>
        <v/>
      </c>
      <c r="B179" s="231"/>
      <c r="C179" s="386"/>
      <c r="D179" s="387"/>
      <c r="E179" s="388"/>
      <c r="F179" s="389"/>
      <c r="G179" s="17">
        <f t="shared" si="46"/>
        <v>0</v>
      </c>
      <c r="H179" s="17">
        <f t="shared" si="47"/>
        <v>0</v>
      </c>
      <c r="I179" s="17">
        <f t="shared" si="48"/>
        <v>0</v>
      </c>
      <c r="J179" s="541"/>
      <c r="K179" s="542"/>
    </row>
    <row r="180" spans="1:11">
      <c r="A180" s="14" t="str">
        <f t="shared" si="45"/>
        <v/>
      </c>
      <c r="B180" s="231"/>
      <c r="C180" s="386"/>
      <c r="D180" s="387"/>
      <c r="E180" s="388"/>
      <c r="F180" s="389"/>
      <c r="G180" s="17">
        <f t="shared" si="46"/>
        <v>0</v>
      </c>
      <c r="H180" s="17">
        <f t="shared" si="47"/>
        <v>0</v>
      </c>
      <c r="I180" s="17">
        <f t="shared" si="48"/>
        <v>0</v>
      </c>
      <c r="J180" s="541"/>
      <c r="K180" s="542"/>
    </row>
    <row r="181" spans="1:11">
      <c r="A181" s="14" t="str">
        <f t="shared" si="45"/>
        <v/>
      </c>
      <c r="B181" s="231"/>
      <c r="C181" s="386"/>
      <c r="D181" s="387"/>
      <c r="E181" s="388"/>
      <c r="F181" s="389"/>
      <c r="G181" s="17">
        <f t="shared" si="46"/>
        <v>0</v>
      </c>
      <c r="H181" s="17">
        <f t="shared" si="47"/>
        <v>0</v>
      </c>
      <c r="I181" s="17">
        <f t="shared" si="48"/>
        <v>0</v>
      </c>
      <c r="J181" s="541"/>
      <c r="K181" s="542"/>
    </row>
    <row r="182" spans="1:11">
      <c r="A182" s="14" t="str">
        <f t="shared" si="45"/>
        <v/>
      </c>
      <c r="B182" s="231"/>
      <c r="C182" s="386"/>
      <c r="D182" s="387"/>
      <c r="E182" s="388"/>
      <c r="F182" s="389"/>
      <c r="G182" s="17">
        <f t="shared" si="46"/>
        <v>0</v>
      </c>
      <c r="H182" s="17">
        <f t="shared" si="47"/>
        <v>0</v>
      </c>
      <c r="I182" s="17">
        <f t="shared" si="48"/>
        <v>0</v>
      </c>
      <c r="J182" s="541"/>
      <c r="K182" s="542"/>
    </row>
    <row r="183" spans="1:11">
      <c r="A183" s="14" t="str">
        <f t="shared" si="45"/>
        <v/>
      </c>
      <c r="B183" s="231"/>
      <c r="C183" s="386"/>
      <c r="D183" s="387"/>
      <c r="E183" s="388"/>
      <c r="F183" s="389"/>
      <c r="G183" s="17">
        <f t="shared" si="46"/>
        <v>0</v>
      </c>
      <c r="H183" s="17">
        <f t="shared" si="47"/>
        <v>0</v>
      </c>
      <c r="I183" s="17">
        <f t="shared" si="48"/>
        <v>0</v>
      </c>
      <c r="J183" s="541"/>
      <c r="K183" s="542"/>
    </row>
    <row r="184" spans="1:11" ht="13.5" thickBot="1">
      <c r="A184" s="14" t="str">
        <f t="shared" si="45"/>
        <v/>
      </c>
      <c r="B184" s="390"/>
      <c r="C184" s="391"/>
      <c r="D184" s="392"/>
      <c r="E184" s="393"/>
      <c r="F184" s="394"/>
      <c r="G184" s="378">
        <f t="shared" si="46"/>
        <v>0</v>
      </c>
      <c r="H184" s="378">
        <f t="shared" si="47"/>
        <v>0</v>
      </c>
      <c r="I184" s="378">
        <f t="shared" si="48"/>
        <v>0</v>
      </c>
      <c r="J184" s="545"/>
      <c r="K184" s="546"/>
    </row>
    <row r="185" spans="1:11" ht="13.5" thickBot="1">
      <c r="A185" s="14" t="str">
        <f>IF(COUNTIF(A187:A201,"Nur Tätigkeiten mit geplantem Aufwand")&gt;0,"Nur Tätigkeiten mit geplantem Aufwand","")</f>
        <v/>
      </c>
      <c r="B185" s="405"/>
      <c r="C185" s="405"/>
      <c r="D185" s="405"/>
      <c r="E185" s="405"/>
      <c r="F185" s="405"/>
      <c r="G185" s="405"/>
      <c r="H185" s="405"/>
      <c r="I185" s="405"/>
      <c r="J185" s="547"/>
      <c r="K185" s="547"/>
    </row>
    <row r="186" spans="1:11" ht="13.5" thickBot="1">
      <c r="A186" s="14" t="str">
        <f>IF(COUNTIF(A187:A201,"Nur Tätigkeiten mit geplantem Aufwand")&gt;0,"Nur Tätigkeiten mit geplantem Aufwand","")</f>
        <v/>
      </c>
      <c r="B186" s="379" t="s">
        <v>220</v>
      </c>
      <c r="C186" s="380"/>
      <c r="D186" s="380"/>
      <c r="E186" s="380"/>
      <c r="F186" s="380"/>
      <c r="G186" s="381">
        <f>SUM(G187:G201)</f>
        <v>0</v>
      </c>
      <c r="H186" s="381">
        <f>SUM(H187:H201)</f>
        <v>0</v>
      </c>
      <c r="I186" s="381">
        <f>SUM(I187:I201)</f>
        <v>0</v>
      </c>
      <c r="J186" s="548"/>
      <c r="K186" s="549"/>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0"/>
      <c r="K187" s="551"/>
    </row>
    <row r="188" spans="1:11">
      <c r="A188" s="14" t="str">
        <f t="shared" si="49"/>
        <v/>
      </c>
      <c r="B188" s="231"/>
      <c r="C188" s="386"/>
      <c r="D188" s="387"/>
      <c r="E188" s="388"/>
      <c r="F188" s="389"/>
      <c r="G188" s="17">
        <f t="shared" si="50"/>
        <v>0</v>
      </c>
      <c r="H188" s="17">
        <f t="shared" si="51"/>
        <v>0</v>
      </c>
      <c r="I188" s="17">
        <f t="shared" si="52"/>
        <v>0</v>
      </c>
      <c r="J188" s="541"/>
      <c r="K188" s="542"/>
    </row>
    <row r="189" spans="1:11">
      <c r="A189" s="14" t="str">
        <f t="shared" si="49"/>
        <v/>
      </c>
      <c r="B189" s="231"/>
      <c r="C189" s="386"/>
      <c r="D189" s="387"/>
      <c r="E189" s="388"/>
      <c r="F189" s="389"/>
      <c r="G189" s="17">
        <f t="shared" si="50"/>
        <v>0</v>
      </c>
      <c r="H189" s="17">
        <f t="shared" si="51"/>
        <v>0</v>
      </c>
      <c r="I189" s="17">
        <f t="shared" si="52"/>
        <v>0</v>
      </c>
      <c r="J189" s="543"/>
      <c r="K189" s="544"/>
    </row>
    <row r="190" spans="1:11">
      <c r="A190" s="14" t="str">
        <f t="shared" si="49"/>
        <v/>
      </c>
      <c r="B190" s="231"/>
      <c r="C190" s="386"/>
      <c r="D190" s="387"/>
      <c r="E190" s="388"/>
      <c r="F190" s="389"/>
      <c r="G190" s="17">
        <f t="shared" si="50"/>
        <v>0</v>
      </c>
      <c r="H190" s="17">
        <f t="shared" si="51"/>
        <v>0</v>
      </c>
      <c r="I190" s="17">
        <f t="shared" si="52"/>
        <v>0</v>
      </c>
      <c r="J190" s="541"/>
      <c r="K190" s="542"/>
    </row>
    <row r="191" spans="1:11">
      <c r="A191" s="14" t="str">
        <f t="shared" si="49"/>
        <v/>
      </c>
      <c r="B191" s="231"/>
      <c r="C191" s="386"/>
      <c r="D191" s="387"/>
      <c r="E191" s="388"/>
      <c r="F191" s="389"/>
      <c r="G191" s="17">
        <f t="shared" si="50"/>
        <v>0</v>
      </c>
      <c r="H191" s="17">
        <f t="shared" si="51"/>
        <v>0</v>
      </c>
      <c r="I191" s="17">
        <f t="shared" si="52"/>
        <v>0</v>
      </c>
      <c r="J191" s="541"/>
      <c r="K191" s="542"/>
    </row>
    <row r="192" spans="1:11">
      <c r="A192" s="14" t="str">
        <f t="shared" si="49"/>
        <v/>
      </c>
      <c r="B192" s="231"/>
      <c r="C192" s="386"/>
      <c r="D192" s="387"/>
      <c r="E192" s="388"/>
      <c r="F192" s="389"/>
      <c r="G192" s="17">
        <f t="shared" si="50"/>
        <v>0</v>
      </c>
      <c r="H192" s="17">
        <f t="shared" si="51"/>
        <v>0</v>
      </c>
      <c r="I192" s="17">
        <f t="shared" si="52"/>
        <v>0</v>
      </c>
      <c r="J192" s="541"/>
      <c r="K192" s="542"/>
    </row>
    <row r="193" spans="1:11">
      <c r="A193" s="14" t="str">
        <f t="shared" si="49"/>
        <v/>
      </c>
      <c r="B193" s="231"/>
      <c r="C193" s="386"/>
      <c r="D193" s="387"/>
      <c r="E193" s="388"/>
      <c r="F193" s="389"/>
      <c r="G193" s="17">
        <f t="shared" si="50"/>
        <v>0</v>
      </c>
      <c r="H193" s="17">
        <f t="shared" si="51"/>
        <v>0</v>
      </c>
      <c r="I193" s="17">
        <f t="shared" si="52"/>
        <v>0</v>
      </c>
      <c r="J193" s="541"/>
      <c r="K193" s="542"/>
    </row>
    <row r="194" spans="1:11">
      <c r="A194" s="14" t="str">
        <f t="shared" si="49"/>
        <v/>
      </c>
      <c r="B194" s="231"/>
      <c r="C194" s="386"/>
      <c r="D194" s="387"/>
      <c r="E194" s="388"/>
      <c r="F194" s="389"/>
      <c r="G194" s="17">
        <f t="shared" si="50"/>
        <v>0</v>
      </c>
      <c r="H194" s="17">
        <f t="shared" si="51"/>
        <v>0</v>
      </c>
      <c r="I194" s="17">
        <f t="shared" si="52"/>
        <v>0</v>
      </c>
      <c r="J194" s="541"/>
      <c r="K194" s="542"/>
    </row>
    <row r="195" spans="1:11">
      <c r="A195" s="14" t="str">
        <f t="shared" si="49"/>
        <v/>
      </c>
      <c r="B195" s="231"/>
      <c r="C195" s="386"/>
      <c r="D195" s="387"/>
      <c r="E195" s="388"/>
      <c r="F195" s="389"/>
      <c r="G195" s="17">
        <f t="shared" si="50"/>
        <v>0</v>
      </c>
      <c r="H195" s="17">
        <f t="shared" si="51"/>
        <v>0</v>
      </c>
      <c r="I195" s="17">
        <f t="shared" si="52"/>
        <v>0</v>
      </c>
      <c r="J195" s="541"/>
      <c r="K195" s="542"/>
    </row>
    <row r="196" spans="1:11">
      <c r="A196" s="14" t="str">
        <f t="shared" si="49"/>
        <v/>
      </c>
      <c r="B196" s="231"/>
      <c r="C196" s="386"/>
      <c r="D196" s="387"/>
      <c r="E196" s="388"/>
      <c r="F196" s="389"/>
      <c r="G196" s="17">
        <f t="shared" si="50"/>
        <v>0</v>
      </c>
      <c r="H196" s="17">
        <f t="shared" si="51"/>
        <v>0</v>
      </c>
      <c r="I196" s="17">
        <f t="shared" si="52"/>
        <v>0</v>
      </c>
      <c r="J196" s="541"/>
      <c r="K196" s="542"/>
    </row>
    <row r="197" spans="1:11">
      <c r="A197" s="14" t="str">
        <f t="shared" si="49"/>
        <v/>
      </c>
      <c r="B197" s="231"/>
      <c r="C197" s="386"/>
      <c r="D197" s="387"/>
      <c r="E197" s="388"/>
      <c r="F197" s="389"/>
      <c r="G197" s="17">
        <f t="shared" si="50"/>
        <v>0</v>
      </c>
      <c r="H197" s="17">
        <f t="shared" si="51"/>
        <v>0</v>
      </c>
      <c r="I197" s="17">
        <f t="shared" si="52"/>
        <v>0</v>
      </c>
      <c r="J197" s="541"/>
      <c r="K197" s="542"/>
    </row>
    <row r="198" spans="1:11">
      <c r="A198" s="14" t="str">
        <f t="shared" si="49"/>
        <v/>
      </c>
      <c r="B198" s="231"/>
      <c r="C198" s="386"/>
      <c r="D198" s="387"/>
      <c r="E198" s="388"/>
      <c r="F198" s="389"/>
      <c r="G198" s="17">
        <f t="shared" si="50"/>
        <v>0</v>
      </c>
      <c r="H198" s="17">
        <f t="shared" si="51"/>
        <v>0</v>
      </c>
      <c r="I198" s="17">
        <f t="shared" si="52"/>
        <v>0</v>
      </c>
      <c r="J198" s="541"/>
      <c r="K198" s="542"/>
    </row>
    <row r="199" spans="1:11">
      <c r="A199" s="14" t="str">
        <f t="shared" si="49"/>
        <v/>
      </c>
      <c r="B199" s="231"/>
      <c r="C199" s="386"/>
      <c r="D199" s="387"/>
      <c r="E199" s="388"/>
      <c r="F199" s="389"/>
      <c r="G199" s="17">
        <f t="shared" si="50"/>
        <v>0</v>
      </c>
      <c r="H199" s="17">
        <f t="shared" si="51"/>
        <v>0</v>
      </c>
      <c r="I199" s="17">
        <f t="shared" si="52"/>
        <v>0</v>
      </c>
      <c r="J199" s="541"/>
      <c r="K199" s="542"/>
    </row>
    <row r="200" spans="1:11">
      <c r="A200" s="14" t="str">
        <f t="shared" si="49"/>
        <v/>
      </c>
      <c r="B200" s="231"/>
      <c r="C200" s="386"/>
      <c r="D200" s="387"/>
      <c r="E200" s="388"/>
      <c r="F200" s="389"/>
      <c r="G200" s="17">
        <f t="shared" si="50"/>
        <v>0</v>
      </c>
      <c r="H200" s="17">
        <f t="shared" si="51"/>
        <v>0</v>
      </c>
      <c r="I200" s="17">
        <f t="shared" si="52"/>
        <v>0</v>
      </c>
      <c r="J200" s="541"/>
      <c r="K200" s="542"/>
    </row>
    <row r="201" spans="1:11" ht="13.5" thickBot="1">
      <c r="A201" s="14" t="str">
        <f t="shared" si="49"/>
        <v/>
      </c>
      <c r="B201" s="390"/>
      <c r="C201" s="391"/>
      <c r="D201" s="392"/>
      <c r="E201" s="393"/>
      <c r="F201" s="394"/>
      <c r="G201" s="378">
        <f t="shared" si="50"/>
        <v>0</v>
      </c>
      <c r="H201" s="378">
        <f t="shared" si="51"/>
        <v>0</v>
      </c>
      <c r="I201" s="378">
        <f t="shared" si="52"/>
        <v>0</v>
      </c>
      <c r="J201" s="545"/>
      <c r="K201" s="546"/>
    </row>
    <row r="202" spans="1:11" ht="13.5" thickBot="1">
      <c r="A202" s="14" t="str">
        <f>IF(COUNTIF(A204:A218,"Nur Tätigkeiten mit geplantem Aufwand")&gt;0,"Nur Tätigkeiten mit geplantem Aufwand","")</f>
        <v/>
      </c>
      <c r="B202" s="405"/>
      <c r="C202" s="405"/>
      <c r="D202" s="405"/>
      <c r="E202" s="405"/>
      <c r="F202" s="405"/>
      <c r="G202" s="405"/>
      <c r="H202" s="405"/>
      <c r="I202" s="405"/>
      <c r="J202" s="547"/>
      <c r="K202" s="547"/>
    </row>
    <row r="203" spans="1:11" ht="13.5" thickBot="1">
      <c r="A203" s="14" t="str">
        <f>IF(COUNTIF(A204:A218,"Nur Tätigkeiten mit geplantem Aufwand")&gt;0,"Nur Tätigkeiten mit geplantem Aufwand","")</f>
        <v/>
      </c>
      <c r="B203" s="379" t="s">
        <v>221</v>
      </c>
      <c r="C203" s="380"/>
      <c r="D203" s="380"/>
      <c r="E203" s="380"/>
      <c r="F203" s="380"/>
      <c r="G203" s="381">
        <f>SUM(G204:G218)</f>
        <v>0</v>
      </c>
      <c r="H203" s="381">
        <f>SUM(H204:H218)</f>
        <v>0</v>
      </c>
      <c r="I203" s="381">
        <f>SUM(I204:I218)</f>
        <v>0</v>
      </c>
      <c r="J203" s="548"/>
      <c r="K203" s="549"/>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0"/>
      <c r="K204" s="551"/>
    </row>
    <row r="205" spans="1:11">
      <c r="A205" s="14" t="str">
        <f t="shared" si="53"/>
        <v/>
      </c>
      <c r="B205" s="231"/>
      <c r="C205" s="386"/>
      <c r="D205" s="387"/>
      <c r="E205" s="388"/>
      <c r="F205" s="389"/>
      <c r="G205" s="17">
        <f t="shared" si="54"/>
        <v>0</v>
      </c>
      <c r="H205" s="17">
        <f t="shared" si="55"/>
        <v>0</v>
      </c>
      <c r="I205" s="17">
        <f t="shared" si="56"/>
        <v>0</v>
      </c>
      <c r="J205" s="541"/>
      <c r="K205" s="542"/>
    </row>
    <row r="206" spans="1:11">
      <c r="A206" s="14" t="str">
        <f t="shared" si="53"/>
        <v/>
      </c>
      <c r="B206" s="231"/>
      <c r="C206" s="386"/>
      <c r="D206" s="387"/>
      <c r="E206" s="388"/>
      <c r="F206" s="389"/>
      <c r="G206" s="17">
        <f t="shared" si="54"/>
        <v>0</v>
      </c>
      <c r="H206" s="17">
        <f t="shared" si="55"/>
        <v>0</v>
      </c>
      <c r="I206" s="17">
        <f t="shared" si="56"/>
        <v>0</v>
      </c>
      <c r="J206" s="543"/>
      <c r="K206" s="544"/>
    </row>
    <row r="207" spans="1:11">
      <c r="A207" s="14" t="str">
        <f t="shared" si="53"/>
        <v/>
      </c>
      <c r="B207" s="231"/>
      <c r="C207" s="386"/>
      <c r="D207" s="387"/>
      <c r="E207" s="388"/>
      <c r="F207" s="389"/>
      <c r="G207" s="17">
        <f t="shared" si="54"/>
        <v>0</v>
      </c>
      <c r="H207" s="17">
        <f t="shared" si="55"/>
        <v>0</v>
      </c>
      <c r="I207" s="17">
        <f t="shared" si="56"/>
        <v>0</v>
      </c>
      <c r="J207" s="541"/>
      <c r="K207" s="542"/>
    </row>
    <row r="208" spans="1:11">
      <c r="A208" s="14" t="str">
        <f t="shared" si="53"/>
        <v/>
      </c>
      <c r="B208" s="231"/>
      <c r="C208" s="386"/>
      <c r="D208" s="387"/>
      <c r="E208" s="388"/>
      <c r="F208" s="389"/>
      <c r="G208" s="17">
        <f t="shared" si="54"/>
        <v>0</v>
      </c>
      <c r="H208" s="17">
        <f t="shared" si="55"/>
        <v>0</v>
      </c>
      <c r="I208" s="17">
        <f t="shared" si="56"/>
        <v>0</v>
      </c>
      <c r="J208" s="541"/>
      <c r="K208" s="542"/>
    </row>
    <row r="209" spans="1:11">
      <c r="A209" s="14" t="str">
        <f t="shared" si="53"/>
        <v/>
      </c>
      <c r="B209" s="231"/>
      <c r="C209" s="386"/>
      <c r="D209" s="387"/>
      <c r="E209" s="388"/>
      <c r="F209" s="389"/>
      <c r="G209" s="17">
        <f t="shared" si="54"/>
        <v>0</v>
      </c>
      <c r="H209" s="17">
        <f t="shared" si="55"/>
        <v>0</v>
      </c>
      <c r="I209" s="17">
        <f t="shared" si="56"/>
        <v>0</v>
      </c>
      <c r="J209" s="541"/>
      <c r="K209" s="542"/>
    </row>
    <row r="210" spans="1:11">
      <c r="A210" s="14" t="str">
        <f t="shared" si="53"/>
        <v/>
      </c>
      <c r="B210" s="231"/>
      <c r="C210" s="386"/>
      <c r="D210" s="387"/>
      <c r="E210" s="388"/>
      <c r="F210" s="389"/>
      <c r="G210" s="17">
        <f t="shared" si="54"/>
        <v>0</v>
      </c>
      <c r="H210" s="17">
        <f t="shared" si="55"/>
        <v>0</v>
      </c>
      <c r="I210" s="17">
        <f t="shared" si="56"/>
        <v>0</v>
      </c>
      <c r="J210" s="541"/>
      <c r="K210" s="542"/>
    </row>
    <row r="211" spans="1:11">
      <c r="A211" s="14" t="str">
        <f t="shared" si="53"/>
        <v/>
      </c>
      <c r="B211" s="231"/>
      <c r="C211" s="386"/>
      <c r="D211" s="387"/>
      <c r="E211" s="388"/>
      <c r="F211" s="389"/>
      <c r="G211" s="17">
        <f t="shared" si="54"/>
        <v>0</v>
      </c>
      <c r="H211" s="17">
        <f t="shared" si="55"/>
        <v>0</v>
      </c>
      <c r="I211" s="17">
        <f t="shared" si="56"/>
        <v>0</v>
      </c>
      <c r="J211" s="541"/>
      <c r="K211" s="542"/>
    </row>
    <row r="212" spans="1:11">
      <c r="A212" s="14" t="str">
        <f t="shared" si="53"/>
        <v/>
      </c>
      <c r="B212" s="231"/>
      <c r="C212" s="386"/>
      <c r="D212" s="387"/>
      <c r="E212" s="388"/>
      <c r="F212" s="389"/>
      <c r="G212" s="17">
        <f t="shared" si="54"/>
        <v>0</v>
      </c>
      <c r="H212" s="17">
        <f t="shared" si="55"/>
        <v>0</v>
      </c>
      <c r="I212" s="17">
        <f t="shared" si="56"/>
        <v>0</v>
      </c>
      <c r="J212" s="541"/>
      <c r="K212" s="542"/>
    </row>
    <row r="213" spans="1:11">
      <c r="A213" s="14" t="str">
        <f t="shared" si="53"/>
        <v/>
      </c>
      <c r="B213" s="231"/>
      <c r="C213" s="386"/>
      <c r="D213" s="387"/>
      <c r="E213" s="388"/>
      <c r="F213" s="389"/>
      <c r="G213" s="17">
        <f t="shared" si="54"/>
        <v>0</v>
      </c>
      <c r="H213" s="17">
        <f t="shared" si="55"/>
        <v>0</v>
      </c>
      <c r="I213" s="17">
        <f t="shared" si="56"/>
        <v>0</v>
      </c>
      <c r="J213" s="541"/>
      <c r="K213" s="542"/>
    </row>
    <row r="214" spans="1:11">
      <c r="A214" s="14" t="str">
        <f t="shared" si="53"/>
        <v/>
      </c>
      <c r="B214" s="231"/>
      <c r="C214" s="386"/>
      <c r="D214" s="387"/>
      <c r="E214" s="388"/>
      <c r="F214" s="389"/>
      <c r="G214" s="17">
        <f t="shared" si="54"/>
        <v>0</v>
      </c>
      <c r="H214" s="17">
        <f t="shared" si="55"/>
        <v>0</v>
      </c>
      <c r="I214" s="17">
        <f t="shared" si="56"/>
        <v>0</v>
      </c>
      <c r="J214" s="541"/>
      <c r="K214" s="542"/>
    </row>
    <row r="215" spans="1:11">
      <c r="A215" s="14" t="str">
        <f t="shared" si="53"/>
        <v/>
      </c>
      <c r="B215" s="231"/>
      <c r="C215" s="386"/>
      <c r="D215" s="387"/>
      <c r="E215" s="388"/>
      <c r="F215" s="389"/>
      <c r="G215" s="17">
        <f t="shared" si="54"/>
        <v>0</v>
      </c>
      <c r="H215" s="17">
        <f t="shared" si="55"/>
        <v>0</v>
      </c>
      <c r="I215" s="17">
        <f t="shared" si="56"/>
        <v>0</v>
      </c>
      <c r="J215" s="541"/>
      <c r="K215" s="542"/>
    </row>
    <row r="216" spans="1:11">
      <c r="A216" s="14" t="str">
        <f t="shared" si="53"/>
        <v/>
      </c>
      <c r="B216" s="231"/>
      <c r="C216" s="386"/>
      <c r="D216" s="387"/>
      <c r="E216" s="388"/>
      <c r="F216" s="389"/>
      <c r="G216" s="17">
        <f t="shared" si="54"/>
        <v>0</v>
      </c>
      <c r="H216" s="17">
        <f t="shared" si="55"/>
        <v>0</v>
      </c>
      <c r="I216" s="17">
        <f t="shared" si="56"/>
        <v>0</v>
      </c>
      <c r="J216" s="541"/>
      <c r="K216" s="542"/>
    </row>
    <row r="217" spans="1:11">
      <c r="A217" s="14" t="str">
        <f t="shared" si="53"/>
        <v/>
      </c>
      <c r="B217" s="231"/>
      <c r="C217" s="386"/>
      <c r="D217" s="387"/>
      <c r="E217" s="388"/>
      <c r="F217" s="389"/>
      <c r="G217" s="17">
        <f t="shared" si="54"/>
        <v>0</v>
      </c>
      <c r="H217" s="17">
        <f t="shared" si="55"/>
        <v>0</v>
      </c>
      <c r="I217" s="17">
        <f t="shared" si="56"/>
        <v>0</v>
      </c>
      <c r="J217" s="541"/>
      <c r="K217" s="542"/>
    </row>
    <row r="218" spans="1:11" ht="13.5" thickBot="1">
      <c r="A218" s="14" t="str">
        <f t="shared" si="53"/>
        <v/>
      </c>
      <c r="B218" s="390"/>
      <c r="C218" s="391"/>
      <c r="D218" s="392"/>
      <c r="E218" s="393"/>
      <c r="F218" s="394"/>
      <c r="G218" s="378">
        <f t="shared" si="54"/>
        <v>0</v>
      </c>
      <c r="H218" s="378">
        <f t="shared" si="55"/>
        <v>0</v>
      </c>
      <c r="I218" s="378">
        <f t="shared" si="56"/>
        <v>0</v>
      </c>
      <c r="J218" s="545"/>
      <c r="K218" s="546"/>
    </row>
    <row r="219" spans="1:11" ht="13.5" thickBot="1">
      <c r="A219" s="14" t="str">
        <f>IF(COUNTIF(A221:A235,"Nur Tätigkeiten mit geplantem Aufwand")&gt;0,"Nur Tätigkeiten mit geplantem Aufwand","")</f>
        <v/>
      </c>
      <c r="B219" s="405"/>
      <c r="C219" s="405"/>
      <c r="D219" s="405"/>
      <c r="E219" s="405"/>
      <c r="F219" s="405"/>
      <c r="G219" s="405"/>
      <c r="H219" s="405"/>
      <c r="I219" s="405"/>
      <c r="J219" s="547"/>
      <c r="K219" s="547"/>
    </row>
    <row r="220" spans="1:11" ht="13.5"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48"/>
      <c r="K220" s="549"/>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0"/>
      <c r="K221" s="551"/>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1"/>
      <c r="K222" s="542"/>
    </row>
    <row r="223" spans="1:11">
      <c r="A223" s="14" t="str">
        <f t="shared" si="60"/>
        <v/>
      </c>
      <c r="B223" s="231"/>
      <c r="C223" s="386"/>
      <c r="D223" s="387"/>
      <c r="E223" s="388"/>
      <c r="F223" s="389"/>
      <c r="G223" s="17">
        <f t="shared" si="57"/>
        <v>0</v>
      </c>
      <c r="H223" s="17">
        <f t="shared" si="58"/>
        <v>0</v>
      </c>
      <c r="I223" s="17">
        <f t="shared" si="59"/>
        <v>0</v>
      </c>
      <c r="J223" s="543"/>
      <c r="K223" s="544"/>
    </row>
    <row r="224" spans="1:11">
      <c r="A224" s="14" t="str">
        <f t="shared" si="60"/>
        <v/>
      </c>
      <c r="B224" s="231"/>
      <c r="C224" s="386"/>
      <c r="D224" s="387"/>
      <c r="E224" s="388"/>
      <c r="F224" s="389"/>
      <c r="G224" s="17">
        <f t="shared" si="57"/>
        <v>0</v>
      </c>
      <c r="H224" s="17">
        <f t="shared" si="58"/>
        <v>0</v>
      </c>
      <c r="I224" s="17">
        <f t="shared" si="59"/>
        <v>0</v>
      </c>
      <c r="J224" s="541"/>
      <c r="K224" s="542"/>
    </row>
    <row r="225" spans="1:11">
      <c r="A225" s="14" t="str">
        <f t="shared" si="60"/>
        <v/>
      </c>
      <c r="B225" s="231"/>
      <c r="C225" s="386"/>
      <c r="D225" s="387"/>
      <c r="E225" s="388"/>
      <c r="F225" s="389"/>
      <c r="G225" s="17">
        <f t="shared" si="57"/>
        <v>0</v>
      </c>
      <c r="H225" s="17">
        <f t="shared" si="58"/>
        <v>0</v>
      </c>
      <c r="I225" s="17">
        <f t="shared" si="59"/>
        <v>0</v>
      </c>
      <c r="J225" s="541"/>
      <c r="K225" s="542"/>
    </row>
    <row r="226" spans="1:11">
      <c r="A226" s="14" t="str">
        <f t="shared" si="60"/>
        <v/>
      </c>
      <c r="B226" s="231"/>
      <c r="C226" s="386"/>
      <c r="D226" s="387"/>
      <c r="E226" s="388"/>
      <c r="F226" s="389"/>
      <c r="G226" s="17">
        <f t="shared" si="57"/>
        <v>0</v>
      </c>
      <c r="H226" s="17">
        <f t="shared" si="58"/>
        <v>0</v>
      </c>
      <c r="I226" s="17">
        <f t="shared" si="59"/>
        <v>0</v>
      </c>
      <c r="J226" s="541"/>
      <c r="K226" s="542"/>
    </row>
    <row r="227" spans="1:11">
      <c r="A227" s="14" t="str">
        <f t="shared" si="60"/>
        <v/>
      </c>
      <c r="B227" s="231"/>
      <c r="C227" s="386"/>
      <c r="D227" s="387"/>
      <c r="E227" s="388"/>
      <c r="F227" s="389"/>
      <c r="G227" s="17">
        <f t="shared" si="57"/>
        <v>0</v>
      </c>
      <c r="H227" s="17">
        <f t="shared" si="58"/>
        <v>0</v>
      </c>
      <c r="I227" s="17">
        <f t="shared" si="59"/>
        <v>0</v>
      </c>
      <c r="J227" s="541"/>
      <c r="K227" s="542"/>
    </row>
    <row r="228" spans="1:11">
      <c r="A228" s="14" t="str">
        <f t="shared" si="60"/>
        <v/>
      </c>
      <c r="B228" s="231"/>
      <c r="C228" s="386"/>
      <c r="D228" s="387"/>
      <c r="E228" s="388"/>
      <c r="F228" s="389"/>
      <c r="G228" s="17">
        <f t="shared" si="57"/>
        <v>0</v>
      </c>
      <c r="H228" s="17">
        <f t="shared" si="58"/>
        <v>0</v>
      </c>
      <c r="I228" s="17">
        <f t="shared" si="59"/>
        <v>0</v>
      </c>
      <c r="J228" s="541"/>
      <c r="K228" s="542"/>
    </row>
    <row r="229" spans="1:11">
      <c r="A229" s="14" t="str">
        <f t="shared" si="60"/>
        <v/>
      </c>
      <c r="B229" s="231"/>
      <c r="C229" s="386"/>
      <c r="D229" s="387"/>
      <c r="E229" s="388"/>
      <c r="F229" s="389"/>
      <c r="G229" s="17">
        <f t="shared" si="57"/>
        <v>0</v>
      </c>
      <c r="H229" s="17">
        <f t="shared" si="58"/>
        <v>0</v>
      </c>
      <c r="I229" s="17">
        <f t="shared" si="59"/>
        <v>0</v>
      </c>
      <c r="J229" s="541"/>
      <c r="K229" s="542"/>
    </row>
    <row r="230" spans="1:11">
      <c r="A230" s="14" t="str">
        <f t="shared" si="60"/>
        <v/>
      </c>
      <c r="B230" s="231"/>
      <c r="C230" s="386"/>
      <c r="D230" s="387"/>
      <c r="E230" s="388"/>
      <c r="F230" s="389"/>
      <c r="G230" s="17">
        <f t="shared" si="57"/>
        <v>0</v>
      </c>
      <c r="H230" s="17">
        <f t="shared" si="58"/>
        <v>0</v>
      </c>
      <c r="I230" s="17">
        <f t="shared" si="59"/>
        <v>0</v>
      </c>
      <c r="J230" s="541"/>
      <c r="K230" s="542"/>
    </row>
    <row r="231" spans="1:11">
      <c r="A231" s="14" t="str">
        <f t="shared" si="60"/>
        <v/>
      </c>
      <c r="B231" s="231"/>
      <c r="C231" s="386"/>
      <c r="D231" s="387"/>
      <c r="E231" s="388"/>
      <c r="F231" s="389"/>
      <c r="G231" s="17">
        <f t="shared" si="57"/>
        <v>0</v>
      </c>
      <c r="H231" s="17">
        <f t="shared" si="58"/>
        <v>0</v>
      </c>
      <c r="I231" s="17">
        <f t="shared" si="59"/>
        <v>0</v>
      </c>
      <c r="J231" s="541"/>
      <c r="K231" s="542"/>
    </row>
    <row r="232" spans="1:11">
      <c r="A232" s="14" t="str">
        <f t="shared" si="60"/>
        <v/>
      </c>
      <c r="B232" s="231"/>
      <c r="C232" s="386"/>
      <c r="D232" s="387"/>
      <c r="E232" s="388"/>
      <c r="F232" s="389"/>
      <c r="G232" s="17">
        <f t="shared" si="57"/>
        <v>0</v>
      </c>
      <c r="H232" s="17">
        <f t="shared" si="58"/>
        <v>0</v>
      </c>
      <c r="I232" s="17">
        <f t="shared" si="59"/>
        <v>0</v>
      </c>
      <c r="J232" s="541"/>
      <c r="K232" s="542"/>
    </row>
    <row r="233" spans="1:11">
      <c r="A233" s="14" t="str">
        <f t="shared" si="60"/>
        <v/>
      </c>
      <c r="B233" s="231"/>
      <c r="C233" s="386"/>
      <c r="D233" s="387"/>
      <c r="E233" s="388"/>
      <c r="F233" s="389"/>
      <c r="G233" s="17">
        <f t="shared" si="57"/>
        <v>0</v>
      </c>
      <c r="H233" s="17">
        <f t="shared" si="58"/>
        <v>0</v>
      </c>
      <c r="I233" s="17">
        <f t="shared" si="59"/>
        <v>0</v>
      </c>
      <c r="J233" s="541"/>
      <c r="K233" s="542"/>
    </row>
    <row r="234" spans="1:11">
      <c r="A234" s="14" t="str">
        <f t="shared" si="60"/>
        <v/>
      </c>
      <c r="B234" s="231"/>
      <c r="C234" s="386"/>
      <c r="D234" s="387"/>
      <c r="E234" s="388"/>
      <c r="F234" s="389"/>
      <c r="G234" s="17">
        <f t="shared" si="57"/>
        <v>0</v>
      </c>
      <c r="H234" s="17">
        <f t="shared" si="58"/>
        <v>0</v>
      </c>
      <c r="I234" s="17">
        <f t="shared" si="59"/>
        <v>0</v>
      </c>
      <c r="J234" s="541"/>
      <c r="K234" s="542"/>
    </row>
    <row r="235" spans="1:11" ht="13.5" thickBot="1">
      <c r="A235" s="14" t="str">
        <f t="shared" si="60"/>
        <v/>
      </c>
      <c r="B235" s="390"/>
      <c r="C235" s="391"/>
      <c r="D235" s="392"/>
      <c r="E235" s="393"/>
      <c r="F235" s="394"/>
      <c r="G235" s="378">
        <f t="shared" si="57"/>
        <v>0</v>
      </c>
      <c r="H235" s="378">
        <f t="shared" si="58"/>
        <v>0</v>
      </c>
      <c r="I235" s="378">
        <f t="shared" si="59"/>
        <v>0</v>
      </c>
      <c r="J235" s="545"/>
      <c r="K235" s="546"/>
    </row>
    <row r="236" spans="1:11" ht="13.5" thickBot="1">
      <c r="A236" s="14" t="s">
        <v>229</v>
      </c>
      <c r="B236" s="407"/>
      <c r="C236" s="408"/>
      <c r="D236" s="408"/>
      <c r="E236" s="405"/>
      <c r="F236" s="405"/>
      <c r="G236" s="405"/>
      <c r="H236" s="405"/>
      <c r="I236" s="405"/>
      <c r="J236" s="408"/>
      <c r="K236" s="408"/>
    </row>
    <row r="237" spans="1:11">
      <c r="A237" s="14" t="s">
        <v>229</v>
      </c>
      <c r="B237" s="5"/>
      <c r="C237" s="5"/>
      <c r="E237" s="552" t="s">
        <v>235</v>
      </c>
      <c r="F237" s="553"/>
      <c r="G237" s="17">
        <f>G118+G135+G152+G101+G84+G169+G67+G16+G33+G203+G50+G220+G186</f>
        <v>7070</v>
      </c>
      <c r="H237" s="17">
        <f>H118+H135+H152+H101+H84+H169+H67+H16+H33+H203+H50+H220+H186</f>
        <v>5895</v>
      </c>
      <c r="I237" s="406">
        <f>I118+I135+I152+I101+I84+I169+I67+I16+I33+I203+I50+I220+I186</f>
        <v>8245</v>
      </c>
      <c r="J237" s="16"/>
    </row>
    <row r="238" spans="1:11" ht="15">
      <c r="A238" s="14" t="s">
        <v>229</v>
      </c>
      <c r="B238" s="5"/>
      <c r="E238" s="554" t="s">
        <v>236</v>
      </c>
      <c r="F238" s="555"/>
      <c r="G238" s="396">
        <v>0.1</v>
      </c>
      <c r="H238" s="396">
        <v>0.05</v>
      </c>
      <c r="I238" s="397">
        <v>0.15</v>
      </c>
      <c r="J238" s="16"/>
    </row>
    <row r="239" spans="1:11" ht="15.75" thickBot="1">
      <c r="A239" s="14" t="s">
        <v>229</v>
      </c>
      <c r="B239" s="5"/>
      <c r="E239" s="556" t="s">
        <v>237</v>
      </c>
      <c r="F239" s="557"/>
      <c r="G239" s="395">
        <f>G237*(1+G238)</f>
        <v>7777.0000000000009</v>
      </c>
      <c r="H239" s="395">
        <f>H237*(1+H238)</f>
        <v>6189.75</v>
      </c>
      <c r="I239" s="175">
        <f>I237*(1+I238)</f>
        <v>9481.75</v>
      </c>
      <c r="J239" s="16"/>
    </row>
    <row r="240" spans="1:11">
      <c r="B240" s="5"/>
      <c r="F240" s="5"/>
      <c r="G240" s="5"/>
    </row>
    <row r="241" spans="2:2">
      <c r="B241" s="135" t="s">
        <v>365</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 ref="J37:K37"/>
    <mergeCell ref="J38:K38"/>
    <mergeCell ref="J23:K23"/>
    <mergeCell ref="J24:K24"/>
    <mergeCell ref="J25:K25"/>
    <mergeCell ref="J30:K30"/>
    <mergeCell ref="J31:K31"/>
    <mergeCell ref="J32:K32"/>
    <mergeCell ref="J26:K26"/>
    <mergeCell ref="J27:K27"/>
    <mergeCell ref="J28:K28"/>
    <mergeCell ref="J29:K29"/>
    <mergeCell ref="J45:K45"/>
    <mergeCell ref="J46:K46"/>
    <mergeCell ref="J47:K47"/>
    <mergeCell ref="J48:K48"/>
    <mergeCell ref="J49:K49"/>
    <mergeCell ref="J50:K50"/>
    <mergeCell ref="J39:K39"/>
    <mergeCell ref="J40:K40"/>
    <mergeCell ref="J41:K41"/>
    <mergeCell ref="J42:K42"/>
    <mergeCell ref="J43:K43"/>
    <mergeCell ref="J44:K44"/>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118:K118"/>
    <mergeCell ref="J119:K119"/>
    <mergeCell ref="J120:K120"/>
    <mergeCell ref="J121:K121"/>
    <mergeCell ref="J122:K122"/>
    <mergeCell ref="J123:K123"/>
    <mergeCell ref="J112:K112"/>
    <mergeCell ref="J113:K113"/>
    <mergeCell ref="J114:K114"/>
    <mergeCell ref="J115:K115"/>
    <mergeCell ref="J116:K116"/>
    <mergeCell ref="J117:K117"/>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52:K152"/>
    <mergeCell ref="J153:K153"/>
    <mergeCell ref="J154:K154"/>
    <mergeCell ref="J155:K155"/>
    <mergeCell ref="J161:K161"/>
    <mergeCell ref="J162:K162"/>
    <mergeCell ref="J156:K156"/>
    <mergeCell ref="J157:K157"/>
    <mergeCell ref="J158:K158"/>
    <mergeCell ref="J159:K159"/>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202:K202"/>
    <mergeCell ref="J203:K203"/>
    <mergeCell ref="J204:K204"/>
    <mergeCell ref="J205:K205"/>
    <mergeCell ref="J193:K193"/>
    <mergeCell ref="J194:K194"/>
    <mergeCell ref="J195:K195"/>
    <mergeCell ref="J196:K196"/>
    <mergeCell ref="J197:K197"/>
    <mergeCell ref="J198:K198"/>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5" t="s">
        <v>344</v>
      </c>
      <c r="C1" s="425"/>
      <c r="D1" s="425"/>
      <c r="E1" s="433" t="s">
        <v>129</v>
      </c>
      <c r="F1" s="433"/>
      <c r="G1" s="433"/>
      <c r="H1" s="272"/>
      <c r="N1" s="425"/>
      <c r="O1" s="425"/>
    </row>
    <row r="2" spans="2:17" s="150" customFormat="1" ht="1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5" customHeight="1">
      <c r="N4" s="5"/>
      <c r="O4" s="5"/>
      <c r="P4" s="5"/>
      <c r="Q4" s="5"/>
    </row>
    <row r="5" spans="2:17" ht="13.5" thickBot="1"/>
    <row r="6" spans="2:17" ht="13.5" thickBot="1">
      <c r="B6" s="431" t="s">
        <v>72</v>
      </c>
      <c r="C6" s="435"/>
      <c r="D6" s="435"/>
      <c r="E6" s="432"/>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3.5" thickBot="1">
      <c r="B12" s="162" t="s">
        <v>74</v>
      </c>
      <c r="C12" s="403">
        <v>100</v>
      </c>
      <c r="D12" s="403">
        <v>0</v>
      </c>
      <c r="E12" s="404">
        <v>-50</v>
      </c>
      <c r="F12" s="5" t="str">
        <f>IF(NOT(AND(C12&gt;D12,D12&gt;E12)),"Ungültige Kombination. Grün muss &gt; gelb muss &gt; rot sein.","")</f>
        <v/>
      </c>
    </row>
    <row r="14" spans="2:17" ht="15">
      <c r="B14" s="135" t="s">
        <v>365</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5" t="s">
        <v>344</v>
      </c>
      <c r="C1" s="425"/>
      <c r="D1" s="425"/>
      <c r="E1" s="433" t="s">
        <v>394</v>
      </c>
      <c r="F1" s="433"/>
      <c r="G1" s="433"/>
      <c r="H1" s="272"/>
      <c r="N1" s="425"/>
      <c r="O1" s="425"/>
    </row>
    <row r="2" spans="2:17" s="150" customFormat="1" ht="1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5" customHeight="1">
      <c r="N4" s="5"/>
      <c r="O4" s="5"/>
      <c r="P4" s="5"/>
      <c r="Q4" s="5"/>
    </row>
    <row r="6" spans="2:17" ht="18.75">
      <c r="B6" s="415" t="s">
        <v>473</v>
      </c>
    </row>
    <row r="7" spans="2:17" ht="15.75">
      <c r="B7" s="411" t="s">
        <v>476</v>
      </c>
    </row>
    <row r="8" spans="2:17" s="6" customFormat="1" ht="15"/>
    <row r="9" spans="2:17" s="6" customFormat="1" ht="18.75">
      <c r="B9" s="415" t="s">
        <v>402</v>
      </c>
    </row>
    <row r="10" spans="2:17" s="6" customFormat="1" ht="7.5" customHeight="1"/>
    <row r="11" spans="2:17" s="6" customFormat="1" ht="15">
      <c r="B11" s="6" t="s">
        <v>395</v>
      </c>
      <c r="D11" s="414">
        <v>0</v>
      </c>
    </row>
    <row r="12" spans="2:17" s="6" customFormat="1" ht="15">
      <c r="B12" s="6" t="s">
        <v>396</v>
      </c>
      <c r="D12" s="414">
        <v>0.25</v>
      </c>
    </row>
    <row r="13" spans="2:17" s="6" customFormat="1" ht="15">
      <c r="B13" s="6" t="s">
        <v>397</v>
      </c>
      <c r="D13" s="414">
        <v>0.35</v>
      </c>
    </row>
    <row r="14" spans="2:17" s="6" customFormat="1" ht="15">
      <c r="B14" s="6" t="s">
        <v>398</v>
      </c>
      <c r="D14" s="414">
        <v>0.42</v>
      </c>
    </row>
    <row r="15" spans="2:17" s="6" customFormat="1" ht="15">
      <c r="B15" s="6" t="s">
        <v>399</v>
      </c>
      <c r="D15" s="414">
        <v>0.48</v>
      </c>
    </row>
    <row r="16" spans="2:17" s="6" customFormat="1" ht="15">
      <c r="B16" s="6" t="s">
        <v>400</v>
      </c>
      <c r="D16" s="414">
        <v>0.5</v>
      </c>
    </row>
    <row r="17" spans="2:14" s="6" customFormat="1" ht="15">
      <c r="B17" s="6" t="s">
        <v>401</v>
      </c>
      <c r="D17" s="414">
        <v>0.55000000000000004</v>
      </c>
    </row>
    <row r="18" spans="2:14" s="6" customFormat="1" ht="15"/>
    <row r="19" spans="2:14" s="6" customFormat="1" ht="15">
      <c r="B19" s="560" t="s">
        <v>411</v>
      </c>
      <c r="C19" s="560"/>
      <c r="D19" s="560"/>
      <c r="E19" s="560"/>
      <c r="F19" s="560"/>
      <c r="G19" s="560"/>
      <c r="H19" s="560"/>
      <c r="I19" s="560"/>
      <c r="J19" s="560"/>
      <c r="K19" s="560"/>
      <c r="L19" s="560"/>
      <c r="M19" s="560"/>
      <c r="N19" s="560"/>
    </row>
    <row r="20" spans="2:14" s="6" customFormat="1" ht="15">
      <c r="B20" s="560"/>
      <c r="C20" s="560"/>
      <c r="D20" s="560"/>
      <c r="E20" s="560"/>
      <c r="F20" s="560"/>
      <c r="G20" s="560"/>
      <c r="H20" s="560"/>
      <c r="I20" s="560"/>
      <c r="J20" s="560"/>
      <c r="K20" s="560"/>
      <c r="L20" s="560"/>
      <c r="M20" s="560"/>
      <c r="N20" s="560"/>
    </row>
    <row r="21" spans="2:14" s="6" customFormat="1" ht="15"/>
    <row r="22" spans="2:14" s="6" customFormat="1" ht="15"/>
    <row r="23" spans="2:14" s="6" customFormat="1" ht="15"/>
    <row r="24" spans="2:14" s="6" customFormat="1" ht="15"/>
    <row r="25" spans="2:14" s="6" customFormat="1" ht="15"/>
    <row r="26" spans="2:14" s="6" customFormat="1" ht="18.75">
      <c r="B26" s="415" t="s">
        <v>403</v>
      </c>
    </row>
    <row r="27" spans="2:14" s="6" customFormat="1" ht="6.75" customHeight="1"/>
    <row r="28" spans="2:14" s="6" customFormat="1" ht="15">
      <c r="B28" s="561" t="s">
        <v>412</v>
      </c>
      <c r="C28" s="561"/>
      <c r="D28" s="561"/>
      <c r="E28" s="561"/>
      <c r="F28" s="561"/>
      <c r="G28" s="561"/>
      <c r="H28" s="561"/>
      <c r="I28" s="561"/>
      <c r="J28" s="561"/>
      <c r="K28" s="561"/>
      <c r="L28" s="561"/>
      <c r="M28" s="561"/>
      <c r="N28" s="561"/>
    </row>
    <row r="29" spans="2:14" s="6" customFormat="1" ht="15">
      <c r="B29" s="561"/>
      <c r="C29" s="561"/>
      <c r="D29" s="561"/>
      <c r="E29" s="561"/>
      <c r="F29" s="561"/>
      <c r="G29" s="561"/>
      <c r="H29" s="561"/>
      <c r="I29" s="561"/>
      <c r="J29" s="561"/>
      <c r="K29" s="561"/>
      <c r="L29" s="561"/>
      <c r="M29" s="561"/>
      <c r="N29" s="561"/>
    </row>
    <row r="30" spans="2:14" s="6" customFormat="1" ht="15"/>
    <row r="31" spans="2:14" s="6" customFormat="1" ht="15">
      <c r="B31" s="413" t="s">
        <v>404</v>
      </c>
    </row>
    <row r="32" spans="2:14" s="6" customFormat="1" ht="15">
      <c r="B32" s="413"/>
    </row>
    <row r="33" spans="2:14" s="6" customFormat="1" ht="15">
      <c r="B33" s="412" t="s">
        <v>405</v>
      </c>
    </row>
    <row r="34" spans="2:14" s="6" customFormat="1" ht="15">
      <c r="B34" s="6" t="s">
        <v>406</v>
      </c>
    </row>
    <row r="35" spans="2:14" s="6" customFormat="1" ht="15">
      <c r="B35" s="6" t="s">
        <v>407</v>
      </c>
    </row>
    <row r="36" spans="2:14" s="6" customFormat="1" ht="15"/>
    <row r="37" spans="2:14" s="6" customFormat="1" ht="15">
      <c r="B37" s="412" t="s">
        <v>408</v>
      </c>
    </row>
    <row r="38" spans="2:14" s="6" customFormat="1" ht="15">
      <c r="B38" s="6" t="s">
        <v>409</v>
      </c>
    </row>
    <row r="39" spans="2:14" s="6" customFormat="1" ht="15">
      <c r="B39" s="6" t="s">
        <v>452</v>
      </c>
    </row>
    <row r="40" spans="2:14" s="6" customFormat="1" ht="15"/>
    <row r="41" spans="2:14" s="6" customFormat="1" ht="15">
      <c r="B41" s="412" t="s">
        <v>410</v>
      </c>
    </row>
    <row r="42" spans="2:14" s="6" customFormat="1" ht="15">
      <c r="B42" s="6" t="s">
        <v>409</v>
      </c>
    </row>
    <row r="43" spans="2:14" s="6" customFormat="1" ht="15">
      <c r="B43" s="6" t="s">
        <v>453</v>
      </c>
    </row>
    <row r="44" spans="2:14" s="6" customFormat="1" ht="15"/>
    <row r="45" spans="2:14" s="6" customFormat="1" ht="15">
      <c r="B45" s="6" t="s">
        <v>414</v>
      </c>
    </row>
    <row r="46" spans="2:14" s="6" customFormat="1" ht="15"/>
    <row r="47" spans="2:14" s="6" customFormat="1" ht="15">
      <c r="B47" s="561" t="s">
        <v>413</v>
      </c>
      <c r="C47" s="561"/>
      <c r="D47" s="561"/>
      <c r="E47" s="561"/>
      <c r="F47" s="561"/>
      <c r="G47" s="561"/>
      <c r="H47" s="561"/>
      <c r="I47" s="561"/>
      <c r="J47" s="561"/>
      <c r="K47" s="561"/>
      <c r="L47" s="561"/>
      <c r="M47" s="561"/>
      <c r="N47" s="561"/>
    </row>
    <row r="48" spans="2:14" s="6" customFormat="1" ht="15">
      <c r="B48" s="561"/>
      <c r="C48" s="561"/>
      <c r="D48" s="561"/>
      <c r="E48" s="561"/>
      <c r="F48" s="561"/>
      <c r="G48" s="561"/>
      <c r="H48" s="561"/>
      <c r="I48" s="561"/>
      <c r="J48" s="561"/>
      <c r="K48" s="561"/>
      <c r="L48" s="561"/>
      <c r="M48" s="561"/>
      <c r="N48" s="561"/>
    </row>
    <row r="49" spans="2:14" s="6" customFormat="1" ht="15"/>
    <row r="50" spans="2:14" s="6" customFormat="1" ht="15"/>
    <row r="51" spans="2:14" s="6" customFormat="1" ht="15"/>
    <row r="52" spans="2:14" s="6" customFormat="1" ht="15"/>
    <row r="53" spans="2:14" s="6" customFormat="1" ht="15"/>
    <row r="54" spans="2:14" s="6" customFormat="1" ht="18.75">
      <c r="B54" s="415" t="s">
        <v>415</v>
      </c>
    </row>
    <row r="55" spans="2:14" s="6" customFormat="1" ht="15"/>
    <row r="56" spans="2:14" s="6" customFormat="1" ht="15">
      <c r="B56" s="6" t="s">
        <v>454</v>
      </c>
    </row>
    <row r="57" spans="2:14" s="6" customFormat="1" ht="15"/>
    <row r="58" spans="2:14" s="6" customFormat="1" ht="15"/>
    <row r="59" spans="2:14" s="6" customFormat="1" ht="15">
      <c r="B59" s="412" t="s">
        <v>416</v>
      </c>
    </row>
    <row r="60" spans="2:14" s="6" customFormat="1" ht="15">
      <c r="B60" s="561" t="s">
        <v>455</v>
      </c>
      <c r="C60" s="561"/>
      <c r="D60" s="561"/>
      <c r="E60" s="561"/>
      <c r="F60" s="561"/>
      <c r="G60" s="561"/>
      <c r="H60" s="561"/>
      <c r="I60" s="561"/>
      <c r="J60" s="561"/>
      <c r="K60" s="561"/>
      <c r="L60" s="561"/>
      <c r="M60" s="561"/>
      <c r="N60" s="561"/>
    </row>
    <row r="61" spans="2:14" s="6" customFormat="1" ht="15">
      <c r="B61" s="561"/>
      <c r="C61" s="561"/>
      <c r="D61" s="561"/>
      <c r="E61" s="561"/>
      <c r="F61" s="561"/>
      <c r="G61" s="561"/>
      <c r="H61" s="561"/>
      <c r="I61" s="561"/>
      <c r="J61" s="561"/>
      <c r="K61" s="561"/>
      <c r="L61" s="561"/>
      <c r="M61" s="561"/>
      <c r="N61" s="561"/>
    </row>
    <row r="62" spans="2:14" s="6" customFormat="1" ht="15"/>
    <row r="63" spans="2:14" s="6" customFormat="1" ht="15">
      <c r="B63" s="413" t="s">
        <v>417</v>
      </c>
      <c r="C63" s="6" t="s">
        <v>418</v>
      </c>
    </row>
    <row r="64" spans="2:14" s="6" customFormat="1" ht="15">
      <c r="C64" s="6" t="s">
        <v>419</v>
      </c>
    </row>
    <row r="65" spans="2:14" s="6" customFormat="1" ht="15">
      <c r="C65" s="6" t="s">
        <v>420</v>
      </c>
    </row>
    <row r="66" spans="2:14" s="6" customFormat="1" ht="15">
      <c r="C66" s="6" t="s">
        <v>421</v>
      </c>
    </row>
    <row r="67" spans="2:14" s="6" customFormat="1" ht="15">
      <c r="C67" s="6" t="s">
        <v>422</v>
      </c>
    </row>
    <row r="68" spans="2:14" s="6" customFormat="1" ht="15">
      <c r="C68" s="6" t="s">
        <v>423</v>
      </c>
    </row>
    <row r="69" spans="2:14" s="6" customFormat="1" ht="15"/>
    <row r="70" spans="2:14" s="6" customFormat="1" ht="15"/>
    <row r="71" spans="2:14" s="6" customFormat="1" ht="15">
      <c r="B71" s="412" t="s">
        <v>424</v>
      </c>
    </row>
    <row r="72" spans="2:14" s="6" customFormat="1" ht="15">
      <c r="B72" s="561" t="s">
        <v>456</v>
      </c>
      <c r="C72" s="561"/>
      <c r="D72" s="561"/>
      <c r="E72" s="561"/>
      <c r="F72" s="561"/>
      <c r="G72" s="561"/>
      <c r="H72" s="561"/>
      <c r="I72" s="561"/>
      <c r="J72" s="561"/>
      <c r="K72" s="561"/>
      <c r="L72" s="561"/>
      <c r="M72" s="561"/>
      <c r="N72" s="561"/>
    </row>
    <row r="73" spans="2:14" s="6" customFormat="1" ht="15">
      <c r="B73" s="561"/>
      <c r="C73" s="561"/>
      <c r="D73" s="561"/>
      <c r="E73" s="561"/>
      <c r="F73" s="561"/>
      <c r="G73" s="561"/>
      <c r="H73" s="561"/>
      <c r="I73" s="561"/>
      <c r="J73" s="561"/>
      <c r="K73" s="561"/>
      <c r="L73" s="561"/>
      <c r="M73" s="561"/>
      <c r="N73" s="561"/>
    </row>
    <row r="74" spans="2:14" s="6" customFormat="1" ht="15"/>
    <row r="75" spans="2:14" s="6" customFormat="1" ht="15">
      <c r="B75" s="413" t="s">
        <v>417</v>
      </c>
      <c r="C75" s="6" t="s">
        <v>425</v>
      </c>
    </row>
    <row r="76" spans="2:14" s="6" customFormat="1" ht="15">
      <c r="C76" s="6" t="s">
        <v>426</v>
      </c>
    </row>
    <row r="77" spans="2:14" s="6" customFormat="1" ht="15">
      <c r="C77" s="6" t="s">
        <v>427</v>
      </c>
    </row>
    <row r="78" spans="2:14" s="6" customFormat="1" ht="15">
      <c r="C78" s="6" t="s">
        <v>428</v>
      </c>
    </row>
    <row r="79" spans="2:14" s="6" customFormat="1" ht="15">
      <c r="C79" s="6" t="s">
        <v>429</v>
      </c>
    </row>
    <row r="80" spans="2:14" s="6" customFormat="1" ht="15">
      <c r="C80" s="6" t="s">
        <v>430</v>
      </c>
    </row>
    <row r="81" spans="2:14" s="6" customFormat="1" ht="15">
      <c r="C81" s="6" t="s">
        <v>431</v>
      </c>
    </row>
    <row r="82" spans="2:14" s="6" customFormat="1" ht="15">
      <c r="C82" s="6" t="s">
        <v>432</v>
      </c>
    </row>
    <row r="83" spans="2:14" s="6" customFormat="1" ht="15">
      <c r="C83" s="6" t="s">
        <v>433</v>
      </c>
    </row>
    <row r="84" spans="2:14" s="6" customFormat="1" ht="15">
      <c r="C84" s="6" t="s">
        <v>434</v>
      </c>
    </row>
    <row r="85" spans="2:14" s="6" customFormat="1" ht="15">
      <c r="C85" s="6" t="s">
        <v>435</v>
      </c>
      <c r="E85" s="45"/>
    </row>
    <row r="86" spans="2:14" s="6" customFormat="1" ht="15">
      <c r="C86" s="6" t="s">
        <v>436</v>
      </c>
    </row>
    <row r="87" spans="2:14" s="6" customFormat="1" ht="15">
      <c r="C87" s="6" t="s">
        <v>437</v>
      </c>
    </row>
    <row r="88" spans="2:14" s="6" customFormat="1" ht="15">
      <c r="C88" s="6" t="s">
        <v>438</v>
      </c>
    </row>
    <row r="89" spans="2:14" s="6" customFormat="1" ht="15">
      <c r="C89" s="6" t="s">
        <v>439</v>
      </c>
    </row>
    <row r="90" spans="2:14" s="6" customFormat="1" ht="15"/>
    <row r="91" spans="2:14" s="6" customFormat="1" ht="15"/>
    <row r="92" spans="2:14" s="6" customFormat="1" ht="15">
      <c r="B92" s="412" t="s">
        <v>440</v>
      </c>
    </row>
    <row r="93" spans="2:14" s="6" customFormat="1" ht="15">
      <c r="B93" s="561" t="s">
        <v>457</v>
      </c>
      <c r="C93" s="561"/>
      <c r="D93" s="561"/>
      <c r="E93" s="561"/>
      <c r="F93" s="561"/>
      <c r="G93" s="561"/>
      <c r="H93" s="561"/>
      <c r="I93" s="561"/>
      <c r="J93" s="561"/>
      <c r="K93" s="561"/>
      <c r="L93" s="561"/>
      <c r="M93" s="561"/>
      <c r="N93" s="561"/>
    </row>
    <row r="94" spans="2:14" s="6" customFormat="1" ht="15">
      <c r="B94" s="561"/>
      <c r="C94" s="561"/>
      <c r="D94" s="561"/>
      <c r="E94" s="561"/>
      <c r="F94" s="561"/>
      <c r="G94" s="561"/>
      <c r="H94" s="561"/>
      <c r="I94" s="561"/>
      <c r="J94" s="561"/>
      <c r="K94" s="561"/>
      <c r="L94" s="561"/>
      <c r="M94" s="561"/>
      <c r="N94" s="561"/>
    </row>
    <row r="95" spans="2:14" s="6" customFormat="1" ht="15">
      <c r="B95" s="417"/>
      <c r="C95" s="417"/>
      <c r="D95" s="417"/>
      <c r="E95" s="417"/>
      <c r="F95" s="417"/>
      <c r="G95" s="417"/>
      <c r="H95" s="417"/>
      <c r="I95" s="417"/>
      <c r="J95" s="417"/>
      <c r="K95" s="417"/>
      <c r="L95" s="417"/>
      <c r="M95" s="417"/>
      <c r="N95" s="417"/>
    </row>
    <row r="96" spans="2:14" s="6" customFormat="1" ht="15">
      <c r="B96" s="413" t="s">
        <v>417</v>
      </c>
      <c r="C96" s="6" t="s">
        <v>441</v>
      </c>
    </row>
    <row r="97" spans="2:3" s="6" customFormat="1" ht="15">
      <c r="C97" s="6" t="s">
        <v>442</v>
      </c>
    </row>
    <row r="98" spans="2:3" s="6" customFormat="1" ht="15">
      <c r="C98" s="6" t="s">
        <v>443</v>
      </c>
    </row>
    <row r="99" spans="2:3" s="6" customFormat="1" ht="15">
      <c r="C99" s="6" t="s">
        <v>444</v>
      </c>
    </row>
    <row r="100" spans="2:3" s="6" customFormat="1" ht="15">
      <c r="C100" s="6" t="s">
        <v>445</v>
      </c>
    </row>
    <row r="101" spans="2:3" s="6" customFormat="1" ht="15">
      <c r="C101" s="6" t="s">
        <v>446</v>
      </c>
    </row>
    <row r="102" spans="2:3" s="6" customFormat="1" ht="15">
      <c r="C102" s="6" t="s">
        <v>447</v>
      </c>
    </row>
    <row r="103" spans="2:3" s="6" customFormat="1" ht="15">
      <c r="C103" s="6" t="s">
        <v>448</v>
      </c>
    </row>
    <row r="104" spans="2:3" s="6" customFormat="1" ht="15"/>
    <row r="105" spans="2:3" s="6" customFormat="1" ht="15">
      <c r="B105" s="6" t="s">
        <v>449</v>
      </c>
    </row>
    <row r="106" spans="2:3" s="6" customFormat="1" ht="15"/>
    <row r="107" spans="2:3" s="6" customFormat="1" ht="15">
      <c r="B107" s="6" t="s">
        <v>450</v>
      </c>
    </row>
    <row r="108" spans="2:3" s="6" customFormat="1" ht="15">
      <c r="B108" s="6" t="s">
        <v>458</v>
      </c>
    </row>
    <row r="109" spans="2:3" s="6" customFormat="1" ht="15">
      <c r="B109" s="6" t="s">
        <v>451</v>
      </c>
    </row>
    <row r="110" spans="2:3" s="6" customFormat="1" ht="15"/>
    <row r="111" spans="2:3" s="6" customFormat="1" ht="15"/>
    <row r="112" spans="2:3" s="6" customFormat="1" ht="15"/>
    <row r="113" spans="1:14" s="6" customFormat="1" ht="15">
      <c r="B113" s="412" t="s">
        <v>472</v>
      </c>
    </row>
    <row r="114" spans="1:14" s="6" customFormat="1" ht="15">
      <c r="B114" s="416"/>
    </row>
    <row r="115" spans="1:14" s="6" customFormat="1" ht="15">
      <c r="B115" s="416"/>
    </row>
    <row r="116" spans="1:14" s="6" customFormat="1" ht="15">
      <c r="A116" s="5"/>
      <c r="B116" s="562" t="s">
        <v>365</v>
      </c>
      <c r="C116" s="562"/>
      <c r="D116" s="562"/>
      <c r="E116" s="562"/>
      <c r="F116" s="562"/>
      <c r="G116" s="562"/>
      <c r="H116" s="562"/>
      <c r="I116" s="562"/>
      <c r="J116" s="562"/>
      <c r="K116" s="562"/>
      <c r="L116" s="562"/>
      <c r="M116" s="562"/>
      <c r="N116" s="562"/>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47:N48"/>
    <mergeCell ref="B60:N61"/>
    <mergeCell ref="B72:N73"/>
    <mergeCell ref="B93:N94"/>
    <mergeCell ref="B116:N116"/>
    <mergeCell ref="B1:D3"/>
    <mergeCell ref="E1:G3"/>
    <mergeCell ref="N1:O3"/>
    <mergeCell ref="B19:N20"/>
    <mergeCell ref="B28:N29"/>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29" activePane="bottomLeft" state="frozen"/>
      <selection pane="bottomLeft" activeCell="K29" sqref="K29:L41"/>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32" t="s">
        <v>356</v>
      </c>
      <c r="C1" s="532"/>
      <c r="D1" s="532"/>
      <c r="E1" s="532"/>
      <c r="F1" s="532"/>
      <c r="G1" s="475" t="s">
        <v>357</v>
      </c>
      <c r="H1" s="475"/>
      <c r="I1" s="475"/>
      <c r="J1" s="475"/>
      <c r="K1" s="475"/>
      <c r="L1" s="475"/>
      <c r="O1" s="237"/>
      <c r="S1" s="238"/>
      <c r="T1" s="271"/>
    </row>
    <row r="2" spans="2:20" s="150" customFormat="1" ht="15" customHeight="1">
      <c r="B2" s="532"/>
      <c r="C2" s="532"/>
      <c r="D2" s="532"/>
      <c r="E2" s="532"/>
      <c r="F2" s="532"/>
      <c r="G2" s="475"/>
      <c r="H2" s="475"/>
      <c r="I2" s="475"/>
      <c r="J2" s="475"/>
      <c r="K2" s="475"/>
      <c r="L2" s="475"/>
      <c r="O2" s="237"/>
      <c r="S2" s="238"/>
      <c r="T2" s="271"/>
    </row>
    <row r="3" spans="2:20" s="150" customFormat="1" ht="12.75" customHeight="1">
      <c r="B3" s="532"/>
      <c r="C3" s="532"/>
      <c r="D3" s="532"/>
      <c r="E3" s="532"/>
      <c r="F3" s="532"/>
      <c r="G3" s="475"/>
      <c r="H3" s="475"/>
      <c r="I3" s="475"/>
      <c r="J3" s="475"/>
      <c r="K3" s="475"/>
      <c r="L3" s="475"/>
      <c r="O3" s="237"/>
      <c r="S3" s="238"/>
      <c r="T3" s="271"/>
    </row>
    <row r="4" spans="2:20" s="6" customFormat="1" ht="18.75" customHeight="1">
      <c r="L4" s="5"/>
      <c r="M4" s="5"/>
      <c r="N4" s="5"/>
      <c r="O4" s="5"/>
    </row>
    <row r="6" spans="2:20" ht="7.5" customHeight="1">
      <c r="B6" s="58"/>
      <c r="C6" s="59"/>
      <c r="D6" s="59"/>
      <c r="E6" s="59"/>
      <c r="F6" s="59"/>
      <c r="G6" s="59"/>
      <c r="H6" s="59"/>
      <c r="I6" s="59"/>
      <c r="J6" s="59"/>
      <c r="K6" s="59"/>
      <c r="L6" s="59"/>
      <c r="M6" s="59"/>
      <c r="N6" s="59"/>
      <c r="O6" s="59"/>
      <c r="P6" s="60"/>
    </row>
    <row r="7" spans="2:20" ht="19.5">
      <c r="B7" s="61"/>
      <c r="C7" s="563" t="s">
        <v>130</v>
      </c>
      <c r="D7" s="563"/>
      <c r="E7" s="563"/>
      <c r="F7" s="563"/>
      <c r="G7" s="563"/>
      <c r="H7" s="563"/>
      <c r="I7" s="563"/>
      <c r="J7" s="563"/>
      <c r="K7" s="563"/>
      <c r="L7" s="563"/>
      <c r="M7" s="563"/>
      <c r="N7" s="563"/>
      <c r="O7" s="563"/>
      <c r="P7" s="62"/>
    </row>
    <row r="8" spans="2:20" ht="18.7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c r="B10" s="61"/>
      <c r="C10" s="67" t="s">
        <v>133</v>
      </c>
      <c r="D10" s="68"/>
      <c r="E10" s="68"/>
      <c r="F10" s="68"/>
      <c r="G10" s="68"/>
      <c r="H10" s="68"/>
      <c r="I10" s="68"/>
      <c r="J10" s="68"/>
      <c r="K10" s="68"/>
      <c r="L10" s="68"/>
      <c r="M10" s="68"/>
      <c r="N10" s="68"/>
      <c r="O10" s="69"/>
      <c r="P10" s="62"/>
    </row>
    <row r="11" spans="2:20">
      <c r="B11" s="61"/>
      <c r="C11" s="70" t="s">
        <v>134</v>
      </c>
      <c r="D11" s="71" t="s">
        <v>131</v>
      </c>
      <c r="E11" s="71"/>
      <c r="F11" s="71"/>
      <c r="G11" s="71"/>
      <c r="H11" s="71"/>
      <c r="I11" s="71"/>
      <c r="J11" s="71"/>
      <c r="K11" s="71" t="s">
        <v>135</v>
      </c>
      <c r="L11" s="71"/>
      <c r="M11" s="71" t="s">
        <v>136</v>
      </c>
      <c r="N11" s="71"/>
      <c r="O11" s="72"/>
      <c r="P11" s="62"/>
    </row>
    <row r="12" spans="2:20">
      <c r="B12" s="61"/>
      <c r="C12" s="70" t="s">
        <v>137</v>
      </c>
      <c r="D12" s="71" t="s">
        <v>138</v>
      </c>
      <c r="E12" s="71"/>
      <c r="F12" s="71"/>
      <c r="G12" s="71"/>
      <c r="H12" s="71"/>
      <c r="I12" s="71"/>
      <c r="J12" s="71"/>
      <c r="K12" s="71" t="s">
        <v>139</v>
      </c>
      <c r="L12" s="71"/>
      <c r="M12" s="71" t="s">
        <v>140</v>
      </c>
      <c r="N12" s="71"/>
      <c r="O12" s="72"/>
      <c r="P12" s="62"/>
    </row>
    <row r="13" spans="2:20">
      <c r="B13" s="61"/>
      <c r="C13" s="73"/>
      <c r="D13" s="74" t="s">
        <v>141</v>
      </c>
      <c r="E13" s="74"/>
      <c r="F13" s="74"/>
      <c r="G13" s="74"/>
      <c r="H13" s="74"/>
      <c r="I13" s="74"/>
      <c r="J13" s="74"/>
      <c r="K13" s="74" t="s">
        <v>142</v>
      </c>
      <c r="L13" s="74"/>
      <c r="M13" s="74" t="s">
        <v>143</v>
      </c>
      <c r="N13" s="74"/>
      <c r="O13" s="75"/>
      <c r="P13" s="62"/>
    </row>
    <row r="14" spans="2:20">
      <c r="B14" s="61"/>
      <c r="C14" s="71"/>
      <c r="D14" s="71"/>
      <c r="E14" s="71"/>
      <c r="F14" s="71"/>
      <c r="G14" s="71"/>
      <c r="H14" s="71"/>
      <c r="I14" s="71"/>
      <c r="J14" s="71"/>
      <c r="K14" s="71"/>
      <c r="L14" s="71"/>
      <c r="M14" s="71"/>
      <c r="N14" s="71"/>
      <c r="O14" s="71"/>
      <c r="P14" s="62"/>
    </row>
    <row r="15" spans="2:20">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c r="B17" s="61"/>
      <c r="C17" s="79" t="s">
        <v>145</v>
      </c>
      <c r="D17" s="80"/>
      <c r="E17" s="80"/>
      <c r="F17" s="80"/>
      <c r="G17" s="80"/>
      <c r="H17" s="81" t="s">
        <v>146</v>
      </c>
      <c r="I17" s="81" t="s">
        <v>147</v>
      </c>
      <c r="J17" s="80"/>
      <c r="K17" s="80" t="s">
        <v>148</v>
      </c>
      <c r="L17" s="80"/>
      <c r="M17" s="80"/>
      <c r="N17" s="80"/>
      <c r="O17" s="82"/>
      <c r="P17" s="62"/>
    </row>
    <row r="18" spans="2:16">
      <c r="B18" s="61"/>
      <c r="C18" s="83" t="s">
        <v>149</v>
      </c>
      <c r="D18" s="84"/>
      <c r="E18" s="84"/>
      <c r="F18" s="84"/>
      <c r="G18" s="84"/>
      <c r="H18" s="85"/>
      <c r="I18" s="85"/>
      <c r="J18" s="84"/>
      <c r="K18" s="84"/>
      <c r="L18" s="84"/>
      <c r="M18" s="84"/>
      <c r="N18" s="84"/>
      <c r="O18" s="86"/>
      <c r="P18" s="62"/>
    </row>
    <row r="19" spans="2:16">
      <c r="B19" s="61"/>
      <c r="C19" s="83" t="s">
        <v>150</v>
      </c>
      <c r="D19" s="84"/>
      <c r="E19" s="84"/>
      <c r="F19" s="84"/>
      <c r="G19" s="84"/>
      <c r="H19" s="85"/>
      <c r="I19" s="85"/>
      <c r="J19" s="84"/>
      <c r="K19" s="84"/>
      <c r="L19" s="84"/>
      <c r="M19" s="84"/>
      <c r="N19" s="84"/>
      <c r="O19" s="86"/>
      <c r="P19" s="62"/>
    </row>
    <row r="20" spans="2:16">
      <c r="B20" s="61"/>
      <c r="C20" s="87" t="s">
        <v>151</v>
      </c>
      <c r="D20" s="88"/>
      <c r="E20" s="88"/>
      <c r="F20" s="88"/>
      <c r="G20" s="88"/>
      <c r="H20" s="85"/>
      <c r="I20" s="89"/>
      <c r="J20" s="88"/>
      <c r="K20" s="88"/>
      <c r="L20" s="88"/>
      <c r="M20" s="88"/>
      <c r="N20" s="88"/>
      <c r="O20" s="90"/>
      <c r="P20" s="62"/>
    </row>
    <row r="21" spans="2:16">
      <c r="B21" s="61"/>
      <c r="C21" s="87" t="s">
        <v>152</v>
      </c>
      <c r="D21" s="88"/>
      <c r="E21" s="88"/>
      <c r="F21" s="88"/>
      <c r="G21" s="88"/>
      <c r="H21" s="89"/>
      <c r="I21" s="89"/>
      <c r="J21" s="88"/>
      <c r="K21" s="88"/>
      <c r="L21" s="88"/>
      <c r="M21" s="88"/>
      <c r="N21" s="88"/>
      <c r="O21" s="90"/>
      <c r="P21" s="62"/>
    </row>
    <row r="22" spans="2:16">
      <c r="B22" s="61"/>
      <c r="C22" s="87" t="s">
        <v>43</v>
      </c>
      <c r="D22" s="88"/>
      <c r="E22" s="88"/>
      <c r="F22" s="88"/>
      <c r="G22" s="88"/>
      <c r="H22" s="89"/>
      <c r="I22" s="89"/>
      <c r="J22" s="88"/>
      <c r="K22" s="88"/>
      <c r="L22" s="88"/>
      <c r="M22" s="88"/>
      <c r="N22" s="88"/>
      <c r="O22" s="90"/>
      <c r="P22" s="62"/>
    </row>
    <row r="23" spans="2:16">
      <c r="B23" s="61"/>
      <c r="C23" s="87" t="s">
        <v>153</v>
      </c>
      <c r="D23" s="88"/>
      <c r="E23" s="88"/>
      <c r="F23" s="88"/>
      <c r="G23" s="88"/>
      <c r="H23" s="89"/>
      <c r="I23" s="89"/>
      <c r="J23" s="88"/>
      <c r="K23" s="88"/>
      <c r="L23" s="88"/>
      <c r="M23" s="88"/>
      <c r="N23" s="88"/>
      <c r="O23" s="90"/>
      <c r="P23" s="62"/>
    </row>
    <row r="24" spans="2:16">
      <c r="B24" s="61"/>
      <c r="C24" s="87" t="s">
        <v>154</v>
      </c>
      <c r="D24" s="88"/>
      <c r="E24" s="88"/>
      <c r="F24" s="88"/>
      <c r="G24" s="88"/>
      <c r="H24" s="89"/>
      <c r="I24" s="89"/>
      <c r="J24" s="88"/>
      <c r="K24" s="88"/>
      <c r="L24" s="88"/>
      <c r="M24" s="88"/>
      <c r="N24" s="88"/>
      <c r="O24" s="90"/>
      <c r="P24" s="62"/>
    </row>
    <row r="25" spans="2:16" ht="15.75" thickBot="1">
      <c r="B25" s="61"/>
      <c r="C25" s="87" t="s">
        <v>155</v>
      </c>
      <c r="D25" s="88"/>
      <c r="E25" s="88"/>
      <c r="F25" s="88"/>
      <c r="G25" s="88"/>
      <c r="H25" s="89"/>
      <c r="I25" s="89"/>
      <c r="J25" s="88"/>
      <c r="K25" s="88"/>
      <c r="L25" s="88"/>
      <c r="M25" s="88"/>
      <c r="N25" s="88"/>
      <c r="O25" s="90"/>
      <c r="P25" s="62"/>
    </row>
    <row r="26" spans="2:16" ht="15.75" thickTop="1">
      <c r="B26" s="61"/>
      <c r="C26" s="91" t="s">
        <v>7</v>
      </c>
      <c r="D26" s="92"/>
      <c r="E26" s="92"/>
      <c r="F26" s="92"/>
      <c r="G26" s="92"/>
      <c r="H26" s="93">
        <f>12*I26</f>
        <v>0</v>
      </c>
      <c r="I26" s="93">
        <f>SUM(I18:I25)</f>
        <v>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c r="B28" s="61"/>
      <c r="C28" s="95" t="s">
        <v>63</v>
      </c>
      <c r="D28" s="96"/>
      <c r="E28" s="96"/>
      <c r="F28" s="96"/>
      <c r="G28" s="96"/>
      <c r="H28" s="97" t="s">
        <v>146</v>
      </c>
      <c r="I28" s="81" t="s">
        <v>147</v>
      </c>
      <c r="J28" s="96"/>
      <c r="K28" s="96" t="s">
        <v>148</v>
      </c>
      <c r="L28" s="96"/>
      <c r="M28" s="96"/>
      <c r="N28" s="96"/>
      <c r="O28" s="98"/>
      <c r="P28" s="62"/>
    </row>
    <row r="29" spans="2:16">
      <c r="B29" s="61"/>
      <c r="C29" s="83" t="s">
        <v>156</v>
      </c>
      <c r="D29" s="84"/>
      <c r="E29" s="84"/>
      <c r="F29" s="84"/>
      <c r="G29" s="84"/>
      <c r="H29" s="99"/>
      <c r="I29" s="99"/>
      <c r="J29" s="84"/>
      <c r="K29" s="88"/>
      <c r="L29" s="84"/>
      <c r="M29" s="84"/>
      <c r="N29" s="84"/>
      <c r="O29" s="86"/>
      <c r="P29" s="62"/>
    </row>
    <row r="30" spans="2:16">
      <c r="B30" s="61"/>
      <c r="C30" s="87" t="s">
        <v>157</v>
      </c>
      <c r="D30" s="88"/>
      <c r="E30" s="88"/>
      <c r="F30" s="88"/>
      <c r="G30" s="88"/>
      <c r="H30" s="100"/>
      <c r="I30" s="100"/>
      <c r="J30" s="88"/>
      <c r="K30" s="88"/>
      <c r="L30" s="88"/>
      <c r="M30" s="88"/>
      <c r="N30" s="88"/>
      <c r="O30" s="90"/>
      <c r="P30" s="62"/>
    </row>
    <row r="31" spans="2:16">
      <c r="B31" s="61"/>
      <c r="C31" s="87" t="s">
        <v>158</v>
      </c>
      <c r="D31" s="88"/>
      <c r="E31" s="88"/>
      <c r="F31" s="88"/>
      <c r="G31" s="88"/>
      <c r="H31" s="100"/>
      <c r="I31" s="100"/>
      <c r="J31" s="88"/>
      <c r="K31" s="88"/>
      <c r="L31" s="88"/>
      <c r="M31" s="88"/>
      <c r="N31" s="88"/>
      <c r="O31" s="90"/>
      <c r="P31" s="62"/>
    </row>
    <row r="32" spans="2:16">
      <c r="B32" s="61"/>
      <c r="C32" s="87" t="s">
        <v>159</v>
      </c>
      <c r="D32" s="88"/>
      <c r="E32" s="88"/>
      <c r="F32" s="88"/>
      <c r="G32" s="88"/>
      <c r="H32" s="100"/>
      <c r="I32" s="100"/>
      <c r="J32" s="88"/>
      <c r="K32" s="88"/>
      <c r="L32" s="88"/>
      <c r="M32" s="88"/>
      <c r="N32" s="88"/>
      <c r="O32" s="90"/>
      <c r="P32" s="62"/>
    </row>
    <row r="33" spans="2:16">
      <c r="B33" s="61"/>
      <c r="C33" s="87" t="s">
        <v>160</v>
      </c>
      <c r="D33" s="88"/>
      <c r="E33" s="88"/>
      <c r="F33" s="88"/>
      <c r="G33" s="88"/>
      <c r="H33" s="100"/>
      <c r="I33" s="100"/>
      <c r="J33" s="88"/>
      <c r="K33" s="88"/>
      <c r="L33" s="88"/>
      <c r="M33" s="88"/>
      <c r="N33" s="88"/>
      <c r="O33" s="90"/>
      <c r="P33" s="62"/>
    </row>
    <row r="34" spans="2:16">
      <c r="B34" s="61"/>
      <c r="C34" s="87" t="s">
        <v>161</v>
      </c>
      <c r="D34" s="88"/>
      <c r="E34" s="88"/>
      <c r="F34" s="88"/>
      <c r="G34" s="88"/>
      <c r="H34" s="100"/>
      <c r="I34" s="100"/>
      <c r="J34" s="88"/>
      <c r="K34" s="88"/>
      <c r="L34" s="88"/>
      <c r="M34" s="88"/>
      <c r="N34" s="88"/>
      <c r="O34" s="90"/>
      <c r="P34" s="62"/>
    </row>
    <row r="35" spans="2:16">
      <c r="B35" s="61"/>
      <c r="C35" s="87" t="s">
        <v>162</v>
      </c>
      <c r="D35" s="88"/>
      <c r="E35" s="88"/>
      <c r="F35" s="88"/>
      <c r="G35" s="88"/>
      <c r="H35" s="100"/>
      <c r="I35" s="100"/>
      <c r="J35" s="88"/>
      <c r="K35" s="88"/>
      <c r="L35" s="88"/>
      <c r="M35" s="88"/>
      <c r="N35" s="88"/>
      <c r="O35" s="90"/>
      <c r="P35" s="62"/>
    </row>
    <row r="36" spans="2:16">
      <c r="B36" s="61"/>
      <c r="C36" s="87" t="s">
        <v>163</v>
      </c>
      <c r="D36" s="88"/>
      <c r="E36" s="88"/>
      <c r="F36" s="88"/>
      <c r="G36" s="88"/>
      <c r="H36" s="100"/>
      <c r="I36" s="100"/>
      <c r="J36" s="88"/>
      <c r="K36" s="88"/>
      <c r="L36" s="88"/>
      <c r="M36" s="88"/>
      <c r="N36" s="88"/>
      <c r="O36" s="90"/>
      <c r="P36" s="62"/>
    </row>
    <row r="37" spans="2:16">
      <c r="B37" s="61"/>
      <c r="C37" s="87" t="s">
        <v>164</v>
      </c>
      <c r="D37" s="88"/>
      <c r="E37" s="88"/>
      <c r="F37" s="88"/>
      <c r="G37" s="88"/>
      <c r="H37" s="100"/>
      <c r="I37" s="100"/>
      <c r="J37" s="88"/>
      <c r="K37" s="88"/>
      <c r="L37" s="88"/>
      <c r="M37" s="88"/>
      <c r="N37" s="88"/>
      <c r="O37" s="90"/>
      <c r="P37" s="62"/>
    </row>
    <row r="38" spans="2:16">
      <c r="B38" s="61"/>
      <c r="C38" s="87" t="s">
        <v>165</v>
      </c>
      <c r="D38" s="88"/>
      <c r="E38" s="88"/>
      <c r="F38" s="88"/>
      <c r="G38" s="88"/>
      <c r="H38" s="100"/>
      <c r="I38" s="100"/>
      <c r="J38" s="88"/>
      <c r="K38" s="88"/>
      <c r="L38" s="88"/>
      <c r="M38" s="88"/>
      <c r="N38" s="88"/>
      <c r="O38" s="90"/>
      <c r="P38" s="62"/>
    </row>
    <row r="39" spans="2:16">
      <c r="B39" s="61"/>
      <c r="C39" s="87" t="s">
        <v>166</v>
      </c>
      <c r="D39" s="88"/>
      <c r="E39" s="88"/>
      <c r="F39" s="88"/>
      <c r="G39" s="88"/>
      <c r="H39" s="100"/>
      <c r="I39" s="100"/>
      <c r="J39" s="88"/>
      <c r="K39" s="88"/>
      <c r="L39" s="88"/>
      <c r="M39" s="88"/>
      <c r="N39" s="88"/>
      <c r="O39" s="90"/>
      <c r="P39" s="62"/>
    </row>
    <row r="40" spans="2:16">
      <c r="B40" s="61"/>
      <c r="C40" s="87" t="s">
        <v>167</v>
      </c>
      <c r="D40" s="88"/>
      <c r="E40" s="88"/>
      <c r="F40" s="88"/>
      <c r="G40" s="88"/>
      <c r="H40" s="100"/>
      <c r="I40" s="100"/>
      <c r="J40" s="88"/>
      <c r="K40" s="88"/>
      <c r="L40" s="88"/>
      <c r="M40" s="88"/>
      <c r="N40" s="88"/>
      <c r="O40" s="90"/>
      <c r="P40" s="62"/>
    </row>
    <row r="41" spans="2:16">
      <c r="B41" s="61"/>
      <c r="C41" s="87" t="s">
        <v>168</v>
      </c>
      <c r="D41" s="88"/>
      <c r="E41" s="88"/>
      <c r="F41" s="88"/>
      <c r="G41" s="88"/>
      <c r="H41" s="100"/>
      <c r="I41" s="100"/>
      <c r="J41" s="88"/>
      <c r="K41" s="88"/>
      <c r="L41" s="88"/>
      <c r="M41" s="88"/>
      <c r="N41" s="88"/>
      <c r="O41" s="90"/>
      <c r="P41" s="62"/>
    </row>
    <row r="42" spans="2:16">
      <c r="B42" s="61"/>
      <c r="C42" s="87" t="s">
        <v>169</v>
      </c>
      <c r="D42" s="88"/>
      <c r="E42" s="88"/>
      <c r="F42" s="88"/>
      <c r="G42" s="88"/>
      <c r="H42" s="100"/>
      <c r="I42" s="100"/>
      <c r="J42" s="88"/>
      <c r="K42" s="88"/>
      <c r="L42" s="88"/>
      <c r="M42" s="88"/>
      <c r="N42" s="88"/>
      <c r="O42" s="90"/>
      <c r="P42" s="62"/>
    </row>
    <row r="43" spans="2:16">
      <c r="B43" s="61"/>
      <c r="C43" s="87" t="s">
        <v>170</v>
      </c>
      <c r="D43" s="88"/>
      <c r="E43" s="88"/>
      <c r="F43" s="88"/>
      <c r="G43" s="88"/>
      <c r="H43" s="100"/>
      <c r="I43" s="100"/>
      <c r="J43" s="88"/>
      <c r="K43" s="88"/>
      <c r="L43" s="88"/>
      <c r="M43" s="88"/>
      <c r="N43" s="88"/>
      <c r="O43" s="90"/>
      <c r="P43" s="62"/>
    </row>
    <row r="44" spans="2:16" ht="15.75" thickBot="1">
      <c r="B44" s="61"/>
      <c r="C44" s="70" t="s">
        <v>10</v>
      </c>
      <c r="D44" s="71"/>
      <c r="E44" s="71"/>
      <c r="F44" s="71"/>
      <c r="G44" s="71"/>
      <c r="H44" s="101"/>
      <c r="I44" s="101"/>
      <c r="J44" s="71"/>
      <c r="K44" s="71"/>
      <c r="L44" s="71"/>
      <c r="M44" s="71"/>
      <c r="N44" s="71"/>
      <c r="O44" s="72"/>
      <c r="P44" s="62"/>
    </row>
    <row r="45" spans="2:16" ht="15.75" thickTop="1">
      <c r="B45" s="61"/>
      <c r="C45" s="91" t="s">
        <v>7</v>
      </c>
      <c r="D45" s="92"/>
      <c r="E45" s="92"/>
      <c r="F45" s="92"/>
      <c r="G45" s="92"/>
      <c r="H45" s="102">
        <f t="shared" ref="H45" si="0">I45*12</f>
        <v>0</v>
      </c>
      <c r="I45" s="102">
        <f>SUM(I29:I44)</f>
        <v>0</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c r="B47" s="61"/>
      <c r="C47" s="79" t="s">
        <v>171</v>
      </c>
      <c r="D47" s="80"/>
      <c r="E47" s="80"/>
      <c r="F47" s="80"/>
      <c r="G47" s="80"/>
      <c r="H47" s="81" t="s">
        <v>146</v>
      </c>
      <c r="I47" s="81" t="s">
        <v>147</v>
      </c>
      <c r="J47" s="80"/>
      <c r="K47" s="80" t="s">
        <v>148</v>
      </c>
      <c r="L47" s="80"/>
      <c r="M47" s="80"/>
      <c r="N47" s="80"/>
      <c r="O47" s="82"/>
      <c r="P47" s="62"/>
    </row>
    <row r="48" spans="2:16">
      <c r="B48" s="61"/>
      <c r="C48" s="83" t="s">
        <v>62</v>
      </c>
      <c r="D48" s="84"/>
      <c r="E48" s="84"/>
      <c r="F48" s="84"/>
      <c r="G48" s="84"/>
      <c r="H48" s="99">
        <f>12*I48</f>
        <v>0</v>
      </c>
      <c r="I48" s="99">
        <f>I26</f>
        <v>0</v>
      </c>
      <c r="J48" s="84"/>
      <c r="K48" s="84"/>
      <c r="L48" s="84"/>
      <c r="M48" s="84"/>
      <c r="N48" s="84"/>
      <c r="O48" s="86"/>
      <c r="P48" s="62"/>
    </row>
    <row r="49" spans="2:16" ht="15.75" thickBot="1">
      <c r="B49" s="61"/>
      <c r="C49" s="103" t="s">
        <v>63</v>
      </c>
      <c r="D49" s="104"/>
      <c r="E49" s="104"/>
      <c r="F49" s="104"/>
      <c r="G49" s="104"/>
      <c r="H49" s="105">
        <f>12*I49</f>
        <v>0</v>
      </c>
      <c r="I49" s="105">
        <f>I45</f>
        <v>0</v>
      </c>
      <c r="J49" s="104"/>
      <c r="K49" s="104"/>
      <c r="L49" s="104"/>
      <c r="M49" s="104"/>
      <c r="N49" s="104"/>
      <c r="O49" s="106"/>
      <c r="P49" s="62"/>
    </row>
    <row r="50" spans="2:16" ht="15.75" thickTop="1">
      <c r="B50" s="61"/>
      <c r="C50" s="91" t="s">
        <v>172</v>
      </c>
      <c r="D50" s="92"/>
      <c r="E50" s="92"/>
      <c r="F50" s="92"/>
      <c r="G50" s="92"/>
      <c r="H50" s="102">
        <f>12*I50</f>
        <v>0</v>
      </c>
      <c r="I50" s="102">
        <f>I48-I49</f>
        <v>0</v>
      </c>
      <c r="J50" s="92"/>
      <c r="K50" s="92" t="s">
        <v>173</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8">
      <c r="B53" s="135" t="s">
        <v>365</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64" t="s">
        <v>356</v>
      </c>
      <c r="C1" s="564"/>
      <c r="D1" s="564"/>
      <c r="E1" s="564"/>
      <c r="F1" s="564"/>
      <c r="G1" s="433" t="s">
        <v>358</v>
      </c>
      <c r="H1" s="433"/>
      <c r="I1" s="433"/>
      <c r="J1" s="433"/>
      <c r="K1" s="433"/>
      <c r="L1" s="433"/>
      <c r="O1" s="237"/>
      <c r="S1" s="425"/>
      <c r="T1" s="424"/>
    </row>
    <row r="2" spans="2:20" s="150" customFormat="1" ht="15" customHeight="1">
      <c r="B2" s="564"/>
      <c r="C2" s="564"/>
      <c r="D2" s="564"/>
      <c r="E2" s="564"/>
      <c r="F2" s="564"/>
      <c r="G2" s="433"/>
      <c r="H2" s="433"/>
      <c r="I2" s="433"/>
      <c r="J2" s="433"/>
      <c r="K2" s="433"/>
      <c r="L2" s="433"/>
      <c r="O2" s="237"/>
      <c r="S2" s="425"/>
      <c r="T2" s="424"/>
    </row>
    <row r="3" spans="2:20" s="150" customFormat="1" ht="12.75" customHeight="1">
      <c r="B3" s="564"/>
      <c r="C3" s="564"/>
      <c r="D3" s="564"/>
      <c r="E3" s="564"/>
      <c r="F3" s="564"/>
      <c r="G3" s="433"/>
      <c r="H3" s="433"/>
      <c r="I3" s="433"/>
      <c r="J3" s="433"/>
      <c r="K3" s="433"/>
      <c r="L3" s="433"/>
      <c r="O3" s="237"/>
      <c r="S3" s="425"/>
      <c r="T3" s="424"/>
    </row>
    <row r="4" spans="2:20" s="6" customFormat="1" ht="18.75" customHeight="1">
      <c r="L4" s="5"/>
      <c r="M4" s="5"/>
      <c r="N4" s="5"/>
      <c r="O4" s="5"/>
    </row>
    <row r="6" spans="2:20" ht="7.5" customHeight="1">
      <c r="B6" s="112"/>
      <c r="C6" s="113"/>
      <c r="D6" s="113"/>
      <c r="E6" s="113"/>
      <c r="F6" s="113"/>
      <c r="G6" s="113"/>
      <c r="H6" s="113"/>
      <c r="I6" s="113"/>
      <c r="J6" s="113"/>
      <c r="K6" s="113"/>
      <c r="L6" s="113"/>
      <c r="M6" s="113"/>
      <c r="N6" s="113"/>
      <c r="O6" s="113"/>
      <c r="P6" s="114"/>
    </row>
    <row r="7" spans="2:20" ht="20.25">
      <c r="B7" s="115"/>
      <c r="C7" s="563" t="s">
        <v>174</v>
      </c>
      <c r="D7" s="563"/>
      <c r="E7" s="563"/>
      <c r="F7" s="563"/>
      <c r="G7" s="563"/>
      <c r="H7" s="563"/>
      <c r="I7" s="563"/>
      <c r="J7" s="563"/>
      <c r="K7" s="563"/>
      <c r="L7" s="563"/>
      <c r="M7" s="563"/>
      <c r="N7" s="563"/>
      <c r="O7" s="563"/>
      <c r="P7" s="116"/>
    </row>
    <row r="8" spans="2:20" ht="18.75">
      <c r="B8" s="115"/>
      <c r="C8" s="63" t="s">
        <v>131</v>
      </c>
      <c r="D8" s="117"/>
      <c r="E8" s="117"/>
      <c r="F8" s="117"/>
      <c r="G8" s="118"/>
      <c r="H8" s="117"/>
      <c r="I8" s="117"/>
      <c r="J8" s="117"/>
      <c r="K8" s="118"/>
      <c r="L8" s="118"/>
      <c r="M8" s="118"/>
      <c r="N8" s="118"/>
      <c r="O8" s="66" t="s">
        <v>132</v>
      </c>
      <c r="P8" s="116"/>
    </row>
    <row r="9" spans="2:20" ht="16.5">
      <c r="B9" s="115"/>
      <c r="C9" s="118"/>
      <c r="D9" s="118"/>
      <c r="E9" s="118"/>
      <c r="F9" s="118"/>
      <c r="G9" s="118"/>
      <c r="H9" s="118"/>
      <c r="I9" s="118"/>
      <c r="J9" s="118"/>
      <c r="K9" s="118"/>
      <c r="L9" s="118"/>
      <c r="M9" s="118"/>
      <c r="N9" s="118"/>
      <c r="O9" s="118"/>
      <c r="P9" s="116"/>
    </row>
    <row r="10" spans="2:20" ht="16.5">
      <c r="B10" s="115"/>
      <c r="C10" s="67" t="s">
        <v>133</v>
      </c>
      <c r="D10" s="68"/>
      <c r="E10" s="68"/>
      <c r="F10" s="68"/>
      <c r="G10" s="68"/>
      <c r="H10" s="68"/>
      <c r="I10" s="68"/>
      <c r="J10" s="68"/>
      <c r="K10" s="68"/>
      <c r="L10" s="68"/>
      <c r="M10" s="68"/>
      <c r="N10" s="68"/>
      <c r="O10" s="69"/>
      <c r="P10" s="116"/>
    </row>
    <row r="11" spans="2:20" ht="16.5">
      <c r="B11" s="115"/>
      <c r="C11" s="70" t="s">
        <v>134</v>
      </c>
      <c r="D11" s="71" t="s">
        <v>131</v>
      </c>
      <c r="E11" s="71"/>
      <c r="F11" s="71"/>
      <c r="G11" s="71"/>
      <c r="H11" s="71"/>
      <c r="I11" s="71"/>
      <c r="J11" s="71"/>
      <c r="K11" s="71" t="s">
        <v>135</v>
      </c>
      <c r="L11" s="71"/>
      <c r="M11" s="71" t="s">
        <v>136</v>
      </c>
      <c r="N11" s="71"/>
      <c r="O11" s="72"/>
      <c r="P11" s="116"/>
    </row>
    <row r="12" spans="2:20" ht="16.5">
      <c r="B12" s="115"/>
      <c r="C12" s="70" t="s">
        <v>137</v>
      </c>
      <c r="D12" s="71" t="s">
        <v>138</v>
      </c>
      <c r="E12" s="71"/>
      <c r="F12" s="71"/>
      <c r="G12" s="71"/>
      <c r="H12" s="71"/>
      <c r="I12" s="71"/>
      <c r="J12" s="71"/>
      <c r="K12" s="71" t="s">
        <v>139</v>
      </c>
      <c r="L12" s="71"/>
      <c r="M12" s="71" t="s">
        <v>140</v>
      </c>
      <c r="N12" s="71"/>
      <c r="O12" s="72"/>
      <c r="P12" s="116"/>
    </row>
    <row r="13" spans="2:20" ht="16.5">
      <c r="B13" s="115"/>
      <c r="C13" s="73"/>
      <c r="D13" s="74" t="s">
        <v>141</v>
      </c>
      <c r="E13" s="74"/>
      <c r="F13" s="74"/>
      <c r="G13" s="74"/>
      <c r="H13" s="74"/>
      <c r="I13" s="74"/>
      <c r="J13" s="74"/>
      <c r="K13" s="74" t="s">
        <v>142</v>
      </c>
      <c r="L13" s="74"/>
      <c r="M13" s="74" t="s">
        <v>143</v>
      </c>
      <c r="N13" s="74"/>
      <c r="O13" s="75"/>
      <c r="P13" s="116"/>
    </row>
    <row r="14" spans="2:20" ht="16.5">
      <c r="B14" s="115"/>
      <c r="C14" s="71"/>
      <c r="D14" s="71"/>
      <c r="E14" s="71"/>
      <c r="F14" s="71"/>
      <c r="G14" s="71"/>
      <c r="H14" s="71"/>
      <c r="I14" s="71"/>
      <c r="J14" s="71"/>
      <c r="K14" s="71"/>
      <c r="L14" s="71"/>
      <c r="M14" s="71"/>
      <c r="N14" s="71"/>
      <c r="O14" s="71"/>
      <c r="P14" s="116"/>
    </row>
    <row r="15" spans="2:20" ht="16.5">
      <c r="B15" s="115"/>
      <c r="C15" s="76" t="s">
        <v>175</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6.5">
      <c r="B17" s="115"/>
      <c r="C17" s="79" t="s">
        <v>176</v>
      </c>
      <c r="D17" s="80"/>
      <c r="E17" s="80"/>
      <c r="F17" s="80"/>
      <c r="G17" s="80"/>
      <c r="H17" s="81" t="s">
        <v>177</v>
      </c>
      <c r="I17" s="119" t="s">
        <v>178</v>
      </c>
      <c r="J17" s="119"/>
      <c r="K17" s="80" t="s">
        <v>148</v>
      </c>
      <c r="L17" s="80"/>
      <c r="M17" s="80"/>
      <c r="N17" s="80"/>
      <c r="O17" s="82"/>
      <c r="P17" s="116"/>
    </row>
    <row r="18" spans="2:16" ht="16.5">
      <c r="B18" s="115"/>
      <c r="C18" s="87" t="s">
        <v>179</v>
      </c>
      <c r="D18" s="88"/>
      <c r="E18" s="88"/>
      <c r="F18" s="84"/>
      <c r="G18" s="88"/>
      <c r="H18" s="100">
        <v>5100</v>
      </c>
      <c r="I18" s="120" t="s">
        <v>180</v>
      </c>
      <c r="J18" s="120"/>
      <c r="K18" s="88"/>
      <c r="L18" s="88"/>
      <c r="M18" s="88"/>
      <c r="N18" s="88"/>
      <c r="O18" s="90"/>
      <c r="P18" s="116"/>
    </row>
    <row r="19" spans="2:16" ht="16.5">
      <c r="B19" s="115"/>
      <c r="C19" s="87" t="s">
        <v>181</v>
      </c>
      <c r="D19" s="88"/>
      <c r="E19" s="88"/>
      <c r="F19" s="84"/>
      <c r="G19" s="88"/>
      <c r="H19" s="100">
        <v>4200</v>
      </c>
      <c r="I19" s="120" t="s">
        <v>180</v>
      </c>
      <c r="J19" s="120"/>
      <c r="K19" s="88" t="s">
        <v>182</v>
      </c>
      <c r="L19" s="88"/>
      <c r="M19" s="88"/>
      <c r="N19" s="88"/>
      <c r="O19" s="90"/>
      <c r="P19" s="116"/>
    </row>
    <row r="20" spans="2:16" ht="16.5">
      <c r="B20" s="115"/>
      <c r="C20" s="87" t="s">
        <v>183</v>
      </c>
      <c r="D20" s="88"/>
      <c r="E20" s="88"/>
      <c r="F20" s="84"/>
      <c r="G20" s="88"/>
      <c r="H20" s="100">
        <v>22000</v>
      </c>
      <c r="I20" s="120" t="s">
        <v>180</v>
      </c>
      <c r="J20" s="120"/>
      <c r="K20" s="88" t="s">
        <v>184</v>
      </c>
      <c r="L20" s="88"/>
      <c r="M20" s="88"/>
      <c r="N20" s="88"/>
      <c r="O20" s="90"/>
      <c r="P20" s="116"/>
    </row>
    <row r="21" spans="2:16" ht="16.5">
      <c r="B21" s="115"/>
      <c r="C21" s="87" t="s">
        <v>185</v>
      </c>
      <c r="D21" s="88"/>
      <c r="E21" s="88"/>
      <c r="F21" s="84"/>
      <c r="G21" s="88"/>
      <c r="H21" s="100">
        <v>4500</v>
      </c>
      <c r="I21" s="120" t="s">
        <v>180</v>
      </c>
      <c r="J21" s="120"/>
      <c r="K21" s="88"/>
      <c r="L21" s="88"/>
      <c r="M21" s="88"/>
      <c r="N21" s="88"/>
      <c r="O21" s="90"/>
      <c r="P21" s="116"/>
    </row>
    <row r="22" spans="2:16" ht="16.5">
      <c r="B22" s="115"/>
      <c r="C22" s="87" t="s">
        <v>186</v>
      </c>
      <c r="D22" s="88"/>
      <c r="E22" s="88"/>
      <c r="F22" s="84"/>
      <c r="G22" s="88"/>
      <c r="H22" s="100">
        <v>179000</v>
      </c>
      <c r="I22" s="120" t="s">
        <v>180</v>
      </c>
      <c r="J22" s="120"/>
      <c r="K22" s="88" t="s">
        <v>187</v>
      </c>
      <c r="L22" s="88"/>
      <c r="M22" s="88"/>
      <c r="N22" s="88"/>
      <c r="O22" s="90"/>
      <c r="P22" s="116"/>
    </row>
    <row r="23" spans="2:16" ht="16.5">
      <c r="B23" s="115"/>
      <c r="C23" s="87" t="s">
        <v>188</v>
      </c>
      <c r="D23" s="88"/>
      <c r="E23" s="88"/>
      <c r="F23" s="84"/>
      <c r="G23" s="88"/>
      <c r="H23" s="100">
        <v>24000</v>
      </c>
      <c r="I23" s="120" t="s">
        <v>180</v>
      </c>
      <c r="J23" s="120"/>
      <c r="K23" s="88" t="s">
        <v>189</v>
      </c>
      <c r="L23" s="88"/>
      <c r="M23" s="88"/>
      <c r="N23" s="88"/>
      <c r="O23" s="90"/>
      <c r="P23" s="116"/>
    </row>
    <row r="24" spans="2:16" ht="17.25" thickBot="1">
      <c r="B24" s="115"/>
      <c r="C24" s="87" t="s">
        <v>190</v>
      </c>
      <c r="D24" s="88"/>
      <c r="E24" s="88"/>
      <c r="F24" s="84"/>
      <c r="G24" s="88"/>
      <c r="H24" s="100">
        <v>22000</v>
      </c>
      <c r="I24" s="120" t="s">
        <v>180</v>
      </c>
      <c r="J24" s="120"/>
      <c r="K24" s="84" t="s">
        <v>191</v>
      </c>
      <c r="L24" s="88"/>
      <c r="M24" s="88"/>
      <c r="N24" s="88"/>
      <c r="O24" s="90"/>
      <c r="P24" s="116"/>
    </row>
    <row r="25" spans="2:16" ht="17.25" thickTop="1">
      <c r="B25" s="115"/>
      <c r="C25" s="91" t="s">
        <v>7</v>
      </c>
      <c r="D25" s="92"/>
      <c r="E25" s="92"/>
      <c r="F25" s="92"/>
      <c r="G25" s="92"/>
      <c r="H25" s="102">
        <f>SUM(H18:H24)</f>
        <v>260800</v>
      </c>
      <c r="I25" s="102"/>
      <c r="J25" s="92"/>
      <c r="K25" s="92"/>
      <c r="L25" s="92"/>
      <c r="M25" s="92"/>
      <c r="N25" s="92"/>
      <c r="O25" s="94"/>
      <c r="P25" s="116"/>
    </row>
    <row r="26" spans="2:16" ht="16.5">
      <c r="B26" s="115"/>
      <c r="C26" s="71"/>
      <c r="D26" s="71"/>
      <c r="E26" s="71"/>
      <c r="F26" s="71"/>
      <c r="G26" s="71"/>
      <c r="H26" s="71"/>
      <c r="I26" s="71"/>
      <c r="J26" s="71"/>
      <c r="K26" s="71"/>
      <c r="L26" s="71"/>
      <c r="M26" s="71"/>
      <c r="N26" s="71"/>
      <c r="O26" s="71"/>
      <c r="P26" s="116"/>
    </row>
    <row r="27" spans="2:16" ht="16.5">
      <c r="B27" s="115"/>
      <c r="C27" s="95" t="s">
        <v>192</v>
      </c>
      <c r="D27" s="96"/>
      <c r="E27" s="96"/>
      <c r="F27" s="96"/>
      <c r="G27" s="96"/>
      <c r="H27" s="97" t="s">
        <v>193</v>
      </c>
      <c r="I27" s="97"/>
      <c r="J27" s="96"/>
      <c r="K27" s="96" t="s">
        <v>148</v>
      </c>
      <c r="L27" s="96"/>
      <c r="M27" s="96"/>
      <c r="N27" s="96"/>
      <c r="O27" s="98"/>
      <c r="P27" s="116"/>
    </row>
    <row r="28" spans="2:16" ht="16.5">
      <c r="B28" s="115"/>
      <c r="C28" s="87" t="s">
        <v>194</v>
      </c>
      <c r="D28" s="88"/>
      <c r="E28" s="88"/>
      <c r="F28" s="88"/>
      <c r="G28" s="88"/>
      <c r="H28" s="100">
        <v>0</v>
      </c>
      <c r="I28" s="100"/>
      <c r="J28" s="88"/>
      <c r="K28" s="88" t="s">
        <v>195</v>
      </c>
      <c r="L28" s="88"/>
      <c r="M28" s="88"/>
      <c r="N28" s="88"/>
      <c r="O28" s="90"/>
      <c r="P28" s="116"/>
    </row>
    <row r="29" spans="2:16" ht="16.5">
      <c r="B29" s="115"/>
      <c r="C29" s="87" t="s">
        <v>196</v>
      </c>
      <c r="D29" s="88"/>
      <c r="E29" s="88"/>
      <c r="F29" s="88"/>
      <c r="G29" s="88"/>
      <c r="H29" s="100">
        <v>16000</v>
      </c>
      <c r="I29" s="100"/>
      <c r="J29" s="88"/>
      <c r="K29" s="88" t="s">
        <v>197</v>
      </c>
      <c r="L29" s="88"/>
      <c r="M29" s="88"/>
      <c r="N29" s="88"/>
      <c r="O29" s="90"/>
      <c r="P29" s="116"/>
    </row>
    <row r="30" spans="2:16" ht="16.5">
      <c r="B30" s="115"/>
      <c r="C30" s="87" t="s">
        <v>198</v>
      </c>
      <c r="D30" s="88"/>
      <c r="E30" s="88"/>
      <c r="F30" s="88"/>
      <c r="G30" s="88"/>
      <c r="H30" s="100">
        <v>122000</v>
      </c>
      <c r="I30" s="100"/>
      <c r="J30" s="88"/>
      <c r="K30" s="88" t="s">
        <v>187</v>
      </c>
      <c r="L30" s="88"/>
      <c r="M30" s="88"/>
      <c r="N30" s="88"/>
      <c r="O30" s="90"/>
      <c r="P30" s="116"/>
    </row>
    <row r="31" spans="2:16" ht="16.5">
      <c r="B31" s="115"/>
      <c r="C31" s="87" t="s">
        <v>199</v>
      </c>
      <c r="D31" s="88"/>
      <c r="E31" s="88"/>
      <c r="F31" s="88"/>
      <c r="G31" s="88"/>
      <c r="H31" s="100">
        <v>0</v>
      </c>
      <c r="I31" s="100"/>
      <c r="J31" s="88"/>
      <c r="K31" s="88" t="s">
        <v>195</v>
      </c>
      <c r="L31" s="88"/>
      <c r="M31" s="88"/>
      <c r="N31" s="88"/>
      <c r="O31" s="90"/>
      <c r="P31" s="116"/>
    </row>
    <row r="32" spans="2:16" ht="17.25" thickBot="1">
      <c r="B32" s="115"/>
      <c r="C32" s="87" t="s">
        <v>200</v>
      </c>
      <c r="D32" s="88"/>
      <c r="E32" s="88"/>
      <c r="F32" s="88"/>
      <c r="G32" s="88"/>
      <c r="H32" s="100">
        <v>0</v>
      </c>
      <c r="I32" s="100"/>
      <c r="J32" s="88"/>
      <c r="K32" s="88" t="s">
        <v>195</v>
      </c>
      <c r="L32" s="88"/>
      <c r="M32" s="88"/>
      <c r="N32" s="88"/>
      <c r="O32" s="90"/>
      <c r="P32" s="116"/>
    </row>
    <row r="33" spans="2:16" ht="17.25" thickTop="1">
      <c r="B33" s="115"/>
      <c r="C33" s="91" t="s">
        <v>7</v>
      </c>
      <c r="D33" s="92"/>
      <c r="E33" s="92"/>
      <c r="F33" s="92"/>
      <c r="G33" s="92"/>
      <c r="H33" s="102">
        <f>SUM(H28:H32)</f>
        <v>138000</v>
      </c>
      <c r="I33" s="102"/>
      <c r="J33" s="92"/>
      <c r="K33" s="92"/>
      <c r="L33" s="92"/>
      <c r="M33" s="92"/>
      <c r="N33" s="92"/>
      <c r="O33" s="94"/>
      <c r="P33" s="116"/>
    </row>
    <row r="34" spans="2:16" ht="16.5">
      <c r="B34" s="115"/>
      <c r="C34" s="71"/>
      <c r="D34" s="71"/>
      <c r="E34" s="71"/>
      <c r="F34" s="71"/>
      <c r="G34" s="71"/>
      <c r="H34" s="71"/>
      <c r="I34" s="71"/>
      <c r="J34" s="71"/>
      <c r="K34" s="71"/>
      <c r="L34" s="71"/>
      <c r="M34" s="71"/>
      <c r="N34" s="71"/>
      <c r="O34" s="71"/>
      <c r="P34" s="116"/>
    </row>
    <row r="35" spans="2:16" ht="16.5">
      <c r="B35" s="115"/>
      <c r="C35" s="79" t="s">
        <v>174</v>
      </c>
      <c r="D35" s="80"/>
      <c r="E35" s="80"/>
      <c r="F35" s="80"/>
      <c r="G35" s="80"/>
      <c r="H35" s="81" t="s">
        <v>177</v>
      </c>
      <c r="I35" s="81"/>
      <c r="J35" s="80"/>
      <c r="K35" s="80" t="s">
        <v>148</v>
      </c>
      <c r="L35" s="80"/>
      <c r="M35" s="80"/>
      <c r="N35" s="80"/>
      <c r="O35" s="82"/>
      <c r="P35" s="116"/>
    </row>
    <row r="36" spans="2:16" ht="16.5">
      <c r="B36" s="115"/>
      <c r="C36" s="87" t="s">
        <v>176</v>
      </c>
      <c r="D36" s="88"/>
      <c r="E36" s="88"/>
      <c r="F36" s="88"/>
      <c r="G36" s="88"/>
      <c r="H36" s="100">
        <f>H25</f>
        <v>260800</v>
      </c>
      <c r="I36" s="100"/>
      <c r="J36" s="88"/>
      <c r="K36" s="88"/>
      <c r="L36" s="88"/>
      <c r="M36" s="88"/>
      <c r="N36" s="88"/>
      <c r="O36" s="90"/>
      <c r="P36" s="116"/>
    </row>
    <row r="37" spans="2:16" ht="17.25" thickBot="1">
      <c r="B37" s="115"/>
      <c r="C37" s="87" t="s">
        <v>192</v>
      </c>
      <c r="D37" s="88"/>
      <c r="E37" s="88"/>
      <c r="F37" s="88"/>
      <c r="G37" s="88"/>
      <c r="H37" s="100">
        <f>-H33</f>
        <v>-138000</v>
      </c>
      <c r="I37" s="100"/>
      <c r="J37" s="88"/>
      <c r="K37" s="88"/>
      <c r="L37" s="88"/>
      <c r="M37" s="88"/>
      <c r="N37" s="88"/>
      <c r="O37" s="90"/>
      <c r="P37" s="116"/>
    </row>
    <row r="38" spans="2:16" ht="17.25" thickTop="1">
      <c r="B38" s="115"/>
      <c r="C38" s="91" t="s">
        <v>172</v>
      </c>
      <c r="D38" s="92"/>
      <c r="E38" s="92"/>
      <c r="F38" s="92"/>
      <c r="G38" s="92"/>
      <c r="H38" s="102">
        <f>SUM(H36:H37)</f>
        <v>122800</v>
      </c>
      <c r="I38" s="102"/>
      <c r="J38" s="92"/>
      <c r="K38" s="121" t="s">
        <v>53</v>
      </c>
      <c r="L38" s="92"/>
      <c r="M38" s="92"/>
      <c r="N38" s="92"/>
      <c r="O38" s="94"/>
      <c r="P38" s="116"/>
    </row>
    <row r="39" spans="2:16" ht="16.5">
      <c r="B39" s="122"/>
      <c r="C39" s="123"/>
      <c r="D39" s="123"/>
      <c r="E39" s="123"/>
      <c r="F39" s="123"/>
      <c r="G39" s="123"/>
      <c r="H39" s="124"/>
      <c r="I39" s="124"/>
      <c r="J39" s="123"/>
      <c r="K39" s="123"/>
      <c r="L39" s="123"/>
      <c r="M39" s="123"/>
      <c r="N39" s="123"/>
      <c r="O39" s="123"/>
      <c r="P39" s="125"/>
    </row>
    <row r="41" spans="2:16" ht="18">
      <c r="B41" s="135" t="s">
        <v>365</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2024-09-09T10:12:12Z</dcterms:modified>
</cp:coreProperties>
</file>