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codeName="ThisWorkbook"/>
  <xr:revisionPtr revIDLastSave="0" documentId="13_ncr:1_{A345F14C-8660-4A89-9540-D78BC4F4CD84}"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481" yWindow="1481" windowWidth="78249" windowHeight="21165"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F42" i="2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l="1"/>
  <c r="G106" i="10" s="1"/>
  <c r="G9" i="10" s="1"/>
  <c r="F51" i="10"/>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L20" i="21"/>
  <c r="AV42" i="21"/>
  <c r="H108" i="10"/>
  <c r="G42" i="10"/>
  <c r="G110" i="10" s="1"/>
  <c r="G107" i="10" l="1"/>
  <c r="K23" i="2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48" i="10"/>
  <c r="AS117" i="10" s="1"/>
  <c r="AS115" i="10" l="1"/>
  <c r="AS28" i="2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<sst xmlns="http://schemas.openxmlformats.org/spreadsheetml/2006/main" count="946" uniqueCount="479">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</sst>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99.502916666666664</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191.66666666666666</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308.33333333333331</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529.375</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100000</c:v>
                </c:pt>
                <c:pt idx="1">
                  <c:v>97700</c:v>
                </c:pt>
                <c:pt idx="2">
                  <c:v>85314.9</c:v>
                </c:pt>
                <c:pt idx="3">
                  <c:v>82471.551299999992</c:v>
                </c:pt>
                <c:pt idx="4">
                  <c:v>79522.998698099997</c:v>
                </c:pt>
                <c:pt idx="5">
                  <c:v>76465.349649929703</c:v>
                </c:pt>
                <c:pt idx="6">
                  <c:v>73294.567586977108</c:v>
                </c:pt>
                <c:pt idx="7">
                  <c:v>70006.466587695264</c:v>
                </c:pt>
                <c:pt idx="8">
                  <c:v>66596.705851439983</c:v>
                </c:pt>
                <c:pt idx="9">
                  <c:v>63060.783967943265</c:v>
                </c:pt>
                <c:pt idx="10">
                  <c:v>59394.032974757167</c:v>
                </c:pt>
                <c:pt idx="11">
                  <c:v>55591.612194823181</c:v>
                </c:pt>
                <c:pt idx="12">
                  <c:v>51648.501846031635</c:v>
                </c:pt>
                <c:pt idx="13">
                  <c:v>47559.496414334804</c:v>
                </c:pt>
                <c:pt idx="14">
                  <c:v>43319.197781665192</c:v>
                </c:pt>
                <c:pt idx="15">
                  <c:v>38922.008099586805</c:v>
                </c:pt>
                <c:pt idx="16">
                  <c:v>34362.122399271517</c:v>
                </c:pt>
                <c:pt idx="17">
                  <c:v>29633.520928044563</c:v>
                </c:pt>
                <c:pt idx="18">
                  <c:v>24729.961202382212</c:v>
                </c:pt>
                <c:pt idx="19">
                  <c:v>19644.969766870352</c:v>
                </c:pt>
                <c:pt idx="20">
                  <c:v>14371.833648244556</c:v>
                </c:pt>
                <c:pt idx="21">
                  <c:v>8903.5914932296037</c:v>
                </c:pt>
                <c:pt idx="22">
                  <c:v>3233.0243784790991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3700</c:v>
                </c:pt>
                <c:pt idx="1">
                  <c:v>7314.9</c:v>
                </c:pt>
                <c:pt idx="2">
                  <c:v>10471.551299999999</c:v>
                </c:pt>
                <c:pt idx="3">
                  <c:v>13522.998698099998</c:v>
                </c:pt>
                <c:pt idx="4">
                  <c:v>16465.349649929696</c:v>
                </c:pt>
                <c:pt idx="5">
                  <c:v>19294.567586977093</c:v>
                </c:pt>
                <c:pt idx="6">
                  <c:v>22006.466587695246</c:v>
                </c:pt>
                <c:pt idx="7">
                  <c:v>24596.705851439969</c:v>
                </c:pt>
                <c:pt idx="8">
                  <c:v>27060.783967943247</c:v>
                </c:pt>
                <c:pt idx="9">
                  <c:v>29394.032974757149</c:v>
                </c:pt>
                <c:pt idx="10">
                  <c:v>31591.612194823163</c:v>
                </c:pt>
                <c:pt idx="11">
                  <c:v>33648.501846031621</c:v>
                </c:pt>
                <c:pt idx="12">
                  <c:v>35559.49641433479</c:v>
                </c:pt>
                <c:pt idx="13">
                  <c:v>37319.197781665178</c:v>
                </c:pt>
                <c:pt idx="14">
                  <c:v>38922.00809958679</c:v>
                </c:pt>
                <c:pt idx="15">
                  <c:v>40362.122399271502</c:v>
                </c:pt>
                <c:pt idx="16">
                  <c:v>41633.520928044549</c:v>
                </c:pt>
                <c:pt idx="17">
                  <c:v>42729.961202382197</c:v>
                </c:pt>
                <c:pt idx="18">
                  <c:v>43644.969766870337</c:v>
                </c:pt>
                <c:pt idx="19">
                  <c:v>44371.833648244537</c:v>
                </c:pt>
                <c:pt idx="20">
                  <c:v>44903.591493229585</c:v>
                </c:pt>
                <c:pt idx="21">
                  <c:v>45233.02437847908</c:v>
                </c:pt>
                <c:pt idx="22">
                  <c:v>45352.646280482804</c:v>
                </c:pt>
                <c:pt idx="23">
                  <c:v>45352.646280482804</c:v>
                </c:pt>
                <c:pt idx="24">
                  <c:v>45352.646280482804</c:v>
                </c:pt>
                <c:pt idx="25">
                  <c:v>45352.646280482804</c:v>
                </c:pt>
                <c:pt idx="26">
                  <c:v>45352.646280482804</c:v>
                </c:pt>
                <c:pt idx="27">
                  <c:v>45352.646280482804</c:v>
                </c:pt>
                <c:pt idx="28">
                  <c:v>45352.646280482804</c:v>
                </c:pt>
                <c:pt idx="29">
                  <c:v>45352.646280482804</c:v>
                </c:pt>
                <c:pt idx="30">
                  <c:v>45352.646280482804</c:v>
                </c:pt>
                <c:pt idx="31">
                  <c:v>45352.646280482804</c:v>
                </c:pt>
                <c:pt idx="32">
                  <c:v>45352.646280482804</c:v>
                </c:pt>
                <c:pt idx="33">
                  <c:v>45352.646280482804</c:v>
                </c:pt>
                <c:pt idx="34">
                  <c:v>45352.646280482804</c:v>
                </c:pt>
                <c:pt idx="35">
                  <c:v>45352.646280482804</c:v>
                </c:pt>
                <c:pt idx="36">
                  <c:v>45352.646280482804</c:v>
                </c:pt>
                <c:pt idx="37">
                  <c:v>45352.646280482804</c:v>
                </c:pt>
                <c:pt idx="38">
                  <c:v>45352.646280482804</c:v>
                </c:pt>
                <c:pt idx="39">
                  <c:v>45352.646280482804</c:v>
                </c:pt>
                <c:pt idx="40">
                  <c:v>45352.646280482804</c:v>
                </c:pt>
                <c:pt idx="41">
                  <c:v>45352.646280482804</c:v>
                </c:pt>
                <c:pt idx="42">
                  <c:v>45352.646280482804</c:v>
                </c:pt>
                <c:pt idx="43">
                  <c:v>45352.646280482804</c:v>
                </c:pt>
                <c:pt idx="44">
                  <c:v>45352.646280482804</c:v>
                </c:pt>
                <c:pt idx="45">
                  <c:v>45352.646280482804</c:v>
                </c:pt>
                <c:pt idx="46">
                  <c:v>45352.646280482804</c:v>
                </c:pt>
                <c:pt idx="47">
                  <c:v>45352.646280482804</c:v>
                </c:pt>
                <c:pt idx="48">
                  <c:v>45352.646280482804</c:v>
                </c:pt>
                <c:pt idx="49">
                  <c:v>45352.646280482804</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25000</c:v>
                </c:pt>
                <c:pt idx="1">
                  <c:v>29800</c:v>
                </c:pt>
                <c:pt idx="2">
                  <c:v>44735.100000000006</c:v>
                </c:pt>
                <c:pt idx="3">
                  <c:v>50179.448700000008</c:v>
                </c:pt>
                <c:pt idx="4">
                  <c:v>55781.021301899993</c:v>
                </c:pt>
                <c:pt idx="5">
                  <c:v>61544.750750070292</c:v>
                </c:pt>
                <c:pt idx="6">
                  <c:v>67475.734821022881</c:v>
                </c:pt>
                <c:pt idx="7">
                  <c:v>73579.241868464713</c:v>
                </c:pt>
                <c:pt idx="8">
                  <c:v>79860.716773843204</c:v>
                </c:pt>
                <c:pt idx="9">
                  <c:v>86325.787109845594</c:v>
                </c:pt>
                <c:pt idx="10">
                  <c:v>92980.269524587464</c:v>
                </c:pt>
                <c:pt idx="11">
                  <c:v>99830.176354508323</c:v>
                </c:pt>
                <c:pt idx="12">
                  <c:v>106881.72247428651</c:v>
                </c:pt>
                <c:pt idx="13">
                  <c:v>114141.33239238971</c:v>
                </c:pt>
                <c:pt idx="14">
                  <c:v>121615.64760119381</c:v>
                </c:pt>
                <c:pt idx="15">
                  <c:v>129311.53419092936</c:v>
                </c:pt>
                <c:pt idx="16">
                  <c:v>137236.09073705497</c:v>
                </c:pt>
                <c:pt idx="17">
                  <c:v>145396.65647100846</c:v>
                </c:pt>
                <c:pt idx="18">
                  <c:v>153800.8197446519</c:v>
                </c:pt>
                <c:pt idx="19">
                  <c:v>162456.42679910443</c:v>
                </c:pt>
                <c:pt idx="20">
                  <c:v>171371.59084904971</c:v>
                </c:pt>
                <c:pt idx="21">
                  <c:v>180554.70149401054</c:v>
                </c:pt>
                <c:pt idx="22">
                  <c:v>190014.43446850585</c:v>
                </c:pt>
                <c:pt idx="23">
                  <c:v>197112.40802392465</c:v>
                </c:pt>
                <c:pt idx="24">
                  <c:v>201054.65618440314</c:v>
                </c:pt>
                <c:pt idx="25">
                  <c:v>205075.74930809121</c:v>
                </c:pt>
                <c:pt idx="26">
                  <c:v>209177.26429425302</c:v>
                </c:pt>
                <c:pt idx="27">
                  <c:v>213360.80958013807</c:v>
                </c:pt>
                <c:pt idx="28">
                  <c:v>217628.02577174082</c:v>
                </c:pt>
                <c:pt idx="29">
                  <c:v>221980.58628717565</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125000</c:v>
                </c:pt>
                <c:pt idx="1">
                  <c:v>127500</c:v>
                </c:pt>
                <c:pt idx="2">
                  <c:v>130050</c:v>
                </c:pt>
                <c:pt idx="3">
                  <c:v>132651</c:v>
                </c:pt>
                <c:pt idx="4">
                  <c:v>135304.01999999999</c:v>
                </c:pt>
                <c:pt idx="5">
                  <c:v>138010.1004</c:v>
                </c:pt>
                <c:pt idx="6">
                  <c:v>140770.30240799999</c:v>
                </c:pt>
                <c:pt idx="7">
                  <c:v>143585.70845615998</c:v>
                </c:pt>
                <c:pt idx="8">
                  <c:v>146457.42262528319</c:v>
                </c:pt>
                <c:pt idx="9">
                  <c:v>149386.57107778886</c:v>
                </c:pt>
                <c:pt idx="10">
                  <c:v>152374.30249934463</c:v>
                </c:pt>
                <c:pt idx="11">
                  <c:v>155421.78854933151</c:v>
                </c:pt>
                <c:pt idx="12">
                  <c:v>158530.22432031814</c:v>
                </c:pt>
                <c:pt idx="13">
                  <c:v>161700.82880672452</c:v>
                </c:pt>
                <c:pt idx="14">
                  <c:v>164934.845382859</c:v>
                </c:pt>
                <c:pt idx="15">
                  <c:v>168233.54229051617</c:v>
                </c:pt>
                <c:pt idx="16">
                  <c:v>171598.21313632649</c:v>
                </c:pt>
                <c:pt idx="17">
                  <c:v>175030.17739905303</c:v>
                </c:pt>
                <c:pt idx="18">
                  <c:v>178530.7809470341</c:v>
                </c:pt>
                <c:pt idx="19">
                  <c:v>182101.39656597478</c:v>
                </c:pt>
                <c:pt idx="20">
                  <c:v>185743.42449729427</c:v>
                </c:pt>
                <c:pt idx="21">
                  <c:v>189458.29298724016</c:v>
                </c:pt>
                <c:pt idx="22">
                  <c:v>193247.45884698496</c:v>
                </c:pt>
                <c:pt idx="23">
                  <c:v>197112.40802392465</c:v>
                </c:pt>
                <c:pt idx="24">
                  <c:v>201054.65618440314</c:v>
                </c:pt>
                <c:pt idx="25">
                  <c:v>205075.74930809121</c:v>
                </c:pt>
                <c:pt idx="26">
                  <c:v>209177.26429425302</c:v>
                </c:pt>
                <c:pt idx="27">
                  <c:v>213360.80958013807</c:v>
                </c:pt>
                <c:pt idx="28">
                  <c:v>217628.02577174082</c:v>
                </c:pt>
                <c:pt idx="29">
                  <c:v>221980.58628717565</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125000</c:v>
                </c:pt>
                <c:pt idx="1">
                  <c:v>13325</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210.50291666666666</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308.33333333333331</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29.279166666666676</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191.66666666666666</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640.375</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-99.407083333333333</c:v>
                </c:pt>
                <c:pt idx="1">
                  <c:v>-103.55618333333331</c:v>
                </c:pt>
                <c:pt idx="2">
                  <c:v>-111.11750949999995</c:v>
                </c:pt>
                <c:pt idx="3">
                  <c:v>-106.66587999500001</c:v>
                </c:pt>
                <c:pt idx="4">
                  <c:v>-102.09159462556005</c:v>
                </c:pt>
                <c:pt idx="5">
                  <c:v>-97.391608884971888</c:v>
                </c:pt>
                <c:pt idx="6">
                  <c:v>-92.562815075136768</c:v>
                </c:pt>
                <c:pt idx="7">
                  <c:v>-87.602041544995217</c:v>
                </c:pt>
                <c:pt idx="8">
                  <c:v>-82.506051949932043</c:v>
                </c:pt>
                <c:pt idx="9">
                  <c:v>-77.271544534442455</c:v>
                </c:pt>
                <c:pt idx="10">
                  <c:v>-71.895151440479793</c:v>
                </c:pt>
                <c:pt idx="11">
                  <c:v>-66.37343804403784</c:v>
                </c:pt>
                <c:pt idx="12">
                  <c:v>-60.702902322669956</c:v>
                </c:pt>
                <c:pt idx="13">
                  <c:v>-54.879974256790859</c:v>
                </c:pt>
                <c:pt idx="14">
                  <c:v>-48.901015267769765</c:v>
                </c:pt>
                <c:pt idx="15">
                  <c:v>-42.762317695986553</c:v>
                </c:pt>
                <c:pt idx="16">
                  <c:v>-36.460104322192478</c:v>
                </c:pt>
                <c:pt idx="17">
                  <c:v>-29.990527935702374</c:v>
                </c:pt>
                <c:pt idx="18">
                  <c:v>-23.349670953130328</c:v>
                </c:pt>
                <c:pt idx="19">
                  <c:v>-16.533545091579754</c:v>
                </c:pt>
                <c:pt idx="20">
                  <c:v>-9.5380911004076552</c:v>
                </c:pt>
                <c:pt idx="21">
                  <c:v>-2.3591785558923561</c:v>
                </c:pt>
                <c:pt idx="22">
                  <c:v>225.6202042363916</c:v>
                </c:pt>
                <c:pt idx="23">
                  <c:v>515.83097009575567</c:v>
                </c:pt>
                <c:pt idx="24">
                  <c:v>531.10656177744522</c:v>
                </c:pt>
                <c:pt idx="25">
                  <c:v>546.86111696116166</c:v>
                </c:pt>
                <c:pt idx="26">
                  <c:v>563.10941846699757</c:v>
                </c:pt>
                <c:pt idx="27">
                  <c:v>579.86670087794869</c:v>
                </c:pt>
                <c:pt idx="28">
                  <c:v>597.14866425836681</c:v>
                </c:pt>
                <c:pt idx="29">
                  <c:v>614.97148828727927</c:v>
                </c:pt>
                <c:pt idx="30">
                  <c:v>633.35184681908243</c:v>
                </c:pt>
                <c:pt idx="31">
                  <c:v>652.30692288450325</c:v>
                </c:pt>
                <c:pt idx="32">
                  <c:v>671.85442414510385</c:v>
                </c:pt>
                <c:pt idx="33">
                  <c:v>692.01259881500346</c:v>
                </c:pt>
                <c:pt idx="34">
                  <c:v>712.8002520639111</c:v>
                </c:pt>
                <c:pt idx="35">
                  <c:v>734.23676291597531</c:v>
                </c:pt>
                <c:pt idx="36">
                  <c:v>756.34210165940419</c:v>
                </c:pt>
                <c:pt idx="37">
                  <c:v>779.13684778225502</c:v>
                </c:pt>
                <c:pt idx="38">
                  <c:v>802.64220845025272</c:v>
                </c:pt>
                <c:pt idx="39">
                  <c:v>826.88003754298086</c:v>
                </c:pt>
                <c:pt idx="40">
                  <c:v>851.87285526527523</c:v>
                </c:pt>
                <c:pt idx="41">
                  <c:v>877.64386835115863</c:v>
                </c:pt>
                <c:pt idx="42">
                  <c:v>904.21699087817717</c:v>
                </c:pt>
                <c:pt idx="43">
                  <c:v>931.61686571053588</c:v>
                </c:pt>
                <c:pt idx="44">
                  <c:v>959.86888658998555</c:v>
                </c:pt>
                <c:pt idx="45">
                  <c:v>988.99922089398115</c:v>
                </c:pt>
                <c:pt idx="46">
                  <c:v>1019.0348330812232</c:v>
                </c:pt>
                <c:pt idx="47">
                  <c:v>1050.0035088452905</c:v>
                </c:pt>
                <c:pt idx="48">
                  <c:v>1081.9338799977122</c:v>
                </c:pt>
                <c:pt idx="49">
                  <c:v>1114.855450102448</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-39517.885000000002</c:v>
                </c:pt>
                <c:pt idx="1">
                  <c:v>-40760.559200000003</c:v>
                </c:pt>
                <c:pt idx="2">
                  <c:v>-42093.969314000002</c:v>
                </c:pt>
                <c:pt idx="3">
                  <c:v>-43373.959873939995</c:v>
                </c:pt>
                <c:pt idx="4">
                  <c:v>-44599.059009446719</c:v>
                </c:pt>
                <c:pt idx="5">
                  <c:v>-45767.758316066385</c:v>
                </c:pt>
                <c:pt idx="6">
                  <c:v>-46878.512096968028</c:v>
                </c:pt>
                <c:pt idx="7">
                  <c:v>-47929.736595507966</c:v>
                </c:pt>
                <c:pt idx="8">
                  <c:v>-48919.809218907154</c:v>
                </c:pt>
                <c:pt idx="9">
                  <c:v>-49847.067753320458</c:v>
                </c:pt>
                <c:pt idx="10">
                  <c:v>-50709.809570606216</c:v>
                </c:pt>
                <c:pt idx="11">
                  <c:v>-51506.290827134675</c:v>
                </c:pt>
                <c:pt idx="12">
                  <c:v>-52234.72565500671</c:v>
                </c:pt>
                <c:pt idx="13">
                  <c:v>-52893.285346088203</c:v>
                </c:pt>
                <c:pt idx="14">
                  <c:v>-53480.097529301442</c:v>
                </c:pt>
                <c:pt idx="15">
                  <c:v>-53993.245341653281</c:v>
                </c:pt>
                <c:pt idx="16">
                  <c:v>-54430.766593519591</c:v>
                </c:pt>
                <c:pt idx="17">
                  <c:v>-54790.652928748023</c:v>
                </c:pt>
                <c:pt idx="18">
                  <c:v>-55070.848980185583</c:v>
                </c:pt>
                <c:pt idx="19">
                  <c:v>-55269.251521284539</c:v>
                </c:pt>
                <c:pt idx="20">
                  <c:v>-55383.708614489427</c:v>
                </c:pt>
                <c:pt idx="21">
                  <c:v>-55412.018757160142</c:v>
                </c:pt>
                <c:pt idx="22">
                  <c:v>-52704.576306323441</c:v>
                </c:pt>
                <c:pt idx="23">
                  <c:v>-46514.604665174367</c:v>
                </c:pt>
                <c:pt idx="24">
                  <c:v>-40141.325923845026</c:v>
                </c:pt>
                <c:pt idx="25">
                  <c:v>-33578.992520311091</c:v>
                </c:pt>
                <c:pt idx="26">
                  <c:v>-26821.679498707119</c:v>
                </c:pt>
                <c:pt idx="27">
                  <c:v>-19863.279088171734</c:v>
                </c:pt>
                <c:pt idx="28">
                  <c:v>-12697.495117071332</c:v>
                </c:pt>
                <c:pt idx="29">
                  <c:v>-5317.8372576239781</c:v>
                </c:pt>
                <c:pt idx="30">
                  <c:v>2282.3849042050133</c:v>
                </c:pt>
                <c:pt idx="31">
                  <c:v>10110.067978819054</c:v>
                </c:pt>
                <c:pt idx="32">
                  <c:v>18172.321068560297</c:v>
                </c:pt>
                <c:pt idx="33">
                  <c:v>26476.47225434034</c:v>
                </c:pt>
                <c:pt idx="34">
                  <c:v>35030.075279107274</c:v>
                </c:pt>
                <c:pt idx="35">
                  <c:v>43840.916434098981</c:v>
                </c:pt>
                <c:pt idx="36">
                  <c:v>52917.021654011827</c:v>
                </c:pt>
                <c:pt idx="37">
                  <c:v>62266.663827398879</c:v>
                </c:pt>
                <c:pt idx="38">
                  <c:v>71898.370328801917</c:v>
                </c:pt>
                <c:pt idx="39">
                  <c:v>81820.930779317685</c:v>
                </c:pt>
                <c:pt idx="40">
                  <c:v>92043.405042500992</c:v>
                </c:pt>
                <c:pt idx="41">
                  <c:v>102575.1314627149</c:v>
                </c:pt>
                <c:pt idx="42">
                  <c:v>113425.73535325303</c:v>
                </c:pt>
                <c:pt idx="43">
                  <c:v>124605.13774177944</c:v>
                </c:pt>
                <c:pt idx="44">
                  <c:v>136123.56438085926</c:v>
                </c:pt>
                <c:pt idx="45">
                  <c:v>147991.55503158702</c:v>
                </c:pt>
                <c:pt idx="46">
                  <c:v>160219.97302856171</c:v>
                </c:pt>
                <c:pt idx="47">
                  <c:v>172820.0151347052</c:v>
                </c:pt>
                <c:pt idx="48">
                  <c:v>185803.22169467775</c:v>
                </c:pt>
                <c:pt idx="49">
                  <c:v>199181.48709590713</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sheetView>
  </sheetViews>
  <sheetFormatPr baseColWidth="10" defaultColWidth="9.125" defaultRowHeight="14.3"/>
  <cols>
    <col min="1" max="1" width="9.125" style="6"/>
    <col min="2" max="2" width="8" style="6" customWidth="1"/>
    <col min="3" max="3" width="33.75" style="6" customWidth="1"/>
    <col min="4" max="12" width="10.75" style="6" customWidth="1"/>
    <col min="13" max="16384" width="9.125" style="6"/>
  </cols>
  <sheetData>
    <row r="1" spans="2:29" s="150" customFormat="1" ht="12.75" customHeight="1">
      <c r="B1" s="427" t="s">
        <v>344</v>
      </c>
      <c r="C1" s="427"/>
      <c r="K1" s="147"/>
      <c r="L1" s="147"/>
      <c r="M1" s="427"/>
      <c r="N1" s="427"/>
      <c r="O1" s="427"/>
      <c r="P1" s="427"/>
      <c r="Q1" s="427"/>
      <c r="U1" s="237"/>
      <c r="X1" s="237"/>
      <c r="AB1" s="427"/>
      <c r="AC1" s="428"/>
    </row>
    <row r="2" spans="2:29" s="150" customFormat="1" ht="14.9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 customHeight="1">
      <c r="U4" s="5"/>
      <c r="V4" s="5"/>
      <c r="W4" s="5"/>
      <c r="X4" s="5"/>
    </row>
    <row r="5" spans="2:29" ht="12.75" customHeight="1" thickBot="1"/>
    <row r="6" spans="2:29">
      <c r="B6" s="138"/>
      <c r="C6" s="139"/>
      <c r="D6" s="139"/>
      <c r="E6" s="139"/>
      <c r="F6" s="139"/>
      <c r="G6" s="139"/>
      <c r="H6" s="139"/>
      <c r="I6" s="139"/>
      <c r="J6" s="139"/>
      <c r="K6" s="139"/>
      <c r="L6" s="139"/>
      <c r="M6" s="140"/>
    </row>
    <row r="7" spans="2:29" ht="31.95">
      <c r="B7" s="141"/>
      <c r="C7" s="429" t="s">
        <v>367</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6" customHeight="1">
      <c r="B17" s="141"/>
      <c r="C17"/>
      <c r="D17"/>
      <c r="E17"/>
      <c r="F17"/>
      <c r="G17"/>
      <c r="H17"/>
      <c r="I17"/>
      <c r="J17"/>
      <c r="K17"/>
      <c r="L17"/>
      <c r="M17" s="142"/>
    </row>
    <row r="18" spans="2:13" ht="14.95" customHeight="1">
      <c r="B18" s="141"/>
      <c r="C18" s="430" t="s">
        <v>368</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ht="14.95">
      <c r="B41" s="141"/>
      <c r="C41" s="425" t="s">
        <v>464</v>
      </c>
      <c r="D41" s="425"/>
      <c r="E41" s="425"/>
      <c r="F41" s="425"/>
      <c r="G41" s="425"/>
      <c r="H41" s="425"/>
      <c r="I41" s="425"/>
      <c r="J41" s="425"/>
      <c r="K41" s="425"/>
      <c r="L41" s="425"/>
      <c r="M41" s="142"/>
    </row>
    <row r="42" spans="2:13" ht="14.95">
      <c r="B42" s="141"/>
      <c r="C42" s="426" t="s">
        <v>369</v>
      </c>
      <c r="D42" s="426"/>
      <c r="E42" s="426"/>
      <c r="F42" s="426"/>
      <c r="G42" s="426"/>
      <c r="H42" s="426"/>
      <c r="I42" s="426"/>
      <c r="J42" s="426"/>
      <c r="K42" s="426"/>
      <c r="L42" s="426"/>
      <c r="M42" s="142"/>
    </row>
    <row r="43" spans="2:13" ht="14.9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7" activePane="bottomLeft" state="frozen"/>
      <selection pane="bottomLeft" activeCell="N20" sqref="N20"/>
    </sheetView>
  </sheetViews>
  <sheetFormatPr baseColWidth="10" defaultColWidth="9.125" defaultRowHeight="14.3"/>
  <cols>
    <col min="1" max="1" width="3.375" style="6" customWidth="1"/>
    <col min="2" max="2" width="10.875" style="6" customWidth="1"/>
    <col min="3" max="3" width="11.75" style="6" customWidth="1"/>
    <col min="4" max="5" width="11.375" style="6" customWidth="1"/>
    <col min="6" max="6" width="4.25" style="6" customWidth="1"/>
    <col min="7" max="7" width="31.125" style="6" customWidth="1"/>
    <col min="8" max="8" width="10.75" style="6" customWidth="1"/>
    <col min="9" max="9" width="4.25" style="6" customWidth="1"/>
    <col min="10" max="10" width="29" style="6" customWidth="1"/>
    <col min="11" max="11" width="9" style="6" customWidth="1"/>
    <col min="12" max="12" width="4.25" style="5" customWidth="1"/>
    <col min="13" max="13" width="24.375" style="5" customWidth="1"/>
    <col min="14" max="14" width="10.375" style="5" customWidth="1"/>
    <col min="15" max="15" width="4.25" style="5" customWidth="1"/>
    <col min="16" max="16" width="27.875" style="6" customWidth="1"/>
    <col min="17" max="17" width="9.625" style="6" customWidth="1"/>
    <col min="18" max="18" width="4.25" style="6" customWidth="1"/>
    <col min="19" max="19" width="28" style="6" customWidth="1"/>
    <col min="20" max="20" width="10.75" style="6" customWidth="1"/>
    <col min="21" max="21" width="3.75" style="6" customWidth="1"/>
    <col min="22" max="22" width="31.75" style="6" customWidth="1"/>
    <col min="23" max="23" width="11.25" style="6" customWidth="1"/>
    <col min="24" max="24" width="3.25" style="6" customWidth="1"/>
    <col min="25" max="16384" width="9.125" style="6"/>
  </cols>
  <sheetData>
    <row r="1" spans="1:23" s="150" customFormat="1" ht="12.75" customHeight="1">
      <c r="A1" s="146"/>
      <c r="B1" s="146"/>
      <c r="C1" s="464" t="s">
        <v>346</v>
      </c>
      <c r="D1" s="427" t="s">
        <v>339</v>
      </c>
      <c r="E1" s="427"/>
      <c r="F1" s="147"/>
      <c r="G1" s="465" t="s">
        <v>343</v>
      </c>
      <c r="H1" s="465"/>
      <c r="I1" s="148"/>
      <c r="J1" s="427" t="s">
        <v>341</v>
      </c>
      <c r="K1" s="427"/>
      <c r="L1" s="149"/>
      <c r="M1" s="427" t="s">
        <v>114</v>
      </c>
      <c r="N1" s="427" t="s">
        <v>340</v>
      </c>
      <c r="O1" s="149"/>
      <c r="P1" s="427" t="s">
        <v>342</v>
      </c>
      <c r="Q1" s="427"/>
      <c r="S1" s="463" t="s">
        <v>366</v>
      </c>
      <c r="T1" s="463"/>
      <c r="V1" s="427"/>
      <c r="W1" s="427"/>
    </row>
    <row r="2" spans="1:23" s="150" customFormat="1" ht="14.9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 customHeight="1"/>
    <row r="5" spans="1:23" ht="8.35" customHeight="1" thickBot="1"/>
    <row r="6" spans="1:23" s="21" customFormat="1" ht="23.3" customHeight="1" thickBot="1">
      <c r="B6" s="450" t="s">
        <v>118</v>
      </c>
      <c r="C6" s="451"/>
      <c r="D6" s="451"/>
      <c r="E6" s="452"/>
      <c r="G6" s="453" t="s">
        <v>119</v>
      </c>
      <c r="H6" s="454"/>
      <c r="J6" s="453" t="s">
        <v>79</v>
      </c>
      <c r="K6" s="454"/>
      <c r="L6" s="22"/>
      <c r="M6" s="453" t="s">
        <v>19</v>
      </c>
      <c r="N6" s="454"/>
      <c r="O6" s="22"/>
      <c r="P6" s="453" t="s">
        <v>115</v>
      </c>
      <c r="Q6" s="454"/>
      <c r="S6" s="453" t="s">
        <v>96</v>
      </c>
      <c r="T6" s="454"/>
      <c r="V6" s="453" t="s">
        <v>335</v>
      </c>
      <c r="W6" s="454"/>
    </row>
    <row r="7" spans="1:23" ht="14.95" thickBot="1"/>
    <row r="8" spans="1:23" ht="14.95" thickBot="1">
      <c r="B8" s="439" t="s">
        <v>348</v>
      </c>
      <c r="C8" s="447"/>
      <c r="D8" s="447"/>
      <c r="E8" s="440"/>
      <c r="G8" s="443" t="s">
        <v>15</v>
      </c>
      <c r="H8" s="444"/>
      <c r="J8" s="439" t="s">
        <v>393</v>
      </c>
      <c r="K8" s="440"/>
      <c r="M8" s="443" t="s">
        <v>116</v>
      </c>
      <c r="N8" s="444"/>
      <c r="P8" s="443" t="s">
        <v>121</v>
      </c>
      <c r="Q8" s="444"/>
      <c r="S8" s="439" t="s">
        <v>334</v>
      </c>
      <c r="T8" s="440"/>
      <c r="V8" s="443" t="s">
        <v>263</v>
      </c>
      <c r="W8" s="444"/>
    </row>
    <row r="9" spans="1:23">
      <c r="B9" s="166" t="s">
        <v>110</v>
      </c>
      <c r="C9" s="455" t="s">
        <v>478</v>
      </c>
      <c r="D9" s="455"/>
      <c r="E9" s="456"/>
      <c r="G9" s="151" t="s">
        <v>252</v>
      </c>
      <c r="H9" s="219">
        <v>12.5</v>
      </c>
      <c r="J9" s="166" t="s">
        <v>383</v>
      </c>
      <c r="K9" s="167">
        <f>K23</f>
        <v>111</v>
      </c>
      <c r="M9" s="166" t="s">
        <v>21</v>
      </c>
      <c r="N9" s="181">
        <f>N17+N25+N32+N39</f>
        <v>100000</v>
      </c>
      <c r="P9" s="166" t="s">
        <v>127</v>
      </c>
      <c r="Q9" s="181">
        <f>12*(-Q22+Q25)+'Wert, AfA, Darlehen'!D11</f>
        <v>3607.1149999999998</v>
      </c>
      <c r="S9" s="166" t="s">
        <v>95</v>
      </c>
      <c r="T9" s="236">
        <v>2044</v>
      </c>
      <c r="V9" s="194" t="s">
        <v>268</v>
      </c>
      <c r="W9" s="195">
        <f ca="1">IFERROR(OFFSET('Miete, Cashflow, Steuern'!C18,0,MATCH(TRUE,INDEX('Miete, Cashflow, Steuern'!$D$28:$BA$28&gt;0,0),0)),"-")</f>
        <v>2046</v>
      </c>
    </row>
    <row r="10" spans="1:23" ht="14.95" thickBot="1">
      <c r="B10" s="163" t="s">
        <v>349</v>
      </c>
      <c r="C10" s="211">
        <v>45413</v>
      </c>
      <c r="D10" s="23" t="s">
        <v>350</v>
      </c>
      <c r="E10" s="210" t="s">
        <v>351</v>
      </c>
      <c r="G10" s="152" t="s">
        <v>253</v>
      </c>
      <c r="H10" s="220">
        <f>C11*H9</f>
        <v>529.375</v>
      </c>
      <c r="J10" s="163" t="s">
        <v>384</v>
      </c>
      <c r="K10" s="157">
        <f>K30</f>
        <v>99.502916666666664</v>
      </c>
      <c r="M10" s="163" t="s">
        <v>26</v>
      </c>
      <c r="N10" s="178">
        <f>E35-N9</f>
        <v>38325</v>
      </c>
      <c r="P10" s="183" t="s">
        <v>93</v>
      </c>
      <c r="Q10" s="175">
        <f>Q9-'Wert, AfA, Darlehen'!D11</f>
        <v>1107.1149999999998</v>
      </c>
      <c r="S10" s="162" t="s">
        <v>97</v>
      </c>
      <c r="T10" s="193">
        <f>T9-'Wert, AfA, Darlehen'!D37</f>
        <v>20</v>
      </c>
      <c r="V10" s="196" t="s">
        <v>262</v>
      </c>
      <c r="W10" s="155">
        <f ca="1">OFFSET('Miete, Cashflow, Steuern'!C32,0,MATCH(TRUE,INDEX('Miete, Cashflow, Steuern'!$D$28:$BA$28&gt;0,0),0)-1)</f>
        <v>-17087.018757160138</v>
      </c>
    </row>
    <row r="11" spans="1:23" ht="14.95" thickBot="1">
      <c r="B11" s="162" t="s">
        <v>11</v>
      </c>
      <c r="C11" s="212">
        <v>42.35</v>
      </c>
      <c r="D11" s="204" t="s">
        <v>111</v>
      </c>
      <c r="E11" s="209">
        <v>1</v>
      </c>
      <c r="G11" s="153" t="s">
        <v>68</v>
      </c>
      <c r="H11" s="221">
        <v>0</v>
      </c>
      <c r="J11" s="168" t="s">
        <v>124</v>
      </c>
      <c r="K11" s="169">
        <f>K10/H15</f>
        <v>0.1879630066902794</v>
      </c>
      <c r="M11" s="163" t="s">
        <v>27</v>
      </c>
      <c r="N11" s="182">
        <f>IF(N9=0,"n/a",((N18*$N$17)+(N26*$N$25)+(N33*$N$32)+(N40*$N$39))/$N$9)</f>
        <v>3.6999999999999998E-2</v>
      </c>
      <c r="P11" s="5"/>
      <c r="Q11" s="5"/>
      <c r="S11" s="5"/>
      <c r="T11" s="5"/>
      <c r="V11" s="196" t="s">
        <v>264</v>
      </c>
      <c r="W11" s="197">
        <f ca="1">IFERROR(OFFSET('Miete, Cashflow, Steuern'!C18,0,MATCH(TRUE,INDEX('Miete, Cashflow, Steuern'!$D$32:$BA$32&gt;0,0),0)),"-")</f>
        <v>2049</v>
      </c>
    </row>
    <row r="12" spans="1:23" ht="14.95" thickBot="1">
      <c r="B12" s="5"/>
      <c r="C12" s="5"/>
      <c r="D12" s="5"/>
      <c r="E12" s="5"/>
      <c r="G12" s="153" t="s">
        <v>90</v>
      </c>
      <c r="H12" s="221">
        <v>0</v>
      </c>
      <c r="J12" s="170" t="s">
        <v>94</v>
      </c>
      <c r="K12" s="171">
        <f>K9+K10</f>
        <v>210.50291666666666</v>
      </c>
      <c r="M12" s="163" t="s">
        <v>28</v>
      </c>
      <c r="N12" s="182">
        <f>IF(N9=0,"n/a",((N19*$N$17)+(N27*$N$25)+(N34*$N$32)+(N41*$N$39))/$N$9)</f>
        <v>2.3E-2</v>
      </c>
      <c r="P12" s="443" t="s">
        <v>125</v>
      </c>
      <c r="Q12" s="444"/>
      <c r="S12" s="439" t="s">
        <v>126</v>
      </c>
      <c r="T12" s="440"/>
      <c r="V12" s="198" t="s">
        <v>269</v>
      </c>
      <c r="W12" s="199">
        <f ca="1">IFERROR(OFFSET('Miete, Cashflow, Steuern'!C18,0,MATCH(TRUE,INDEX('Miete, Cashflow, Steuern'!$D$33:$BA$33&gt;0,0),0)),"-")</f>
        <v>2054</v>
      </c>
    </row>
    <row r="13" spans="1:23" ht="14.95" thickBot="1">
      <c r="B13" s="439" t="s">
        <v>117</v>
      </c>
      <c r="C13" s="447"/>
      <c r="D13" s="447"/>
      <c r="E13" s="440"/>
      <c r="G13" s="153" t="s">
        <v>67</v>
      </c>
      <c r="H13" s="154">
        <f>H10+H11+H12</f>
        <v>529.375</v>
      </c>
      <c r="J13" s="5"/>
      <c r="K13" s="24"/>
      <c r="M13" s="162" t="s">
        <v>378</v>
      </c>
      <c r="N13" s="175">
        <f>N20+N28+N35+N42</f>
        <v>500</v>
      </c>
      <c r="P13" s="166" t="s">
        <v>14</v>
      </c>
      <c r="Q13" s="181">
        <f>12*H15</f>
        <v>6352.5</v>
      </c>
      <c r="S13" s="151" t="s">
        <v>14</v>
      </c>
      <c r="T13" s="181">
        <f ca="1">OFFSET('Miete, Cashflow, Steuern'!D12,,Cockpit!T10)*12</f>
        <v>11139.147202172288</v>
      </c>
    </row>
    <row r="14" spans="1:23" ht="14.95" thickBot="1">
      <c r="B14" s="441" t="s">
        <v>1</v>
      </c>
      <c r="C14" s="442"/>
      <c r="D14" s="466">
        <v>125000</v>
      </c>
      <c r="E14" s="467"/>
      <c r="G14" s="153" t="s">
        <v>322</v>
      </c>
      <c r="H14" s="154">
        <f>'MFH-Kalkulator'!E12</f>
        <v>1287.5</v>
      </c>
      <c r="K14" s="5"/>
      <c r="N14" s="25"/>
      <c r="P14" s="184" t="s">
        <v>16</v>
      </c>
      <c r="Q14" s="185">
        <f>Q13/D14</f>
        <v>5.0819999999999997E-2</v>
      </c>
      <c r="S14" s="168" t="s">
        <v>359</v>
      </c>
      <c r="T14" s="190">
        <f ca="1">T13/12/C11</f>
        <v>21.918825663463767</v>
      </c>
      <c r="V14" s="439" t="s">
        <v>260</v>
      </c>
      <c r="W14" s="440"/>
    </row>
    <row r="15" spans="1:23" ht="14.95" thickBot="1">
      <c r="B15" s="461" t="s">
        <v>123</v>
      </c>
      <c r="C15" s="462"/>
      <c r="D15" s="459">
        <f>D14/C11</f>
        <v>2951.5938606847699</v>
      </c>
      <c r="E15" s="460"/>
      <c r="G15" s="153" t="s">
        <v>320</v>
      </c>
      <c r="H15" s="155">
        <f>IF('MFH-Kalkulator'!$C$6="Ein",H14,H13)</f>
        <v>529.375</v>
      </c>
      <c r="J15" s="443" t="s">
        <v>379</v>
      </c>
      <c r="K15" s="444"/>
      <c r="M15" s="443" t="s">
        <v>20</v>
      </c>
      <c r="N15" s="444"/>
      <c r="P15" s="163" t="s">
        <v>18</v>
      </c>
      <c r="Q15" s="186">
        <f>D14/Q13</f>
        <v>19.677292404565133</v>
      </c>
      <c r="S15" s="173" t="s">
        <v>273</v>
      </c>
      <c r="T15" s="178">
        <f ca="1">OFFSET('Wert, AfA, Darlehen'!E8,,Cockpit!T10)</f>
        <v>189458.29298724016</v>
      </c>
      <c r="V15" s="151" t="s">
        <v>14</v>
      </c>
      <c r="W15" s="181">
        <f ca="1">OFFSET('Miete, Cashflow, Steuern'!D12,,Cockpit!T10)*12</f>
        <v>11139.147202172288</v>
      </c>
    </row>
    <row r="16" spans="1:23" ht="14.95" thickBot="1">
      <c r="B16" s="457" t="s">
        <v>4</v>
      </c>
      <c r="C16" s="458"/>
      <c r="D16" s="213">
        <v>3.5999999999999997E-2</v>
      </c>
      <c r="E16" s="214">
        <f>D16*$D$14</f>
        <v>4500</v>
      </c>
      <c r="G16" s="156" t="s">
        <v>469</v>
      </c>
      <c r="H16" s="157">
        <f>K9</f>
        <v>111</v>
      </c>
      <c r="J16" s="151" t="s">
        <v>382</v>
      </c>
      <c r="K16" s="227">
        <v>156</v>
      </c>
      <c r="M16" s="166" t="s">
        <v>333</v>
      </c>
      <c r="N16" s="233">
        <v>0.8</v>
      </c>
      <c r="P16" s="162" t="s">
        <v>17</v>
      </c>
      <c r="Q16" s="187">
        <f>(Q13-12*K10)/E35</f>
        <v>3.7292354961142242E-2</v>
      </c>
      <c r="S16" s="191" t="s">
        <v>2</v>
      </c>
      <c r="T16" s="192">
        <f ca="1">T15/C11</f>
        <v>4473.6314754956356</v>
      </c>
      <c r="V16" s="173" t="s">
        <v>18</v>
      </c>
      <c r="W16" s="235">
        <v>15</v>
      </c>
    </row>
    <row r="17" spans="2:23" ht="14.95" thickBot="1">
      <c r="B17" s="457" t="s">
        <v>5</v>
      </c>
      <c r="C17" s="458"/>
      <c r="D17" s="213">
        <v>1.4999999999999999E-2</v>
      </c>
      <c r="E17" s="214">
        <f>D17*$D$14</f>
        <v>1875</v>
      </c>
      <c r="G17" s="158" t="s">
        <v>470</v>
      </c>
      <c r="H17" s="159">
        <f>H15+H16</f>
        <v>640.375</v>
      </c>
      <c r="J17" s="176" t="s">
        <v>381</v>
      </c>
      <c r="K17" s="228">
        <v>45</v>
      </c>
      <c r="M17" s="163" t="s">
        <v>21</v>
      </c>
      <c r="N17" s="221">
        <f>N16*D14</f>
        <v>100000</v>
      </c>
      <c r="P17" s="5"/>
      <c r="Q17" s="5"/>
      <c r="S17" s="5"/>
      <c r="T17" s="5"/>
      <c r="V17" s="173" t="s">
        <v>51</v>
      </c>
      <c r="W17" s="178">
        <f ca="1">W15*W16</f>
        <v>167087.20803258431</v>
      </c>
    </row>
    <row r="18" spans="2:23" ht="14.95" thickBot="1">
      <c r="B18" s="457" t="s">
        <v>376</v>
      </c>
      <c r="C18" s="458"/>
      <c r="D18" s="213">
        <v>1.0999999999999999E-2</v>
      </c>
      <c r="E18" s="214">
        <f>D18*$D$14</f>
        <v>1375</v>
      </c>
      <c r="J18" s="203" t="s">
        <v>385</v>
      </c>
      <c r="K18" s="175">
        <f>K16-K17</f>
        <v>111</v>
      </c>
      <c r="M18" s="163" t="s">
        <v>22</v>
      </c>
      <c r="N18" s="232">
        <v>3.6999999999999998E-2</v>
      </c>
      <c r="P18" s="439" t="s">
        <v>91</v>
      </c>
      <c r="Q18" s="440"/>
      <c r="S18" s="439" t="s">
        <v>91</v>
      </c>
      <c r="T18" s="440"/>
      <c r="V18" s="191" t="s">
        <v>2</v>
      </c>
      <c r="W18" s="192">
        <f ca="1">W17/C11</f>
        <v>3945.3886194234783</v>
      </c>
    </row>
    <row r="19" spans="2:23" ht="14.95" thickBot="1">
      <c r="B19" s="457" t="s">
        <v>6</v>
      </c>
      <c r="C19" s="458"/>
      <c r="D19" s="213">
        <v>3.5000000000000003E-2</v>
      </c>
      <c r="E19" s="214">
        <f>D19*$D$14</f>
        <v>4375</v>
      </c>
      <c r="G19" s="439" t="s">
        <v>101</v>
      </c>
      <c r="H19" s="440"/>
      <c r="K19" s="5"/>
      <c r="M19" s="163" t="s">
        <v>23</v>
      </c>
      <c r="N19" s="232">
        <v>2.3E-2</v>
      </c>
      <c r="P19" s="166" t="s">
        <v>471</v>
      </c>
      <c r="Q19" s="181">
        <f>H17</f>
        <v>640.375</v>
      </c>
      <c r="S19" s="166" t="s">
        <v>471</v>
      </c>
      <c r="T19" s="181">
        <f ca="1">OFFSET('Miete, Cashflow, Steuern'!D14,,Cockpit!T10)</f>
        <v>1093.202427801288</v>
      </c>
    </row>
    <row r="20" spans="2:23" ht="14.95" thickBot="1">
      <c r="B20" s="457" t="s">
        <v>8</v>
      </c>
      <c r="C20" s="458"/>
      <c r="D20" s="213">
        <v>0</v>
      </c>
      <c r="E20" s="214">
        <f>D20*$D$14</f>
        <v>0</v>
      </c>
      <c r="G20" s="160" t="s">
        <v>35</v>
      </c>
      <c r="H20" s="222">
        <v>1.4999999999999999E-2</v>
      </c>
      <c r="J20" s="439" t="s">
        <v>386</v>
      </c>
      <c r="K20" s="440"/>
      <c r="M20" s="163" t="s">
        <v>378</v>
      </c>
      <c r="N20" s="178">
        <f>(N18+N19)*N17/12</f>
        <v>500</v>
      </c>
      <c r="P20" s="153" t="s">
        <v>29</v>
      </c>
      <c r="Q20" s="178">
        <f>-K12</f>
        <v>-210.50291666666666</v>
      </c>
      <c r="S20" s="153" t="s">
        <v>29</v>
      </c>
      <c r="T20" s="178">
        <f ca="1">OFFSET('Miete, Cashflow, Steuern'!D23,,Cockpit!T10)</f>
        <v>-317.04542678973144</v>
      </c>
      <c r="V20" s="439" t="s">
        <v>122</v>
      </c>
      <c r="W20" s="440"/>
    </row>
    <row r="21" spans="2:23" ht="14.95" thickBot="1">
      <c r="B21" s="457" t="s">
        <v>377</v>
      </c>
      <c r="C21" s="458"/>
      <c r="D21" s="213">
        <v>1.2E-2</v>
      </c>
      <c r="E21" s="214">
        <f>D21*$N$9</f>
        <v>1200</v>
      </c>
      <c r="G21" s="161" t="s">
        <v>105</v>
      </c>
      <c r="H21" s="223">
        <v>0.6</v>
      </c>
      <c r="J21" s="151" t="s">
        <v>390</v>
      </c>
      <c r="K21" s="167">
        <f>K18</f>
        <v>111</v>
      </c>
      <c r="M21" s="162" t="s">
        <v>98</v>
      </c>
      <c r="N21" s="180">
        <f>IFERROR(HLOOKUP(0,'Wert, AfA, Darlehen'!D50:BA105,56,FALSE),"-")</f>
        <v>2046</v>
      </c>
      <c r="P21" s="153" t="s">
        <v>31</v>
      </c>
      <c r="Q21" s="178">
        <f>-N11*N9/12</f>
        <v>-308.33333333333331</v>
      </c>
      <c r="S21" s="153" t="s">
        <v>31</v>
      </c>
      <c r="T21" s="178">
        <f ca="1">-OFFSET('Wert, AfA, Darlehen'!D110,,Cockpit!T10)/12</f>
        <v>-44.313153748754047</v>
      </c>
      <c r="U21" s="26"/>
      <c r="V21" s="151" t="s">
        <v>57</v>
      </c>
      <c r="W21" s="181">
        <f ca="1">-(T21-T25/(1-T33))</f>
        <v>28.416335248074621</v>
      </c>
    </row>
    <row r="22" spans="2:23" ht="14.95" thickBot="1">
      <c r="B22" s="448" t="s">
        <v>7</v>
      </c>
      <c r="C22" s="449"/>
      <c r="D22" s="205">
        <f>SUM(D16:D21)</f>
        <v>0.109</v>
      </c>
      <c r="E22" s="159">
        <f>SUM(E16:E21)</f>
        <v>13325</v>
      </c>
      <c r="G22" s="162" t="s">
        <v>76</v>
      </c>
      <c r="H22" s="159">
        <f>H21*(D14+E22-E21)+SUMIF(D26:D29,"Aktivieren",C26:C29)</f>
        <v>82275</v>
      </c>
      <c r="J22" s="173" t="s">
        <v>391</v>
      </c>
      <c r="K22" s="157">
        <f>K38</f>
        <v>0</v>
      </c>
      <c r="N22" s="30"/>
      <c r="P22" s="153" t="s">
        <v>32</v>
      </c>
      <c r="Q22" s="178">
        <f>-N12*N9/12</f>
        <v>-191.66666666666666</v>
      </c>
      <c r="S22" s="153" t="s">
        <v>32</v>
      </c>
      <c r="T22" s="178">
        <f ca="1">-OFFSET('Wert, AfA, Darlehen'!D114,,Cockpit!T10)/12</f>
        <v>-455.68684625124592</v>
      </c>
      <c r="V22" s="162" t="s">
        <v>58</v>
      </c>
      <c r="W22" s="200">
        <f ca="1">IF(OFFSET('Wert, AfA, Darlehen'!D106,,Cockpit!T10)=0,"n/a",W21*12/OFFSET('Wert, AfA, Darlehen'!D106,,Cockpit!T10))</f>
        <v>2.3726688696994926E-2</v>
      </c>
    </row>
    <row r="23" spans="2:23" ht="14.95" thickBot="1">
      <c r="B23" s="5"/>
      <c r="C23" s="5"/>
      <c r="D23" s="5"/>
      <c r="E23" s="5"/>
      <c r="J23" s="174" t="s">
        <v>7</v>
      </c>
      <c r="K23" s="175">
        <f>SUM(K21:K22)</f>
        <v>111</v>
      </c>
      <c r="M23" s="6"/>
      <c r="N23" s="27"/>
      <c r="P23" s="153" t="s">
        <v>30</v>
      </c>
      <c r="Q23" s="178">
        <f>SUM(Q19:Q22)</f>
        <v>-70.127916666666664</v>
      </c>
      <c r="S23" s="153" t="s">
        <v>30</v>
      </c>
      <c r="T23" s="178">
        <f ca="1">SUM(T19:T22)</f>
        <v>276.15700101155653</v>
      </c>
    </row>
    <row r="24" spans="2:23" ht="14.95" thickBot="1">
      <c r="B24" s="439" t="s">
        <v>12</v>
      </c>
      <c r="C24" s="447"/>
      <c r="D24" s="447"/>
      <c r="E24" s="440"/>
      <c r="G24" s="439" t="s">
        <v>100</v>
      </c>
      <c r="H24" s="440"/>
      <c r="M24" s="443" t="s">
        <v>25</v>
      </c>
      <c r="N24" s="444"/>
      <c r="P24" s="153" t="s">
        <v>39</v>
      </c>
      <c r="Q24" s="178">
        <f>-Q34</f>
        <v>-29.279166666666676</v>
      </c>
      <c r="S24" s="153" t="s">
        <v>39</v>
      </c>
      <c r="T24" s="178">
        <f ca="1">-T34</f>
        <v>-285.69509211196419</v>
      </c>
      <c r="V24" s="439" t="s">
        <v>274</v>
      </c>
      <c r="W24" s="440"/>
    </row>
    <row r="25" spans="2:23" ht="14.95" thickBot="1">
      <c r="B25" s="206" t="s">
        <v>106</v>
      </c>
      <c r="C25" s="207" t="s">
        <v>107</v>
      </c>
      <c r="D25" s="207" t="s">
        <v>108</v>
      </c>
      <c r="E25" s="208" t="s">
        <v>109</v>
      </c>
      <c r="G25" s="160" t="s">
        <v>61</v>
      </c>
      <c r="H25" s="224">
        <v>0.03</v>
      </c>
      <c r="J25" s="439" t="s">
        <v>387</v>
      </c>
      <c r="K25" s="440"/>
      <c r="M25" s="166" t="s">
        <v>21</v>
      </c>
      <c r="N25" s="229">
        <v>0</v>
      </c>
      <c r="P25" s="158" t="s">
        <v>41</v>
      </c>
      <c r="Q25" s="175">
        <f>Q23+Q24</f>
        <v>-99.407083333333333</v>
      </c>
      <c r="R25"/>
      <c r="S25" s="158" t="s">
        <v>41</v>
      </c>
      <c r="T25" s="175">
        <f ca="1">T23+T24</f>
        <v>-9.5380911004076552</v>
      </c>
      <c r="V25" s="151" t="s">
        <v>51</v>
      </c>
      <c r="W25" s="181">
        <f ca="1">OFFSET('Wert, AfA, Darlehen'!E8,,Cockpit!T10)</f>
        <v>189458.29298724016</v>
      </c>
    </row>
    <row r="26" spans="2:23" ht="14.95" thickBot="1">
      <c r="B26" s="215" t="s">
        <v>477</v>
      </c>
      <c r="C26" s="216">
        <v>0</v>
      </c>
      <c r="D26" s="217" t="s">
        <v>468</v>
      </c>
      <c r="E26" s="218"/>
      <c r="G26" s="163" t="s">
        <v>327</v>
      </c>
      <c r="H26" s="221">
        <v>10</v>
      </c>
      <c r="J26" s="151" t="s">
        <v>380</v>
      </c>
      <c r="K26" s="157">
        <f>K17</f>
        <v>45</v>
      </c>
      <c r="M26" s="163" t="s">
        <v>22</v>
      </c>
      <c r="N26" s="232">
        <v>0.02</v>
      </c>
      <c r="P26"/>
      <c r="Q26"/>
      <c r="S26"/>
      <c r="T26"/>
      <c r="V26" s="173" t="s">
        <v>52</v>
      </c>
      <c r="W26" s="178">
        <f ca="1">-OFFSET('Wert, AfA, Darlehen'!D118,,Cockpit!T10)</f>
        <v>-8903.5914932296037</v>
      </c>
    </row>
    <row r="27" spans="2:23" ht="14.95" thickBot="1">
      <c r="B27" s="215"/>
      <c r="C27" s="216"/>
      <c r="D27" s="217" t="s">
        <v>460</v>
      </c>
      <c r="E27" s="218"/>
      <c r="G27" s="164" t="s">
        <v>326</v>
      </c>
      <c r="H27" s="165">
        <f>((H21*D14)*(1/80*1.5)-(12*K26))/C11</f>
        <v>20.45454545454546</v>
      </c>
      <c r="J27" s="176" t="s">
        <v>323</v>
      </c>
      <c r="K27" s="409">
        <f>C11*H26/12</f>
        <v>35.291666666666664</v>
      </c>
      <c r="M27" s="163" t="s">
        <v>23</v>
      </c>
      <c r="N27" s="232">
        <v>0.08</v>
      </c>
      <c r="P27" s="439" t="s">
        <v>38</v>
      </c>
      <c r="Q27" s="440"/>
      <c r="S27" s="439" t="s">
        <v>38</v>
      </c>
      <c r="T27" s="440"/>
      <c r="V27" s="201" t="s">
        <v>270</v>
      </c>
      <c r="W27" s="202">
        <f>-N10</f>
        <v>-38325</v>
      </c>
    </row>
    <row r="28" spans="2:23" ht="14.95" thickBot="1">
      <c r="B28" s="215"/>
      <c r="C28" s="216"/>
      <c r="D28" s="217" t="s">
        <v>460</v>
      </c>
      <c r="E28" s="218"/>
      <c r="J28" s="152" t="s">
        <v>324</v>
      </c>
      <c r="K28" s="157">
        <f>H25*H17</f>
        <v>19.21125</v>
      </c>
      <c r="M28" s="163" t="s">
        <v>378</v>
      </c>
      <c r="N28" s="178">
        <f>(N26+N27)*N25/12</f>
        <v>0</v>
      </c>
      <c r="P28" s="166" t="s">
        <v>471</v>
      </c>
      <c r="Q28" s="181">
        <f>Q19</f>
        <v>640.375</v>
      </c>
      <c r="S28" s="166" t="s">
        <v>471</v>
      </c>
      <c r="T28" s="181">
        <f ca="1">T19</f>
        <v>1093.202427801288</v>
      </c>
      <c r="V28" s="201" t="s">
        <v>271</v>
      </c>
      <c r="W28" s="202">
        <f ca="1">OFFSET('Miete, Cashflow, Steuern'!D32,,Cockpit!T10)</f>
        <v>-17058.708614489431</v>
      </c>
    </row>
    <row r="29" spans="2:23" ht="14.95" thickBot="1">
      <c r="B29" s="215"/>
      <c r="C29" s="216"/>
      <c r="D29" s="217" t="s">
        <v>460</v>
      </c>
      <c r="E29" s="218"/>
      <c r="G29" s="439" t="s">
        <v>120</v>
      </c>
      <c r="H29" s="440"/>
      <c r="J29" s="152" t="s">
        <v>392</v>
      </c>
      <c r="K29" s="157">
        <f>K46</f>
        <v>0</v>
      </c>
      <c r="M29" s="162" t="s">
        <v>98</v>
      </c>
      <c r="N29" s="179">
        <f>HLOOKUP(0,'Wert, AfA, Darlehen'!D67:BA105,39,FALSE)</f>
        <v>2024</v>
      </c>
      <c r="P29" s="153" t="s">
        <v>328</v>
      </c>
      <c r="Q29" s="178">
        <f>-K12+K27+K28</f>
        <v>-156</v>
      </c>
      <c r="S29" s="153" t="s">
        <v>328</v>
      </c>
      <c r="T29" s="178">
        <f ca="1">OFFSET('Miete, Cashflow, Steuern'!D38,,Cockpit!T10)</f>
        <v>-231.80779377262337</v>
      </c>
      <c r="V29" s="203" t="s">
        <v>272</v>
      </c>
      <c r="W29" s="175">
        <f ca="1">SUM(W25:W28)</f>
        <v>125170.99287952112</v>
      </c>
    </row>
    <row r="30" spans="2:23" ht="14.95" thickBot="1">
      <c r="B30" s="163" t="s">
        <v>7</v>
      </c>
      <c r="C30" s="28">
        <f>SUM(C26:C29)</f>
        <v>0</v>
      </c>
      <c r="D30" s="422" t="s">
        <v>7</v>
      </c>
      <c r="E30" s="157">
        <f>SUM(E26:E29)</f>
        <v>0</v>
      </c>
      <c r="G30" s="166" t="s">
        <v>102</v>
      </c>
      <c r="H30" s="222">
        <v>0.02</v>
      </c>
      <c r="J30" s="177" t="s">
        <v>325</v>
      </c>
      <c r="K30" s="192">
        <f>K26+K27+K28+K29</f>
        <v>99.502916666666664</v>
      </c>
      <c r="L30" s="1"/>
      <c r="N30" s="27"/>
      <c r="P30" s="153" t="s">
        <v>31</v>
      </c>
      <c r="Q30" s="178">
        <f>Q21</f>
        <v>-308.33333333333331</v>
      </c>
      <c r="S30" s="153" t="s">
        <v>31</v>
      </c>
      <c r="T30" s="178">
        <f ca="1">T21</f>
        <v>-44.313153748754047</v>
      </c>
    </row>
    <row r="31" spans="2:23" ht="14.95" thickBot="1">
      <c r="B31" s="431" t="s">
        <v>112</v>
      </c>
      <c r="C31" s="432"/>
      <c r="D31" s="433"/>
      <c r="E31" s="157">
        <f>D14+E30</f>
        <v>125000</v>
      </c>
      <c r="G31" s="163" t="s">
        <v>103</v>
      </c>
      <c r="H31" s="225">
        <v>0.03</v>
      </c>
      <c r="M31" s="443" t="s">
        <v>238</v>
      </c>
      <c r="N31" s="444"/>
      <c r="P31" s="153" t="s">
        <v>286</v>
      </c>
      <c r="Q31" s="178">
        <f>-'Wert, AfA, Darlehen'!D19-'Wert, AfA, Darlehen'!D24-IF(E32="Abziehen",'Wert, AfA, Darlehen'!D34,'Wert, AfA, Darlehen'!D34-'Wert, AfA, Darlehen'!D28/12)</f>
        <v>-102.84375</v>
      </c>
      <c r="S31" s="153" t="s">
        <v>286</v>
      </c>
      <c r="T31" s="178">
        <f ca="1">OFFSET('Miete, Cashflow, Steuern'!D40,,Cockpit!T10)</f>
        <v>-102.84375</v>
      </c>
      <c r="U31" s="29"/>
      <c r="V31" s="439" t="s">
        <v>370</v>
      </c>
      <c r="W31" s="440"/>
    </row>
    <row r="32" spans="2:23" ht="14.95" thickBot="1">
      <c r="B32" s="434" t="s">
        <v>467</v>
      </c>
      <c r="C32" s="435"/>
      <c r="D32" s="436"/>
      <c r="E32" s="423" t="s">
        <v>466</v>
      </c>
      <c r="G32" s="162" t="s">
        <v>104</v>
      </c>
      <c r="H32" s="226">
        <v>0.02</v>
      </c>
      <c r="J32" s="439" t="s">
        <v>388</v>
      </c>
      <c r="K32" s="440"/>
      <c r="M32" s="166" t="s">
        <v>21</v>
      </c>
      <c r="N32" s="229">
        <v>0</v>
      </c>
      <c r="P32" s="153" t="s">
        <v>37</v>
      </c>
      <c r="Q32" s="178">
        <f>SUM(Q28:Q31)</f>
        <v>73.197916666666686</v>
      </c>
      <c r="S32" s="153" t="s">
        <v>37</v>
      </c>
      <c r="T32" s="178">
        <f ca="1">SUM(T28:T31)</f>
        <v>714.23773027991047</v>
      </c>
      <c r="V32" s="151" t="s">
        <v>51</v>
      </c>
      <c r="W32" s="181">
        <f ca="1">W25</f>
        <v>189458.29298724016</v>
      </c>
    </row>
    <row r="33" spans="2:23" ht="14.95" thickBot="1">
      <c r="J33" s="230" t="s">
        <v>329</v>
      </c>
      <c r="K33" s="227"/>
      <c r="M33" s="163" t="s">
        <v>22</v>
      </c>
      <c r="N33" s="232">
        <v>0.03</v>
      </c>
      <c r="P33" s="163" t="s">
        <v>287</v>
      </c>
      <c r="Q33" s="234">
        <v>0.4</v>
      </c>
      <c r="S33" s="163" t="s">
        <v>287</v>
      </c>
      <c r="T33" s="169">
        <f ca="1">OFFSET('Miete, Cashflow, Steuern'!D42,,Cockpit!T10)</f>
        <v>0.4</v>
      </c>
      <c r="V33" s="173" t="s">
        <v>52</v>
      </c>
      <c r="W33" s="178">
        <f ca="1">W26</f>
        <v>-8903.5914932296037</v>
      </c>
    </row>
    <row r="34" spans="2:23" ht="14.95" thickBot="1">
      <c r="B34" s="439" t="s">
        <v>9</v>
      </c>
      <c r="C34" s="447"/>
      <c r="D34" s="447"/>
      <c r="E34" s="440"/>
      <c r="J34" s="231" t="s">
        <v>330</v>
      </c>
      <c r="K34" s="228"/>
      <c r="M34" s="163" t="s">
        <v>23</v>
      </c>
      <c r="N34" s="232">
        <v>0.05</v>
      </c>
      <c r="P34" s="158" t="s">
        <v>40</v>
      </c>
      <c r="Q34" s="175">
        <f>Q33*Q32</f>
        <v>29.279166666666676</v>
      </c>
      <c r="S34" s="158" t="s">
        <v>40</v>
      </c>
      <c r="T34" s="175">
        <f ca="1">T33*T32</f>
        <v>285.69509211196419</v>
      </c>
      <c r="V34" s="203" t="s">
        <v>371</v>
      </c>
      <c r="W34" s="175">
        <f ca="1">W32+W33</f>
        <v>180554.70149401054</v>
      </c>
    </row>
    <row r="35" spans="2:23" ht="14.95" thickBot="1">
      <c r="B35" s="445" t="s">
        <v>7</v>
      </c>
      <c r="C35" s="446"/>
      <c r="D35" s="446"/>
      <c r="E35" s="172">
        <f>D14+E22+C30</f>
        <v>138325</v>
      </c>
      <c r="J35" s="231" t="s">
        <v>331</v>
      </c>
      <c r="K35" s="228"/>
      <c r="M35" s="163" t="s">
        <v>378</v>
      </c>
      <c r="N35" s="178">
        <f>(N33+N34)*N32/12</f>
        <v>0</v>
      </c>
    </row>
    <row r="36" spans="2:23" ht="14.95" thickBot="1">
      <c r="J36" s="231" t="s">
        <v>332</v>
      </c>
      <c r="K36" s="228"/>
      <c r="M36" s="162" t="s">
        <v>98</v>
      </c>
      <c r="N36" s="179">
        <f>HLOOKUP(0,'Wert, AfA, Darlehen'!D84:BA105,22,FALSE)</f>
        <v>2024</v>
      </c>
      <c r="P36" s="443" t="s">
        <v>73</v>
      </c>
      <c r="Q36" s="444"/>
      <c r="V36" s="439" t="s">
        <v>372</v>
      </c>
      <c r="W36" s="440"/>
    </row>
    <row r="37" spans="2:23" ht="15.8" customHeight="1" thickBot="1">
      <c r="B37" s="437" t="s">
        <v>474</v>
      </c>
      <c r="C37" s="437"/>
      <c r="D37" s="437"/>
      <c r="E37" s="437"/>
      <c r="F37" s="437"/>
      <c r="G37" s="437"/>
      <c r="H37" s="437"/>
      <c r="J37" s="173" t="s">
        <v>128</v>
      </c>
      <c r="K37" s="214"/>
      <c r="L37"/>
      <c r="N37" s="27"/>
      <c r="P37" s="166" t="s">
        <v>33</v>
      </c>
      <c r="Q37" s="188">
        <f>IF(N10&gt;0,Q9/N10,"n/a")</f>
        <v>9.4119112850619691E-2</v>
      </c>
      <c r="V37" s="151" t="s">
        <v>374</v>
      </c>
      <c r="W37" s="181">
        <f>W27</f>
        <v>-38325</v>
      </c>
    </row>
    <row r="38" spans="2:23" ht="14.95" thickBot="1">
      <c r="B38" s="437"/>
      <c r="C38" s="437"/>
      <c r="D38" s="437"/>
      <c r="E38" s="437"/>
      <c r="F38" s="437"/>
      <c r="G38" s="437"/>
      <c r="H38" s="437"/>
      <c r="J38" s="174" t="s">
        <v>7</v>
      </c>
      <c r="K38" s="175">
        <f>SUM(K33:K37)</f>
        <v>0</v>
      </c>
      <c r="L38" s="6"/>
      <c r="M38" s="443" t="s">
        <v>239</v>
      </c>
      <c r="N38" s="444"/>
      <c r="P38" s="183" t="s">
        <v>93</v>
      </c>
      <c r="Q38" s="189">
        <f>Q10/N10</f>
        <v>2.8887540769732545E-2</v>
      </c>
      <c r="V38" s="152" t="s">
        <v>271</v>
      </c>
      <c r="W38" s="178">
        <f ca="1">W28</f>
        <v>-17058.708614489431</v>
      </c>
    </row>
    <row r="39" spans="2:23" ht="14.95" thickBot="1">
      <c r="B39" s="437"/>
      <c r="C39" s="437"/>
      <c r="D39" s="437"/>
      <c r="E39" s="437"/>
      <c r="F39" s="437"/>
      <c r="G39" s="437"/>
      <c r="H39" s="437"/>
      <c r="L39" s="6"/>
      <c r="M39" s="166" t="s">
        <v>21</v>
      </c>
      <c r="N39" s="229">
        <v>0</v>
      </c>
      <c r="O39" s="6"/>
      <c r="V39" s="203" t="s">
        <v>373</v>
      </c>
      <c r="W39" s="175">
        <f ca="1">W37+W38</f>
        <v>-55383.708614489427</v>
      </c>
    </row>
    <row r="40" spans="2:23" ht="14.95" thickBot="1">
      <c r="B40" s="437"/>
      <c r="C40" s="437"/>
      <c r="D40" s="437"/>
      <c r="E40" s="437"/>
      <c r="F40" s="437"/>
      <c r="G40" s="437"/>
      <c r="H40" s="437"/>
      <c r="J40" s="439" t="s">
        <v>389</v>
      </c>
      <c r="K40" s="440"/>
      <c r="L40" s="6"/>
      <c r="M40" s="163" t="s">
        <v>22</v>
      </c>
      <c r="N40" s="232"/>
      <c r="O40" s="6"/>
      <c r="S40" s="5"/>
      <c r="T40" s="5"/>
    </row>
    <row r="41" spans="2:23">
      <c r="B41" s="437"/>
      <c r="C41" s="437"/>
      <c r="D41" s="437"/>
      <c r="E41" s="437"/>
      <c r="F41" s="437"/>
      <c r="G41" s="437"/>
      <c r="H41" s="437"/>
      <c r="J41" s="230" t="s">
        <v>329</v>
      </c>
      <c r="K41" s="227"/>
      <c r="L41" s="6"/>
      <c r="M41" s="163" t="s">
        <v>23</v>
      </c>
      <c r="N41" s="232"/>
      <c r="O41" s="6"/>
    </row>
    <row r="42" spans="2:23">
      <c r="B42" s="438" t="s">
        <v>459</v>
      </c>
      <c r="C42" s="438"/>
      <c r="D42" s="438"/>
      <c r="E42" s="438"/>
      <c r="F42" s="438"/>
      <c r="G42" s="438"/>
      <c r="H42" s="438"/>
      <c r="J42" s="231" t="s">
        <v>330</v>
      </c>
      <c r="K42" s="228"/>
      <c r="L42" s="6"/>
      <c r="M42" s="163" t="s">
        <v>378</v>
      </c>
      <c r="N42" s="178">
        <f>(N40+N41)*N39/12</f>
        <v>0</v>
      </c>
      <c r="O42" s="6"/>
    </row>
    <row r="43" spans="2:23" ht="14.9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4.9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xWindow="1319" yWindow="610"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xWindow="1319" yWindow="610"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375" defaultRowHeight="14.3"/>
  <cols>
    <col min="1" max="1" width="3.25" style="6" customWidth="1"/>
    <col min="2" max="2" width="3.125" style="6" customWidth="1"/>
    <col min="3" max="3" width="29.25" style="6" customWidth="1"/>
    <col min="4" max="4" width="11.625" style="6" customWidth="1"/>
    <col min="5" max="5" width="8" style="6" customWidth="1"/>
    <col min="6" max="6" width="18.875" style="6" customWidth="1"/>
    <col min="7" max="7" width="11.625" style="6" customWidth="1"/>
    <col min="8" max="8" width="6.375" style="6" customWidth="1"/>
    <col min="9" max="9" width="29.25" style="6" customWidth="1"/>
    <col min="10" max="10" width="11.625" style="6" customWidth="1"/>
    <col min="11" max="11" width="3.125" style="6" customWidth="1"/>
    <col min="12" max="12" width="3" style="6" customWidth="1"/>
    <col min="13" max="16384" width="11.375" style="6"/>
  </cols>
  <sheetData>
    <row r="1" spans="1:24" s="150" customFormat="1" ht="12.75" customHeight="1">
      <c r="C1" s="471" t="s">
        <v>344</v>
      </c>
      <c r="D1" s="471"/>
      <c r="E1" s="472" t="s">
        <v>339</v>
      </c>
      <c r="F1" s="472"/>
      <c r="G1" s="472"/>
      <c r="H1" s="472"/>
      <c r="I1" s="471"/>
      <c r="J1" s="238"/>
      <c r="O1" s="237"/>
      <c r="S1" s="471"/>
      <c r="T1" s="428"/>
    </row>
    <row r="2" spans="1:24" s="150" customFormat="1" ht="14.9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 customHeight="1">
      <c r="L4" s="5"/>
      <c r="M4" s="5"/>
      <c r="N4" s="5"/>
      <c r="O4" s="5"/>
    </row>
    <row r="5" spans="1:24" customFormat="1" ht="8.35" customHeight="1" thickBot="1">
      <c r="A5" s="6"/>
      <c r="B5" s="6"/>
      <c r="C5" s="6"/>
      <c r="D5" s="6"/>
      <c r="E5" s="6"/>
      <c r="F5" s="6"/>
      <c r="G5" s="6"/>
      <c r="H5" s="6"/>
      <c r="I5" s="6"/>
      <c r="J5" s="6"/>
      <c r="K5" s="6"/>
      <c r="L5" s="5"/>
      <c r="M5" s="5"/>
      <c r="N5" s="5"/>
      <c r="O5" s="5"/>
      <c r="P5" s="6"/>
      <c r="Q5" s="6"/>
      <c r="R5" s="6"/>
      <c r="S5" s="6"/>
      <c r="T5" s="6"/>
      <c r="U5" s="6"/>
      <c r="V5" s="6"/>
      <c r="W5" s="6"/>
      <c r="X5" s="6"/>
    </row>
    <row r="6" spans="1:24" ht="26.35" customHeight="1" thickBot="1">
      <c r="B6" s="476" t="s">
        <v>113</v>
      </c>
      <c r="C6" s="477"/>
      <c r="D6" s="477"/>
      <c r="E6" s="477"/>
      <c r="F6" s="477"/>
      <c r="G6" s="477"/>
      <c r="H6" s="477"/>
      <c r="I6" s="477"/>
      <c r="J6" s="477"/>
      <c r="K6" s="478"/>
      <c r="N6" s="239" t="s">
        <v>204</v>
      </c>
      <c r="O6" s="240"/>
      <c r="P6" s="240"/>
      <c r="Q6" s="240"/>
    </row>
    <row r="7" spans="1:24" ht="14.95" customHeight="1">
      <c r="B7" s="141"/>
      <c r="C7"/>
      <c r="D7"/>
      <c r="E7"/>
      <c r="F7"/>
      <c r="G7"/>
      <c r="H7"/>
      <c r="I7"/>
      <c r="J7"/>
      <c r="K7" s="142"/>
      <c r="N7" s="240"/>
      <c r="O7" s="241"/>
      <c r="P7" s="241"/>
      <c r="Q7" s="240"/>
    </row>
    <row r="8" spans="1:24" ht="17.350000000000001" customHeight="1">
      <c r="B8" s="141"/>
      <c r="C8" s="11" t="str">
        <f>Cockpit!C9</f>
        <v>Rapfstraße 3/1, Hollabrunn</v>
      </c>
      <c r="D8"/>
      <c r="E8"/>
      <c r="F8"/>
      <c r="G8" s="2"/>
      <c r="H8" s="2"/>
      <c r="I8" s="470">
        <f>Cockpit!C10</f>
        <v>45413</v>
      </c>
      <c r="J8" s="470"/>
      <c r="K8" s="242"/>
      <c r="L8" s="9"/>
      <c r="M8" s="9"/>
      <c r="N8" s="475" t="s">
        <v>347</v>
      </c>
      <c r="O8" s="475"/>
      <c r="P8" s="475"/>
      <c r="Q8" s="475"/>
    </row>
    <row r="9" spans="1:24" ht="14.95" customHeight="1">
      <c r="B9" s="141"/>
      <c r="C9"/>
      <c r="D9"/>
      <c r="E9"/>
      <c r="F9"/>
      <c r="G9"/>
      <c r="H9"/>
      <c r="I9"/>
      <c r="J9"/>
      <c r="K9" s="142"/>
      <c r="N9" s="475"/>
      <c r="O9" s="475"/>
      <c r="P9" s="475"/>
      <c r="Q9" s="475"/>
    </row>
    <row r="10" spans="1:24" ht="15.8" customHeight="1">
      <c r="B10" s="141"/>
      <c r="C10"/>
      <c r="D10"/>
      <c r="E10"/>
      <c r="F10"/>
      <c r="G10"/>
      <c r="H10"/>
      <c r="I10"/>
      <c r="J10"/>
      <c r="K10" s="243"/>
      <c r="N10" s="475"/>
      <c r="O10" s="475"/>
      <c r="P10" s="475"/>
      <c r="Q10" s="475"/>
    </row>
    <row r="11" spans="1:24" ht="15.8" customHeight="1">
      <c r="B11" s="141"/>
      <c r="C11"/>
      <c r="D11"/>
      <c r="E11"/>
      <c r="F11"/>
      <c r="G11"/>
      <c r="H11"/>
      <c r="I11"/>
      <c r="J11"/>
      <c r="K11" s="243"/>
      <c r="N11" s="475"/>
      <c r="O11" s="475"/>
      <c r="P11" s="475"/>
      <c r="Q11" s="475"/>
    </row>
    <row r="12" spans="1:24" ht="15.8" customHeight="1">
      <c r="B12" s="141"/>
      <c r="C12"/>
      <c r="D12"/>
      <c r="E12"/>
      <c r="F12"/>
      <c r="G12"/>
      <c r="H12"/>
      <c r="I12"/>
      <c r="J12"/>
      <c r="K12" s="243"/>
      <c r="N12" s="475"/>
      <c r="O12" s="475"/>
      <c r="P12" s="475"/>
      <c r="Q12" s="475"/>
    </row>
    <row r="13" spans="1:24" ht="15.8" customHeight="1">
      <c r="B13" s="141"/>
      <c r="C13"/>
      <c r="D13"/>
      <c r="E13"/>
      <c r="F13"/>
      <c r="G13"/>
      <c r="H13"/>
      <c r="I13"/>
      <c r="J13"/>
      <c r="K13" s="243"/>
      <c r="N13" s="475"/>
      <c r="O13" s="475"/>
      <c r="P13" s="475"/>
      <c r="Q13" s="475"/>
    </row>
    <row r="14" spans="1:24" ht="15.8" customHeight="1">
      <c r="B14" s="141"/>
      <c r="C14"/>
      <c r="D14"/>
      <c r="E14"/>
      <c r="F14"/>
      <c r="G14"/>
      <c r="H14"/>
      <c r="I14"/>
      <c r="J14"/>
      <c r="K14" s="243"/>
      <c r="N14" s="475"/>
      <c r="O14" s="475"/>
      <c r="P14" s="475"/>
      <c r="Q14" s="475"/>
    </row>
    <row r="15" spans="1:24" ht="15.8" customHeight="1">
      <c r="B15" s="141"/>
      <c r="C15"/>
      <c r="D15"/>
      <c r="E15"/>
      <c r="F15"/>
      <c r="G15"/>
      <c r="H15"/>
      <c r="I15"/>
      <c r="J15"/>
      <c r="K15" s="243"/>
      <c r="N15" s="475"/>
      <c r="O15" s="475"/>
      <c r="P15" s="475"/>
      <c r="Q15" s="475"/>
    </row>
    <row r="16" spans="1:24" ht="15.8" customHeight="1">
      <c r="B16" s="141"/>
      <c r="C16"/>
      <c r="D16"/>
      <c r="E16"/>
      <c r="F16"/>
      <c r="G16"/>
      <c r="H16"/>
      <c r="I16"/>
      <c r="J16"/>
      <c r="K16" s="243"/>
      <c r="N16" s="475"/>
      <c r="O16" s="475"/>
      <c r="P16" s="475"/>
      <c r="Q16" s="475"/>
    </row>
    <row r="17" spans="2:17" ht="15.8" customHeight="1">
      <c r="B17" s="141"/>
      <c r="C17"/>
      <c r="D17"/>
      <c r="E17"/>
      <c r="F17"/>
      <c r="G17"/>
      <c r="H17"/>
      <c r="I17"/>
      <c r="J17"/>
      <c r="K17" s="243"/>
      <c r="N17" s="475"/>
      <c r="O17" s="475"/>
      <c r="P17" s="475"/>
      <c r="Q17" s="475"/>
    </row>
    <row r="18" spans="2:17" ht="15.8" customHeight="1">
      <c r="B18" s="141"/>
      <c r="C18"/>
      <c r="D18"/>
      <c r="E18"/>
      <c r="F18"/>
      <c r="G18"/>
      <c r="H18"/>
      <c r="I18"/>
      <c r="J18"/>
      <c r="K18" s="243"/>
      <c r="N18" s="475" t="s">
        <v>205</v>
      </c>
      <c r="O18" s="475"/>
      <c r="P18" s="475"/>
      <c r="Q18" s="475"/>
    </row>
    <row r="19" spans="2:17" ht="15.8" customHeight="1">
      <c r="B19" s="141"/>
      <c r="C19"/>
      <c r="D19"/>
      <c r="E19"/>
      <c r="F19"/>
      <c r="G19"/>
      <c r="H19"/>
      <c r="I19"/>
      <c r="J19"/>
      <c r="K19" s="243"/>
      <c r="N19" s="475"/>
      <c r="O19" s="475"/>
      <c r="P19" s="475"/>
      <c r="Q19" s="475"/>
    </row>
    <row r="20" spans="2:17" ht="15.8" customHeight="1">
      <c r="B20" s="141"/>
      <c r="C20"/>
      <c r="D20"/>
      <c r="E20"/>
      <c r="F20"/>
      <c r="G20"/>
      <c r="H20"/>
      <c r="I20"/>
      <c r="J20"/>
      <c r="K20" s="243"/>
      <c r="N20" s="475"/>
      <c r="O20" s="475"/>
      <c r="P20" s="475"/>
      <c r="Q20" s="475"/>
    </row>
    <row r="21" spans="2:17" ht="15.8" customHeight="1">
      <c r="B21" s="141"/>
      <c r="C21"/>
      <c r="D21"/>
      <c r="E21"/>
      <c r="F21"/>
      <c r="G21"/>
      <c r="H21"/>
      <c r="I21"/>
      <c r="J21"/>
      <c r="K21" s="243"/>
      <c r="N21" s="475"/>
      <c r="O21" s="475"/>
      <c r="P21" s="475"/>
      <c r="Q21" s="475"/>
    </row>
    <row r="22" spans="2:17" ht="15.8" customHeight="1">
      <c r="B22" s="141"/>
      <c r="C22"/>
      <c r="D22"/>
      <c r="E22"/>
      <c r="F22"/>
      <c r="G22"/>
      <c r="H22"/>
      <c r="I22"/>
      <c r="J22"/>
      <c r="K22" s="243"/>
      <c r="N22" s="241"/>
      <c r="O22" s="241"/>
      <c r="P22" s="241"/>
      <c r="Q22" s="240"/>
    </row>
    <row r="23" spans="2:17" ht="15.8" customHeight="1">
      <c r="B23" s="268"/>
      <c r="C23" s="269"/>
      <c r="D23" s="269"/>
      <c r="E23" s="269"/>
      <c r="F23" s="269"/>
      <c r="G23" s="269"/>
      <c r="H23" s="269"/>
      <c r="I23" s="269"/>
      <c r="J23" s="269"/>
      <c r="K23" s="270"/>
      <c r="N23" s="473" t="s">
        <v>202</v>
      </c>
      <c r="O23" s="474"/>
      <c r="P23" s="474"/>
      <c r="Q23" s="474"/>
    </row>
    <row r="24" spans="2:17" ht="15.8" customHeight="1" thickBot="1">
      <c r="B24" s="141"/>
      <c r="C24"/>
      <c r="D24"/>
      <c r="E24"/>
      <c r="F24"/>
      <c r="G24"/>
      <c r="H24"/>
      <c r="I24"/>
      <c r="J24"/>
      <c r="K24" s="243"/>
      <c r="N24" s="473" t="s">
        <v>203</v>
      </c>
      <c r="O24" s="474"/>
      <c r="P24" s="474"/>
      <c r="Q24" s="474"/>
    </row>
    <row r="25" spans="2:17" ht="16.3" thickBot="1">
      <c r="B25" s="141"/>
      <c r="C25" s="453" t="s">
        <v>0</v>
      </c>
      <c r="D25" s="454"/>
      <c r="E25"/>
      <c r="F25" s="453" t="s">
        <v>19</v>
      </c>
      <c r="G25" s="454"/>
      <c r="H25"/>
      <c r="I25" s="453" t="s">
        <v>81</v>
      </c>
      <c r="J25" s="454"/>
      <c r="K25" s="142"/>
      <c r="N25" s="240"/>
      <c r="O25" s="240"/>
      <c r="P25" s="240"/>
      <c r="Q25" s="240"/>
    </row>
    <row r="26" spans="2:17" ht="14.3" customHeight="1" thickBot="1">
      <c r="B26" s="244"/>
      <c r="C26" s="12"/>
      <c r="D26" s="12"/>
      <c r="E26" s="12"/>
      <c r="F26" s="12"/>
      <c r="G26" s="12"/>
      <c r="H26" s="12"/>
      <c r="I26" s="12"/>
      <c r="J26" s="12"/>
      <c r="K26" s="245"/>
      <c r="N26" s="240"/>
      <c r="O26" s="240"/>
      <c r="P26" s="240"/>
      <c r="Q26" s="240"/>
    </row>
    <row r="27" spans="2:17" ht="15.65" thickBot="1">
      <c r="B27" s="244"/>
      <c r="C27" s="468" t="s">
        <v>86</v>
      </c>
      <c r="D27" s="469"/>
      <c r="E27" s="12"/>
      <c r="F27" s="468" t="s">
        <v>241</v>
      </c>
      <c r="G27" s="469"/>
      <c r="H27" s="12"/>
      <c r="I27" s="468" t="s">
        <v>82</v>
      </c>
      <c r="J27" s="469"/>
      <c r="K27" s="245"/>
      <c r="N27" s="475" t="s">
        <v>201</v>
      </c>
      <c r="O27" s="475"/>
      <c r="P27" s="475"/>
      <c r="Q27" s="475"/>
    </row>
    <row r="28" spans="2:17" ht="14.95">
      <c r="B28" s="244"/>
      <c r="C28" s="246" t="s">
        <v>11</v>
      </c>
      <c r="D28" s="247">
        <f>Cockpit!C11</f>
        <v>42.35</v>
      </c>
      <c r="E28" s="12"/>
      <c r="F28" s="246" t="s">
        <v>7</v>
      </c>
      <c r="G28" s="250">
        <f>Cockpit!N17</f>
        <v>100000</v>
      </c>
      <c r="H28" s="12"/>
      <c r="I28" s="246" t="s">
        <v>78</v>
      </c>
      <c r="J28" s="250">
        <f>Cockpit!H15</f>
        <v>529.375</v>
      </c>
      <c r="K28" s="245"/>
      <c r="N28" s="475"/>
      <c r="O28" s="475"/>
      <c r="P28" s="475"/>
      <c r="Q28" s="475"/>
    </row>
    <row r="29" spans="2:17" ht="15.65" thickBot="1">
      <c r="B29" s="244"/>
      <c r="C29" s="248" t="s">
        <v>13</v>
      </c>
      <c r="D29" s="249">
        <f>D33/D28</f>
        <v>2951.5938606847699</v>
      </c>
      <c r="E29" s="12"/>
      <c r="F29" s="251" t="s">
        <v>23</v>
      </c>
      <c r="G29" s="255">
        <f>Cockpit!N19</f>
        <v>2.3E-2</v>
      </c>
      <c r="H29" s="12"/>
      <c r="I29" s="259" t="s">
        <v>16</v>
      </c>
      <c r="J29" s="260">
        <f>Cockpit!Q14</f>
        <v>5.0819999999999997E-2</v>
      </c>
      <c r="K29" s="245"/>
      <c r="N29" s="475"/>
      <c r="O29" s="475"/>
      <c r="P29" s="475"/>
      <c r="Q29" s="475"/>
    </row>
    <row r="30" spans="2:17" ht="15.65" thickBot="1">
      <c r="B30" s="244"/>
      <c r="C30" s="12"/>
      <c r="D30" s="12"/>
      <c r="E30" s="12"/>
      <c r="F30" s="248" t="s">
        <v>84</v>
      </c>
      <c r="G30" s="256">
        <f>Cockpit!N18</f>
        <v>3.6999999999999998E-2</v>
      </c>
      <c r="H30" s="12"/>
      <c r="I30" s="248" t="s">
        <v>83</v>
      </c>
      <c r="J30" s="261">
        <f>Cockpit!Q15</f>
        <v>19.677292404565133</v>
      </c>
      <c r="K30" s="245"/>
    </row>
    <row r="31" spans="2:17" ht="15.65" thickBot="1">
      <c r="B31" s="244"/>
      <c r="C31" s="12"/>
      <c r="D31" s="12"/>
      <c r="E31" s="12"/>
      <c r="F31" s="12"/>
      <c r="G31" s="12"/>
      <c r="H31" s="12"/>
      <c r="I31" s="12"/>
      <c r="J31" s="12"/>
      <c r="K31" s="245"/>
    </row>
    <row r="32" spans="2:17" ht="15.65" thickBot="1">
      <c r="B32" s="244"/>
      <c r="C32" s="468" t="s">
        <v>87</v>
      </c>
      <c r="D32" s="469"/>
      <c r="E32" s="12"/>
      <c r="F32" s="468" t="s">
        <v>240</v>
      </c>
      <c r="G32" s="469"/>
      <c r="H32" s="12"/>
      <c r="I32" s="468" t="s">
        <v>85</v>
      </c>
      <c r="J32" s="469"/>
      <c r="K32" s="245"/>
    </row>
    <row r="33" spans="2:11" ht="14.95">
      <c r="B33" s="244"/>
      <c r="C33" s="246" t="s">
        <v>1</v>
      </c>
      <c r="D33" s="250">
        <f>Cockpit!D14</f>
        <v>125000</v>
      </c>
      <c r="E33" s="12"/>
      <c r="F33" s="246" t="s">
        <v>7</v>
      </c>
      <c r="G33" s="250">
        <f>Cockpit!N9-Cockpit!N17</f>
        <v>0</v>
      </c>
      <c r="H33" s="12"/>
      <c r="I33" s="246" t="s">
        <v>78</v>
      </c>
      <c r="J33" s="250">
        <f>Cockpit!H15</f>
        <v>529.375</v>
      </c>
      <c r="K33" s="245"/>
    </row>
    <row r="34" spans="2:11" ht="14.95">
      <c r="B34" s="244"/>
      <c r="C34" s="251" t="s">
        <v>3</v>
      </c>
      <c r="D34" s="252">
        <f>Cockpit!E22</f>
        <v>13325</v>
      </c>
      <c r="E34" s="12"/>
      <c r="F34" s="251" t="s">
        <v>23</v>
      </c>
      <c r="G34" s="255" t="e">
        <f>(Cockpit!N12*Cockpit!N9-Cockpit!N19*Cockpit!N17)/(Cockpit!N9-Cockpit!N17)</f>
        <v>#DIV/0!</v>
      </c>
      <c r="H34" s="12"/>
      <c r="I34" s="262" t="str">
        <f>CONCATENATE("- Bewirtschaftungskosten (",TEXT(Cockpit!K11*100,"#"),"%)")</f>
        <v>- Bewirtschaftungskosten (19%)</v>
      </c>
      <c r="J34" s="252">
        <f>Cockpit!K10</f>
        <v>99.502916666666664</v>
      </c>
      <c r="K34" s="245"/>
    </row>
    <row r="35" spans="2:11" ht="15.65" thickBot="1">
      <c r="B35" s="244"/>
      <c r="C35" s="253" t="s">
        <v>77</v>
      </c>
      <c r="D35" s="254">
        <f>Cockpit!C30</f>
        <v>0</v>
      </c>
      <c r="E35" s="12"/>
      <c r="F35" s="248" t="s">
        <v>84</v>
      </c>
      <c r="G35" s="256" t="e">
        <f>(Cockpit!N11*Cockpit!N9-Cockpit!N18*Cockpit!N17)/(Cockpit!N9-Cockpit!N17)</f>
        <v>#DIV/0!</v>
      </c>
      <c r="H35" s="12"/>
      <c r="I35" s="262" t="s">
        <v>31</v>
      </c>
      <c r="J35" s="252">
        <f>-Cockpit!Q21</f>
        <v>308.33333333333331</v>
      </c>
      <c r="K35" s="245"/>
    </row>
    <row r="36" spans="2:11" ht="16.3" thickTop="1" thickBot="1">
      <c r="B36" s="244"/>
      <c r="C36" s="248" t="s">
        <v>9</v>
      </c>
      <c r="D36" s="249">
        <f>SUM(D33:D35)</f>
        <v>138325</v>
      </c>
      <c r="E36" s="12"/>
      <c r="F36" s="12"/>
      <c r="G36" s="12"/>
      <c r="H36" s="12"/>
      <c r="I36" s="263" t="s">
        <v>32</v>
      </c>
      <c r="J36" s="254">
        <f>-Cockpit!Q22</f>
        <v>191.66666666666666</v>
      </c>
      <c r="K36" s="245"/>
    </row>
    <row r="37" spans="2:11" ht="15.65" thickBot="1">
      <c r="B37" s="244"/>
      <c r="C37" s="12"/>
      <c r="D37" s="12"/>
      <c r="E37" s="12"/>
      <c r="F37" s="468" t="s">
        <v>26</v>
      </c>
      <c r="G37" s="469"/>
      <c r="H37" s="12"/>
      <c r="I37" s="264" t="s">
        <v>80</v>
      </c>
      <c r="J37" s="249">
        <f>J33-SUM(J34:J36)</f>
        <v>-70.127916666666579</v>
      </c>
      <c r="K37" s="245"/>
    </row>
    <row r="38" spans="2:11" ht="15.65" thickBot="1">
      <c r="B38" s="244"/>
      <c r="C38" s="12"/>
      <c r="D38" s="12"/>
      <c r="E38" s="12"/>
      <c r="F38" s="257" t="s">
        <v>7</v>
      </c>
      <c r="G38" s="258">
        <f>Cockpit!N10</f>
        <v>38325</v>
      </c>
      <c r="H38" s="12"/>
      <c r="I38" s="12"/>
      <c r="J38" s="12"/>
      <c r="K38" s="245"/>
    </row>
    <row r="39" spans="2:11" ht="15.8"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529.375</v>
      </c>
      <c r="J43" s="3"/>
      <c r="K43" s="142"/>
    </row>
    <row r="44" spans="2:11">
      <c r="B44" s="141"/>
      <c r="C44"/>
      <c r="D44"/>
      <c r="E44"/>
      <c r="F44"/>
      <c r="G44"/>
      <c r="H44" s="3" t="s">
        <v>355</v>
      </c>
      <c r="I44" s="3"/>
      <c r="J44" s="3">
        <f>Cockpit!K10</f>
        <v>99.502916666666664</v>
      </c>
      <c r="K44" s="142"/>
    </row>
    <row r="45" spans="2:11">
      <c r="B45" s="141"/>
      <c r="C45"/>
      <c r="D45"/>
      <c r="E45"/>
      <c r="F45"/>
      <c r="G45"/>
      <c r="H45" s="3" t="s">
        <v>43</v>
      </c>
      <c r="I45" s="3"/>
      <c r="J45" s="3">
        <f>-Cockpit!Q21</f>
        <v>308.33333333333331</v>
      </c>
      <c r="K45" s="142"/>
    </row>
    <row r="46" spans="2:11">
      <c r="B46" s="141"/>
      <c r="C46"/>
      <c r="D46"/>
      <c r="E46"/>
      <c r="F46"/>
      <c r="G46"/>
      <c r="H46" s="3" t="s">
        <v>44</v>
      </c>
      <c r="I46" s="3"/>
      <c r="J46" s="3">
        <f>-Cockpit!Q22</f>
        <v>191.66666666666666</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4.9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J29" sqref="J29"/>
    </sheetView>
  </sheetViews>
  <sheetFormatPr baseColWidth="10" defaultColWidth="9.125" defaultRowHeight="14.3"/>
  <cols>
    <col min="1" max="1" width="3.375" style="6" customWidth="1"/>
    <col min="2" max="2" width="40.375" style="6" customWidth="1"/>
    <col min="3" max="3" width="0.375" style="6" customWidth="1"/>
    <col min="4" max="8" width="11.125" style="6" customWidth="1"/>
    <col min="9" max="12" width="11.125" style="5" customWidth="1"/>
    <col min="13" max="53" width="11.125" style="6" customWidth="1"/>
    <col min="54" max="16384" width="9.125" style="6"/>
  </cols>
  <sheetData>
    <row r="1" spans="1:53" s="150" customFormat="1" ht="12.75" customHeight="1">
      <c r="B1" s="427" t="s">
        <v>344</v>
      </c>
      <c r="C1" s="427"/>
      <c r="E1" s="491" t="s">
        <v>461</v>
      </c>
      <c r="F1" s="491"/>
      <c r="G1" s="491"/>
      <c r="H1" s="491"/>
      <c r="I1" s="491"/>
      <c r="J1" s="427" t="s">
        <v>353</v>
      </c>
      <c r="K1" s="427"/>
      <c r="L1" s="427"/>
      <c r="M1" s="427"/>
      <c r="N1" s="427"/>
      <c r="O1" s="427"/>
      <c r="P1" s="427"/>
      <c r="Q1" s="147"/>
      <c r="R1" s="147"/>
      <c r="T1" s="147"/>
      <c r="U1" s="147"/>
    </row>
    <row r="2" spans="1:53" s="150" customFormat="1" ht="14.9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 customHeight="1">
      <c r="I4" s="6"/>
      <c r="J4" s="6"/>
      <c r="K4" s="6"/>
      <c r="L4" s="6"/>
      <c r="M4" s="5"/>
      <c r="N4" s="5"/>
      <c r="O4" s="5"/>
      <c r="P4" s="5"/>
    </row>
    <row r="5" spans="1:53" ht="9" customHeight="1" thickBot="1">
      <c r="I5" s="6"/>
      <c r="J5" s="6"/>
      <c r="K5" s="6"/>
      <c r="L5" s="6"/>
      <c r="N5" s="5"/>
      <c r="O5" s="5"/>
      <c r="P5" s="5"/>
      <c r="Q5" s="5"/>
    </row>
    <row r="6" spans="1:53" ht="16.3" thickBot="1">
      <c r="A6"/>
      <c r="B6" s="274" t="s">
        <v>249</v>
      </c>
      <c r="C6" s="33"/>
      <c r="D6" s="275"/>
      <c r="I6" s="6"/>
      <c r="J6" s="6"/>
      <c r="K6" s="6"/>
      <c r="L6" s="6"/>
    </row>
    <row r="7" spans="1:53" ht="14.9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254</v>
      </c>
      <c r="C8" s="486"/>
      <c r="D8" s="281"/>
      <c r="E8" s="281">
        <f>D10</f>
        <v>529.375</v>
      </c>
      <c r="F8" s="281">
        <f t="shared" ref="F8:BA8" si="0">E10</f>
        <v>529.375</v>
      </c>
      <c r="G8" s="281">
        <f t="shared" si="0"/>
        <v>545.25625000000002</v>
      </c>
      <c r="H8" s="281">
        <f t="shared" si="0"/>
        <v>561.61393750000002</v>
      </c>
      <c r="I8" s="281">
        <f t="shared" si="0"/>
        <v>578.46235562499999</v>
      </c>
      <c r="J8" s="281">
        <f t="shared" si="0"/>
        <v>595.81622629374999</v>
      </c>
      <c r="K8" s="281">
        <f t="shared" si="0"/>
        <v>613.69071308256252</v>
      </c>
      <c r="L8" s="281">
        <f t="shared" si="0"/>
        <v>632.10143447503947</v>
      </c>
      <c r="M8" s="281">
        <f t="shared" si="0"/>
        <v>651.06447750929067</v>
      </c>
      <c r="N8" s="281">
        <f t="shared" si="0"/>
        <v>670.59641183456938</v>
      </c>
      <c r="O8" s="281">
        <f t="shared" si="0"/>
        <v>690.71430418960642</v>
      </c>
      <c r="P8" s="281">
        <f t="shared" si="0"/>
        <v>711.43573331529467</v>
      </c>
      <c r="Q8" s="281">
        <f t="shared" si="0"/>
        <v>732.77880531475353</v>
      </c>
      <c r="R8" s="281">
        <f t="shared" si="0"/>
        <v>754.76216947419618</v>
      </c>
      <c r="S8" s="281">
        <f t="shared" si="0"/>
        <v>777.40503455842213</v>
      </c>
      <c r="T8" s="281">
        <f t="shared" si="0"/>
        <v>800.72718559517477</v>
      </c>
      <c r="U8" s="281">
        <f t="shared" si="0"/>
        <v>824.74900116303002</v>
      </c>
      <c r="V8" s="281">
        <f t="shared" si="0"/>
        <v>849.49147119792099</v>
      </c>
      <c r="W8" s="281">
        <f t="shared" si="0"/>
        <v>874.97621533385859</v>
      </c>
      <c r="X8" s="281">
        <f t="shared" si="0"/>
        <v>901.2255017938744</v>
      </c>
      <c r="Y8" s="281">
        <f t="shared" si="0"/>
        <v>928.26226684769063</v>
      </c>
      <c r="Z8" s="281">
        <f t="shared" si="0"/>
        <v>956.11013485312139</v>
      </c>
      <c r="AA8" s="281">
        <f t="shared" si="0"/>
        <v>984.79343889871507</v>
      </c>
      <c r="AB8" s="281">
        <f t="shared" si="0"/>
        <v>1014.3372420656765</v>
      </c>
      <c r="AC8" s="281">
        <f t="shared" si="0"/>
        <v>1044.7673593276468</v>
      </c>
      <c r="AD8" s="281">
        <f t="shared" si="0"/>
        <v>1076.1103801074762</v>
      </c>
      <c r="AE8" s="281">
        <f t="shared" si="0"/>
        <v>1108.3936915107006</v>
      </c>
      <c r="AF8" s="281">
        <f t="shared" si="0"/>
        <v>1141.6455022560217</v>
      </c>
      <c r="AG8" s="281">
        <f t="shared" si="0"/>
        <v>1175.8948673237023</v>
      </c>
      <c r="AH8" s="281">
        <f t="shared" si="0"/>
        <v>1211.1717133434133</v>
      </c>
      <c r="AI8" s="281">
        <f t="shared" si="0"/>
        <v>1247.5068647437158</v>
      </c>
      <c r="AJ8" s="281">
        <f t="shared" si="0"/>
        <v>1284.9320706860274</v>
      </c>
      <c r="AK8" s="281">
        <f t="shared" si="0"/>
        <v>1323.4800328066083</v>
      </c>
      <c r="AL8" s="281">
        <f t="shared" si="0"/>
        <v>1363.1844337908065</v>
      </c>
      <c r="AM8" s="281">
        <f t="shared" si="0"/>
        <v>1404.0799668045306</v>
      </c>
      <c r="AN8" s="281">
        <f t="shared" si="0"/>
        <v>1446.2023658086666</v>
      </c>
      <c r="AO8" s="281">
        <f t="shared" si="0"/>
        <v>1489.5884367829267</v>
      </c>
      <c r="AP8" s="281">
        <f t="shared" si="0"/>
        <v>1534.2760898864146</v>
      </c>
      <c r="AQ8" s="281">
        <f t="shared" si="0"/>
        <v>1580.3043725830071</v>
      </c>
      <c r="AR8" s="281">
        <f t="shared" si="0"/>
        <v>1627.7135037604974</v>
      </c>
      <c r="AS8" s="281">
        <f t="shared" si="0"/>
        <v>1676.5449088733124</v>
      </c>
      <c r="AT8" s="281">
        <f t="shared" si="0"/>
        <v>1726.8412561395119</v>
      </c>
      <c r="AU8" s="281">
        <f t="shared" si="0"/>
        <v>1778.6464938236973</v>
      </c>
      <c r="AV8" s="281">
        <f t="shared" si="0"/>
        <v>1832.0058886384081</v>
      </c>
      <c r="AW8" s="281">
        <f t="shared" si="0"/>
        <v>1886.9660652975604</v>
      </c>
      <c r="AX8" s="281">
        <f t="shared" si="0"/>
        <v>1943.5750472564873</v>
      </c>
      <c r="AY8" s="281">
        <f t="shared" si="0"/>
        <v>2001.882298674182</v>
      </c>
      <c r="AZ8" s="281">
        <f t="shared" si="0"/>
        <v>2061.9387676344077</v>
      </c>
      <c r="BA8" s="282">
        <f t="shared" si="0"/>
        <v>2123.79693066344</v>
      </c>
    </row>
    <row r="9" spans="1:53">
      <c r="A9"/>
      <c r="B9" s="479" t="s">
        <v>99</v>
      </c>
      <c r="C9" s="480"/>
      <c r="D9" s="35"/>
      <c r="E9" s="289">
        <v>0</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529.375</v>
      </c>
      <c r="E10" s="10">
        <f>E8*(1+E9)</f>
        <v>529.375</v>
      </c>
      <c r="F10" s="10">
        <f t="shared" ref="F10:BA10" si="1">F8*(1+F9)</f>
        <v>545.25625000000002</v>
      </c>
      <c r="G10" s="10">
        <f t="shared" si="1"/>
        <v>561.61393750000002</v>
      </c>
      <c r="H10" s="10">
        <f t="shared" si="1"/>
        <v>578.46235562499999</v>
      </c>
      <c r="I10" s="10">
        <f t="shared" si="1"/>
        <v>595.81622629374999</v>
      </c>
      <c r="J10" s="10">
        <f t="shared" si="1"/>
        <v>613.69071308256252</v>
      </c>
      <c r="K10" s="10">
        <f t="shared" si="1"/>
        <v>632.10143447503947</v>
      </c>
      <c r="L10" s="10">
        <f t="shared" si="1"/>
        <v>651.06447750929067</v>
      </c>
      <c r="M10" s="10">
        <f t="shared" si="1"/>
        <v>670.59641183456938</v>
      </c>
      <c r="N10" s="10">
        <f t="shared" si="1"/>
        <v>690.71430418960642</v>
      </c>
      <c r="O10" s="10">
        <f t="shared" si="1"/>
        <v>711.43573331529467</v>
      </c>
      <c r="P10" s="10">
        <f t="shared" si="1"/>
        <v>732.77880531475353</v>
      </c>
      <c r="Q10" s="10">
        <f t="shared" si="1"/>
        <v>754.76216947419618</v>
      </c>
      <c r="R10" s="10">
        <f t="shared" si="1"/>
        <v>777.40503455842213</v>
      </c>
      <c r="S10" s="10">
        <f t="shared" si="1"/>
        <v>800.72718559517477</v>
      </c>
      <c r="T10" s="10">
        <f t="shared" si="1"/>
        <v>824.74900116303002</v>
      </c>
      <c r="U10" s="10">
        <f t="shared" si="1"/>
        <v>849.49147119792099</v>
      </c>
      <c r="V10" s="10">
        <f t="shared" si="1"/>
        <v>874.97621533385859</v>
      </c>
      <c r="W10" s="10">
        <f t="shared" si="1"/>
        <v>901.2255017938744</v>
      </c>
      <c r="X10" s="10">
        <f t="shared" si="1"/>
        <v>928.26226684769063</v>
      </c>
      <c r="Y10" s="10">
        <f t="shared" si="1"/>
        <v>956.11013485312139</v>
      </c>
      <c r="Z10" s="10">
        <f t="shared" si="1"/>
        <v>984.79343889871507</v>
      </c>
      <c r="AA10" s="10">
        <f t="shared" si="1"/>
        <v>1014.3372420656765</v>
      </c>
      <c r="AB10" s="10">
        <f t="shared" si="1"/>
        <v>1044.7673593276468</v>
      </c>
      <c r="AC10" s="10">
        <f t="shared" si="1"/>
        <v>1076.1103801074762</v>
      </c>
      <c r="AD10" s="10">
        <f t="shared" si="1"/>
        <v>1108.3936915107006</v>
      </c>
      <c r="AE10" s="10">
        <f t="shared" si="1"/>
        <v>1141.6455022560217</v>
      </c>
      <c r="AF10" s="10">
        <f t="shared" si="1"/>
        <v>1175.8948673237023</v>
      </c>
      <c r="AG10" s="10">
        <f t="shared" si="1"/>
        <v>1211.1717133434133</v>
      </c>
      <c r="AH10" s="10">
        <f t="shared" si="1"/>
        <v>1247.5068647437158</v>
      </c>
      <c r="AI10" s="10">
        <f t="shared" si="1"/>
        <v>1284.9320706860274</v>
      </c>
      <c r="AJ10" s="10">
        <f t="shared" si="1"/>
        <v>1323.4800328066083</v>
      </c>
      <c r="AK10" s="10">
        <f t="shared" si="1"/>
        <v>1363.1844337908065</v>
      </c>
      <c r="AL10" s="10">
        <f t="shared" si="1"/>
        <v>1404.0799668045306</v>
      </c>
      <c r="AM10" s="10">
        <f t="shared" si="1"/>
        <v>1446.2023658086666</v>
      </c>
      <c r="AN10" s="10">
        <f t="shared" si="1"/>
        <v>1489.5884367829267</v>
      </c>
      <c r="AO10" s="10">
        <f t="shared" si="1"/>
        <v>1534.2760898864146</v>
      </c>
      <c r="AP10" s="10">
        <f t="shared" si="1"/>
        <v>1580.3043725830071</v>
      </c>
      <c r="AQ10" s="10">
        <f t="shared" si="1"/>
        <v>1627.7135037604974</v>
      </c>
      <c r="AR10" s="10">
        <f t="shared" si="1"/>
        <v>1676.5449088733124</v>
      </c>
      <c r="AS10" s="10">
        <f t="shared" si="1"/>
        <v>1726.8412561395119</v>
      </c>
      <c r="AT10" s="10">
        <f t="shared" si="1"/>
        <v>1778.6464938236973</v>
      </c>
      <c r="AU10" s="10">
        <f t="shared" si="1"/>
        <v>1832.0058886384081</v>
      </c>
      <c r="AV10" s="10">
        <f t="shared" si="1"/>
        <v>1886.9660652975604</v>
      </c>
      <c r="AW10" s="10">
        <f t="shared" si="1"/>
        <v>1943.5750472564873</v>
      </c>
      <c r="AX10" s="10">
        <f t="shared" si="1"/>
        <v>2001.882298674182</v>
      </c>
      <c r="AY10" s="10">
        <f t="shared" si="1"/>
        <v>2061.9387676344077</v>
      </c>
      <c r="AZ10" s="10">
        <f t="shared" si="1"/>
        <v>2123.79693066344</v>
      </c>
      <c r="BA10" s="283">
        <f t="shared" si="1"/>
        <v>2187.5108385833432</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529.375</v>
      </c>
      <c r="E12" s="10">
        <f>IF('MFH-Kalkulator'!$C$6="Ein",'Miete, Cashflow, Steuern'!E11,'Miete, Cashflow, Steuern'!E10)</f>
        <v>529.375</v>
      </c>
      <c r="F12" s="10">
        <f>IF('MFH-Kalkulator'!$C$6="Ein",'Miete, Cashflow, Steuern'!F11,'Miete, Cashflow, Steuern'!F10)</f>
        <v>545.25625000000002</v>
      </c>
      <c r="G12" s="10">
        <f>IF('MFH-Kalkulator'!$C$6="Ein",'Miete, Cashflow, Steuern'!G11,'Miete, Cashflow, Steuern'!G10)</f>
        <v>561.61393750000002</v>
      </c>
      <c r="H12" s="10">
        <f>IF('MFH-Kalkulator'!$C$6="Ein",'Miete, Cashflow, Steuern'!H11,'Miete, Cashflow, Steuern'!H10)</f>
        <v>578.46235562499999</v>
      </c>
      <c r="I12" s="10">
        <f>IF('MFH-Kalkulator'!$C$6="Ein",'Miete, Cashflow, Steuern'!I11,'Miete, Cashflow, Steuern'!I10)</f>
        <v>595.81622629374999</v>
      </c>
      <c r="J12" s="10">
        <f>IF('MFH-Kalkulator'!$C$6="Ein",'Miete, Cashflow, Steuern'!J11,'Miete, Cashflow, Steuern'!J10)</f>
        <v>613.69071308256252</v>
      </c>
      <c r="K12" s="10">
        <f>IF('MFH-Kalkulator'!$C$6="Ein",'Miete, Cashflow, Steuern'!K11,'Miete, Cashflow, Steuern'!K10)</f>
        <v>632.10143447503947</v>
      </c>
      <c r="L12" s="10">
        <f>IF('MFH-Kalkulator'!$C$6="Ein",'Miete, Cashflow, Steuern'!L11,'Miete, Cashflow, Steuern'!L10)</f>
        <v>651.06447750929067</v>
      </c>
      <c r="M12" s="10">
        <f>IF('MFH-Kalkulator'!$C$6="Ein",'Miete, Cashflow, Steuern'!M11,'Miete, Cashflow, Steuern'!M10)</f>
        <v>670.59641183456938</v>
      </c>
      <c r="N12" s="10">
        <f>IF('MFH-Kalkulator'!$C$6="Ein",'Miete, Cashflow, Steuern'!N11,'Miete, Cashflow, Steuern'!N10)</f>
        <v>690.71430418960642</v>
      </c>
      <c r="O12" s="10">
        <f>IF('MFH-Kalkulator'!$C$6="Ein",'Miete, Cashflow, Steuern'!O11,'Miete, Cashflow, Steuern'!O10)</f>
        <v>711.43573331529467</v>
      </c>
      <c r="P12" s="10">
        <f>IF('MFH-Kalkulator'!$C$6="Ein",'Miete, Cashflow, Steuern'!P11,'Miete, Cashflow, Steuern'!P10)</f>
        <v>732.77880531475353</v>
      </c>
      <c r="Q12" s="10">
        <f>IF('MFH-Kalkulator'!$C$6="Ein",'Miete, Cashflow, Steuern'!Q11,'Miete, Cashflow, Steuern'!Q10)</f>
        <v>754.76216947419618</v>
      </c>
      <c r="R12" s="10">
        <f>IF('MFH-Kalkulator'!$C$6="Ein",'Miete, Cashflow, Steuern'!R11,'Miete, Cashflow, Steuern'!R10)</f>
        <v>777.40503455842213</v>
      </c>
      <c r="S12" s="10">
        <f>IF('MFH-Kalkulator'!$C$6="Ein",'Miete, Cashflow, Steuern'!S11,'Miete, Cashflow, Steuern'!S10)</f>
        <v>800.72718559517477</v>
      </c>
      <c r="T12" s="10">
        <f>IF('MFH-Kalkulator'!$C$6="Ein",'Miete, Cashflow, Steuern'!T11,'Miete, Cashflow, Steuern'!T10)</f>
        <v>824.74900116303002</v>
      </c>
      <c r="U12" s="10">
        <f>IF('MFH-Kalkulator'!$C$6="Ein",'Miete, Cashflow, Steuern'!U11,'Miete, Cashflow, Steuern'!U10)</f>
        <v>849.49147119792099</v>
      </c>
      <c r="V12" s="10">
        <f>IF('MFH-Kalkulator'!$C$6="Ein",'Miete, Cashflow, Steuern'!V11,'Miete, Cashflow, Steuern'!V10)</f>
        <v>874.97621533385859</v>
      </c>
      <c r="W12" s="10">
        <f>IF('MFH-Kalkulator'!$C$6="Ein",'Miete, Cashflow, Steuern'!W11,'Miete, Cashflow, Steuern'!W10)</f>
        <v>901.2255017938744</v>
      </c>
      <c r="X12" s="10">
        <f>IF('MFH-Kalkulator'!$C$6="Ein",'Miete, Cashflow, Steuern'!X11,'Miete, Cashflow, Steuern'!X10)</f>
        <v>928.26226684769063</v>
      </c>
      <c r="Y12" s="10">
        <f>IF('MFH-Kalkulator'!$C$6="Ein",'Miete, Cashflow, Steuern'!Y11,'Miete, Cashflow, Steuern'!Y10)</f>
        <v>956.11013485312139</v>
      </c>
      <c r="Z12" s="10">
        <f>IF('MFH-Kalkulator'!$C$6="Ein",'Miete, Cashflow, Steuern'!Z11,'Miete, Cashflow, Steuern'!Z10)</f>
        <v>984.79343889871507</v>
      </c>
      <c r="AA12" s="10">
        <f>IF('MFH-Kalkulator'!$C$6="Ein",'Miete, Cashflow, Steuern'!AA11,'Miete, Cashflow, Steuern'!AA10)</f>
        <v>1014.3372420656765</v>
      </c>
      <c r="AB12" s="10">
        <f>IF('MFH-Kalkulator'!$C$6="Ein",'Miete, Cashflow, Steuern'!AB11,'Miete, Cashflow, Steuern'!AB10)</f>
        <v>1044.7673593276468</v>
      </c>
      <c r="AC12" s="10">
        <f>IF('MFH-Kalkulator'!$C$6="Ein",'Miete, Cashflow, Steuern'!AC11,'Miete, Cashflow, Steuern'!AC10)</f>
        <v>1076.1103801074762</v>
      </c>
      <c r="AD12" s="10">
        <f>IF('MFH-Kalkulator'!$C$6="Ein",'Miete, Cashflow, Steuern'!AD11,'Miete, Cashflow, Steuern'!AD10)</f>
        <v>1108.3936915107006</v>
      </c>
      <c r="AE12" s="10">
        <f>IF('MFH-Kalkulator'!$C$6="Ein",'Miete, Cashflow, Steuern'!AE11,'Miete, Cashflow, Steuern'!AE10)</f>
        <v>1141.6455022560217</v>
      </c>
      <c r="AF12" s="10">
        <f>IF('MFH-Kalkulator'!$C$6="Ein",'Miete, Cashflow, Steuern'!AF11,'Miete, Cashflow, Steuern'!AF10)</f>
        <v>1175.8948673237023</v>
      </c>
      <c r="AG12" s="10">
        <f>IF('MFH-Kalkulator'!$C$6="Ein",'Miete, Cashflow, Steuern'!AG11,'Miete, Cashflow, Steuern'!AG10)</f>
        <v>1211.1717133434133</v>
      </c>
      <c r="AH12" s="10">
        <f>IF('MFH-Kalkulator'!$C$6="Ein",'Miete, Cashflow, Steuern'!AH11,'Miete, Cashflow, Steuern'!AH10)</f>
        <v>1247.5068647437158</v>
      </c>
      <c r="AI12" s="10">
        <f>IF('MFH-Kalkulator'!$C$6="Ein",'Miete, Cashflow, Steuern'!AI11,'Miete, Cashflow, Steuern'!AI10)</f>
        <v>1284.9320706860274</v>
      </c>
      <c r="AJ12" s="10">
        <f>IF('MFH-Kalkulator'!$C$6="Ein",'Miete, Cashflow, Steuern'!AJ11,'Miete, Cashflow, Steuern'!AJ10)</f>
        <v>1323.4800328066083</v>
      </c>
      <c r="AK12" s="10">
        <f>IF('MFH-Kalkulator'!$C$6="Ein",'Miete, Cashflow, Steuern'!AK11,'Miete, Cashflow, Steuern'!AK10)</f>
        <v>1363.1844337908065</v>
      </c>
      <c r="AL12" s="10">
        <f>IF('MFH-Kalkulator'!$C$6="Ein",'Miete, Cashflow, Steuern'!AL11,'Miete, Cashflow, Steuern'!AL10)</f>
        <v>1404.0799668045306</v>
      </c>
      <c r="AM12" s="10">
        <f>IF('MFH-Kalkulator'!$C$6="Ein",'Miete, Cashflow, Steuern'!AM11,'Miete, Cashflow, Steuern'!AM10)</f>
        <v>1446.2023658086666</v>
      </c>
      <c r="AN12" s="10">
        <f>IF('MFH-Kalkulator'!$C$6="Ein",'Miete, Cashflow, Steuern'!AN11,'Miete, Cashflow, Steuern'!AN10)</f>
        <v>1489.5884367829267</v>
      </c>
      <c r="AO12" s="10">
        <f>IF('MFH-Kalkulator'!$C$6="Ein",'Miete, Cashflow, Steuern'!AO11,'Miete, Cashflow, Steuern'!AO10)</f>
        <v>1534.2760898864146</v>
      </c>
      <c r="AP12" s="10">
        <f>IF('MFH-Kalkulator'!$C$6="Ein",'Miete, Cashflow, Steuern'!AP11,'Miete, Cashflow, Steuern'!AP10)</f>
        <v>1580.3043725830071</v>
      </c>
      <c r="AQ12" s="10">
        <f>IF('MFH-Kalkulator'!$C$6="Ein",'Miete, Cashflow, Steuern'!AQ11,'Miete, Cashflow, Steuern'!AQ10)</f>
        <v>1627.7135037604974</v>
      </c>
      <c r="AR12" s="10">
        <f>IF('MFH-Kalkulator'!$C$6="Ein",'Miete, Cashflow, Steuern'!AR11,'Miete, Cashflow, Steuern'!AR10)</f>
        <v>1676.5449088733124</v>
      </c>
      <c r="AS12" s="10">
        <f>IF('MFH-Kalkulator'!$C$6="Ein",'Miete, Cashflow, Steuern'!AS11,'Miete, Cashflow, Steuern'!AS10)</f>
        <v>1726.8412561395119</v>
      </c>
      <c r="AT12" s="10">
        <f>IF('MFH-Kalkulator'!$C$6="Ein",'Miete, Cashflow, Steuern'!AT11,'Miete, Cashflow, Steuern'!AT10)</f>
        <v>1778.6464938236973</v>
      </c>
      <c r="AU12" s="10">
        <f>IF('MFH-Kalkulator'!$C$6="Ein",'Miete, Cashflow, Steuern'!AU11,'Miete, Cashflow, Steuern'!AU10)</f>
        <v>1832.0058886384081</v>
      </c>
      <c r="AV12" s="10">
        <f>IF('MFH-Kalkulator'!$C$6="Ein",'Miete, Cashflow, Steuern'!AV11,'Miete, Cashflow, Steuern'!AV10)</f>
        <v>1886.9660652975604</v>
      </c>
      <c r="AW12" s="10">
        <f>IF('MFH-Kalkulator'!$C$6="Ein",'Miete, Cashflow, Steuern'!AW11,'Miete, Cashflow, Steuern'!AW10)</f>
        <v>1943.5750472564873</v>
      </c>
      <c r="AX12" s="10">
        <f>IF('MFH-Kalkulator'!$C$6="Ein",'Miete, Cashflow, Steuern'!AX11,'Miete, Cashflow, Steuern'!AX10)</f>
        <v>2001.882298674182</v>
      </c>
      <c r="AY12" s="10">
        <f>IF('MFH-Kalkulator'!$C$6="Ein",'Miete, Cashflow, Steuern'!AY11,'Miete, Cashflow, Steuern'!AY10)</f>
        <v>2061.9387676344077</v>
      </c>
      <c r="AZ12" s="10">
        <f>IF('MFH-Kalkulator'!$C$6="Ein",'Miete, Cashflow, Steuern'!AZ11,'Miete, Cashflow, Steuern'!AZ10)</f>
        <v>2123.79693066344</v>
      </c>
      <c r="BA12" s="283">
        <f>IF('MFH-Kalkulator'!$C$6="Ein",'Miete, Cashflow, Steuern'!BA11,'Miete, Cashflow, Steuern'!BA10)</f>
        <v>2187.5108385833432</v>
      </c>
    </row>
    <row r="13" spans="1:53">
      <c r="B13" s="479" t="s">
        <v>245</v>
      </c>
      <c r="C13" s="480"/>
      <c r="D13" s="10">
        <f>Cockpit!K9</f>
        <v>111</v>
      </c>
      <c r="E13" s="10">
        <f>D13*(1+Cockpit!$H$30)</f>
        <v>113.22</v>
      </c>
      <c r="F13" s="10">
        <f>E13*(1+Cockpit!$H$30)</f>
        <v>115.48440000000001</v>
      </c>
      <c r="G13" s="10">
        <f>F13*(1+Cockpit!$H$30)</f>
        <v>117.79408800000002</v>
      </c>
      <c r="H13" s="10">
        <f>G13*(1+Cockpit!$H$30)</f>
        <v>120.14996976000002</v>
      </c>
      <c r="I13" s="10">
        <f>H13*(1+Cockpit!$H$30)</f>
        <v>122.55296915520002</v>
      </c>
      <c r="J13" s="10">
        <f>I13*(1+Cockpit!$H$30)</f>
        <v>125.00402853830401</v>
      </c>
      <c r="K13" s="10">
        <f>J13*(1+Cockpit!$H$30)</f>
        <v>127.5041091090701</v>
      </c>
      <c r="L13" s="10">
        <f>K13*(1+Cockpit!$H$30)</f>
        <v>130.0541912912515</v>
      </c>
      <c r="M13" s="10">
        <f>L13*(1+Cockpit!$H$30)</f>
        <v>132.65527511707654</v>
      </c>
      <c r="N13" s="10">
        <f>M13*(1+Cockpit!$H$30)</f>
        <v>135.30838061941807</v>
      </c>
      <c r="O13" s="10">
        <f>N13*(1+Cockpit!$H$30)</f>
        <v>138.01454823180643</v>
      </c>
      <c r="P13" s="10">
        <f>O13*(1+Cockpit!$H$30)</f>
        <v>140.77483919644257</v>
      </c>
      <c r="Q13" s="10">
        <f>P13*(1+Cockpit!$H$30)</f>
        <v>143.59033598037144</v>
      </c>
      <c r="R13" s="10">
        <f>Q13*(1+Cockpit!$H$30)</f>
        <v>146.46214269997887</v>
      </c>
      <c r="S13" s="10">
        <f>R13*(1+Cockpit!$H$30)</f>
        <v>149.39138555397844</v>
      </c>
      <c r="T13" s="10">
        <f>S13*(1+Cockpit!$H$30)</f>
        <v>152.37921326505801</v>
      </c>
      <c r="U13" s="10">
        <f>T13*(1+Cockpit!$H$30)</f>
        <v>155.42679753035918</v>
      </c>
      <c r="V13" s="10">
        <f>U13*(1+Cockpit!$H$30)</f>
        <v>158.53533348096636</v>
      </c>
      <c r="W13" s="10">
        <f>V13*(1+Cockpit!$H$30)</f>
        <v>161.70604015058569</v>
      </c>
      <c r="X13" s="10">
        <f>W13*(1+Cockpit!$H$30)</f>
        <v>164.9401609535974</v>
      </c>
      <c r="Y13" s="10">
        <f>X13*(1+Cockpit!$H$30)</f>
        <v>168.23896417266934</v>
      </c>
      <c r="Z13" s="10">
        <f>Y13*(1+Cockpit!$H$30)</f>
        <v>171.60374345612274</v>
      </c>
      <c r="AA13" s="10">
        <f>Z13*(1+Cockpit!$H$30)</f>
        <v>175.0358183252452</v>
      </c>
      <c r="AB13" s="10">
        <f>AA13*(1+Cockpit!$H$30)</f>
        <v>178.53653469175012</v>
      </c>
      <c r="AC13" s="10">
        <f>AB13*(1+Cockpit!$H$30)</f>
        <v>182.10726538558512</v>
      </c>
      <c r="AD13" s="10">
        <f>AC13*(1+Cockpit!$H$30)</f>
        <v>185.74941069329682</v>
      </c>
      <c r="AE13" s="10">
        <f>AD13*(1+Cockpit!$H$30)</f>
        <v>189.46439890716277</v>
      </c>
      <c r="AF13" s="10">
        <f>AE13*(1+Cockpit!$H$30)</f>
        <v>193.25368688530602</v>
      </c>
      <c r="AG13" s="10">
        <f>AF13*(1+Cockpit!$H$30)</f>
        <v>197.11876062301215</v>
      </c>
      <c r="AH13" s="10">
        <f>AG13*(1+Cockpit!$H$30)</f>
        <v>201.06113583547238</v>
      </c>
      <c r="AI13" s="10">
        <f>AH13*(1+Cockpit!$H$30)</f>
        <v>205.08235855218183</v>
      </c>
      <c r="AJ13" s="10">
        <f>AI13*(1+Cockpit!$H$30)</f>
        <v>209.18400572322548</v>
      </c>
      <c r="AK13" s="10">
        <f>AJ13*(1+Cockpit!$H$30)</f>
        <v>213.36768583769</v>
      </c>
      <c r="AL13" s="10">
        <f>AK13*(1+Cockpit!$H$30)</f>
        <v>217.63503955444381</v>
      </c>
      <c r="AM13" s="10">
        <f>AL13*(1+Cockpit!$H$30)</f>
        <v>221.9877403455327</v>
      </c>
      <c r="AN13" s="10">
        <f>AM13*(1+Cockpit!$H$30)</f>
        <v>226.42749515244336</v>
      </c>
      <c r="AO13" s="10">
        <f>AN13*(1+Cockpit!$H$30)</f>
        <v>230.95604505549224</v>
      </c>
      <c r="AP13" s="10">
        <f>AO13*(1+Cockpit!$H$30)</f>
        <v>235.57516595660209</v>
      </c>
      <c r="AQ13" s="10">
        <f>AP13*(1+Cockpit!$H$30)</f>
        <v>240.28666927573414</v>
      </c>
      <c r="AR13" s="10">
        <f>AQ13*(1+Cockpit!$H$30)</f>
        <v>245.09240266124883</v>
      </c>
      <c r="AS13" s="10">
        <f>AR13*(1+Cockpit!$H$30)</f>
        <v>249.99425071447379</v>
      </c>
      <c r="AT13" s="10">
        <f>AS13*(1+Cockpit!$H$30)</f>
        <v>254.99413572876327</v>
      </c>
      <c r="AU13" s="10">
        <f>AT13*(1+Cockpit!$H$30)</f>
        <v>260.09401844333854</v>
      </c>
      <c r="AV13" s="10">
        <f>AU13*(1+Cockpit!$H$30)</f>
        <v>265.29589881220534</v>
      </c>
      <c r="AW13" s="10">
        <f>AV13*(1+Cockpit!$H$30)</f>
        <v>270.60181678844947</v>
      </c>
      <c r="AX13" s="10">
        <f>AW13*(1+Cockpit!$H$30)</f>
        <v>276.01385312421849</v>
      </c>
      <c r="AY13" s="10">
        <f>AX13*(1+Cockpit!$H$30)</f>
        <v>281.53413018670284</v>
      </c>
      <c r="AZ13" s="10">
        <f>AY13*(1+Cockpit!$H$30)</f>
        <v>287.16481279043688</v>
      </c>
      <c r="BA13" s="283">
        <f>AZ13*(1+Cockpit!$H$30)</f>
        <v>292.90810904624561</v>
      </c>
    </row>
    <row r="14" spans="1:53" ht="14.95" thickBot="1">
      <c r="B14" s="481" t="s">
        <v>470</v>
      </c>
      <c r="C14" s="482"/>
      <c r="D14" s="284">
        <f t="shared" ref="D14:AI14" si="2">D12+D13</f>
        <v>640.375</v>
      </c>
      <c r="E14" s="284">
        <f t="shared" si="2"/>
        <v>642.59500000000003</v>
      </c>
      <c r="F14" s="284">
        <f t="shared" si="2"/>
        <v>660.74065000000007</v>
      </c>
      <c r="G14" s="284">
        <f t="shared" si="2"/>
        <v>679.40802550000001</v>
      </c>
      <c r="H14" s="284">
        <f t="shared" si="2"/>
        <v>698.61232538499996</v>
      </c>
      <c r="I14" s="284">
        <f t="shared" si="2"/>
        <v>718.36919544894999</v>
      </c>
      <c r="J14" s="284">
        <f t="shared" si="2"/>
        <v>738.69474162086658</v>
      </c>
      <c r="K14" s="284">
        <f t="shared" si="2"/>
        <v>759.60554358410957</v>
      </c>
      <c r="L14" s="284">
        <f t="shared" si="2"/>
        <v>781.1186688005422</v>
      </c>
      <c r="M14" s="284">
        <f t="shared" si="2"/>
        <v>803.25168695164598</v>
      </c>
      <c r="N14" s="284">
        <f t="shared" si="2"/>
        <v>826.02268480902444</v>
      </c>
      <c r="O14" s="284">
        <f t="shared" si="2"/>
        <v>849.4502815471011</v>
      </c>
      <c r="P14" s="284">
        <f t="shared" si="2"/>
        <v>873.55364451119613</v>
      </c>
      <c r="Q14" s="284">
        <f t="shared" si="2"/>
        <v>898.35250545456756</v>
      </c>
      <c r="R14" s="284">
        <f t="shared" si="2"/>
        <v>923.86717725840094</v>
      </c>
      <c r="S14" s="284">
        <f t="shared" si="2"/>
        <v>950.11857114915324</v>
      </c>
      <c r="T14" s="284">
        <f t="shared" si="2"/>
        <v>977.12821442808809</v>
      </c>
      <c r="U14" s="284">
        <f t="shared" si="2"/>
        <v>1004.9182687282802</v>
      </c>
      <c r="V14" s="284">
        <f t="shared" si="2"/>
        <v>1033.5115488148249</v>
      </c>
      <c r="W14" s="284">
        <f t="shared" si="2"/>
        <v>1062.9315419444602</v>
      </c>
      <c r="X14" s="284">
        <f t="shared" si="2"/>
        <v>1093.202427801288</v>
      </c>
      <c r="Y14" s="284">
        <f t="shared" si="2"/>
        <v>1124.3490990257908</v>
      </c>
      <c r="Z14" s="284">
        <f t="shared" si="2"/>
        <v>1156.3971823548377</v>
      </c>
      <c r="AA14" s="284">
        <f t="shared" si="2"/>
        <v>1189.3730603909216</v>
      </c>
      <c r="AB14" s="284">
        <f t="shared" si="2"/>
        <v>1223.3038940193969</v>
      </c>
      <c r="AC14" s="284">
        <f t="shared" si="2"/>
        <v>1258.2176454930614</v>
      </c>
      <c r="AD14" s="284">
        <f t="shared" si="2"/>
        <v>1294.1431022039974</v>
      </c>
      <c r="AE14" s="284">
        <f t="shared" si="2"/>
        <v>1331.1099011631845</v>
      </c>
      <c r="AF14" s="284">
        <f t="shared" si="2"/>
        <v>1369.1485542090084</v>
      </c>
      <c r="AG14" s="284">
        <f t="shared" si="2"/>
        <v>1408.2904739664255</v>
      </c>
      <c r="AH14" s="284">
        <f t="shared" si="2"/>
        <v>1448.5680005791883</v>
      </c>
      <c r="AI14" s="284">
        <f t="shared" si="2"/>
        <v>1490.0144292382092</v>
      </c>
      <c r="AJ14" s="284">
        <f t="shared" ref="AJ14:BA14" si="3">AJ12+AJ13</f>
        <v>1532.6640385298338</v>
      </c>
      <c r="AK14" s="284">
        <f t="shared" si="3"/>
        <v>1576.5521196284965</v>
      </c>
      <c r="AL14" s="284">
        <f t="shared" si="3"/>
        <v>1621.7150063589745</v>
      </c>
      <c r="AM14" s="284">
        <f t="shared" si="3"/>
        <v>1668.1901061541994</v>
      </c>
      <c r="AN14" s="284">
        <f t="shared" si="3"/>
        <v>1716.01593193537</v>
      </c>
      <c r="AO14" s="284">
        <f t="shared" si="3"/>
        <v>1765.2321349419069</v>
      </c>
      <c r="AP14" s="284">
        <f t="shared" si="3"/>
        <v>1815.8795385396093</v>
      </c>
      <c r="AQ14" s="284">
        <f t="shared" si="3"/>
        <v>1868.0001730362314</v>
      </c>
      <c r="AR14" s="284">
        <f t="shared" si="3"/>
        <v>1921.6373115345611</v>
      </c>
      <c r="AS14" s="284">
        <f t="shared" si="3"/>
        <v>1976.8355068539856</v>
      </c>
      <c r="AT14" s="284">
        <f t="shared" si="3"/>
        <v>2033.6406295524605</v>
      </c>
      <c r="AU14" s="284">
        <f t="shared" si="3"/>
        <v>2092.0999070817466</v>
      </c>
      <c r="AV14" s="284">
        <f t="shared" si="3"/>
        <v>2152.2619641097658</v>
      </c>
      <c r="AW14" s="284">
        <f t="shared" si="3"/>
        <v>2214.1768640449368</v>
      </c>
      <c r="AX14" s="284">
        <f t="shared" si="3"/>
        <v>2277.8961517984008</v>
      </c>
      <c r="AY14" s="284">
        <f t="shared" si="3"/>
        <v>2343.4728978211106</v>
      </c>
      <c r="AZ14" s="284">
        <f t="shared" si="3"/>
        <v>2410.9617434538768</v>
      </c>
      <c r="BA14" s="285">
        <f t="shared" si="3"/>
        <v>2480.4189476295887</v>
      </c>
    </row>
    <row r="15" spans="1:53" ht="14.95" thickBot="1"/>
    <row r="16" spans="1:53" ht="14.95" thickBot="1"/>
    <row r="17" spans="1:53" ht="16.3" thickBot="1">
      <c r="A17"/>
      <c r="B17" s="273" t="s">
        <v>250</v>
      </c>
      <c r="C17" s="33"/>
      <c r="D17" s="34"/>
      <c r="I17" s="6"/>
      <c r="J17" s="6"/>
      <c r="K17" s="6"/>
      <c r="L17" s="6"/>
    </row>
    <row r="18" spans="1:53" ht="14.9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471</v>
      </c>
      <c r="C19" s="486"/>
      <c r="D19" s="281">
        <f t="shared" ref="D19:AI19" si="6">D14</f>
        <v>640.375</v>
      </c>
      <c r="E19" s="281">
        <f t="shared" si="6"/>
        <v>642.59500000000003</v>
      </c>
      <c r="F19" s="281">
        <f t="shared" si="6"/>
        <v>660.74065000000007</v>
      </c>
      <c r="G19" s="281">
        <f t="shared" si="6"/>
        <v>679.40802550000001</v>
      </c>
      <c r="H19" s="281">
        <f t="shared" si="6"/>
        <v>698.61232538499996</v>
      </c>
      <c r="I19" s="281">
        <f t="shared" si="6"/>
        <v>718.36919544894999</v>
      </c>
      <c r="J19" s="281">
        <f t="shared" si="6"/>
        <v>738.69474162086658</v>
      </c>
      <c r="K19" s="281">
        <f t="shared" si="6"/>
        <v>759.60554358410957</v>
      </c>
      <c r="L19" s="281">
        <f t="shared" si="6"/>
        <v>781.1186688005422</v>
      </c>
      <c r="M19" s="281">
        <f t="shared" si="6"/>
        <v>803.25168695164598</v>
      </c>
      <c r="N19" s="281">
        <f t="shared" si="6"/>
        <v>826.02268480902444</v>
      </c>
      <c r="O19" s="281">
        <f t="shared" si="6"/>
        <v>849.4502815471011</v>
      </c>
      <c r="P19" s="281">
        <f t="shared" si="6"/>
        <v>873.55364451119613</v>
      </c>
      <c r="Q19" s="281">
        <f t="shared" si="6"/>
        <v>898.35250545456756</v>
      </c>
      <c r="R19" s="281">
        <f t="shared" si="6"/>
        <v>923.86717725840094</v>
      </c>
      <c r="S19" s="281">
        <f t="shared" si="6"/>
        <v>950.11857114915324</v>
      </c>
      <c r="T19" s="281">
        <f t="shared" si="6"/>
        <v>977.12821442808809</v>
      </c>
      <c r="U19" s="281">
        <f t="shared" si="6"/>
        <v>1004.9182687282802</v>
      </c>
      <c r="V19" s="281">
        <f t="shared" si="6"/>
        <v>1033.5115488148249</v>
      </c>
      <c r="W19" s="281">
        <f t="shared" si="6"/>
        <v>1062.9315419444602</v>
      </c>
      <c r="X19" s="281">
        <f t="shared" si="6"/>
        <v>1093.202427801288</v>
      </c>
      <c r="Y19" s="281">
        <f t="shared" si="6"/>
        <v>1124.3490990257908</v>
      </c>
      <c r="Z19" s="281">
        <f t="shared" si="6"/>
        <v>1156.3971823548377</v>
      </c>
      <c r="AA19" s="281">
        <f t="shared" si="6"/>
        <v>1189.3730603909216</v>
      </c>
      <c r="AB19" s="281">
        <f t="shared" si="6"/>
        <v>1223.3038940193969</v>
      </c>
      <c r="AC19" s="281">
        <f t="shared" si="6"/>
        <v>1258.2176454930614</v>
      </c>
      <c r="AD19" s="281">
        <f t="shared" si="6"/>
        <v>1294.1431022039974</v>
      </c>
      <c r="AE19" s="281">
        <f t="shared" si="6"/>
        <v>1331.1099011631845</v>
      </c>
      <c r="AF19" s="281">
        <f t="shared" si="6"/>
        <v>1369.1485542090084</v>
      </c>
      <c r="AG19" s="281">
        <f t="shared" si="6"/>
        <v>1408.2904739664255</v>
      </c>
      <c r="AH19" s="281">
        <f t="shared" si="6"/>
        <v>1448.5680005791883</v>
      </c>
      <c r="AI19" s="281">
        <f t="shared" si="6"/>
        <v>1490.0144292382092</v>
      </c>
      <c r="AJ19" s="281">
        <f t="shared" ref="AJ19:BA19" si="7">AJ14</f>
        <v>1532.6640385298338</v>
      </c>
      <c r="AK19" s="281">
        <f t="shared" si="7"/>
        <v>1576.5521196284965</v>
      </c>
      <c r="AL19" s="281">
        <f t="shared" si="7"/>
        <v>1621.7150063589745</v>
      </c>
      <c r="AM19" s="281">
        <f t="shared" si="7"/>
        <v>1668.1901061541994</v>
      </c>
      <c r="AN19" s="281">
        <f t="shared" si="7"/>
        <v>1716.01593193537</v>
      </c>
      <c r="AO19" s="281">
        <f t="shared" si="7"/>
        <v>1765.2321349419069</v>
      </c>
      <c r="AP19" s="281">
        <f t="shared" si="7"/>
        <v>1815.8795385396093</v>
      </c>
      <c r="AQ19" s="281">
        <f t="shared" si="7"/>
        <v>1868.0001730362314</v>
      </c>
      <c r="AR19" s="281">
        <f t="shared" si="7"/>
        <v>1921.6373115345611</v>
      </c>
      <c r="AS19" s="281">
        <f t="shared" si="7"/>
        <v>1976.8355068539856</v>
      </c>
      <c r="AT19" s="281">
        <f t="shared" si="7"/>
        <v>2033.6406295524605</v>
      </c>
      <c r="AU19" s="281">
        <f t="shared" si="7"/>
        <v>2092.0999070817466</v>
      </c>
      <c r="AV19" s="281">
        <f t="shared" si="7"/>
        <v>2152.2619641097658</v>
      </c>
      <c r="AW19" s="281">
        <f t="shared" si="7"/>
        <v>2214.1768640449368</v>
      </c>
      <c r="AX19" s="281">
        <f t="shared" si="7"/>
        <v>2277.8961517984008</v>
      </c>
      <c r="AY19" s="281">
        <f t="shared" si="7"/>
        <v>2343.4728978211106</v>
      </c>
      <c r="AZ19" s="281">
        <f t="shared" si="7"/>
        <v>2410.9617434538768</v>
      </c>
      <c r="BA19" s="282">
        <f t="shared" si="7"/>
        <v>2480.4189476295887</v>
      </c>
    </row>
    <row r="20" spans="1:53">
      <c r="A20"/>
      <c r="B20" s="479" t="s">
        <v>247</v>
      </c>
      <c r="C20" s="480"/>
      <c r="D20" s="10">
        <f>-(Cockpit!K12-Cockpit!K27-Cockpit!K28)</f>
        <v>-156</v>
      </c>
      <c r="E20" s="10">
        <f>D20*(1+Cockpit!$H$30)</f>
        <v>-159.12</v>
      </c>
      <c r="F20" s="10">
        <f>E20*(1+Cockpit!$H$30)</f>
        <v>-162.30240000000001</v>
      </c>
      <c r="G20" s="10">
        <f>F20*(1+Cockpit!$H$30)</f>
        <v>-165.54844800000001</v>
      </c>
      <c r="H20" s="10">
        <f>G20*(1+Cockpit!$H$30)</f>
        <v>-168.85941696</v>
      </c>
      <c r="I20" s="10">
        <f>H20*(1+Cockpit!$H$30)</f>
        <v>-172.23660529919999</v>
      </c>
      <c r="J20" s="10">
        <f>I20*(1+Cockpit!$H$30)</f>
        <v>-175.681337405184</v>
      </c>
      <c r="K20" s="10">
        <f>J20*(1+Cockpit!$H$30)</f>
        <v>-179.19496415328769</v>
      </c>
      <c r="L20" s="10">
        <f>K20*(1+Cockpit!$H$30)</f>
        <v>-182.77886343635345</v>
      </c>
      <c r="M20" s="10">
        <f>L20*(1+Cockpit!$H$30)</f>
        <v>-186.43444070508053</v>
      </c>
      <c r="N20" s="10">
        <f>M20*(1+Cockpit!$H$30)</f>
        <v>-190.16312951918215</v>
      </c>
      <c r="O20" s="10">
        <f>N20*(1+Cockpit!$H$30)</f>
        <v>-193.96639210956579</v>
      </c>
      <c r="P20" s="10">
        <f>O20*(1+Cockpit!$H$30)</f>
        <v>-197.8457199517571</v>
      </c>
      <c r="Q20" s="10">
        <f>P20*(1+Cockpit!$H$30)</f>
        <v>-201.80263435079226</v>
      </c>
      <c r="R20" s="10">
        <f>Q20*(1+Cockpit!$H$30)</f>
        <v>-205.83868703780811</v>
      </c>
      <c r="S20" s="10">
        <f>R20*(1+Cockpit!$H$30)</f>
        <v>-209.95546077856429</v>
      </c>
      <c r="T20" s="10">
        <f>S20*(1+Cockpit!$H$30)</f>
        <v>-214.15456999413558</v>
      </c>
      <c r="U20" s="10">
        <f>T20*(1+Cockpit!$H$30)</f>
        <v>-218.43766139401831</v>
      </c>
      <c r="V20" s="10">
        <f>U20*(1+Cockpit!$H$30)</f>
        <v>-222.80641462189868</v>
      </c>
      <c r="W20" s="10">
        <f>V20*(1+Cockpit!$H$30)</f>
        <v>-227.26254291433665</v>
      </c>
      <c r="X20" s="10">
        <f>W20*(1+Cockpit!$H$30)</f>
        <v>-231.8077937726234</v>
      </c>
      <c r="Y20" s="10">
        <f>X20*(1+Cockpit!$H$30)</f>
        <v>-236.44394964807586</v>
      </c>
      <c r="Z20" s="10">
        <f>Y20*(1+Cockpit!$H$30)</f>
        <v>-241.17282864103737</v>
      </c>
      <c r="AA20" s="10">
        <f>Z20*(1+Cockpit!$H$30)</f>
        <v>-245.99628521385813</v>
      </c>
      <c r="AB20" s="10">
        <f>AA20*(1+Cockpit!$H$30)</f>
        <v>-250.91621091813531</v>
      </c>
      <c r="AC20" s="10">
        <f>AB20*(1+Cockpit!$H$30)</f>
        <v>-255.93453513649803</v>
      </c>
      <c r="AD20" s="10">
        <f>AC20*(1+Cockpit!$H$30)</f>
        <v>-261.05322583922799</v>
      </c>
      <c r="AE20" s="10">
        <f>AD20*(1+Cockpit!$H$30)</f>
        <v>-266.27429035601256</v>
      </c>
      <c r="AF20" s="10">
        <f>AE20*(1+Cockpit!$H$30)</f>
        <v>-271.59977616313279</v>
      </c>
      <c r="AG20" s="10">
        <f>AF20*(1+Cockpit!$H$30)</f>
        <v>-277.03177168639547</v>
      </c>
      <c r="AH20" s="10">
        <f>AG20*(1+Cockpit!$H$30)</f>
        <v>-282.57240712012339</v>
      </c>
      <c r="AI20" s="10">
        <f>AH20*(1+Cockpit!$H$30)</f>
        <v>-288.22385526252589</v>
      </c>
      <c r="AJ20" s="10">
        <f>AI20*(1+Cockpit!$H$30)</f>
        <v>-293.98833236777642</v>
      </c>
      <c r="AK20" s="10">
        <f>AJ20*(1+Cockpit!$H$30)</f>
        <v>-299.86809901513197</v>
      </c>
      <c r="AL20" s="10">
        <f>AK20*(1+Cockpit!$H$30)</f>
        <v>-305.8654609954346</v>
      </c>
      <c r="AM20" s="10">
        <f>AL20*(1+Cockpit!$H$30)</f>
        <v>-311.98277021534329</v>
      </c>
      <c r="AN20" s="10">
        <f>AM20*(1+Cockpit!$H$30)</f>
        <v>-318.22242561965015</v>
      </c>
      <c r="AO20" s="10">
        <f>AN20*(1+Cockpit!$H$30)</f>
        <v>-324.58687413204314</v>
      </c>
      <c r="AP20" s="10">
        <f>AO20*(1+Cockpit!$H$30)</f>
        <v>-331.07861161468401</v>
      </c>
      <c r="AQ20" s="10">
        <f>AP20*(1+Cockpit!$H$30)</f>
        <v>-337.70018384697767</v>
      </c>
      <c r="AR20" s="10">
        <f>AQ20*(1+Cockpit!$H$30)</f>
        <v>-344.4541875239172</v>
      </c>
      <c r="AS20" s="10">
        <f>AR20*(1+Cockpit!$H$30)</f>
        <v>-351.34327127439553</v>
      </c>
      <c r="AT20" s="10">
        <f>AS20*(1+Cockpit!$H$30)</f>
        <v>-358.37013669988346</v>
      </c>
      <c r="AU20" s="10">
        <f>AT20*(1+Cockpit!$H$30)</f>
        <v>-365.53753943388114</v>
      </c>
      <c r="AV20" s="10">
        <f>AU20*(1+Cockpit!$H$30)</f>
        <v>-372.84829022255877</v>
      </c>
      <c r="AW20" s="10">
        <f>AV20*(1+Cockpit!$H$30)</f>
        <v>-380.30525602700993</v>
      </c>
      <c r="AX20" s="10">
        <f>AW20*(1+Cockpit!$H$30)</f>
        <v>-387.91136114755011</v>
      </c>
      <c r="AY20" s="10">
        <f>AX20*(1+Cockpit!$H$30)</f>
        <v>-395.66958837050112</v>
      </c>
      <c r="AZ20" s="10">
        <f>AY20*(1+Cockpit!$H$30)</f>
        <v>-403.58298013791114</v>
      </c>
      <c r="BA20" s="283">
        <f>AZ20*(1+Cockpit!$H$30)</f>
        <v>-411.65463974066938</v>
      </c>
    </row>
    <row r="21" spans="1:53">
      <c r="A21"/>
      <c r="B21" s="479" t="s">
        <v>248</v>
      </c>
      <c r="C21" s="480"/>
      <c r="D21" s="10">
        <f>-Cockpit!K27</f>
        <v>-35.291666666666664</v>
      </c>
      <c r="E21" s="10">
        <f>D21*(1+Cockpit!$H$30)</f>
        <v>-35.997499999999995</v>
      </c>
      <c r="F21" s="10">
        <f>E21*(1+Cockpit!$H$30)</f>
        <v>-36.717449999999992</v>
      </c>
      <c r="G21" s="10">
        <f>F21*(1+Cockpit!$H$30)</f>
        <v>-37.451798999999994</v>
      </c>
      <c r="H21" s="10">
        <f>G21*(1+Cockpit!$H$30)</f>
        <v>-38.200834979999996</v>
      </c>
      <c r="I21" s="10">
        <f>H21*(1+Cockpit!$H$30)</f>
        <v>-38.964851679599995</v>
      </c>
      <c r="J21" s="10">
        <f>I21*(1+Cockpit!$H$30)</f>
        <v>-39.744148713191997</v>
      </c>
      <c r="K21" s="10">
        <f>J21*(1+Cockpit!$H$30)</f>
        <v>-40.539031687455839</v>
      </c>
      <c r="L21" s="10">
        <f>K21*(1+Cockpit!$H$30)</f>
        <v>-41.349812321204958</v>
      </c>
      <c r="M21" s="10">
        <f>L21*(1+Cockpit!$H$30)</f>
        <v>-42.17680856762906</v>
      </c>
      <c r="N21" s="10">
        <f>M21*(1+Cockpit!$H$30)</f>
        <v>-43.020344738981642</v>
      </c>
      <c r="O21" s="10">
        <f>N21*(1+Cockpit!$H$30)</f>
        <v>-43.880751633761278</v>
      </c>
      <c r="P21" s="10">
        <f>O21*(1+Cockpit!$H$30)</f>
        <v>-44.758366666436501</v>
      </c>
      <c r="Q21" s="10">
        <f>P21*(1+Cockpit!$H$30)</f>
        <v>-45.65353399976523</v>
      </c>
      <c r="R21" s="10">
        <f>Q21*(1+Cockpit!$H$30)</f>
        <v>-46.566604679760538</v>
      </c>
      <c r="S21" s="10">
        <f>R21*(1+Cockpit!$H$30)</f>
        <v>-47.497936773355747</v>
      </c>
      <c r="T21" s="10">
        <f>S21*(1+Cockpit!$H$30)</f>
        <v>-48.44789550882286</v>
      </c>
      <c r="U21" s="10">
        <f>T21*(1+Cockpit!$H$30)</f>
        <v>-49.416853418999317</v>
      </c>
      <c r="V21" s="10">
        <f>U21*(1+Cockpit!$H$30)</f>
        <v>-50.405190487379301</v>
      </c>
      <c r="W21" s="10">
        <f>V21*(1+Cockpit!$H$30)</f>
        <v>-51.413294297126889</v>
      </c>
      <c r="X21" s="10">
        <f>W21*(1+Cockpit!$H$30)</f>
        <v>-52.441560183069427</v>
      </c>
      <c r="Y21" s="10">
        <f>X21*(1+Cockpit!$H$30)</f>
        <v>-53.490391386730813</v>
      </c>
      <c r="Z21" s="10">
        <f>Y21*(1+Cockpit!$H$30)</f>
        <v>-54.560199214465428</v>
      </c>
      <c r="AA21" s="10">
        <f>Z21*(1+Cockpit!$H$30)</f>
        <v>-55.651403198754736</v>
      </c>
      <c r="AB21" s="10">
        <f>AA21*(1+Cockpit!$H$30)</f>
        <v>-56.764431262729829</v>
      </c>
      <c r="AC21" s="10">
        <f>AB21*(1+Cockpit!$H$30)</f>
        <v>-57.899719887984425</v>
      </c>
      <c r="AD21" s="10">
        <f>AC21*(1+Cockpit!$H$30)</f>
        <v>-59.057714285744112</v>
      </c>
      <c r="AE21" s="10">
        <f>AD21*(1+Cockpit!$H$30)</f>
        <v>-60.238868571458994</v>
      </c>
      <c r="AF21" s="10">
        <f>AE21*(1+Cockpit!$H$30)</f>
        <v>-61.443645942888175</v>
      </c>
      <c r="AG21" s="10">
        <f>AF21*(1+Cockpit!$H$30)</f>
        <v>-62.672518861745942</v>
      </c>
      <c r="AH21" s="10">
        <f>AG21*(1+Cockpit!$H$30)</f>
        <v>-63.925969238980862</v>
      </c>
      <c r="AI21" s="10">
        <f>AH21*(1+Cockpit!$H$30)</f>
        <v>-65.204488623760483</v>
      </c>
      <c r="AJ21" s="10">
        <f>AI21*(1+Cockpit!$H$30)</f>
        <v>-66.508578396235691</v>
      </c>
      <c r="AK21" s="10">
        <f>AJ21*(1+Cockpit!$H$30)</f>
        <v>-67.838749964160399</v>
      </c>
      <c r="AL21" s="10">
        <f>AK21*(1+Cockpit!$H$30)</f>
        <v>-69.195524963443603</v>
      </c>
      <c r="AM21" s="10">
        <f>AL21*(1+Cockpit!$H$30)</f>
        <v>-70.579435462712482</v>
      </c>
      <c r="AN21" s="10">
        <f>AM21*(1+Cockpit!$H$30)</f>
        <v>-71.991024171966728</v>
      </c>
      <c r="AO21" s="10">
        <f>AN21*(1+Cockpit!$H$30)</f>
        <v>-73.430844655406062</v>
      </c>
      <c r="AP21" s="10">
        <f>AO21*(1+Cockpit!$H$30)</f>
        <v>-74.899461548514182</v>
      </c>
      <c r="AQ21" s="10">
        <f>AP21*(1+Cockpit!$H$30)</f>
        <v>-76.397450779484473</v>
      </c>
      <c r="AR21" s="10">
        <f>AQ21*(1+Cockpit!$H$30)</f>
        <v>-77.925399795074156</v>
      </c>
      <c r="AS21" s="10">
        <f>AR21*(1+Cockpit!$H$30)</f>
        <v>-79.483907790975636</v>
      </c>
      <c r="AT21" s="10">
        <f>AS21*(1+Cockpit!$H$30)</f>
        <v>-81.073585946795149</v>
      </c>
      <c r="AU21" s="10">
        <f>AT21*(1+Cockpit!$H$30)</f>
        <v>-82.695057665731056</v>
      </c>
      <c r="AV21" s="10">
        <f>AU21*(1+Cockpit!$H$30)</f>
        <v>-84.348958819045677</v>
      </c>
      <c r="AW21" s="10">
        <f>AV21*(1+Cockpit!$H$30)</f>
        <v>-86.035937995426593</v>
      </c>
      <c r="AX21" s="10">
        <f>AW21*(1+Cockpit!$H$30)</f>
        <v>-87.756656755335129</v>
      </c>
      <c r="AY21" s="10">
        <f>AX21*(1+Cockpit!$H$30)</f>
        <v>-89.511789890441833</v>
      </c>
      <c r="AZ21" s="10">
        <f>AY21*(1+Cockpit!$H$30)</f>
        <v>-91.302025688250666</v>
      </c>
      <c r="BA21" s="283">
        <f>AZ21*(1+Cockpit!$H$30)</f>
        <v>-93.128066202015674</v>
      </c>
    </row>
    <row r="22" spans="1:53">
      <c r="A22"/>
      <c r="B22" s="479" t="s">
        <v>246</v>
      </c>
      <c r="C22" s="480"/>
      <c r="D22" s="10">
        <f>-Cockpit!K28</f>
        <v>-19.21125</v>
      </c>
      <c r="E22" s="10">
        <f>-Cockpit!$H$25*'Miete, Cashflow, Steuern'!E14</f>
        <v>-19.277850000000001</v>
      </c>
      <c r="F22" s="10">
        <f>-Cockpit!$H$25*'Miete, Cashflow, Steuern'!F14</f>
        <v>-19.822219500000003</v>
      </c>
      <c r="G22" s="10">
        <f>-Cockpit!$H$25*'Miete, Cashflow, Steuern'!G14</f>
        <v>-20.382240764999999</v>
      </c>
      <c r="H22" s="10">
        <f>-Cockpit!$H$25*'Miete, Cashflow, Steuern'!H14</f>
        <v>-20.958369761549999</v>
      </c>
      <c r="I22" s="10">
        <f>-Cockpit!$H$25*'Miete, Cashflow, Steuern'!I14</f>
        <v>-21.551075863468498</v>
      </c>
      <c r="J22" s="10">
        <f>-Cockpit!$H$25*'Miete, Cashflow, Steuern'!J14</f>
        <v>-22.160842248625997</v>
      </c>
      <c r="K22" s="10">
        <f>-Cockpit!$H$25*'Miete, Cashflow, Steuern'!K14</f>
        <v>-22.788166307523287</v>
      </c>
      <c r="L22" s="10">
        <f>-Cockpit!$H$25*'Miete, Cashflow, Steuern'!L14</f>
        <v>-23.433560064016266</v>
      </c>
      <c r="M22" s="10">
        <f>-Cockpit!$H$25*'Miete, Cashflow, Steuern'!M14</f>
        <v>-24.09755060854938</v>
      </c>
      <c r="N22" s="10">
        <f>-Cockpit!$H$25*'Miete, Cashflow, Steuern'!N14</f>
        <v>-24.780680544270734</v>
      </c>
      <c r="O22" s="10">
        <f>-Cockpit!$H$25*'Miete, Cashflow, Steuern'!O14</f>
        <v>-25.483508446413033</v>
      </c>
      <c r="P22" s="10">
        <f>-Cockpit!$H$25*'Miete, Cashflow, Steuern'!P14</f>
        <v>-26.206609335335884</v>
      </c>
      <c r="Q22" s="10">
        <f>-Cockpit!$H$25*'Miete, Cashflow, Steuern'!Q14</f>
        <v>-26.950575163637026</v>
      </c>
      <c r="R22" s="10">
        <f>-Cockpit!$H$25*'Miete, Cashflow, Steuern'!R14</f>
        <v>-27.716015317752028</v>
      </c>
      <c r="S22" s="10">
        <f>-Cockpit!$H$25*'Miete, Cashflow, Steuern'!S14</f>
        <v>-28.503557134474597</v>
      </c>
      <c r="T22" s="10">
        <f>-Cockpit!$H$25*'Miete, Cashflow, Steuern'!T14</f>
        <v>-29.313846432842642</v>
      </c>
      <c r="U22" s="10">
        <f>-Cockpit!$H$25*'Miete, Cashflow, Steuern'!U14</f>
        <v>-30.147548061848404</v>
      </c>
      <c r="V22" s="10">
        <f>-Cockpit!$H$25*'Miete, Cashflow, Steuern'!V14</f>
        <v>-31.005346464444745</v>
      </c>
      <c r="W22" s="10">
        <f>-Cockpit!$H$25*'Miete, Cashflow, Steuern'!W14</f>
        <v>-31.887946258333802</v>
      </c>
      <c r="X22" s="10">
        <f>-Cockpit!$H$25*'Miete, Cashflow, Steuern'!X14</f>
        <v>-32.79607283403864</v>
      </c>
      <c r="Y22" s="10">
        <f>-Cockpit!$H$25*'Miete, Cashflow, Steuern'!Y14</f>
        <v>-33.730472970773725</v>
      </c>
      <c r="Z22" s="10">
        <f>-Cockpit!$H$25*'Miete, Cashflow, Steuern'!Z14</f>
        <v>-34.691915470645128</v>
      </c>
      <c r="AA22" s="10">
        <f>-Cockpit!$H$25*'Miete, Cashflow, Steuern'!AA14</f>
        <v>-35.681191811727651</v>
      </c>
      <c r="AB22" s="10">
        <f>-Cockpit!$H$25*'Miete, Cashflow, Steuern'!AB14</f>
        <v>-36.699116820581906</v>
      </c>
      <c r="AC22" s="10">
        <f>-Cockpit!$H$25*'Miete, Cashflow, Steuern'!AC14</f>
        <v>-37.74652936479184</v>
      </c>
      <c r="AD22" s="10">
        <f>-Cockpit!$H$25*'Miete, Cashflow, Steuern'!AD14</f>
        <v>-38.824293066119921</v>
      </c>
      <c r="AE22" s="10">
        <f>-Cockpit!$H$25*'Miete, Cashflow, Steuern'!AE14</f>
        <v>-39.933297034895531</v>
      </c>
      <c r="AF22" s="10">
        <f>-Cockpit!$H$25*'Miete, Cashflow, Steuern'!AF14</f>
        <v>-41.074456626270248</v>
      </c>
      <c r="AG22" s="10">
        <f>-Cockpit!$H$25*'Miete, Cashflow, Steuern'!AG14</f>
        <v>-42.24871421899276</v>
      </c>
      <c r="AH22" s="10">
        <f>-Cockpit!$H$25*'Miete, Cashflow, Steuern'!AH14</f>
        <v>-43.457040017375647</v>
      </c>
      <c r="AI22" s="10">
        <f>-Cockpit!$H$25*'Miete, Cashflow, Steuern'!AI14</f>
        <v>-44.700432877146277</v>
      </c>
      <c r="AJ22" s="10">
        <f>-Cockpit!$H$25*'Miete, Cashflow, Steuern'!AJ14</f>
        <v>-45.979921155895013</v>
      </c>
      <c r="AK22" s="10">
        <f>-Cockpit!$H$25*'Miete, Cashflow, Steuern'!AK14</f>
        <v>-47.296563588854895</v>
      </c>
      <c r="AL22" s="10">
        <f>-Cockpit!$H$25*'Miete, Cashflow, Steuern'!AL14</f>
        <v>-48.651450190769232</v>
      </c>
      <c r="AM22" s="10">
        <f>-Cockpit!$H$25*'Miete, Cashflow, Steuern'!AM14</f>
        <v>-50.045703184625978</v>
      </c>
      <c r="AN22" s="10">
        <f>-Cockpit!$H$25*'Miete, Cashflow, Steuern'!AN14</f>
        <v>-51.480477958061094</v>
      </c>
      <c r="AO22" s="10">
        <f>-Cockpit!$H$25*'Miete, Cashflow, Steuern'!AO14</f>
        <v>-52.956964048257205</v>
      </c>
      <c r="AP22" s="10">
        <f>-Cockpit!$H$25*'Miete, Cashflow, Steuern'!AP14</f>
        <v>-54.476386156188276</v>
      </c>
      <c r="AQ22" s="10">
        <f>-Cockpit!$H$25*'Miete, Cashflow, Steuern'!AQ14</f>
        <v>-56.040005191086941</v>
      </c>
      <c r="AR22" s="10">
        <f>-Cockpit!$H$25*'Miete, Cashflow, Steuern'!AR14</f>
        <v>-57.649119346036834</v>
      </c>
      <c r="AS22" s="10">
        <f>-Cockpit!$H$25*'Miete, Cashflow, Steuern'!AS14</f>
        <v>-59.30506520561957</v>
      </c>
      <c r="AT22" s="10">
        <f>-Cockpit!$H$25*'Miete, Cashflow, Steuern'!AT14</f>
        <v>-61.009218886573812</v>
      </c>
      <c r="AU22" s="10">
        <f>-Cockpit!$H$25*'Miete, Cashflow, Steuern'!AU14</f>
        <v>-62.762997212452397</v>
      </c>
      <c r="AV22" s="10">
        <f>-Cockpit!$H$25*'Miete, Cashflow, Steuern'!AV14</f>
        <v>-64.567858923292974</v>
      </c>
      <c r="AW22" s="10">
        <f>-Cockpit!$H$25*'Miete, Cashflow, Steuern'!AW14</f>
        <v>-66.425305921348098</v>
      </c>
      <c r="AX22" s="10">
        <f>-Cockpit!$H$25*'Miete, Cashflow, Steuern'!AX14</f>
        <v>-68.336884553952018</v>
      </c>
      <c r="AY22" s="10">
        <f>-Cockpit!$H$25*'Miete, Cashflow, Steuern'!AY14</f>
        <v>-70.304186934633307</v>
      </c>
      <c r="AZ22" s="10">
        <f>-Cockpit!$H$25*'Miete, Cashflow, Steuern'!AZ14</f>
        <v>-72.328852303616301</v>
      </c>
      <c r="BA22" s="283">
        <f>-Cockpit!$H$25*'Miete, Cashflow, Steuern'!BA14</f>
        <v>-74.412568428887653</v>
      </c>
    </row>
    <row r="23" spans="1:53">
      <c r="A23"/>
      <c r="B23" s="489" t="s">
        <v>275</v>
      </c>
      <c r="C23" s="490"/>
      <c r="D23" s="10">
        <f t="shared" ref="D23:AI23" si="8">D20+D21+D22</f>
        <v>-210.50291666666666</v>
      </c>
      <c r="E23" s="10">
        <f t="shared" si="8"/>
        <v>-214.39535000000001</v>
      </c>
      <c r="F23" s="10">
        <f t="shared" si="8"/>
        <v>-218.84206949999998</v>
      </c>
      <c r="G23" s="10">
        <f t="shared" si="8"/>
        <v>-223.38248776500001</v>
      </c>
      <c r="H23" s="10">
        <f t="shared" si="8"/>
        <v>-228.01862170154999</v>
      </c>
      <c r="I23" s="10">
        <f t="shared" si="8"/>
        <v>-232.75253284226849</v>
      </c>
      <c r="J23" s="10">
        <f t="shared" si="8"/>
        <v>-237.58632836700201</v>
      </c>
      <c r="K23" s="10">
        <f t="shared" si="8"/>
        <v>-242.5221621482668</v>
      </c>
      <c r="L23" s="10">
        <f t="shared" si="8"/>
        <v>-247.56223582157466</v>
      </c>
      <c r="M23" s="10">
        <f t="shared" si="8"/>
        <v>-252.70879988125895</v>
      </c>
      <c r="N23" s="10">
        <f t="shared" si="8"/>
        <v>-257.96415480243451</v>
      </c>
      <c r="O23" s="10">
        <f t="shared" si="8"/>
        <v>-263.33065218974014</v>
      </c>
      <c r="P23" s="10">
        <f t="shared" si="8"/>
        <v>-268.81069595352949</v>
      </c>
      <c r="Q23" s="10">
        <f t="shared" si="8"/>
        <v>-274.40674351419455</v>
      </c>
      <c r="R23" s="10">
        <f t="shared" si="8"/>
        <v>-280.12130703532068</v>
      </c>
      <c r="S23" s="10">
        <f t="shared" si="8"/>
        <v>-285.95695468639462</v>
      </c>
      <c r="T23" s="10">
        <f t="shared" si="8"/>
        <v>-291.9163119358011</v>
      </c>
      <c r="U23" s="10">
        <f t="shared" si="8"/>
        <v>-298.002062874866</v>
      </c>
      <c r="V23" s="10">
        <f t="shared" si="8"/>
        <v>-304.21695157372272</v>
      </c>
      <c r="W23" s="10">
        <f t="shared" si="8"/>
        <v>-310.56378346979733</v>
      </c>
      <c r="X23" s="10">
        <f t="shared" si="8"/>
        <v>-317.04542678973144</v>
      </c>
      <c r="Y23" s="10">
        <f t="shared" si="8"/>
        <v>-323.66481400558041</v>
      </c>
      <c r="Z23" s="10">
        <f t="shared" si="8"/>
        <v>-330.42494332614791</v>
      </c>
      <c r="AA23" s="10">
        <f t="shared" si="8"/>
        <v>-337.32888022434054</v>
      </c>
      <c r="AB23" s="10">
        <f t="shared" si="8"/>
        <v>-344.37975900144704</v>
      </c>
      <c r="AC23" s="10">
        <f t="shared" si="8"/>
        <v>-351.5807843892743</v>
      </c>
      <c r="AD23" s="10">
        <f t="shared" si="8"/>
        <v>-358.93523319109204</v>
      </c>
      <c r="AE23" s="10">
        <f t="shared" si="8"/>
        <v>-366.44645596236705</v>
      </c>
      <c r="AF23" s="10">
        <f t="shared" si="8"/>
        <v>-374.11787873229122</v>
      </c>
      <c r="AG23" s="10">
        <f t="shared" si="8"/>
        <v>-381.95300476713419</v>
      </c>
      <c r="AH23" s="10">
        <f t="shared" si="8"/>
        <v>-389.95541637647989</v>
      </c>
      <c r="AI23" s="10">
        <f t="shared" si="8"/>
        <v>-398.12877676343265</v>
      </c>
      <c r="AJ23" s="10">
        <f t="shared" ref="AJ23:BA23" si="9">AJ20+AJ21+AJ22</f>
        <v>-406.47683191990711</v>
      </c>
      <c r="AK23" s="10">
        <f t="shared" si="9"/>
        <v>-415.00341256814727</v>
      </c>
      <c r="AL23" s="10">
        <f t="shared" si="9"/>
        <v>-423.71243614964743</v>
      </c>
      <c r="AM23" s="10">
        <f t="shared" si="9"/>
        <v>-432.60790886268171</v>
      </c>
      <c r="AN23" s="10">
        <f t="shared" si="9"/>
        <v>-441.69392774967798</v>
      </c>
      <c r="AO23" s="10">
        <f t="shared" si="9"/>
        <v>-450.9746828357064</v>
      </c>
      <c r="AP23" s="10">
        <f t="shared" si="9"/>
        <v>-460.45445931938644</v>
      </c>
      <c r="AQ23" s="10">
        <f t="shared" si="9"/>
        <v>-470.13763981754909</v>
      </c>
      <c r="AR23" s="10">
        <f t="shared" si="9"/>
        <v>-480.02870666502821</v>
      </c>
      <c r="AS23" s="10">
        <f t="shared" si="9"/>
        <v>-490.13224427099078</v>
      </c>
      <c r="AT23" s="10">
        <f t="shared" si="9"/>
        <v>-500.45294153325244</v>
      </c>
      <c r="AU23" s="10">
        <f t="shared" si="9"/>
        <v>-510.99559431206455</v>
      </c>
      <c r="AV23" s="10">
        <f t="shared" si="9"/>
        <v>-521.76510796489742</v>
      </c>
      <c r="AW23" s="10">
        <f t="shared" si="9"/>
        <v>-532.76649994378465</v>
      </c>
      <c r="AX23" s="10">
        <f t="shared" si="9"/>
        <v>-544.00490245683727</v>
      </c>
      <c r="AY23" s="10">
        <f t="shared" si="9"/>
        <v>-555.48556519557621</v>
      </c>
      <c r="AZ23" s="10">
        <f t="shared" si="9"/>
        <v>-567.21385812977803</v>
      </c>
      <c r="BA23" s="283">
        <f t="shared" si="9"/>
        <v>-579.19527437157274</v>
      </c>
    </row>
    <row r="24" spans="1:53">
      <c r="A24"/>
      <c r="B24" s="479" t="s">
        <v>31</v>
      </c>
      <c r="C24" s="480"/>
      <c r="D24" s="10">
        <f>-'Wert, AfA, Darlehen'!D110/12</f>
        <v>-308.33333333333331</v>
      </c>
      <c r="E24" s="10">
        <f>-'Wert, AfA, Darlehen'!E110/12</f>
        <v>-301.24166666666662</v>
      </c>
      <c r="F24" s="10">
        <f>-'Wert, AfA, Darlehen'!F110/12</f>
        <v>-263.05427499999996</v>
      </c>
      <c r="G24" s="10">
        <f>-'Wert, AfA, Darlehen'!G110/12</f>
        <v>-254.28728317499997</v>
      </c>
      <c r="H24" s="10">
        <f>-'Wert, AfA, Darlehen'!H110/12</f>
        <v>-245.19591265247496</v>
      </c>
      <c r="I24" s="10">
        <f>-'Wert, AfA, Darlehen'!I110/12</f>
        <v>-235.76816142061656</v>
      </c>
      <c r="J24" s="10">
        <f>-'Wert, AfA, Darlehen'!J110/12</f>
        <v>-225.99158339317941</v>
      </c>
      <c r="K24" s="10">
        <f>-'Wert, AfA, Darlehen'!K110/12</f>
        <v>-215.85327197872707</v>
      </c>
      <c r="L24" s="10">
        <f>-'Wert, AfA, Darlehen'!L110/12</f>
        <v>-205.33984304193993</v>
      </c>
      <c r="M24" s="10">
        <f>-'Wert, AfA, Darlehen'!M110/12</f>
        <v>-194.43741723449173</v>
      </c>
      <c r="N24" s="10">
        <f>-'Wert, AfA, Darlehen'!N110/12</f>
        <v>-183.1316016721679</v>
      </c>
      <c r="O24" s="10">
        <f>-'Wert, AfA, Darlehen'!O110/12</f>
        <v>-171.40747093403812</v>
      </c>
      <c r="P24" s="10">
        <f>-'Wert, AfA, Darlehen'!P110/12</f>
        <v>-159.24954735859754</v>
      </c>
      <c r="Q24" s="10">
        <f>-'Wert, AfA, Darlehen'!Q110/12</f>
        <v>-146.64178061086565</v>
      </c>
      <c r="R24" s="10">
        <f>-'Wert, AfA, Darlehen'!R110/12</f>
        <v>-133.56752649346768</v>
      </c>
      <c r="S24" s="10">
        <f>-'Wert, AfA, Darlehen'!S110/12</f>
        <v>-120.00952497372599</v>
      </c>
      <c r="T24" s="10">
        <f>-'Wert, AfA, Darlehen'!T110/12</f>
        <v>-105.94987739775384</v>
      </c>
      <c r="U24" s="10">
        <f>-'Wert, AfA, Darlehen'!U110/12</f>
        <v>-91.37002286147073</v>
      </c>
      <c r="V24" s="10">
        <f>-'Wert, AfA, Darlehen'!V110/12</f>
        <v>-76.250713707345156</v>
      </c>
      <c r="W24" s="10">
        <f>-'Wert, AfA, Darlehen'!W110/12</f>
        <v>-60.571990114516915</v>
      </c>
      <c r="X24" s="10">
        <f>-'Wert, AfA, Darlehen'!X110/12</f>
        <v>-44.313153748754047</v>
      </c>
      <c r="Y24" s="10">
        <f>-'Wert, AfA, Darlehen'!Y110/12</f>
        <v>-27.452740437457944</v>
      </c>
      <c r="Z24" s="10">
        <f>-'Wert, AfA, Darlehen'!Z110/12</f>
        <v>-9.9684918336438884</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-191.66666666666666</v>
      </c>
      <c r="E25" s="10">
        <f>-'Wert, AfA, Darlehen'!E114/12</f>
        <v>-198.75833333333335</v>
      </c>
      <c r="F25" s="10">
        <f>-'Wert, AfA, Darlehen'!F114/12</f>
        <v>-236.94572500000004</v>
      </c>
      <c r="G25" s="10">
        <f>-'Wert, AfA, Darlehen'!G114/12</f>
        <v>-245.71271682500003</v>
      </c>
      <c r="H25" s="10">
        <f>-'Wert, AfA, Darlehen'!H114/12</f>
        <v>-254.80408734752504</v>
      </c>
      <c r="I25" s="10">
        <f>-'Wert, AfA, Darlehen'!I114/12</f>
        <v>-264.23183857938346</v>
      </c>
      <c r="J25" s="10">
        <f>-'Wert, AfA, Darlehen'!J114/12</f>
        <v>-274.00841660682062</v>
      </c>
      <c r="K25" s="10">
        <f>-'Wert, AfA, Darlehen'!K114/12</f>
        <v>-284.14672802127296</v>
      </c>
      <c r="L25" s="10">
        <f>-'Wert, AfA, Darlehen'!L114/12</f>
        <v>-294.6601569580601</v>
      </c>
      <c r="M25" s="10">
        <f>-'Wert, AfA, Darlehen'!M114/12</f>
        <v>-305.56258276550824</v>
      </c>
      <c r="N25" s="10">
        <f>-'Wert, AfA, Darlehen'!N114/12</f>
        <v>-316.8683983278321</v>
      </c>
      <c r="O25" s="10">
        <f>-'Wert, AfA, Darlehen'!O114/12</f>
        <v>-328.59252906596186</v>
      </c>
      <c r="P25" s="10">
        <f>-'Wert, AfA, Darlehen'!P114/12</f>
        <v>-340.75045264140249</v>
      </c>
      <c r="Q25" s="10">
        <f>-'Wert, AfA, Darlehen'!Q114/12</f>
        <v>-353.35821938913432</v>
      </c>
      <c r="R25" s="10">
        <f>-'Wert, AfA, Darlehen'!R114/12</f>
        <v>-366.43247350653229</v>
      </c>
      <c r="S25" s="10">
        <f>-'Wert, AfA, Darlehen'!S114/12</f>
        <v>-379.990475026274</v>
      </c>
      <c r="T25" s="10">
        <f>-'Wert, AfA, Darlehen'!T114/12</f>
        <v>-394.05012260224612</v>
      </c>
      <c r="U25" s="10">
        <f>-'Wert, AfA, Darlehen'!U114/12</f>
        <v>-408.62997713852928</v>
      </c>
      <c r="V25" s="10">
        <f>-'Wert, AfA, Darlehen'!V114/12</f>
        <v>-423.74928629265486</v>
      </c>
      <c r="W25" s="10">
        <f>-'Wert, AfA, Darlehen'!W114/12</f>
        <v>-439.42800988548311</v>
      </c>
      <c r="X25" s="10">
        <f>-'Wert, AfA, Darlehen'!X114/12</f>
        <v>-455.68684625124592</v>
      </c>
      <c r="Y25" s="10">
        <f>-'Wert, AfA, Darlehen'!Y114/12</f>
        <v>-472.54725956254202</v>
      </c>
      <c r="Z25" s="10">
        <f>-'Wert, AfA, Darlehen'!Z114/12</f>
        <v>-269.41869820659161</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-70.127916666666664</v>
      </c>
      <c r="E26" s="136">
        <f t="shared" si="10"/>
        <v>-71.800349999999952</v>
      </c>
      <c r="F26" s="136">
        <f t="shared" si="10"/>
        <v>-58.101419499999906</v>
      </c>
      <c r="G26" s="136">
        <f t="shared" si="10"/>
        <v>-43.974462265</v>
      </c>
      <c r="H26" s="136">
        <f t="shared" si="10"/>
        <v>-29.406296316550026</v>
      </c>
      <c r="I26" s="136">
        <f t="shared" si="10"/>
        <v>-14.383337393318499</v>
      </c>
      <c r="J26" s="136">
        <f t="shared" si="10"/>
        <v>1.1084132538645122</v>
      </c>
      <c r="K26" s="136">
        <f t="shared" si="10"/>
        <v>17.083381435842682</v>
      </c>
      <c r="L26" s="136">
        <f t="shared" si="10"/>
        <v>33.556432978967507</v>
      </c>
      <c r="M26" s="136">
        <f t="shared" si="10"/>
        <v>50.542887070387053</v>
      </c>
      <c r="N26" s="136">
        <f t="shared" si="10"/>
        <v>68.05853000658999</v>
      </c>
      <c r="O26" s="136">
        <f t="shared" si="10"/>
        <v>86.119629357361021</v>
      </c>
      <c r="P26" s="136">
        <f t="shared" si="10"/>
        <v>104.74294855766664</v>
      </c>
      <c r="Q26" s="136">
        <f t="shared" si="10"/>
        <v>123.94576194037302</v>
      </c>
      <c r="R26" s="136">
        <f t="shared" si="10"/>
        <v>143.74587022308032</v>
      </c>
      <c r="S26" s="136">
        <f t="shared" si="10"/>
        <v>164.16161646275862</v>
      </c>
      <c r="T26" s="136">
        <f t="shared" si="10"/>
        <v>185.21190249228698</v>
      </c>
      <c r="U26" s="136">
        <f t="shared" si="10"/>
        <v>206.91620585341411</v>
      </c>
      <c r="V26" s="136">
        <f t="shared" si="10"/>
        <v>229.29459724110205</v>
      </c>
      <c r="W26" s="136">
        <f t="shared" si="10"/>
        <v>252.36775847466288</v>
      </c>
      <c r="X26" s="136">
        <f t="shared" si="10"/>
        <v>276.15700101155653</v>
      </c>
      <c r="Y26" s="136">
        <f t="shared" si="10"/>
        <v>300.68428502021044</v>
      </c>
      <c r="Z26" s="136">
        <f t="shared" si="10"/>
        <v>546.58504898845422</v>
      </c>
      <c r="AA26" s="136">
        <f t="shared" si="10"/>
        <v>852.0441801665811</v>
      </c>
      <c r="AB26" s="136">
        <f t="shared" si="10"/>
        <v>878.92413501794988</v>
      </c>
      <c r="AC26" s="136">
        <f t="shared" si="10"/>
        <v>906.63686110378706</v>
      </c>
      <c r="AD26" s="136">
        <f t="shared" si="10"/>
        <v>935.20786901290535</v>
      </c>
      <c r="AE26" s="136">
        <f t="shared" si="10"/>
        <v>964.66344520081748</v>
      </c>
      <c r="AF26" s="136">
        <f t="shared" si="10"/>
        <v>995.03067547671708</v>
      </c>
      <c r="AG26" s="136">
        <f t="shared" si="10"/>
        <v>1026.3374691992913</v>
      </c>
      <c r="AH26" s="136">
        <f t="shared" si="10"/>
        <v>1058.6125842027084</v>
      </c>
      <c r="AI26" s="136">
        <f t="shared" si="10"/>
        <v>1091.8856524747766</v>
      </c>
      <c r="AJ26" s="136">
        <f t="shared" ref="AJ26:BA26" si="11">AJ19+AJ23+AJ24+AJ25</f>
        <v>1126.1872066099268</v>
      </c>
      <c r="AK26" s="136">
        <f t="shared" si="11"/>
        <v>1161.5487070603492</v>
      </c>
      <c r="AL26" s="136">
        <f t="shared" si="11"/>
        <v>1198.0025702093271</v>
      </c>
      <c r="AM26" s="136">
        <f t="shared" si="11"/>
        <v>1235.5821972915178</v>
      </c>
      <c r="AN26" s="136">
        <f t="shared" si="11"/>
        <v>1274.3220041856921</v>
      </c>
      <c r="AO26" s="136">
        <f t="shared" si="11"/>
        <v>1314.2574521062006</v>
      </c>
      <c r="AP26" s="136">
        <f t="shared" si="11"/>
        <v>1355.4250792202229</v>
      </c>
      <c r="AQ26" s="136">
        <f t="shared" si="11"/>
        <v>1397.8625332186823</v>
      </c>
      <c r="AR26" s="136">
        <f t="shared" si="11"/>
        <v>1441.6086048695329</v>
      </c>
      <c r="AS26" s="136">
        <f t="shared" si="11"/>
        <v>1486.7032625829947</v>
      </c>
      <c r="AT26" s="136">
        <f t="shared" si="11"/>
        <v>1533.1876880192081</v>
      </c>
      <c r="AU26" s="136">
        <f t="shared" si="11"/>
        <v>1581.1043127696821</v>
      </c>
      <c r="AV26" s="136">
        <f t="shared" si="11"/>
        <v>1630.4968561448684</v>
      </c>
      <c r="AW26" s="136">
        <f t="shared" si="11"/>
        <v>1681.410364101152</v>
      </c>
      <c r="AX26" s="136">
        <f t="shared" si="11"/>
        <v>1733.8912493415635</v>
      </c>
      <c r="AY26" s="136">
        <f t="shared" si="11"/>
        <v>1787.9873326255342</v>
      </c>
      <c r="AZ26" s="136">
        <f t="shared" si="11"/>
        <v>1843.7478853240987</v>
      </c>
      <c r="BA26" s="286">
        <f t="shared" si="11"/>
        <v>1901.2236732580159</v>
      </c>
    </row>
    <row r="27" spans="1:53">
      <c r="B27" s="479" t="s">
        <v>39</v>
      </c>
      <c r="C27" s="480" t="s">
        <v>39</v>
      </c>
      <c r="D27" s="10">
        <f t="shared" ref="D27:AI27" si="12">-D43</f>
        <v>-29.279166666666676</v>
      </c>
      <c r="E27" s="10">
        <f t="shared" si="12"/>
        <v>-31.755833333333364</v>
      </c>
      <c r="F27" s="10">
        <f t="shared" si="12"/>
        <v>-53.016090000000055</v>
      </c>
      <c r="G27" s="10">
        <f t="shared" si="12"/>
        <v>-62.691417730000012</v>
      </c>
      <c r="H27" s="10">
        <f t="shared" si="12"/>
        <v>-72.685298309010022</v>
      </c>
      <c r="I27" s="10">
        <f t="shared" si="12"/>
        <v>-83.008271491653389</v>
      </c>
      <c r="J27" s="10">
        <f t="shared" si="12"/>
        <v>-93.671228329001281</v>
      </c>
      <c r="K27" s="10">
        <f t="shared" si="12"/>
        <v>-104.6854229808379</v>
      </c>
      <c r="L27" s="10">
        <f t="shared" si="12"/>
        <v>-116.06248492889955</v>
      </c>
      <c r="M27" s="10">
        <f t="shared" si="12"/>
        <v>-127.81443160482951</v>
      </c>
      <c r="N27" s="10">
        <f t="shared" si="12"/>
        <v>-139.95368144706978</v>
      </c>
      <c r="O27" s="10">
        <f t="shared" si="12"/>
        <v>-152.49306740139886</v>
      </c>
      <c r="P27" s="10">
        <f t="shared" si="12"/>
        <v>-165.44585088033659</v>
      </c>
      <c r="Q27" s="10">
        <f t="shared" si="12"/>
        <v>-178.82573619716388</v>
      </c>
      <c r="R27" s="10">
        <f t="shared" si="12"/>
        <v>-192.64688549085008</v>
      </c>
      <c r="S27" s="10">
        <f t="shared" si="12"/>
        <v>-206.92393415874517</v>
      </c>
      <c r="T27" s="10">
        <f t="shared" si="12"/>
        <v>-221.67200681447946</v>
      </c>
      <c r="U27" s="10">
        <f t="shared" si="12"/>
        <v>-236.90673378911649</v>
      </c>
      <c r="V27" s="10">
        <f t="shared" si="12"/>
        <v>-252.64426819423238</v>
      </c>
      <c r="W27" s="10">
        <f t="shared" si="12"/>
        <v>-268.90130356624263</v>
      </c>
      <c r="X27" s="10">
        <f t="shared" si="12"/>
        <v>-285.69509211196419</v>
      </c>
      <c r="Y27" s="10">
        <f t="shared" si="12"/>
        <v>-303.04346357610279</v>
      </c>
      <c r="Z27" s="10">
        <f t="shared" si="12"/>
        <v>-320.96484475206262</v>
      </c>
      <c r="AA27" s="10">
        <f t="shared" si="12"/>
        <v>-336.21321007082543</v>
      </c>
      <c r="AB27" s="10">
        <f t="shared" si="12"/>
        <v>-347.81757324050466</v>
      </c>
      <c r="AC27" s="10">
        <f t="shared" si="12"/>
        <v>-359.7757441426254</v>
      </c>
      <c r="AD27" s="10">
        <f t="shared" si="12"/>
        <v>-372.09845054590778</v>
      </c>
      <c r="AE27" s="10">
        <f t="shared" si="12"/>
        <v>-384.79674432286885</v>
      </c>
      <c r="AF27" s="10">
        <f t="shared" si="12"/>
        <v>-397.88201121835027</v>
      </c>
      <c r="AG27" s="10">
        <f t="shared" si="12"/>
        <v>-411.36598091201199</v>
      </c>
      <c r="AH27" s="10">
        <f t="shared" si="12"/>
        <v>-425.26073738362595</v>
      </c>
      <c r="AI27" s="10">
        <f t="shared" si="12"/>
        <v>-439.57872959027338</v>
      </c>
      <c r="AJ27" s="10">
        <f t="shared" ref="AJ27:BA27" si="13">-AJ43</f>
        <v>-454.33278246482297</v>
      </c>
      <c r="AK27" s="10">
        <f t="shared" si="13"/>
        <v>-469.53610824534582</v>
      </c>
      <c r="AL27" s="10">
        <f t="shared" si="13"/>
        <v>-485.20231814541597</v>
      </c>
      <c r="AM27" s="10">
        <f t="shared" si="13"/>
        <v>-501.34543437554242</v>
      </c>
      <c r="AN27" s="10">
        <f t="shared" si="13"/>
        <v>-517.9799025262879</v>
      </c>
      <c r="AO27" s="10">
        <f t="shared" si="13"/>
        <v>-535.1206043239456</v>
      </c>
      <c r="AP27" s="10">
        <f t="shared" si="13"/>
        <v>-552.78287076997015</v>
      </c>
      <c r="AQ27" s="10">
        <f t="shared" si="13"/>
        <v>-570.98249567570144</v>
      </c>
      <c r="AR27" s="10">
        <f t="shared" si="13"/>
        <v>-589.73574960425765</v>
      </c>
      <c r="AS27" s="10">
        <f t="shared" si="13"/>
        <v>-609.05939423183611</v>
      </c>
      <c r="AT27" s="10">
        <f t="shared" si="13"/>
        <v>-628.97069714103088</v>
      </c>
      <c r="AU27" s="10">
        <f t="shared" si="13"/>
        <v>-649.48744705914623</v>
      </c>
      <c r="AV27" s="10">
        <f t="shared" si="13"/>
        <v>-670.62796955488284</v>
      </c>
      <c r="AW27" s="10">
        <f t="shared" si="13"/>
        <v>-692.41114320717088</v>
      </c>
      <c r="AX27" s="10">
        <f t="shared" si="13"/>
        <v>-714.85641626034032</v>
      </c>
      <c r="AY27" s="10">
        <f t="shared" si="13"/>
        <v>-737.98382378024382</v>
      </c>
      <c r="AZ27" s="10">
        <f t="shared" si="13"/>
        <v>-761.81400532638634</v>
      </c>
      <c r="BA27" s="283">
        <f t="shared" si="13"/>
        <v>-786.36822315556788</v>
      </c>
    </row>
    <row r="28" spans="1:53" ht="14.95" thickBot="1">
      <c r="B28" s="483" t="s">
        <v>41</v>
      </c>
      <c r="C28" s="484"/>
      <c r="D28" s="287">
        <f t="shared" ref="D28:AI28" si="14">D26+D27</f>
        <v>-99.407083333333333</v>
      </c>
      <c r="E28" s="287">
        <f t="shared" si="14"/>
        <v>-103.55618333333331</v>
      </c>
      <c r="F28" s="287">
        <f t="shared" si="14"/>
        <v>-111.11750949999995</v>
      </c>
      <c r="G28" s="287">
        <f t="shared" si="14"/>
        <v>-106.66587999500001</v>
      </c>
      <c r="H28" s="287">
        <f t="shared" si="14"/>
        <v>-102.09159462556005</v>
      </c>
      <c r="I28" s="287">
        <f t="shared" si="14"/>
        <v>-97.391608884971888</v>
      </c>
      <c r="J28" s="287">
        <f t="shared" si="14"/>
        <v>-92.562815075136768</v>
      </c>
      <c r="K28" s="287">
        <f t="shared" si="14"/>
        <v>-87.602041544995217</v>
      </c>
      <c r="L28" s="287">
        <f t="shared" si="14"/>
        <v>-82.506051949932043</v>
      </c>
      <c r="M28" s="287">
        <f t="shared" si="14"/>
        <v>-77.271544534442455</v>
      </c>
      <c r="N28" s="287">
        <f t="shared" si="14"/>
        <v>-71.895151440479793</v>
      </c>
      <c r="O28" s="287">
        <f t="shared" si="14"/>
        <v>-66.37343804403784</v>
      </c>
      <c r="P28" s="287">
        <f t="shared" si="14"/>
        <v>-60.702902322669956</v>
      </c>
      <c r="Q28" s="287">
        <f t="shared" si="14"/>
        <v>-54.879974256790859</v>
      </c>
      <c r="R28" s="287">
        <f t="shared" si="14"/>
        <v>-48.901015267769765</v>
      </c>
      <c r="S28" s="287">
        <f t="shared" si="14"/>
        <v>-42.762317695986553</v>
      </c>
      <c r="T28" s="287">
        <f t="shared" si="14"/>
        <v>-36.460104322192478</v>
      </c>
      <c r="U28" s="287">
        <f t="shared" si="14"/>
        <v>-29.990527935702374</v>
      </c>
      <c r="V28" s="287">
        <f t="shared" si="14"/>
        <v>-23.349670953130328</v>
      </c>
      <c r="W28" s="287">
        <f t="shared" si="14"/>
        <v>-16.533545091579754</v>
      </c>
      <c r="X28" s="287">
        <f t="shared" si="14"/>
        <v>-9.5380911004076552</v>
      </c>
      <c r="Y28" s="287">
        <f t="shared" si="14"/>
        <v>-2.3591785558923561</v>
      </c>
      <c r="Z28" s="287">
        <f t="shared" si="14"/>
        <v>225.6202042363916</v>
      </c>
      <c r="AA28" s="287">
        <f t="shared" si="14"/>
        <v>515.83097009575567</v>
      </c>
      <c r="AB28" s="287">
        <f t="shared" si="14"/>
        <v>531.10656177744522</v>
      </c>
      <c r="AC28" s="287">
        <f t="shared" si="14"/>
        <v>546.86111696116166</v>
      </c>
      <c r="AD28" s="287">
        <f t="shared" si="14"/>
        <v>563.10941846699757</v>
      </c>
      <c r="AE28" s="287">
        <f t="shared" si="14"/>
        <v>579.86670087794869</v>
      </c>
      <c r="AF28" s="287">
        <f t="shared" si="14"/>
        <v>597.14866425836681</v>
      </c>
      <c r="AG28" s="287">
        <f t="shared" si="14"/>
        <v>614.97148828727927</v>
      </c>
      <c r="AH28" s="287">
        <f t="shared" si="14"/>
        <v>633.35184681908243</v>
      </c>
      <c r="AI28" s="287">
        <f t="shared" si="14"/>
        <v>652.30692288450325</v>
      </c>
      <c r="AJ28" s="287">
        <f t="shared" ref="AJ28:BA28" si="15">AJ26+AJ27</f>
        <v>671.85442414510385</v>
      </c>
      <c r="AK28" s="287">
        <f t="shared" si="15"/>
        <v>692.01259881500346</v>
      </c>
      <c r="AL28" s="287">
        <f t="shared" si="15"/>
        <v>712.8002520639111</v>
      </c>
      <c r="AM28" s="287">
        <f t="shared" si="15"/>
        <v>734.23676291597531</v>
      </c>
      <c r="AN28" s="287">
        <f t="shared" si="15"/>
        <v>756.34210165940419</v>
      </c>
      <c r="AO28" s="287">
        <f t="shared" si="15"/>
        <v>779.13684778225502</v>
      </c>
      <c r="AP28" s="287">
        <f t="shared" si="15"/>
        <v>802.64220845025272</v>
      </c>
      <c r="AQ28" s="287">
        <f t="shared" si="15"/>
        <v>826.88003754298086</v>
      </c>
      <c r="AR28" s="287">
        <f t="shared" si="15"/>
        <v>851.87285526527523</v>
      </c>
      <c r="AS28" s="287">
        <f t="shared" si="15"/>
        <v>877.64386835115863</v>
      </c>
      <c r="AT28" s="287">
        <f t="shared" si="15"/>
        <v>904.21699087817717</v>
      </c>
      <c r="AU28" s="287">
        <f t="shared" si="15"/>
        <v>931.61686571053588</v>
      </c>
      <c r="AV28" s="287">
        <f t="shared" si="15"/>
        <v>959.86888658998555</v>
      </c>
      <c r="AW28" s="287">
        <f t="shared" si="15"/>
        <v>988.99922089398115</v>
      </c>
      <c r="AX28" s="287">
        <f t="shared" si="15"/>
        <v>1019.0348330812232</v>
      </c>
      <c r="AY28" s="287">
        <f t="shared" si="15"/>
        <v>1050.0035088452905</v>
      </c>
      <c r="AZ28" s="287">
        <f t="shared" si="15"/>
        <v>1081.9338799977122</v>
      </c>
      <c r="BA28" s="288">
        <f t="shared" si="15"/>
        <v>1114.855450102448</v>
      </c>
    </row>
    <row r="29" spans="1:53" ht="14.95" thickBot="1">
      <c r="I29" s="6"/>
      <c r="J29" s="6"/>
      <c r="K29" s="6"/>
      <c r="L29" s="6"/>
    </row>
    <row r="30" spans="1:53" ht="16.3" thickBot="1">
      <c r="A30"/>
      <c r="B30" s="273" t="s">
        <v>265</v>
      </c>
      <c r="C30" s="33"/>
      <c r="D30" s="34"/>
      <c r="I30" s="6"/>
      <c r="J30" s="6"/>
      <c r="K30" s="6"/>
      <c r="L30" s="6"/>
    </row>
    <row r="31" spans="1:53" ht="14.9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261</v>
      </c>
      <c r="C32" s="488"/>
      <c r="D32" s="281">
        <f>12*D28</f>
        <v>-1192.885</v>
      </c>
      <c r="E32" s="281">
        <f t="shared" ref="E32:AJ32" si="18">D32+12*E28</f>
        <v>-2435.5591999999997</v>
      </c>
      <c r="F32" s="281">
        <f t="shared" si="18"/>
        <v>-3768.969313999999</v>
      </c>
      <c r="G32" s="281">
        <f t="shared" si="18"/>
        <v>-5048.9598739399989</v>
      </c>
      <c r="H32" s="281">
        <f t="shared" si="18"/>
        <v>-6274.0590094467198</v>
      </c>
      <c r="I32" s="281">
        <f t="shared" si="18"/>
        <v>-7442.7583160663826</v>
      </c>
      <c r="J32" s="281">
        <f t="shared" si="18"/>
        <v>-8553.5120969680247</v>
      </c>
      <c r="K32" s="281">
        <f t="shared" si="18"/>
        <v>-9604.7365955079676</v>
      </c>
      <c r="L32" s="281">
        <f t="shared" si="18"/>
        <v>-10594.809218907152</v>
      </c>
      <c r="M32" s="281">
        <f t="shared" si="18"/>
        <v>-11522.067753320462</v>
      </c>
      <c r="N32" s="281">
        <f t="shared" si="18"/>
        <v>-12384.809570606219</v>
      </c>
      <c r="O32" s="281">
        <f t="shared" si="18"/>
        <v>-13181.290827134673</v>
      </c>
      <c r="P32" s="281">
        <f t="shared" si="18"/>
        <v>-13909.725655006712</v>
      </c>
      <c r="Q32" s="281">
        <f t="shared" si="18"/>
        <v>-14568.285346088203</v>
      </c>
      <c r="R32" s="281">
        <f t="shared" si="18"/>
        <v>-15155.09752930144</v>
      </c>
      <c r="S32" s="281">
        <f t="shared" si="18"/>
        <v>-15668.245341653279</v>
      </c>
      <c r="T32" s="281">
        <f t="shared" si="18"/>
        <v>-16105.766593519589</v>
      </c>
      <c r="U32" s="281">
        <f t="shared" si="18"/>
        <v>-16465.652928748019</v>
      </c>
      <c r="V32" s="281">
        <f t="shared" si="18"/>
        <v>-16745.848980185583</v>
      </c>
      <c r="W32" s="281">
        <f t="shared" si="18"/>
        <v>-16944.251521284539</v>
      </c>
      <c r="X32" s="281">
        <f t="shared" si="18"/>
        <v>-17058.708614489431</v>
      </c>
      <c r="Y32" s="281">
        <f t="shared" si="18"/>
        <v>-17087.018757160138</v>
      </c>
      <c r="Z32" s="281">
        <f t="shared" si="18"/>
        <v>-14379.576306323439</v>
      </c>
      <c r="AA32" s="281">
        <f t="shared" si="18"/>
        <v>-8189.6046651743709</v>
      </c>
      <c r="AB32" s="281">
        <f t="shared" si="18"/>
        <v>-1816.3259238450282</v>
      </c>
      <c r="AC32" s="281">
        <f t="shared" si="18"/>
        <v>4746.0074796889112</v>
      </c>
      <c r="AD32" s="281">
        <f t="shared" si="18"/>
        <v>11503.320501292881</v>
      </c>
      <c r="AE32" s="281">
        <f t="shared" si="18"/>
        <v>18461.720911828266</v>
      </c>
      <c r="AF32" s="281">
        <f t="shared" si="18"/>
        <v>25627.504882928668</v>
      </c>
      <c r="AG32" s="281">
        <f t="shared" si="18"/>
        <v>33007.162742376022</v>
      </c>
      <c r="AH32" s="281">
        <f t="shared" si="18"/>
        <v>40607.384904205013</v>
      </c>
      <c r="AI32" s="281">
        <f t="shared" si="18"/>
        <v>48435.067978819054</v>
      </c>
      <c r="AJ32" s="281">
        <f t="shared" si="18"/>
        <v>56497.321068560297</v>
      </c>
      <c r="AK32" s="281">
        <f t="shared" ref="AK32:BA32" si="19">AJ32+12*AK28</f>
        <v>64801.47225434034</v>
      </c>
      <c r="AL32" s="281">
        <f t="shared" si="19"/>
        <v>73355.075279107274</v>
      </c>
      <c r="AM32" s="281">
        <f t="shared" si="19"/>
        <v>82165.916434098981</v>
      </c>
      <c r="AN32" s="281">
        <f t="shared" si="19"/>
        <v>91242.021654011827</v>
      </c>
      <c r="AO32" s="281">
        <f t="shared" si="19"/>
        <v>100591.66382739888</v>
      </c>
      <c r="AP32" s="281">
        <f t="shared" si="19"/>
        <v>110223.37032880192</v>
      </c>
      <c r="AQ32" s="281">
        <f t="shared" si="19"/>
        <v>120145.93077931768</v>
      </c>
      <c r="AR32" s="281">
        <f t="shared" si="19"/>
        <v>130368.40504250099</v>
      </c>
      <c r="AS32" s="281">
        <f t="shared" si="19"/>
        <v>140900.1314627149</v>
      </c>
      <c r="AT32" s="281">
        <f t="shared" si="19"/>
        <v>151750.73535325303</v>
      </c>
      <c r="AU32" s="281">
        <f t="shared" si="19"/>
        <v>162930.13774177944</v>
      </c>
      <c r="AV32" s="281">
        <f t="shared" si="19"/>
        <v>174448.56438085926</v>
      </c>
      <c r="AW32" s="281">
        <f t="shared" si="19"/>
        <v>186316.55503158702</v>
      </c>
      <c r="AX32" s="281">
        <f t="shared" si="19"/>
        <v>198544.97302856171</v>
      </c>
      <c r="AY32" s="281">
        <f t="shared" si="19"/>
        <v>211145.0151347052</v>
      </c>
      <c r="AZ32" s="281">
        <f t="shared" si="19"/>
        <v>224128.22169467775</v>
      </c>
      <c r="BA32" s="282">
        <f t="shared" si="19"/>
        <v>237506.48709590713</v>
      </c>
    </row>
    <row r="33" spans="1:53" ht="14.95" thickBot="1">
      <c r="A33"/>
      <c r="B33" s="483" t="s">
        <v>267</v>
      </c>
      <c r="C33" s="484"/>
      <c r="D33" s="284">
        <f>-Cockpit!$N$10+D32</f>
        <v>-39517.885000000002</v>
      </c>
      <c r="E33" s="284">
        <f>-Cockpit!$N$10+E32</f>
        <v>-40760.559200000003</v>
      </c>
      <c r="F33" s="284">
        <f>-Cockpit!$N$10+F32</f>
        <v>-42093.969314000002</v>
      </c>
      <c r="G33" s="284">
        <f>-Cockpit!$N$10+G32</f>
        <v>-43373.959873939995</v>
      </c>
      <c r="H33" s="284">
        <f>-Cockpit!$N$10+H32</f>
        <v>-44599.059009446719</v>
      </c>
      <c r="I33" s="284">
        <f>-Cockpit!$N$10+I32</f>
        <v>-45767.758316066385</v>
      </c>
      <c r="J33" s="284">
        <f>-Cockpit!$N$10+J32</f>
        <v>-46878.512096968028</v>
      </c>
      <c r="K33" s="284">
        <f>-Cockpit!$N$10+K32</f>
        <v>-47929.736595507966</v>
      </c>
      <c r="L33" s="284">
        <f>-Cockpit!$N$10+L32</f>
        <v>-48919.809218907154</v>
      </c>
      <c r="M33" s="284">
        <f>-Cockpit!$N$10+M32</f>
        <v>-49847.067753320458</v>
      </c>
      <c r="N33" s="284">
        <f>-Cockpit!$N$10+N32</f>
        <v>-50709.809570606216</v>
      </c>
      <c r="O33" s="284">
        <f>-Cockpit!$N$10+O32</f>
        <v>-51506.290827134675</v>
      </c>
      <c r="P33" s="284">
        <f>-Cockpit!$N$10+P32</f>
        <v>-52234.72565500671</v>
      </c>
      <c r="Q33" s="284">
        <f>-Cockpit!$N$10+Q32</f>
        <v>-52893.285346088203</v>
      </c>
      <c r="R33" s="284">
        <f>-Cockpit!$N$10+R32</f>
        <v>-53480.097529301442</v>
      </c>
      <c r="S33" s="284">
        <f>-Cockpit!$N$10+S32</f>
        <v>-53993.245341653281</v>
      </c>
      <c r="T33" s="284">
        <f>-Cockpit!$N$10+T32</f>
        <v>-54430.766593519591</v>
      </c>
      <c r="U33" s="284">
        <f>-Cockpit!$N$10+U32</f>
        <v>-54790.652928748023</v>
      </c>
      <c r="V33" s="284">
        <f>-Cockpit!$N$10+V32</f>
        <v>-55070.848980185583</v>
      </c>
      <c r="W33" s="284">
        <f>-Cockpit!$N$10+W32</f>
        <v>-55269.251521284539</v>
      </c>
      <c r="X33" s="284">
        <f>-Cockpit!$N$10+X32</f>
        <v>-55383.708614489427</v>
      </c>
      <c r="Y33" s="284">
        <f>-Cockpit!$N$10+Y32</f>
        <v>-55412.018757160142</v>
      </c>
      <c r="Z33" s="284">
        <f>-Cockpit!$N$10+Z32</f>
        <v>-52704.576306323441</v>
      </c>
      <c r="AA33" s="284">
        <f>-Cockpit!$N$10+AA32</f>
        <v>-46514.604665174367</v>
      </c>
      <c r="AB33" s="284">
        <f>-Cockpit!$N$10+AB32</f>
        <v>-40141.325923845026</v>
      </c>
      <c r="AC33" s="284">
        <f>-Cockpit!$N$10+AC32</f>
        <v>-33578.992520311091</v>
      </c>
      <c r="AD33" s="284">
        <f>-Cockpit!$N$10+AD32</f>
        <v>-26821.679498707119</v>
      </c>
      <c r="AE33" s="284">
        <f>-Cockpit!$N$10+AE32</f>
        <v>-19863.279088171734</v>
      </c>
      <c r="AF33" s="284">
        <f>-Cockpit!$N$10+AF32</f>
        <v>-12697.495117071332</v>
      </c>
      <c r="AG33" s="284">
        <f>-Cockpit!$N$10+AG32</f>
        <v>-5317.8372576239781</v>
      </c>
      <c r="AH33" s="284">
        <f>-Cockpit!$N$10+AH32</f>
        <v>2282.3849042050133</v>
      </c>
      <c r="AI33" s="284">
        <f>-Cockpit!$N$10+AI32</f>
        <v>10110.067978819054</v>
      </c>
      <c r="AJ33" s="284">
        <f>-Cockpit!$N$10+AJ32</f>
        <v>18172.321068560297</v>
      </c>
      <c r="AK33" s="284">
        <f>-Cockpit!$N$10+AK32</f>
        <v>26476.47225434034</v>
      </c>
      <c r="AL33" s="284">
        <f>-Cockpit!$N$10+AL32</f>
        <v>35030.075279107274</v>
      </c>
      <c r="AM33" s="284">
        <f>-Cockpit!$N$10+AM32</f>
        <v>43840.916434098981</v>
      </c>
      <c r="AN33" s="284">
        <f>-Cockpit!$N$10+AN32</f>
        <v>52917.021654011827</v>
      </c>
      <c r="AO33" s="284">
        <f>-Cockpit!$N$10+AO32</f>
        <v>62266.663827398879</v>
      </c>
      <c r="AP33" s="284">
        <f>-Cockpit!$N$10+AP32</f>
        <v>71898.370328801917</v>
      </c>
      <c r="AQ33" s="284">
        <f>-Cockpit!$N$10+AQ32</f>
        <v>81820.930779317685</v>
      </c>
      <c r="AR33" s="284">
        <f>-Cockpit!$N$10+AR32</f>
        <v>92043.405042500992</v>
      </c>
      <c r="AS33" s="284">
        <f>-Cockpit!$N$10+AS32</f>
        <v>102575.1314627149</v>
      </c>
      <c r="AT33" s="284">
        <f>-Cockpit!$N$10+AT32</f>
        <v>113425.73535325303</v>
      </c>
      <c r="AU33" s="284">
        <f>-Cockpit!$N$10+AU32</f>
        <v>124605.13774177944</v>
      </c>
      <c r="AV33" s="284">
        <f>-Cockpit!$N$10+AV32</f>
        <v>136123.56438085926</v>
      </c>
      <c r="AW33" s="284">
        <f>-Cockpit!$N$10+AW32</f>
        <v>147991.55503158702</v>
      </c>
      <c r="AX33" s="284">
        <f>-Cockpit!$N$10+AX32</f>
        <v>160219.97302856171</v>
      </c>
      <c r="AY33" s="284">
        <f>-Cockpit!$N$10+AY32</f>
        <v>172820.0151347052</v>
      </c>
      <c r="AZ33" s="284">
        <f>-Cockpit!$N$10+AZ32</f>
        <v>185803.22169467775</v>
      </c>
      <c r="BA33" s="285">
        <f>-Cockpit!$N$10+BA32</f>
        <v>199181.48709590713</v>
      </c>
    </row>
    <row r="34" spans="1:53" ht="30.75" customHeight="1" thickBot="1"/>
    <row r="35" spans="1:53" ht="16.3" thickBot="1">
      <c r="B35" s="273" t="s">
        <v>266</v>
      </c>
    </row>
    <row r="36" spans="1:53" ht="14.9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471</v>
      </c>
      <c r="C37" s="486"/>
      <c r="D37" s="281">
        <f t="shared" ref="D37:AI37" si="22">D14</f>
        <v>640.375</v>
      </c>
      <c r="E37" s="281">
        <f t="shared" si="22"/>
        <v>642.59500000000003</v>
      </c>
      <c r="F37" s="281">
        <f t="shared" si="22"/>
        <v>660.74065000000007</v>
      </c>
      <c r="G37" s="281">
        <f t="shared" si="22"/>
        <v>679.40802550000001</v>
      </c>
      <c r="H37" s="281">
        <f t="shared" si="22"/>
        <v>698.61232538499996</v>
      </c>
      <c r="I37" s="281">
        <f t="shared" si="22"/>
        <v>718.36919544894999</v>
      </c>
      <c r="J37" s="281">
        <f t="shared" si="22"/>
        <v>738.69474162086658</v>
      </c>
      <c r="K37" s="281">
        <f t="shared" si="22"/>
        <v>759.60554358410957</v>
      </c>
      <c r="L37" s="281">
        <f t="shared" si="22"/>
        <v>781.1186688005422</v>
      </c>
      <c r="M37" s="281">
        <f t="shared" si="22"/>
        <v>803.25168695164598</v>
      </c>
      <c r="N37" s="281">
        <f t="shared" si="22"/>
        <v>826.02268480902444</v>
      </c>
      <c r="O37" s="281">
        <f t="shared" si="22"/>
        <v>849.4502815471011</v>
      </c>
      <c r="P37" s="281">
        <f t="shared" si="22"/>
        <v>873.55364451119613</v>
      </c>
      <c r="Q37" s="281">
        <f t="shared" si="22"/>
        <v>898.35250545456756</v>
      </c>
      <c r="R37" s="281">
        <f t="shared" si="22"/>
        <v>923.86717725840094</v>
      </c>
      <c r="S37" s="281">
        <f t="shared" si="22"/>
        <v>950.11857114915324</v>
      </c>
      <c r="T37" s="281">
        <f t="shared" si="22"/>
        <v>977.12821442808809</v>
      </c>
      <c r="U37" s="281">
        <f t="shared" si="22"/>
        <v>1004.9182687282802</v>
      </c>
      <c r="V37" s="281">
        <f t="shared" si="22"/>
        <v>1033.5115488148249</v>
      </c>
      <c r="W37" s="281">
        <f t="shared" si="22"/>
        <v>1062.9315419444602</v>
      </c>
      <c r="X37" s="281">
        <f t="shared" si="22"/>
        <v>1093.202427801288</v>
      </c>
      <c r="Y37" s="281">
        <f t="shared" si="22"/>
        <v>1124.3490990257908</v>
      </c>
      <c r="Z37" s="281">
        <f t="shared" si="22"/>
        <v>1156.3971823548377</v>
      </c>
      <c r="AA37" s="281">
        <f t="shared" si="22"/>
        <v>1189.3730603909216</v>
      </c>
      <c r="AB37" s="281">
        <f t="shared" si="22"/>
        <v>1223.3038940193969</v>
      </c>
      <c r="AC37" s="281">
        <f t="shared" si="22"/>
        <v>1258.2176454930614</v>
      </c>
      <c r="AD37" s="281">
        <f t="shared" si="22"/>
        <v>1294.1431022039974</v>
      </c>
      <c r="AE37" s="281">
        <f t="shared" si="22"/>
        <v>1331.1099011631845</v>
      </c>
      <c r="AF37" s="281">
        <f t="shared" si="22"/>
        <v>1369.1485542090084</v>
      </c>
      <c r="AG37" s="281">
        <f t="shared" si="22"/>
        <v>1408.2904739664255</v>
      </c>
      <c r="AH37" s="281">
        <f t="shared" si="22"/>
        <v>1448.5680005791883</v>
      </c>
      <c r="AI37" s="281">
        <f t="shared" si="22"/>
        <v>1490.0144292382092</v>
      </c>
      <c r="AJ37" s="281">
        <f t="shared" ref="AJ37:BA37" si="23">AJ14</f>
        <v>1532.6640385298338</v>
      </c>
      <c r="AK37" s="281">
        <f t="shared" si="23"/>
        <v>1576.5521196284965</v>
      </c>
      <c r="AL37" s="281">
        <f t="shared" si="23"/>
        <v>1621.7150063589745</v>
      </c>
      <c r="AM37" s="281">
        <f t="shared" si="23"/>
        <v>1668.1901061541994</v>
      </c>
      <c r="AN37" s="281">
        <f t="shared" si="23"/>
        <v>1716.01593193537</v>
      </c>
      <c r="AO37" s="281">
        <f t="shared" si="23"/>
        <v>1765.2321349419069</v>
      </c>
      <c r="AP37" s="281">
        <f t="shared" si="23"/>
        <v>1815.8795385396093</v>
      </c>
      <c r="AQ37" s="281">
        <f t="shared" si="23"/>
        <v>1868.0001730362314</v>
      </c>
      <c r="AR37" s="281">
        <f t="shared" si="23"/>
        <v>1921.6373115345611</v>
      </c>
      <c r="AS37" s="281">
        <f t="shared" si="23"/>
        <v>1976.8355068539856</v>
      </c>
      <c r="AT37" s="281">
        <f t="shared" si="23"/>
        <v>2033.6406295524605</v>
      </c>
      <c r="AU37" s="281">
        <f t="shared" si="23"/>
        <v>2092.0999070817466</v>
      </c>
      <c r="AV37" s="281">
        <f t="shared" si="23"/>
        <v>2152.2619641097658</v>
      </c>
      <c r="AW37" s="281">
        <f t="shared" si="23"/>
        <v>2214.1768640449368</v>
      </c>
      <c r="AX37" s="281">
        <f t="shared" si="23"/>
        <v>2277.8961517984008</v>
      </c>
      <c r="AY37" s="281">
        <f t="shared" si="23"/>
        <v>2343.4728978211106</v>
      </c>
      <c r="AZ37" s="281">
        <f t="shared" si="23"/>
        <v>2410.9617434538768</v>
      </c>
      <c r="BA37" s="282">
        <f t="shared" si="23"/>
        <v>2480.4189476295887</v>
      </c>
    </row>
    <row r="38" spans="1:53">
      <c r="B38" s="479" t="s">
        <v>247</v>
      </c>
      <c r="C38" s="480"/>
      <c r="D38" s="10">
        <f t="shared" ref="D38:AI38" si="24">D23-D21-D22</f>
        <v>-156</v>
      </c>
      <c r="E38" s="10">
        <f t="shared" si="24"/>
        <v>-159.12</v>
      </c>
      <c r="F38" s="10">
        <f t="shared" si="24"/>
        <v>-162.30239999999998</v>
      </c>
      <c r="G38" s="10">
        <f t="shared" si="24"/>
        <v>-165.54844800000001</v>
      </c>
      <c r="H38" s="10">
        <f t="shared" si="24"/>
        <v>-168.85941696</v>
      </c>
      <c r="I38" s="10">
        <f t="shared" si="24"/>
        <v>-172.23660529919999</v>
      </c>
      <c r="J38" s="10">
        <f t="shared" si="24"/>
        <v>-175.68133740518402</v>
      </c>
      <c r="K38" s="10">
        <f t="shared" si="24"/>
        <v>-179.19496415328769</v>
      </c>
      <c r="L38" s="10">
        <f t="shared" si="24"/>
        <v>-182.77886343635345</v>
      </c>
      <c r="M38" s="10">
        <f t="shared" si="24"/>
        <v>-186.43444070508053</v>
      </c>
      <c r="N38" s="10">
        <f t="shared" si="24"/>
        <v>-190.16312951918215</v>
      </c>
      <c r="O38" s="10">
        <f t="shared" si="24"/>
        <v>-193.96639210956582</v>
      </c>
      <c r="P38" s="10">
        <f t="shared" si="24"/>
        <v>-197.8457199517571</v>
      </c>
      <c r="Q38" s="10">
        <f t="shared" si="24"/>
        <v>-201.80263435079229</v>
      </c>
      <c r="R38" s="10">
        <f t="shared" si="24"/>
        <v>-205.83868703780811</v>
      </c>
      <c r="S38" s="10">
        <f t="shared" si="24"/>
        <v>-209.95546077856429</v>
      </c>
      <c r="T38" s="10">
        <f t="shared" si="24"/>
        <v>-214.15456999413561</v>
      </c>
      <c r="U38" s="10">
        <f t="shared" si="24"/>
        <v>-218.43766139401828</v>
      </c>
      <c r="V38" s="10">
        <f t="shared" si="24"/>
        <v>-222.80641462189868</v>
      </c>
      <c r="W38" s="10">
        <f t="shared" si="24"/>
        <v>-227.26254291433665</v>
      </c>
      <c r="X38" s="10">
        <f t="shared" si="24"/>
        <v>-231.80779377262337</v>
      </c>
      <c r="Y38" s="10">
        <f t="shared" si="24"/>
        <v>-236.44394964807586</v>
      </c>
      <c r="Z38" s="10">
        <f t="shared" si="24"/>
        <v>-241.17282864103737</v>
      </c>
      <c r="AA38" s="10">
        <f t="shared" si="24"/>
        <v>-245.99628521385816</v>
      </c>
      <c r="AB38" s="10">
        <f t="shared" si="24"/>
        <v>-250.91621091813531</v>
      </c>
      <c r="AC38" s="10">
        <f t="shared" si="24"/>
        <v>-255.93453513649803</v>
      </c>
      <c r="AD38" s="10">
        <f t="shared" si="24"/>
        <v>-261.05322583922799</v>
      </c>
      <c r="AE38" s="10">
        <f t="shared" si="24"/>
        <v>-266.27429035601256</v>
      </c>
      <c r="AF38" s="10">
        <f t="shared" si="24"/>
        <v>-271.59977616313279</v>
      </c>
      <c r="AG38" s="10">
        <f t="shared" si="24"/>
        <v>-277.03177168639547</v>
      </c>
      <c r="AH38" s="10">
        <f t="shared" si="24"/>
        <v>-282.57240712012333</v>
      </c>
      <c r="AI38" s="10">
        <f t="shared" si="24"/>
        <v>-288.22385526252589</v>
      </c>
      <c r="AJ38" s="10">
        <f t="shared" ref="AJ38:BA38" si="25">AJ23-AJ21-AJ22</f>
        <v>-293.98833236777642</v>
      </c>
      <c r="AK38" s="10">
        <f t="shared" si="25"/>
        <v>-299.86809901513197</v>
      </c>
      <c r="AL38" s="10">
        <f t="shared" si="25"/>
        <v>-305.8654609954346</v>
      </c>
      <c r="AM38" s="10">
        <f t="shared" si="25"/>
        <v>-311.98277021534329</v>
      </c>
      <c r="AN38" s="10">
        <f t="shared" si="25"/>
        <v>-318.22242561965015</v>
      </c>
      <c r="AO38" s="10">
        <f t="shared" si="25"/>
        <v>-324.58687413204314</v>
      </c>
      <c r="AP38" s="10">
        <f t="shared" si="25"/>
        <v>-331.07861161468401</v>
      </c>
      <c r="AQ38" s="10">
        <f t="shared" si="25"/>
        <v>-337.70018384697767</v>
      </c>
      <c r="AR38" s="10">
        <f t="shared" si="25"/>
        <v>-344.4541875239172</v>
      </c>
      <c r="AS38" s="10">
        <f t="shared" si="25"/>
        <v>-351.34327127439553</v>
      </c>
      <c r="AT38" s="10">
        <f t="shared" si="25"/>
        <v>-358.37013669988346</v>
      </c>
      <c r="AU38" s="10">
        <f t="shared" si="25"/>
        <v>-365.53753943388114</v>
      </c>
      <c r="AV38" s="10">
        <f t="shared" si="25"/>
        <v>-372.84829022255877</v>
      </c>
      <c r="AW38" s="10">
        <f t="shared" si="25"/>
        <v>-380.30525602700993</v>
      </c>
      <c r="AX38" s="10">
        <f t="shared" si="25"/>
        <v>-387.91136114755011</v>
      </c>
      <c r="AY38" s="10">
        <f t="shared" si="25"/>
        <v>-395.66958837050106</v>
      </c>
      <c r="AZ38" s="10">
        <f t="shared" si="25"/>
        <v>-403.58298013791108</v>
      </c>
      <c r="BA38" s="283">
        <f t="shared" si="25"/>
        <v>-411.65463974066938</v>
      </c>
    </row>
    <row r="39" spans="1:53">
      <c r="B39" s="479" t="s">
        <v>31</v>
      </c>
      <c r="C39" s="480"/>
      <c r="D39" s="10">
        <f>-'Wert, AfA, Darlehen'!D110/12</f>
        <v>-308.33333333333331</v>
      </c>
      <c r="E39" s="10">
        <f>-'Wert, AfA, Darlehen'!E110/12</f>
        <v>-301.24166666666662</v>
      </c>
      <c r="F39" s="10">
        <f>-'Wert, AfA, Darlehen'!F110/12</f>
        <v>-263.05427499999996</v>
      </c>
      <c r="G39" s="10">
        <f>-'Wert, AfA, Darlehen'!G110/12</f>
        <v>-254.28728317499997</v>
      </c>
      <c r="H39" s="10">
        <f>-'Wert, AfA, Darlehen'!H110/12</f>
        <v>-245.19591265247496</v>
      </c>
      <c r="I39" s="10">
        <f>-'Wert, AfA, Darlehen'!I110/12</f>
        <v>-235.76816142061656</v>
      </c>
      <c r="J39" s="10">
        <f>-'Wert, AfA, Darlehen'!J110/12</f>
        <v>-225.99158339317941</v>
      </c>
      <c r="K39" s="10">
        <f>-'Wert, AfA, Darlehen'!K110/12</f>
        <v>-215.85327197872707</v>
      </c>
      <c r="L39" s="10">
        <f>-'Wert, AfA, Darlehen'!L110/12</f>
        <v>-205.33984304193993</v>
      </c>
      <c r="M39" s="10">
        <f>-'Wert, AfA, Darlehen'!M110/12</f>
        <v>-194.43741723449173</v>
      </c>
      <c r="N39" s="10">
        <f>-'Wert, AfA, Darlehen'!N110/12</f>
        <v>-183.1316016721679</v>
      </c>
      <c r="O39" s="10">
        <f>-'Wert, AfA, Darlehen'!O110/12</f>
        <v>-171.40747093403812</v>
      </c>
      <c r="P39" s="10">
        <f>-'Wert, AfA, Darlehen'!P110/12</f>
        <v>-159.24954735859754</v>
      </c>
      <c r="Q39" s="10">
        <f>-'Wert, AfA, Darlehen'!Q110/12</f>
        <v>-146.64178061086565</v>
      </c>
      <c r="R39" s="10">
        <f>-'Wert, AfA, Darlehen'!R110/12</f>
        <v>-133.56752649346768</v>
      </c>
      <c r="S39" s="10">
        <f>-'Wert, AfA, Darlehen'!S110/12</f>
        <v>-120.00952497372599</v>
      </c>
      <c r="T39" s="10">
        <f>-'Wert, AfA, Darlehen'!T110/12</f>
        <v>-105.94987739775384</v>
      </c>
      <c r="U39" s="10">
        <f>-'Wert, AfA, Darlehen'!U110/12</f>
        <v>-91.37002286147073</v>
      </c>
      <c r="V39" s="10">
        <f>-'Wert, AfA, Darlehen'!V110/12</f>
        <v>-76.250713707345156</v>
      </c>
      <c r="W39" s="10">
        <f>-'Wert, AfA, Darlehen'!W110/12</f>
        <v>-60.571990114516915</v>
      </c>
      <c r="X39" s="10">
        <f>-'Wert, AfA, Darlehen'!X110/12</f>
        <v>-44.313153748754047</v>
      </c>
      <c r="Y39" s="10">
        <f>-'Wert, AfA, Darlehen'!Y110/12</f>
        <v>-27.452740437457944</v>
      </c>
      <c r="Z39" s="10">
        <f>-'Wert, AfA, Darlehen'!Z110/12</f>
        <v>-9.9684918336438884</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-102.84375</v>
      </c>
      <c r="E40" s="10">
        <f>-'Wert, AfA, Darlehen'!E19-'Wert, AfA, Darlehen'!E24-'Wert, AfA, Darlehen'!E34</f>
        <v>-102.84375</v>
      </c>
      <c r="F40" s="10">
        <f>-'Wert, AfA, Darlehen'!F19-'Wert, AfA, Darlehen'!F24-'Wert, AfA, Darlehen'!F34</f>
        <v>-102.84375</v>
      </c>
      <c r="G40" s="10">
        <f>-'Wert, AfA, Darlehen'!G19-'Wert, AfA, Darlehen'!G24-'Wert, AfA, Darlehen'!G34</f>
        <v>-102.84375</v>
      </c>
      <c r="H40" s="10">
        <f>-'Wert, AfA, Darlehen'!H19-'Wert, AfA, Darlehen'!H24-'Wert, AfA, Darlehen'!H34</f>
        <v>-102.84375</v>
      </c>
      <c r="I40" s="10">
        <f>-'Wert, AfA, Darlehen'!I19-'Wert, AfA, Darlehen'!I24-'Wert, AfA, Darlehen'!I34</f>
        <v>-102.84375</v>
      </c>
      <c r="J40" s="10">
        <f>-'Wert, AfA, Darlehen'!J19-'Wert, AfA, Darlehen'!J24-'Wert, AfA, Darlehen'!J34</f>
        <v>-102.84375</v>
      </c>
      <c r="K40" s="10">
        <f>-'Wert, AfA, Darlehen'!K19-'Wert, AfA, Darlehen'!K24-'Wert, AfA, Darlehen'!K34</f>
        <v>-102.84375</v>
      </c>
      <c r="L40" s="10">
        <f>-'Wert, AfA, Darlehen'!L19-'Wert, AfA, Darlehen'!L24-'Wert, AfA, Darlehen'!L34</f>
        <v>-102.84375</v>
      </c>
      <c r="M40" s="10">
        <f>-'Wert, AfA, Darlehen'!M19-'Wert, AfA, Darlehen'!M24-'Wert, AfA, Darlehen'!M34</f>
        <v>-102.84375</v>
      </c>
      <c r="N40" s="10">
        <f>-'Wert, AfA, Darlehen'!N19-'Wert, AfA, Darlehen'!N24-'Wert, AfA, Darlehen'!N34</f>
        <v>-102.84375</v>
      </c>
      <c r="O40" s="10">
        <f>-'Wert, AfA, Darlehen'!O19-'Wert, AfA, Darlehen'!O24-'Wert, AfA, Darlehen'!O34</f>
        <v>-102.84375</v>
      </c>
      <c r="P40" s="10">
        <f>-'Wert, AfA, Darlehen'!P19-'Wert, AfA, Darlehen'!P24-'Wert, AfA, Darlehen'!P34</f>
        <v>-102.84375</v>
      </c>
      <c r="Q40" s="10">
        <f>-'Wert, AfA, Darlehen'!Q19-'Wert, AfA, Darlehen'!Q24-'Wert, AfA, Darlehen'!Q34</f>
        <v>-102.84375</v>
      </c>
      <c r="R40" s="10">
        <f>-'Wert, AfA, Darlehen'!R19-'Wert, AfA, Darlehen'!R24-'Wert, AfA, Darlehen'!R34</f>
        <v>-102.84375</v>
      </c>
      <c r="S40" s="10">
        <f>-'Wert, AfA, Darlehen'!S19-'Wert, AfA, Darlehen'!S24-'Wert, AfA, Darlehen'!S34</f>
        <v>-102.84375</v>
      </c>
      <c r="T40" s="10">
        <f>-'Wert, AfA, Darlehen'!T19-'Wert, AfA, Darlehen'!T24-'Wert, AfA, Darlehen'!T34</f>
        <v>-102.84375</v>
      </c>
      <c r="U40" s="10">
        <f>-'Wert, AfA, Darlehen'!U19-'Wert, AfA, Darlehen'!U24-'Wert, AfA, Darlehen'!U34</f>
        <v>-102.84375</v>
      </c>
      <c r="V40" s="10">
        <f>-'Wert, AfA, Darlehen'!V19-'Wert, AfA, Darlehen'!V24-'Wert, AfA, Darlehen'!V34</f>
        <v>-102.84375</v>
      </c>
      <c r="W40" s="10">
        <f>-'Wert, AfA, Darlehen'!W19-'Wert, AfA, Darlehen'!W24-'Wert, AfA, Darlehen'!W34</f>
        <v>-102.84375</v>
      </c>
      <c r="X40" s="10">
        <f>-'Wert, AfA, Darlehen'!X19-'Wert, AfA, Darlehen'!X24-'Wert, AfA, Darlehen'!X34</f>
        <v>-102.84375</v>
      </c>
      <c r="Y40" s="10">
        <f>-'Wert, AfA, Darlehen'!Y19-'Wert, AfA, Darlehen'!Y24-'Wert, AfA, Darlehen'!Y34</f>
        <v>-102.84375</v>
      </c>
      <c r="Z40" s="10">
        <f>-'Wert, AfA, Darlehen'!Z19-'Wert, AfA, Darlehen'!Z24-'Wert, AfA, Darlehen'!Z34</f>
        <v>-102.84375</v>
      </c>
      <c r="AA40" s="10">
        <f>-'Wert, AfA, Darlehen'!AA19-'Wert, AfA, Darlehen'!AA24-'Wert, AfA, Darlehen'!AA34</f>
        <v>-102.84375</v>
      </c>
      <c r="AB40" s="10">
        <f>-'Wert, AfA, Darlehen'!AB19-'Wert, AfA, Darlehen'!AB24-'Wert, AfA, Darlehen'!AB34</f>
        <v>-102.84375</v>
      </c>
      <c r="AC40" s="10">
        <f>-'Wert, AfA, Darlehen'!AC19-'Wert, AfA, Darlehen'!AC24-'Wert, AfA, Darlehen'!AC34</f>
        <v>-102.84375</v>
      </c>
      <c r="AD40" s="10">
        <f>-'Wert, AfA, Darlehen'!AD19-'Wert, AfA, Darlehen'!AD24-'Wert, AfA, Darlehen'!AD34</f>
        <v>-102.84375</v>
      </c>
      <c r="AE40" s="10">
        <f>-'Wert, AfA, Darlehen'!AE19-'Wert, AfA, Darlehen'!AE24-'Wert, AfA, Darlehen'!AE34</f>
        <v>-102.84375</v>
      </c>
      <c r="AF40" s="10">
        <f>-'Wert, AfA, Darlehen'!AF19-'Wert, AfA, Darlehen'!AF24-'Wert, AfA, Darlehen'!AF34</f>
        <v>-102.84375</v>
      </c>
      <c r="AG40" s="10">
        <f>-'Wert, AfA, Darlehen'!AG19-'Wert, AfA, Darlehen'!AG24-'Wert, AfA, Darlehen'!AG34</f>
        <v>-102.84375</v>
      </c>
      <c r="AH40" s="10">
        <f>-'Wert, AfA, Darlehen'!AH19-'Wert, AfA, Darlehen'!AH24-'Wert, AfA, Darlehen'!AH34</f>
        <v>-102.84375</v>
      </c>
      <c r="AI40" s="10">
        <f>-'Wert, AfA, Darlehen'!AI19-'Wert, AfA, Darlehen'!AI24-'Wert, AfA, Darlehen'!AI34</f>
        <v>-102.84375</v>
      </c>
      <c r="AJ40" s="10">
        <f>-'Wert, AfA, Darlehen'!AJ19-'Wert, AfA, Darlehen'!AJ24-'Wert, AfA, Darlehen'!AJ34</f>
        <v>-102.84375</v>
      </c>
      <c r="AK40" s="10">
        <f>-'Wert, AfA, Darlehen'!AK19-'Wert, AfA, Darlehen'!AK24-'Wert, AfA, Darlehen'!AK34</f>
        <v>-102.84375</v>
      </c>
      <c r="AL40" s="10">
        <f>-'Wert, AfA, Darlehen'!AL19-'Wert, AfA, Darlehen'!AL24-'Wert, AfA, Darlehen'!AL34</f>
        <v>-102.84375</v>
      </c>
      <c r="AM40" s="10">
        <f>-'Wert, AfA, Darlehen'!AM19-'Wert, AfA, Darlehen'!AM24-'Wert, AfA, Darlehen'!AM34</f>
        <v>-102.84375</v>
      </c>
      <c r="AN40" s="10">
        <f>-'Wert, AfA, Darlehen'!AN19-'Wert, AfA, Darlehen'!AN24-'Wert, AfA, Darlehen'!AN34</f>
        <v>-102.84375</v>
      </c>
      <c r="AO40" s="10">
        <f>-'Wert, AfA, Darlehen'!AO19-'Wert, AfA, Darlehen'!AO24-'Wert, AfA, Darlehen'!AO34</f>
        <v>-102.84375</v>
      </c>
      <c r="AP40" s="10">
        <f>-'Wert, AfA, Darlehen'!AP19-'Wert, AfA, Darlehen'!AP24-'Wert, AfA, Darlehen'!AP34</f>
        <v>-102.84375</v>
      </c>
      <c r="AQ40" s="10">
        <f>-'Wert, AfA, Darlehen'!AQ19-'Wert, AfA, Darlehen'!AQ24-'Wert, AfA, Darlehen'!AQ34</f>
        <v>-102.84375</v>
      </c>
      <c r="AR40" s="10">
        <f>-'Wert, AfA, Darlehen'!AR19-'Wert, AfA, Darlehen'!AR24-'Wert, AfA, Darlehen'!AR34</f>
        <v>-102.84375</v>
      </c>
      <c r="AS40" s="10">
        <f>-'Wert, AfA, Darlehen'!AS19-'Wert, AfA, Darlehen'!AS24-'Wert, AfA, Darlehen'!AS34</f>
        <v>-102.84375</v>
      </c>
      <c r="AT40" s="10">
        <f>-'Wert, AfA, Darlehen'!AT19-'Wert, AfA, Darlehen'!AT24-'Wert, AfA, Darlehen'!AT34</f>
        <v>-102.84375</v>
      </c>
      <c r="AU40" s="10">
        <f>-'Wert, AfA, Darlehen'!AU19-'Wert, AfA, Darlehen'!AU24-'Wert, AfA, Darlehen'!AU34</f>
        <v>-102.84375</v>
      </c>
      <c r="AV40" s="10">
        <f>-'Wert, AfA, Darlehen'!AV19-'Wert, AfA, Darlehen'!AV24-'Wert, AfA, Darlehen'!AV34</f>
        <v>-102.84375</v>
      </c>
      <c r="AW40" s="10">
        <f>-'Wert, AfA, Darlehen'!AW19-'Wert, AfA, Darlehen'!AW24-'Wert, AfA, Darlehen'!AW34</f>
        <v>-102.84375</v>
      </c>
      <c r="AX40" s="10">
        <f>-'Wert, AfA, Darlehen'!AX19-'Wert, AfA, Darlehen'!AX24-'Wert, AfA, Darlehen'!AX34</f>
        <v>-102.84375</v>
      </c>
      <c r="AY40" s="10">
        <f>-'Wert, AfA, Darlehen'!AY19-'Wert, AfA, Darlehen'!AY24-'Wert, AfA, Darlehen'!AY34</f>
        <v>-102.84375</v>
      </c>
      <c r="AZ40" s="10">
        <f>-'Wert, AfA, Darlehen'!AZ19-'Wert, AfA, Darlehen'!AZ24-'Wert, AfA, Darlehen'!AZ34</f>
        <v>-102.84375</v>
      </c>
      <c r="BA40" s="283">
        <f>-'Wert, AfA, Darlehen'!BA19-'Wert, AfA, Darlehen'!BA24-'Wert, AfA, Darlehen'!BA34</f>
        <v>-102.84375</v>
      </c>
    </row>
    <row r="41" spans="1:53">
      <c r="B41" s="479" t="s">
        <v>37</v>
      </c>
      <c r="C41" s="480"/>
      <c r="D41" s="10">
        <f t="shared" ref="D41:AI41" si="26">SUM(D37:D40)</f>
        <v>73.197916666666686</v>
      </c>
      <c r="E41" s="10">
        <f t="shared" si="26"/>
        <v>79.389583333333405</v>
      </c>
      <c r="F41" s="10">
        <f t="shared" si="26"/>
        <v>132.54022500000013</v>
      </c>
      <c r="G41" s="10">
        <f t="shared" si="26"/>
        <v>156.72854432500003</v>
      </c>
      <c r="H41" s="10">
        <f t="shared" si="26"/>
        <v>181.71324577252506</v>
      </c>
      <c r="I41" s="10">
        <f t="shared" si="26"/>
        <v>207.52067872913346</v>
      </c>
      <c r="J41" s="10">
        <f t="shared" si="26"/>
        <v>234.17807082250317</v>
      </c>
      <c r="K41" s="10">
        <f t="shared" si="26"/>
        <v>261.71355745209473</v>
      </c>
      <c r="L41" s="10">
        <f t="shared" si="26"/>
        <v>290.15621232224885</v>
      </c>
      <c r="M41" s="10">
        <f t="shared" si="26"/>
        <v>319.53607901207374</v>
      </c>
      <c r="N41" s="10">
        <f t="shared" si="26"/>
        <v>349.88420361767442</v>
      </c>
      <c r="O41" s="10">
        <f t="shared" si="26"/>
        <v>381.23266850349717</v>
      </c>
      <c r="P41" s="10">
        <f t="shared" si="26"/>
        <v>413.61462720084148</v>
      </c>
      <c r="Q41" s="10">
        <f t="shared" si="26"/>
        <v>447.06434049290965</v>
      </c>
      <c r="R41" s="10">
        <f t="shared" si="26"/>
        <v>481.6172137271252</v>
      </c>
      <c r="S41" s="10">
        <f t="shared" si="26"/>
        <v>517.30983539686292</v>
      </c>
      <c r="T41" s="10">
        <f t="shared" si="26"/>
        <v>554.18001703619859</v>
      </c>
      <c r="U41" s="10">
        <f t="shared" si="26"/>
        <v>592.26683447279117</v>
      </c>
      <c r="V41" s="10">
        <f t="shared" si="26"/>
        <v>631.61067048558095</v>
      </c>
      <c r="W41" s="10">
        <f t="shared" si="26"/>
        <v>672.25325891560658</v>
      </c>
      <c r="X41" s="10">
        <f t="shared" si="26"/>
        <v>714.23773027991047</v>
      </c>
      <c r="Y41" s="10">
        <f t="shared" si="26"/>
        <v>757.60865894025699</v>
      </c>
      <c r="Z41" s="10">
        <f t="shared" si="26"/>
        <v>802.41211188015654</v>
      </c>
      <c r="AA41" s="10">
        <f t="shared" si="26"/>
        <v>840.53302517706345</v>
      </c>
      <c r="AB41" s="10">
        <f t="shared" si="26"/>
        <v>869.54393310126159</v>
      </c>
      <c r="AC41" s="10">
        <f t="shared" si="26"/>
        <v>899.43936035656338</v>
      </c>
      <c r="AD41" s="10">
        <f t="shared" si="26"/>
        <v>930.24612636476945</v>
      </c>
      <c r="AE41" s="10">
        <f t="shared" si="26"/>
        <v>961.99186080717209</v>
      </c>
      <c r="AF41" s="10">
        <f t="shared" si="26"/>
        <v>994.70502804587568</v>
      </c>
      <c r="AG41" s="10">
        <f t="shared" si="26"/>
        <v>1028.4149522800299</v>
      </c>
      <c r="AH41" s="10">
        <f t="shared" si="26"/>
        <v>1063.1518434590648</v>
      </c>
      <c r="AI41" s="10">
        <f t="shared" si="26"/>
        <v>1098.9468239756834</v>
      </c>
      <c r="AJ41" s="10">
        <f t="shared" ref="AJ41:BA41" si="27">SUM(AJ37:AJ40)</f>
        <v>1135.8319561620574</v>
      </c>
      <c r="AK41" s="10">
        <f t="shared" si="27"/>
        <v>1173.8402706133645</v>
      </c>
      <c r="AL41" s="10">
        <f t="shared" si="27"/>
        <v>1213.0057953635398</v>
      </c>
      <c r="AM41" s="10">
        <f t="shared" si="27"/>
        <v>1253.363585938856</v>
      </c>
      <c r="AN41" s="10">
        <f t="shared" si="27"/>
        <v>1294.9497563157197</v>
      </c>
      <c r="AO41" s="10">
        <f t="shared" si="27"/>
        <v>1337.8015108098639</v>
      </c>
      <c r="AP41" s="10">
        <f t="shared" si="27"/>
        <v>1381.9571769249253</v>
      </c>
      <c r="AQ41" s="10">
        <f t="shared" si="27"/>
        <v>1427.4562391892537</v>
      </c>
      <c r="AR41" s="10">
        <f t="shared" si="27"/>
        <v>1474.339374010644</v>
      </c>
      <c r="AS41" s="10">
        <f t="shared" si="27"/>
        <v>1522.6484855795902</v>
      </c>
      <c r="AT41" s="10">
        <f t="shared" si="27"/>
        <v>1572.426742852577</v>
      </c>
      <c r="AU41" s="10">
        <f t="shared" si="27"/>
        <v>1623.7186176478654</v>
      </c>
      <c r="AV41" s="10">
        <f t="shared" si="27"/>
        <v>1676.5699238872071</v>
      </c>
      <c r="AW41" s="10">
        <f t="shared" si="27"/>
        <v>1731.027858017927</v>
      </c>
      <c r="AX41" s="10">
        <f t="shared" si="27"/>
        <v>1787.1410406508508</v>
      </c>
      <c r="AY41" s="10">
        <f t="shared" si="27"/>
        <v>1844.9595594506095</v>
      </c>
      <c r="AZ41" s="10">
        <f t="shared" si="27"/>
        <v>1904.5350133159657</v>
      </c>
      <c r="BA41" s="283">
        <f t="shared" si="27"/>
        <v>1965.9205578889196</v>
      </c>
    </row>
    <row r="42" spans="1:53">
      <c r="B42" s="479" t="s">
        <v>287</v>
      </c>
      <c r="C42" s="480"/>
      <c r="D42" s="35">
        <f>Cockpit!Q33</f>
        <v>0.4</v>
      </c>
      <c r="E42" s="289">
        <v>0.4</v>
      </c>
      <c r="F42" s="289">
        <f t="shared" ref="F42:AJ42" si="28">E42</f>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4.95" thickBot="1">
      <c r="B43" s="481" t="s">
        <v>40</v>
      </c>
      <c r="C43" s="482"/>
      <c r="D43" s="284">
        <f t="shared" ref="D43:AI43" si="30">D42*D41</f>
        <v>29.279166666666676</v>
      </c>
      <c r="E43" s="284">
        <f t="shared" si="30"/>
        <v>31.755833333333364</v>
      </c>
      <c r="F43" s="284">
        <f t="shared" si="30"/>
        <v>53.016090000000055</v>
      </c>
      <c r="G43" s="284">
        <f t="shared" si="30"/>
        <v>62.691417730000012</v>
      </c>
      <c r="H43" s="284">
        <f t="shared" si="30"/>
        <v>72.685298309010022</v>
      </c>
      <c r="I43" s="284">
        <f t="shared" si="30"/>
        <v>83.008271491653389</v>
      </c>
      <c r="J43" s="284">
        <f t="shared" si="30"/>
        <v>93.671228329001281</v>
      </c>
      <c r="K43" s="284">
        <f t="shared" si="30"/>
        <v>104.6854229808379</v>
      </c>
      <c r="L43" s="284">
        <f t="shared" si="30"/>
        <v>116.06248492889955</v>
      </c>
      <c r="M43" s="284">
        <f t="shared" si="30"/>
        <v>127.81443160482951</v>
      </c>
      <c r="N43" s="284">
        <f t="shared" si="30"/>
        <v>139.95368144706978</v>
      </c>
      <c r="O43" s="284">
        <f t="shared" si="30"/>
        <v>152.49306740139886</v>
      </c>
      <c r="P43" s="284">
        <f t="shared" si="30"/>
        <v>165.44585088033659</v>
      </c>
      <c r="Q43" s="284">
        <f t="shared" si="30"/>
        <v>178.82573619716388</v>
      </c>
      <c r="R43" s="284">
        <f t="shared" si="30"/>
        <v>192.64688549085008</v>
      </c>
      <c r="S43" s="284">
        <f t="shared" si="30"/>
        <v>206.92393415874517</v>
      </c>
      <c r="T43" s="284">
        <f t="shared" si="30"/>
        <v>221.67200681447946</v>
      </c>
      <c r="U43" s="284">
        <f t="shared" si="30"/>
        <v>236.90673378911649</v>
      </c>
      <c r="V43" s="284">
        <f t="shared" si="30"/>
        <v>252.64426819423238</v>
      </c>
      <c r="W43" s="284">
        <f t="shared" si="30"/>
        <v>268.90130356624263</v>
      </c>
      <c r="X43" s="284">
        <f t="shared" si="30"/>
        <v>285.69509211196419</v>
      </c>
      <c r="Y43" s="284">
        <f t="shared" si="30"/>
        <v>303.04346357610279</v>
      </c>
      <c r="Z43" s="284">
        <f t="shared" si="30"/>
        <v>320.96484475206262</v>
      </c>
      <c r="AA43" s="284">
        <f t="shared" si="30"/>
        <v>336.21321007082543</v>
      </c>
      <c r="AB43" s="284">
        <f t="shared" si="30"/>
        <v>347.81757324050466</v>
      </c>
      <c r="AC43" s="284">
        <f t="shared" si="30"/>
        <v>359.7757441426254</v>
      </c>
      <c r="AD43" s="284">
        <f t="shared" si="30"/>
        <v>372.09845054590778</v>
      </c>
      <c r="AE43" s="284">
        <f t="shared" si="30"/>
        <v>384.79674432286885</v>
      </c>
      <c r="AF43" s="284">
        <f t="shared" si="30"/>
        <v>397.88201121835027</v>
      </c>
      <c r="AG43" s="284">
        <f t="shared" si="30"/>
        <v>411.36598091201199</v>
      </c>
      <c r="AH43" s="284">
        <f t="shared" si="30"/>
        <v>425.26073738362595</v>
      </c>
      <c r="AI43" s="284">
        <f t="shared" si="30"/>
        <v>439.57872959027338</v>
      </c>
      <c r="AJ43" s="284">
        <f t="shared" ref="AJ43:BA43" si="31">AJ42*AJ41</f>
        <v>454.33278246482297</v>
      </c>
      <c r="AK43" s="284">
        <f t="shared" si="31"/>
        <v>469.53610824534582</v>
      </c>
      <c r="AL43" s="284">
        <f t="shared" si="31"/>
        <v>485.20231814541597</v>
      </c>
      <c r="AM43" s="284">
        <f t="shared" si="31"/>
        <v>501.34543437554242</v>
      </c>
      <c r="AN43" s="284">
        <f t="shared" si="31"/>
        <v>517.9799025262879</v>
      </c>
      <c r="AO43" s="284">
        <f t="shared" si="31"/>
        <v>535.1206043239456</v>
      </c>
      <c r="AP43" s="284">
        <f t="shared" si="31"/>
        <v>552.78287076997015</v>
      </c>
      <c r="AQ43" s="284">
        <f t="shared" si="31"/>
        <v>570.98249567570144</v>
      </c>
      <c r="AR43" s="284">
        <f t="shared" si="31"/>
        <v>589.73574960425765</v>
      </c>
      <c r="AS43" s="284">
        <f t="shared" si="31"/>
        <v>609.05939423183611</v>
      </c>
      <c r="AT43" s="284">
        <f t="shared" si="31"/>
        <v>628.97069714103088</v>
      </c>
      <c r="AU43" s="284">
        <f t="shared" si="31"/>
        <v>649.48744705914623</v>
      </c>
      <c r="AV43" s="284">
        <f t="shared" si="31"/>
        <v>670.62796955488284</v>
      </c>
      <c r="AW43" s="284">
        <f t="shared" si="31"/>
        <v>692.41114320717088</v>
      </c>
      <c r="AX43" s="284">
        <f t="shared" si="31"/>
        <v>714.85641626034032</v>
      </c>
      <c r="AY43" s="284">
        <f t="shared" si="31"/>
        <v>737.98382378024382</v>
      </c>
      <c r="AZ43" s="284">
        <f t="shared" si="31"/>
        <v>761.81400532638634</v>
      </c>
      <c r="BA43" s="285">
        <f t="shared" si="31"/>
        <v>786.36822315556788</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F9:BA9 F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9" activePane="bottomRight" state="frozen"/>
      <selection pane="topRight" activeCell="D1" sqref="D1"/>
      <selection pane="bottomLeft" activeCell="A7" sqref="A7"/>
      <selection pane="bottomRight" activeCell="E49" sqref="E49"/>
    </sheetView>
  </sheetViews>
  <sheetFormatPr baseColWidth="10" defaultColWidth="9.125" defaultRowHeight="14.3"/>
  <cols>
    <col min="1" max="1" width="3.375" style="6" customWidth="1"/>
    <col min="2" max="2" width="34.75" style="6" customWidth="1"/>
    <col min="3" max="3" width="0.375" style="6" customWidth="1"/>
    <col min="4" max="8" width="11.125" style="6" customWidth="1"/>
    <col min="9" max="12" width="11.125" style="5" customWidth="1"/>
    <col min="13" max="53" width="11.125" style="6" customWidth="1"/>
    <col min="54" max="16384" width="9.125" style="6"/>
  </cols>
  <sheetData>
    <row r="1" spans="1:53" s="150" customFormat="1" ht="12.75" customHeight="1">
      <c r="B1" s="427" t="s">
        <v>344</v>
      </c>
      <c r="C1" s="427"/>
      <c r="E1" s="491" t="s">
        <v>352</v>
      </c>
      <c r="F1" s="491"/>
      <c r="G1" s="491"/>
      <c r="H1" s="491"/>
      <c r="I1" s="491"/>
      <c r="J1" s="427" t="s">
        <v>462</v>
      </c>
      <c r="K1" s="427"/>
      <c r="L1" s="427"/>
      <c r="M1" s="427"/>
      <c r="N1" s="427"/>
      <c r="O1" s="427"/>
      <c r="P1" s="427"/>
      <c r="Q1" s="427"/>
      <c r="R1" s="427"/>
      <c r="T1" s="427"/>
      <c r="U1" s="427"/>
    </row>
    <row r="2" spans="1:53" s="150" customFormat="1" ht="14.9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 customHeight="1">
      <c r="I4" s="6"/>
      <c r="J4" s="6"/>
      <c r="K4" s="6"/>
      <c r="L4" s="6"/>
      <c r="M4" s="5"/>
      <c r="N4" s="5"/>
      <c r="O4" s="5"/>
      <c r="P4" s="5"/>
    </row>
    <row r="5" spans="1:53" ht="9" customHeight="1" thickBot="1">
      <c r="I5" s="6"/>
      <c r="J5" s="6"/>
      <c r="K5" s="6"/>
      <c r="L5" s="6"/>
      <c r="N5" s="5"/>
      <c r="O5" s="5"/>
      <c r="P5" s="5"/>
      <c r="Q5" s="5"/>
    </row>
    <row r="6" spans="1:53" ht="16.3" thickBot="1">
      <c r="A6"/>
      <c r="B6" s="273" t="s">
        <v>60</v>
      </c>
      <c r="C6" s="33"/>
      <c r="D6" s="34"/>
      <c r="I6" s="6"/>
      <c r="J6" s="6"/>
      <c r="K6" s="6"/>
      <c r="L6" s="6"/>
    </row>
    <row r="7" spans="1:53" ht="14.9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125000</v>
      </c>
      <c r="E8" s="291">
        <f>D12</f>
        <v>127500</v>
      </c>
      <c r="F8" s="291">
        <f t="shared" ref="F8:BA8" si="1">E12</f>
        <v>130050</v>
      </c>
      <c r="G8" s="291">
        <f t="shared" si="1"/>
        <v>132651</v>
      </c>
      <c r="H8" s="291">
        <f t="shared" si="1"/>
        <v>135304.01999999999</v>
      </c>
      <c r="I8" s="291">
        <f t="shared" si="1"/>
        <v>138010.1004</v>
      </c>
      <c r="J8" s="291">
        <f t="shared" si="1"/>
        <v>140770.30240799999</v>
      </c>
      <c r="K8" s="291">
        <f t="shared" si="1"/>
        <v>143585.70845615998</v>
      </c>
      <c r="L8" s="291">
        <f t="shared" si="1"/>
        <v>146457.42262528319</v>
      </c>
      <c r="M8" s="291">
        <f t="shared" si="1"/>
        <v>149386.57107778886</v>
      </c>
      <c r="N8" s="291">
        <f t="shared" si="1"/>
        <v>152374.30249934463</v>
      </c>
      <c r="O8" s="291">
        <f t="shared" si="1"/>
        <v>155421.78854933151</v>
      </c>
      <c r="P8" s="291">
        <f t="shared" si="1"/>
        <v>158530.22432031814</v>
      </c>
      <c r="Q8" s="291">
        <f t="shared" si="1"/>
        <v>161700.82880672452</v>
      </c>
      <c r="R8" s="291">
        <f t="shared" si="1"/>
        <v>164934.845382859</v>
      </c>
      <c r="S8" s="291">
        <f t="shared" si="1"/>
        <v>168233.54229051617</v>
      </c>
      <c r="T8" s="291">
        <f t="shared" si="1"/>
        <v>171598.21313632649</v>
      </c>
      <c r="U8" s="291">
        <f t="shared" si="1"/>
        <v>175030.17739905303</v>
      </c>
      <c r="V8" s="291">
        <f t="shared" si="1"/>
        <v>178530.7809470341</v>
      </c>
      <c r="W8" s="291">
        <f t="shared" si="1"/>
        <v>182101.39656597478</v>
      </c>
      <c r="X8" s="291">
        <f t="shared" si="1"/>
        <v>185743.42449729427</v>
      </c>
      <c r="Y8" s="291">
        <f t="shared" si="1"/>
        <v>189458.29298724016</v>
      </c>
      <c r="Z8" s="291">
        <f t="shared" si="1"/>
        <v>193247.45884698496</v>
      </c>
      <c r="AA8" s="291">
        <f t="shared" si="1"/>
        <v>197112.40802392465</v>
      </c>
      <c r="AB8" s="291">
        <f t="shared" si="1"/>
        <v>201054.65618440314</v>
      </c>
      <c r="AC8" s="291">
        <f t="shared" si="1"/>
        <v>205075.74930809121</v>
      </c>
      <c r="AD8" s="291">
        <f t="shared" si="1"/>
        <v>209177.26429425302</v>
      </c>
      <c r="AE8" s="291">
        <f t="shared" si="1"/>
        <v>213360.80958013807</v>
      </c>
      <c r="AF8" s="291">
        <f t="shared" si="1"/>
        <v>217628.02577174082</v>
      </c>
      <c r="AG8" s="291">
        <f t="shared" si="1"/>
        <v>221980.58628717565</v>
      </c>
      <c r="AH8" s="291">
        <f t="shared" si="1"/>
        <v>226420.19801291917</v>
      </c>
      <c r="AI8" s="291">
        <f t="shared" si="1"/>
        <v>230948.60197317755</v>
      </c>
      <c r="AJ8" s="291">
        <f t="shared" si="1"/>
        <v>235567.5740126411</v>
      </c>
      <c r="AK8" s="291">
        <f t="shared" si="1"/>
        <v>240278.9254928939</v>
      </c>
      <c r="AL8" s="291">
        <f t="shared" si="1"/>
        <v>245084.50400275178</v>
      </c>
      <c r="AM8" s="291">
        <f t="shared" si="1"/>
        <v>249986.19408280682</v>
      </c>
      <c r="AN8" s="291">
        <f t="shared" si="1"/>
        <v>254985.91796446295</v>
      </c>
      <c r="AO8" s="291">
        <f t="shared" si="1"/>
        <v>260085.6363237522</v>
      </c>
      <c r="AP8" s="291">
        <f t="shared" si="1"/>
        <v>265287.34905022726</v>
      </c>
      <c r="AQ8" s="291">
        <f t="shared" si="1"/>
        <v>270593.09603123181</v>
      </c>
      <c r="AR8" s="291">
        <f t="shared" si="1"/>
        <v>276004.95795185643</v>
      </c>
      <c r="AS8" s="291">
        <f t="shared" si="1"/>
        <v>281525.05711089354</v>
      </c>
      <c r="AT8" s="291">
        <f t="shared" si="1"/>
        <v>287155.55825311143</v>
      </c>
      <c r="AU8" s="291">
        <f t="shared" si="1"/>
        <v>292898.66941817367</v>
      </c>
      <c r="AV8" s="291">
        <f t="shared" si="1"/>
        <v>298756.64280653716</v>
      </c>
      <c r="AW8" s="291">
        <f t="shared" si="1"/>
        <v>304731.77566266787</v>
      </c>
      <c r="AX8" s="291">
        <f t="shared" si="1"/>
        <v>310826.41117592121</v>
      </c>
      <c r="AY8" s="291">
        <f t="shared" si="1"/>
        <v>317042.93939943961</v>
      </c>
      <c r="AZ8" s="291">
        <f t="shared" si="1"/>
        <v>323383.79818742839</v>
      </c>
      <c r="BA8" s="292">
        <f t="shared" si="1"/>
        <v>329851.47415117698</v>
      </c>
    </row>
    <row r="9" spans="1:53">
      <c r="A9"/>
      <c r="B9" s="457" t="s">
        <v>66</v>
      </c>
      <c r="C9" s="458"/>
      <c r="D9" s="4">
        <f>D8-'Wert, AfA, Darlehen'!D106</f>
        <v>25000</v>
      </c>
      <c r="E9" s="4">
        <f>E8-'Wert, AfA, Darlehen'!E106</f>
        <v>29800</v>
      </c>
      <c r="F9" s="4">
        <f>F8-'Wert, AfA, Darlehen'!F106</f>
        <v>44735.100000000006</v>
      </c>
      <c r="G9" s="4">
        <f>G8-'Wert, AfA, Darlehen'!G106</f>
        <v>50179.448700000008</v>
      </c>
      <c r="H9" s="4">
        <f>H8-'Wert, AfA, Darlehen'!H106</f>
        <v>55781.021301899993</v>
      </c>
      <c r="I9" s="4">
        <f>I8-'Wert, AfA, Darlehen'!I106</f>
        <v>61544.750750070292</v>
      </c>
      <c r="J9" s="4">
        <f>J8-'Wert, AfA, Darlehen'!J106</f>
        <v>67475.734821022881</v>
      </c>
      <c r="K9" s="4">
        <f>K8-'Wert, AfA, Darlehen'!K106</f>
        <v>73579.241868464713</v>
      </c>
      <c r="L9" s="4">
        <f>L8-'Wert, AfA, Darlehen'!L106</f>
        <v>79860.716773843204</v>
      </c>
      <c r="M9" s="4">
        <f>M8-'Wert, AfA, Darlehen'!M106</f>
        <v>86325.787109845594</v>
      </c>
      <c r="N9" s="4">
        <f>N8-'Wert, AfA, Darlehen'!N106</f>
        <v>92980.269524587464</v>
      </c>
      <c r="O9" s="4">
        <f>O8-'Wert, AfA, Darlehen'!O106</f>
        <v>99830.176354508323</v>
      </c>
      <c r="P9" s="4">
        <f>P8-'Wert, AfA, Darlehen'!P106</f>
        <v>106881.72247428651</v>
      </c>
      <c r="Q9" s="4">
        <f>Q8-'Wert, AfA, Darlehen'!Q106</f>
        <v>114141.33239238971</v>
      </c>
      <c r="R9" s="4">
        <f>R8-'Wert, AfA, Darlehen'!R106</f>
        <v>121615.64760119381</v>
      </c>
      <c r="S9" s="4">
        <f>S8-'Wert, AfA, Darlehen'!S106</f>
        <v>129311.53419092936</v>
      </c>
      <c r="T9" s="4">
        <f>T8-'Wert, AfA, Darlehen'!T106</f>
        <v>137236.09073705497</v>
      </c>
      <c r="U9" s="4">
        <f>U8-'Wert, AfA, Darlehen'!U106</f>
        <v>145396.65647100846</v>
      </c>
      <c r="V9" s="4">
        <f>V8-'Wert, AfA, Darlehen'!V106</f>
        <v>153800.8197446519</v>
      </c>
      <c r="W9" s="4">
        <f>W8-'Wert, AfA, Darlehen'!W106</f>
        <v>162456.42679910443</v>
      </c>
      <c r="X9" s="4">
        <f>X8-'Wert, AfA, Darlehen'!X106</f>
        <v>171371.59084904971</v>
      </c>
      <c r="Y9" s="4">
        <f>Y8-'Wert, AfA, Darlehen'!Y106</f>
        <v>180554.70149401054</v>
      </c>
      <c r="Z9" s="4">
        <f>Z8-'Wert, AfA, Darlehen'!Z106</f>
        <v>190014.43446850585</v>
      </c>
      <c r="AA9" s="4">
        <f>AA8-'Wert, AfA, Darlehen'!AA106</f>
        <v>197112.40802392465</v>
      </c>
      <c r="AB9" s="4">
        <f>AB8-'Wert, AfA, Darlehen'!AB106</f>
        <v>201054.65618440314</v>
      </c>
      <c r="AC9" s="4">
        <f>AC8-'Wert, AfA, Darlehen'!AC106</f>
        <v>205075.74930809121</v>
      </c>
      <c r="AD9" s="4">
        <f>AD8-'Wert, AfA, Darlehen'!AD106</f>
        <v>209177.26429425302</v>
      </c>
      <c r="AE9" s="4">
        <f>AE8-'Wert, AfA, Darlehen'!AE106</f>
        <v>213360.80958013807</v>
      </c>
      <c r="AF9" s="4">
        <f>AF8-'Wert, AfA, Darlehen'!AF106</f>
        <v>217628.02577174082</v>
      </c>
      <c r="AG9" s="4">
        <f>AG8-'Wert, AfA, Darlehen'!AG106</f>
        <v>221980.58628717565</v>
      </c>
      <c r="AH9" s="4">
        <f>AH8-'Wert, AfA, Darlehen'!AH106</f>
        <v>226420.19801291917</v>
      </c>
      <c r="AI9" s="4">
        <f>AI8-'Wert, AfA, Darlehen'!AI106</f>
        <v>230948.60197317755</v>
      </c>
      <c r="AJ9" s="4">
        <f>AJ8-'Wert, AfA, Darlehen'!AJ106</f>
        <v>235567.5740126411</v>
      </c>
      <c r="AK9" s="4">
        <f>AK8-'Wert, AfA, Darlehen'!AK106</f>
        <v>240278.9254928939</v>
      </c>
      <c r="AL9" s="4">
        <f>AL8-'Wert, AfA, Darlehen'!AL106</f>
        <v>245084.50400275178</v>
      </c>
      <c r="AM9" s="4">
        <f>AM8-'Wert, AfA, Darlehen'!AM106</f>
        <v>249986.19408280682</v>
      </c>
      <c r="AN9" s="4">
        <f>AN8-'Wert, AfA, Darlehen'!AN106</f>
        <v>254985.91796446295</v>
      </c>
      <c r="AO9" s="4">
        <f>AO8-'Wert, AfA, Darlehen'!AO106</f>
        <v>260085.6363237522</v>
      </c>
      <c r="AP9" s="4">
        <f>AP8-'Wert, AfA, Darlehen'!AP106</f>
        <v>265287.34905022726</v>
      </c>
      <c r="AQ9" s="4">
        <f>AQ8-'Wert, AfA, Darlehen'!AQ106</f>
        <v>270593.09603123181</v>
      </c>
      <c r="AR9" s="4">
        <f>AR8-'Wert, AfA, Darlehen'!AR106</f>
        <v>276004.95795185643</v>
      </c>
      <c r="AS9" s="4">
        <f>AS8-'Wert, AfA, Darlehen'!AS106</f>
        <v>281525.05711089354</v>
      </c>
      <c r="AT9" s="4">
        <f>AT8-'Wert, AfA, Darlehen'!AT106</f>
        <v>287155.55825311143</v>
      </c>
      <c r="AU9" s="4">
        <f>AU8-'Wert, AfA, Darlehen'!AU106</f>
        <v>292898.66941817367</v>
      </c>
      <c r="AV9" s="4">
        <f>AV8-'Wert, AfA, Darlehen'!AV106</f>
        <v>298756.64280653716</v>
      </c>
      <c r="AW9" s="4">
        <f>AW8-'Wert, AfA, Darlehen'!AW106</f>
        <v>304731.77566266787</v>
      </c>
      <c r="AX9" s="4">
        <f>AX8-'Wert, AfA, Darlehen'!AX106</f>
        <v>310826.41117592121</v>
      </c>
      <c r="AY9" s="4">
        <f>AY8-'Wert, AfA, Darlehen'!AY106</f>
        <v>317042.93939943961</v>
      </c>
      <c r="AZ9" s="4">
        <f>AZ8-'Wert, AfA, Darlehen'!AZ106</f>
        <v>323383.79818742839</v>
      </c>
      <c r="BA9" s="295">
        <f>BA8-'Wert, AfA, Darlehen'!BA106</f>
        <v>329851.47415117698</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2500</v>
      </c>
      <c r="E11" s="4">
        <f>E8*E10</f>
        <v>2550</v>
      </c>
      <c r="F11" s="4">
        <f>F8*F10</f>
        <v>2601</v>
      </c>
      <c r="G11" s="4">
        <f t="shared" ref="G11:BA11" si="3">G8*G10</f>
        <v>2653.02</v>
      </c>
      <c r="H11" s="4">
        <f t="shared" si="3"/>
        <v>2706.0803999999998</v>
      </c>
      <c r="I11" s="4">
        <f t="shared" si="3"/>
        <v>2760.2020079999998</v>
      </c>
      <c r="J11" s="4">
        <f t="shared" si="3"/>
        <v>2815.40604816</v>
      </c>
      <c r="K11" s="4">
        <f t="shared" si="3"/>
        <v>2871.7141691231996</v>
      </c>
      <c r="L11" s="4">
        <f t="shared" si="3"/>
        <v>2929.148452505664</v>
      </c>
      <c r="M11" s="4">
        <f t="shared" si="3"/>
        <v>2987.7314215557772</v>
      </c>
      <c r="N11" s="4">
        <f t="shared" si="3"/>
        <v>3047.4860499868928</v>
      </c>
      <c r="O11" s="4">
        <f t="shared" si="3"/>
        <v>3108.4357709866304</v>
      </c>
      <c r="P11" s="4">
        <f t="shared" si="3"/>
        <v>3170.6044864063629</v>
      </c>
      <c r="Q11" s="4">
        <f t="shared" si="3"/>
        <v>3234.0165761344906</v>
      </c>
      <c r="R11" s="4">
        <f t="shared" si="3"/>
        <v>3298.69690765718</v>
      </c>
      <c r="S11" s="4">
        <f t="shared" si="3"/>
        <v>3364.6708458103235</v>
      </c>
      <c r="T11" s="4">
        <f t="shared" si="3"/>
        <v>3431.9642627265298</v>
      </c>
      <c r="U11" s="4">
        <f t="shared" si="3"/>
        <v>3500.6035479810607</v>
      </c>
      <c r="V11" s="4">
        <f t="shared" si="3"/>
        <v>3570.615618940682</v>
      </c>
      <c r="W11" s="4">
        <f t="shared" si="3"/>
        <v>3642.0279313194956</v>
      </c>
      <c r="X11" s="4">
        <f t="shared" si="3"/>
        <v>3714.8684899458854</v>
      </c>
      <c r="Y11" s="4">
        <f t="shared" si="3"/>
        <v>3789.1658597448031</v>
      </c>
      <c r="Z11" s="4">
        <f t="shared" si="3"/>
        <v>3864.9491769396991</v>
      </c>
      <c r="AA11" s="4">
        <f t="shared" si="3"/>
        <v>3942.248160478493</v>
      </c>
      <c r="AB11" s="4">
        <f t="shared" si="3"/>
        <v>4021.0931236880629</v>
      </c>
      <c r="AC11" s="4">
        <f t="shared" si="3"/>
        <v>4101.5149861618247</v>
      </c>
      <c r="AD11" s="4">
        <f t="shared" si="3"/>
        <v>4183.5452858850604</v>
      </c>
      <c r="AE11" s="4">
        <f t="shared" si="3"/>
        <v>4267.2161916027617</v>
      </c>
      <c r="AF11" s="4">
        <f t="shared" si="3"/>
        <v>4352.5605154348168</v>
      </c>
      <c r="AG11" s="4">
        <f t="shared" si="3"/>
        <v>4439.6117257435135</v>
      </c>
      <c r="AH11" s="4">
        <f t="shared" si="3"/>
        <v>4528.4039602583834</v>
      </c>
      <c r="AI11" s="4">
        <f t="shared" si="3"/>
        <v>4618.9720394635506</v>
      </c>
      <c r="AJ11" s="4">
        <f t="shared" si="3"/>
        <v>4711.3514802528216</v>
      </c>
      <c r="AK11" s="4">
        <f t="shared" si="3"/>
        <v>4805.5785098578781</v>
      </c>
      <c r="AL11" s="4">
        <f t="shared" si="3"/>
        <v>4901.6900800550357</v>
      </c>
      <c r="AM11" s="4">
        <f t="shared" si="3"/>
        <v>4999.7238816561367</v>
      </c>
      <c r="AN11" s="4">
        <f t="shared" si="3"/>
        <v>5099.7183592892588</v>
      </c>
      <c r="AO11" s="4">
        <f t="shared" si="3"/>
        <v>5201.7127264750443</v>
      </c>
      <c r="AP11" s="4">
        <f t="shared" si="3"/>
        <v>5305.746981004545</v>
      </c>
      <c r="AQ11" s="4">
        <f t="shared" si="3"/>
        <v>5411.8619206246358</v>
      </c>
      <c r="AR11" s="4">
        <f t="shared" si="3"/>
        <v>5520.0991590371286</v>
      </c>
      <c r="AS11" s="4">
        <f t="shared" si="3"/>
        <v>5630.5011422178713</v>
      </c>
      <c r="AT11" s="4">
        <f t="shared" si="3"/>
        <v>5743.1111650622288</v>
      </c>
      <c r="AU11" s="4">
        <f t="shared" si="3"/>
        <v>5857.9733883634735</v>
      </c>
      <c r="AV11" s="4">
        <f t="shared" si="3"/>
        <v>5975.1328561307437</v>
      </c>
      <c r="AW11" s="4">
        <f t="shared" si="3"/>
        <v>6094.6355132533572</v>
      </c>
      <c r="AX11" s="4">
        <f t="shared" si="3"/>
        <v>6216.5282235184241</v>
      </c>
      <c r="AY11" s="4">
        <f t="shared" si="3"/>
        <v>6340.8587879887928</v>
      </c>
      <c r="AZ11" s="4">
        <f t="shared" si="3"/>
        <v>6467.6759637485675</v>
      </c>
      <c r="BA11" s="295">
        <f t="shared" si="3"/>
        <v>6597.0294830235398</v>
      </c>
    </row>
    <row r="12" spans="1:53" ht="14.95" thickBot="1">
      <c r="A12"/>
      <c r="B12" s="498" t="s">
        <v>273</v>
      </c>
      <c r="C12" s="499"/>
      <c r="D12" s="305">
        <f>D8+D11</f>
        <v>127500</v>
      </c>
      <c r="E12" s="305">
        <f t="shared" ref="E12:BA12" si="4">E8+E11</f>
        <v>130050</v>
      </c>
      <c r="F12" s="305">
        <f t="shared" si="4"/>
        <v>132651</v>
      </c>
      <c r="G12" s="305">
        <f t="shared" si="4"/>
        <v>135304.01999999999</v>
      </c>
      <c r="H12" s="305">
        <f t="shared" si="4"/>
        <v>138010.1004</v>
      </c>
      <c r="I12" s="305">
        <f t="shared" si="4"/>
        <v>140770.30240799999</v>
      </c>
      <c r="J12" s="305">
        <f t="shared" si="4"/>
        <v>143585.70845615998</v>
      </c>
      <c r="K12" s="305">
        <f t="shared" si="4"/>
        <v>146457.42262528319</v>
      </c>
      <c r="L12" s="305">
        <f t="shared" si="4"/>
        <v>149386.57107778886</v>
      </c>
      <c r="M12" s="305">
        <f t="shared" si="4"/>
        <v>152374.30249934463</v>
      </c>
      <c r="N12" s="305">
        <f t="shared" si="4"/>
        <v>155421.78854933151</v>
      </c>
      <c r="O12" s="305">
        <f t="shared" si="4"/>
        <v>158530.22432031814</v>
      </c>
      <c r="P12" s="305">
        <f t="shared" si="4"/>
        <v>161700.82880672452</v>
      </c>
      <c r="Q12" s="305">
        <f t="shared" si="4"/>
        <v>164934.845382859</v>
      </c>
      <c r="R12" s="305">
        <f t="shared" si="4"/>
        <v>168233.54229051617</v>
      </c>
      <c r="S12" s="305">
        <f t="shared" si="4"/>
        <v>171598.21313632649</v>
      </c>
      <c r="T12" s="305">
        <f t="shared" si="4"/>
        <v>175030.17739905303</v>
      </c>
      <c r="U12" s="305">
        <f t="shared" si="4"/>
        <v>178530.7809470341</v>
      </c>
      <c r="V12" s="305">
        <f t="shared" si="4"/>
        <v>182101.39656597478</v>
      </c>
      <c r="W12" s="305">
        <f t="shared" si="4"/>
        <v>185743.42449729427</v>
      </c>
      <c r="X12" s="305">
        <f t="shared" si="4"/>
        <v>189458.29298724016</v>
      </c>
      <c r="Y12" s="305">
        <f t="shared" si="4"/>
        <v>193247.45884698496</v>
      </c>
      <c r="Z12" s="305">
        <f t="shared" si="4"/>
        <v>197112.40802392465</v>
      </c>
      <c r="AA12" s="305">
        <f t="shared" si="4"/>
        <v>201054.65618440314</v>
      </c>
      <c r="AB12" s="305">
        <f t="shared" si="4"/>
        <v>205075.74930809121</v>
      </c>
      <c r="AC12" s="305">
        <f t="shared" si="4"/>
        <v>209177.26429425302</v>
      </c>
      <c r="AD12" s="305">
        <f t="shared" si="4"/>
        <v>213360.80958013807</v>
      </c>
      <c r="AE12" s="305">
        <f t="shared" si="4"/>
        <v>217628.02577174082</v>
      </c>
      <c r="AF12" s="305">
        <f t="shared" si="4"/>
        <v>221980.58628717565</v>
      </c>
      <c r="AG12" s="305">
        <f t="shared" si="4"/>
        <v>226420.19801291917</v>
      </c>
      <c r="AH12" s="305">
        <f t="shared" si="4"/>
        <v>230948.60197317755</v>
      </c>
      <c r="AI12" s="305">
        <f t="shared" si="4"/>
        <v>235567.5740126411</v>
      </c>
      <c r="AJ12" s="305">
        <f t="shared" si="4"/>
        <v>240278.9254928939</v>
      </c>
      <c r="AK12" s="305">
        <f t="shared" si="4"/>
        <v>245084.50400275178</v>
      </c>
      <c r="AL12" s="305">
        <f t="shared" si="4"/>
        <v>249986.19408280682</v>
      </c>
      <c r="AM12" s="305">
        <f t="shared" si="4"/>
        <v>254985.91796446295</v>
      </c>
      <c r="AN12" s="305">
        <f t="shared" si="4"/>
        <v>260085.6363237522</v>
      </c>
      <c r="AO12" s="305">
        <f t="shared" si="4"/>
        <v>265287.34905022726</v>
      </c>
      <c r="AP12" s="305">
        <f t="shared" si="4"/>
        <v>270593.09603123181</v>
      </c>
      <c r="AQ12" s="305">
        <f t="shared" si="4"/>
        <v>276004.95795185643</v>
      </c>
      <c r="AR12" s="305">
        <f t="shared" si="4"/>
        <v>281525.05711089354</v>
      </c>
      <c r="AS12" s="305">
        <f t="shared" si="4"/>
        <v>287155.55825311143</v>
      </c>
      <c r="AT12" s="305">
        <f t="shared" si="4"/>
        <v>292898.66941817367</v>
      </c>
      <c r="AU12" s="305">
        <f t="shared" si="4"/>
        <v>298756.64280653716</v>
      </c>
      <c r="AV12" s="305">
        <f t="shared" si="4"/>
        <v>304731.77566266787</v>
      </c>
      <c r="AW12" s="305">
        <f t="shared" si="4"/>
        <v>310826.41117592121</v>
      </c>
      <c r="AX12" s="305">
        <f t="shared" si="4"/>
        <v>317042.93939943961</v>
      </c>
      <c r="AY12" s="305">
        <f t="shared" si="4"/>
        <v>323383.79818742839</v>
      </c>
      <c r="AZ12" s="305">
        <f t="shared" si="4"/>
        <v>329851.47415117698</v>
      </c>
      <c r="BA12" s="306">
        <f t="shared" si="4"/>
        <v>336448.50363420055</v>
      </c>
    </row>
    <row r="13" spans="1:53" ht="39.1" customHeight="1" thickBot="1">
      <c r="D13" s="36"/>
    </row>
    <row r="14" spans="1:53" ht="16.3" thickBot="1">
      <c r="B14" s="273" t="s">
        <v>256</v>
      </c>
      <c r="D14" s="36"/>
    </row>
    <row r="15" spans="1:53" ht="14.9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82275</v>
      </c>
      <c r="E16" s="10">
        <f>D16</f>
        <v>82275</v>
      </c>
      <c r="F16" s="10">
        <f t="shared" ref="F16:BA16" si="5">E16</f>
        <v>82275</v>
      </c>
      <c r="G16" s="10">
        <f t="shared" si="5"/>
        <v>82275</v>
      </c>
      <c r="H16" s="10">
        <f t="shared" si="5"/>
        <v>82275</v>
      </c>
      <c r="I16" s="10">
        <f t="shared" si="5"/>
        <v>82275</v>
      </c>
      <c r="J16" s="10">
        <f t="shared" si="5"/>
        <v>82275</v>
      </c>
      <c r="K16" s="10">
        <f t="shared" si="5"/>
        <v>82275</v>
      </c>
      <c r="L16" s="10">
        <f t="shared" si="5"/>
        <v>82275</v>
      </c>
      <c r="M16" s="10">
        <f t="shared" si="5"/>
        <v>82275</v>
      </c>
      <c r="N16" s="10">
        <f t="shared" si="5"/>
        <v>82275</v>
      </c>
      <c r="O16" s="10">
        <f t="shared" si="5"/>
        <v>82275</v>
      </c>
      <c r="P16" s="10">
        <f t="shared" si="5"/>
        <v>82275</v>
      </c>
      <c r="Q16" s="10">
        <f t="shared" si="5"/>
        <v>82275</v>
      </c>
      <c r="R16" s="10">
        <f t="shared" si="5"/>
        <v>82275</v>
      </c>
      <c r="S16" s="10">
        <f t="shared" si="5"/>
        <v>82275</v>
      </c>
      <c r="T16" s="10">
        <f t="shared" si="5"/>
        <v>82275</v>
      </c>
      <c r="U16" s="10">
        <f t="shared" si="5"/>
        <v>82275</v>
      </c>
      <c r="V16" s="10">
        <f t="shared" si="5"/>
        <v>82275</v>
      </c>
      <c r="W16" s="10">
        <f t="shared" si="5"/>
        <v>82275</v>
      </c>
      <c r="X16" s="10">
        <f t="shared" si="5"/>
        <v>82275</v>
      </c>
      <c r="Y16" s="10">
        <f t="shared" si="5"/>
        <v>82275</v>
      </c>
      <c r="Z16" s="10">
        <f t="shared" si="5"/>
        <v>82275</v>
      </c>
      <c r="AA16" s="10">
        <f t="shared" si="5"/>
        <v>82275</v>
      </c>
      <c r="AB16" s="10">
        <f t="shared" si="5"/>
        <v>82275</v>
      </c>
      <c r="AC16" s="10">
        <f t="shared" si="5"/>
        <v>82275</v>
      </c>
      <c r="AD16" s="10">
        <f t="shared" si="5"/>
        <v>82275</v>
      </c>
      <c r="AE16" s="10">
        <f t="shared" si="5"/>
        <v>82275</v>
      </c>
      <c r="AF16" s="10">
        <f t="shared" si="5"/>
        <v>82275</v>
      </c>
      <c r="AG16" s="10">
        <f t="shared" si="5"/>
        <v>82275</v>
      </c>
      <c r="AH16" s="10">
        <f t="shared" si="5"/>
        <v>82275</v>
      </c>
      <c r="AI16" s="10">
        <f t="shared" si="5"/>
        <v>82275</v>
      </c>
      <c r="AJ16" s="10">
        <f t="shared" si="5"/>
        <v>82275</v>
      </c>
      <c r="AK16" s="10">
        <f t="shared" si="5"/>
        <v>82275</v>
      </c>
      <c r="AL16" s="10">
        <f t="shared" si="5"/>
        <v>82275</v>
      </c>
      <c r="AM16" s="10">
        <f t="shared" si="5"/>
        <v>82275</v>
      </c>
      <c r="AN16" s="10">
        <f t="shared" si="5"/>
        <v>82275</v>
      </c>
      <c r="AO16" s="10">
        <f t="shared" si="5"/>
        <v>82275</v>
      </c>
      <c r="AP16" s="10">
        <f t="shared" si="5"/>
        <v>82275</v>
      </c>
      <c r="AQ16" s="10">
        <f t="shared" si="5"/>
        <v>82275</v>
      </c>
      <c r="AR16" s="10">
        <f t="shared" si="5"/>
        <v>82275</v>
      </c>
      <c r="AS16" s="10">
        <f t="shared" si="5"/>
        <v>82275</v>
      </c>
      <c r="AT16" s="10">
        <f t="shared" si="5"/>
        <v>82275</v>
      </c>
      <c r="AU16" s="10">
        <f t="shared" si="5"/>
        <v>82275</v>
      </c>
      <c r="AV16" s="10">
        <f t="shared" si="5"/>
        <v>82275</v>
      </c>
      <c r="AW16" s="10">
        <f t="shared" si="5"/>
        <v>82275</v>
      </c>
      <c r="AX16" s="10">
        <f t="shared" si="5"/>
        <v>82275</v>
      </c>
      <c r="AY16" s="10">
        <f t="shared" si="5"/>
        <v>82275</v>
      </c>
      <c r="AZ16" s="10">
        <f t="shared" si="5"/>
        <v>82275</v>
      </c>
      <c r="BA16" s="283">
        <f t="shared" si="5"/>
        <v>82275</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1234.125</v>
      </c>
      <c r="E18" s="10">
        <f t="shared" ref="E18:AJ18" si="8">MIN(E17*E16,E16-D20)</f>
        <v>1234.125</v>
      </c>
      <c r="F18" s="10">
        <f t="shared" si="8"/>
        <v>1234.125</v>
      </c>
      <c r="G18" s="10">
        <f t="shared" si="8"/>
        <v>1234.125</v>
      </c>
      <c r="H18" s="10">
        <f t="shared" si="8"/>
        <v>1234.125</v>
      </c>
      <c r="I18" s="10">
        <f t="shared" si="8"/>
        <v>1234.125</v>
      </c>
      <c r="J18" s="10">
        <f t="shared" si="8"/>
        <v>1234.125</v>
      </c>
      <c r="K18" s="10">
        <f t="shared" si="8"/>
        <v>1234.125</v>
      </c>
      <c r="L18" s="10">
        <f t="shared" si="8"/>
        <v>1234.125</v>
      </c>
      <c r="M18" s="10">
        <f t="shared" si="8"/>
        <v>1234.125</v>
      </c>
      <c r="N18" s="10">
        <f t="shared" si="8"/>
        <v>1234.125</v>
      </c>
      <c r="O18" s="10">
        <f t="shared" si="8"/>
        <v>1234.125</v>
      </c>
      <c r="P18" s="10">
        <f t="shared" si="8"/>
        <v>1234.125</v>
      </c>
      <c r="Q18" s="10">
        <f t="shared" si="8"/>
        <v>1234.125</v>
      </c>
      <c r="R18" s="10">
        <f t="shared" si="8"/>
        <v>1234.125</v>
      </c>
      <c r="S18" s="10">
        <f t="shared" si="8"/>
        <v>1234.125</v>
      </c>
      <c r="T18" s="10">
        <f t="shared" si="8"/>
        <v>1234.125</v>
      </c>
      <c r="U18" s="10">
        <f t="shared" si="8"/>
        <v>1234.125</v>
      </c>
      <c r="V18" s="10">
        <f t="shared" si="8"/>
        <v>1234.125</v>
      </c>
      <c r="W18" s="10">
        <f t="shared" si="8"/>
        <v>1234.125</v>
      </c>
      <c r="X18" s="10">
        <f t="shared" si="8"/>
        <v>1234.125</v>
      </c>
      <c r="Y18" s="10">
        <f t="shared" si="8"/>
        <v>1234.125</v>
      </c>
      <c r="Z18" s="10">
        <f t="shared" si="8"/>
        <v>1234.125</v>
      </c>
      <c r="AA18" s="10">
        <f t="shared" si="8"/>
        <v>1234.125</v>
      </c>
      <c r="AB18" s="10">
        <f t="shared" si="8"/>
        <v>1234.125</v>
      </c>
      <c r="AC18" s="10">
        <f t="shared" si="8"/>
        <v>1234.125</v>
      </c>
      <c r="AD18" s="10">
        <f t="shared" si="8"/>
        <v>1234.125</v>
      </c>
      <c r="AE18" s="10">
        <f t="shared" si="8"/>
        <v>1234.125</v>
      </c>
      <c r="AF18" s="10">
        <f t="shared" si="8"/>
        <v>1234.125</v>
      </c>
      <c r="AG18" s="10">
        <f t="shared" si="8"/>
        <v>1234.125</v>
      </c>
      <c r="AH18" s="10">
        <f t="shared" si="8"/>
        <v>1234.125</v>
      </c>
      <c r="AI18" s="10">
        <f t="shared" si="8"/>
        <v>1234.125</v>
      </c>
      <c r="AJ18" s="10">
        <f t="shared" si="8"/>
        <v>1234.125</v>
      </c>
      <c r="AK18" s="10">
        <f t="shared" ref="AK18:BA18" si="9">MIN(AK17*AK16,AK16-AJ20)</f>
        <v>1234.125</v>
      </c>
      <c r="AL18" s="10">
        <f t="shared" si="9"/>
        <v>1234.125</v>
      </c>
      <c r="AM18" s="10">
        <f t="shared" si="9"/>
        <v>1234.125</v>
      </c>
      <c r="AN18" s="10">
        <f t="shared" si="9"/>
        <v>1234.125</v>
      </c>
      <c r="AO18" s="10">
        <f t="shared" si="9"/>
        <v>1234.125</v>
      </c>
      <c r="AP18" s="10">
        <f t="shared" si="9"/>
        <v>1234.125</v>
      </c>
      <c r="AQ18" s="10">
        <f t="shared" si="9"/>
        <v>1234.125</v>
      </c>
      <c r="AR18" s="10">
        <f t="shared" si="9"/>
        <v>1234.125</v>
      </c>
      <c r="AS18" s="10">
        <f t="shared" si="9"/>
        <v>1234.125</v>
      </c>
      <c r="AT18" s="10">
        <f t="shared" si="9"/>
        <v>1234.125</v>
      </c>
      <c r="AU18" s="10">
        <f t="shared" si="9"/>
        <v>1234.125</v>
      </c>
      <c r="AV18" s="10">
        <f t="shared" si="9"/>
        <v>1234.125</v>
      </c>
      <c r="AW18" s="10">
        <f t="shared" si="9"/>
        <v>1234.125</v>
      </c>
      <c r="AX18" s="10">
        <f t="shared" si="9"/>
        <v>1234.125</v>
      </c>
      <c r="AY18" s="10">
        <f t="shared" si="9"/>
        <v>1234.125</v>
      </c>
      <c r="AZ18" s="10">
        <f t="shared" si="9"/>
        <v>1234.125</v>
      </c>
      <c r="BA18" s="283">
        <f t="shared" si="9"/>
        <v>1234.125</v>
      </c>
    </row>
    <row r="19" spans="2:53">
      <c r="B19" s="494" t="s">
        <v>259</v>
      </c>
      <c r="C19" s="495"/>
      <c r="D19" s="38">
        <f>D18/12</f>
        <v>102.84375</v>
      </c>
      <c r="E19" s="10">
        <f>E18/12</f>
        <v>102.84375</v>
      </c>
      <c r="F19" s="10">
        <f t="shared" ref="F19:BA19" si="10">F18/12</f>
        <v>102.84375</v>
      </c>
      <c r="G19" s="10">
        <f t="shared" si="10"/>
        <v>102.84375</v>
      </c>
      <c r="H19" s="10">
        <f t="shared" si="10"/>
        <v>102.84375</v>
      </c>
      <c r="I19" s="10">
        <f t="shared" si="10"/>
        <v>102.84375</v>
      </c>
      <c r="J19" s="10">
        <f t="shared" si="10"/>
        <v>102.84375</v>
      </c>
      <c r="K19" s="10">
        <f t="shared" si="10"/>
        <v>102.84375</v>
      </c>
      <c r="L19" s="10">
        <f t="shared" si="10"/>
        <v>102.84375</v>
      </c>
      <c r="M19" s="10">
        <f t="shared" si="10"/>
        <v>102.84375</v>
      </c>
      <c r="N19" s="10">
        <f t="shared" si="10"/>
        <v>102.84375</v>
      </c>
      <c r="O19" s="10">
        <f t="shared" si="10"/>
        <v>102.84375</v>
      </c>
      <c r="P19" s="10">
        <f t="shared" si="10"/>
        <v>102.84375</v>
      </c>
      <c r="Q19" s="10">
        <f t="shared" si="10"/>
        <v>102.84375</v>
      </c>
      <c r="R19" s="10">
        <f t="shared" si="10"/>
        <v>102.84375</v>
      </c>
      <c r="S19" s="10">
        <f t="shared" si="10"/>
        <v>102.84375</v>
      </c>
      <c r="T19" s="10">
        <f t="shared" si="10"/>
        <v>102.84375</v>
      </c>
      <c r="U19" s="10">
        <f t="shared" si="10"/>
        <v>102.84375</v>
      </c>
      <c r="V19" s="10">
        <f t="shared" si="10"/>
        <v>102.84375</v>
      </c>
      <c r="W19" s="10">
        <f t="shared" si="10"/>
        <v>102.84375</v>
      </c>
      <c r="X19" s="10">
        <f t="shared" si="10"/>
        <v>102.84375</v>
      </c>
      <c r="Y19" s="10">
        <f t="shared" si="10"/>
        <v>102.84375</v>
      </c>
      <c r="Z19" s="10">
        <f t="shared" si="10"/>
        <v>102.84375</v>
      </c>
      <c r="AA19" s="10">
        <f t="shared" si="10"/>
        <v>102.84375</v>
      </c>
      <c r="AB19" s="10">
        <f t="shared" si="10"/>
        <v>102.84375</v>
      </c>
      <c r="AC19" s="10">
        <f t="shared" si="10"/>
        <v>102.84375</v>
      </c>
      <c r="AD19" s="10">
        <f t="shared" si="10"/>
        <v>102.84375</v>
      </c>
      <c r="AE19" s="10">
        <f t="shared" si="10"/>
        <v>102.84375</v>
      </c>
      <c r="AF19" s="10">
        <f t="shared" si="10"/>
        <v>102.84375</v>
      </c>
      <c r="AG19" s="10">
        <f t="shared" si="10"/>
        <v>102.84375</v>
      </c>
      <c r="AH19" s="10">
        <f t="shared" si="10"/>
        <v>102.84375</v>
      </c>
      <c r="AI19" s="10">
        <f t="shared" si="10"/>
        <v>102.84375</v>
      </c>
      <c r="AJ19" s="10">
        <f t="shared" si="10"/>
        <v>102.84375</v>
      </c>
      <c r="AK19" s="10">
        <f t="shared" si="10"/>
        <v>102.84375</v>
      </c>
      <c r="AL19" s="10">
        <f t="shared" si="10"/>
        <v>102.84375</v>
      </c>
      <c r="AM19" s="10">
        <f t="shared" si="10"/>
        <v>102.84375</v>
      </c>
      <c r="AN19" s="10">
        <f t="shared" si="10"/>
        <v>102.84375</v>
      </c>
      <c r="AO19" s="10">
        <f t="shared" si="10"/>
        <v>102.84375</v>
      </c>
      <c r="AP19" s="10">
        <f t="shared" si="10"/>
        <v>102.84375</v>
      </c>
      <c r="AQ19" s="10">
        <f t="shared" si="10"/>
        <v>102.84375</v>
      </c>
      <c r="AR19" s="10">
        <f t="shared" si="10"/>
        <v>102.84375</v>
      </c>
      <c r="AS19" s="10">
        <f t="shared" si="10"/>
        <v>102.84375</v>
      </c>
      <c r="AT19" s="10">
        <f t="shared" si="10"/>
        <v>102.84375</v>
      </c>
      <c r="AU19" s="10">
        <f t="shared" si="10"/>
        <v>102.84375</v>
      </c>
      <c r="AV19" s="10">
        <f t="shared" si="10"/>
        <v>102.84375</v>
      </c>
      <c r="AW19" s="10">
        <f t="shared" si="10"/>
        <v>102.84375</v>
      </c>
      <c r="AX19" s="10">
        <f t="shared" si="10"/>
        <v>102.84375</v>
      </c>
      <c r="AY19" s="10">
        <f t="shared" si="10"/>
        <v>102.84375</v>
      </c>
      <c r="AZ19" s="10">
        <f t="shared" si="10"/>
        <v>102.84375</v>
      </c>
      <c r="BA19" s="283">
        <f t="shared" si="10"/>
        <v>102.84375</v>
      </c>
    </row>
    <row r="20" spans="2:53" ht="14.95" thickBot="1">
      <c r="B20" s="481" t="s">
        <v>251</v>
      </c>
      <c r="C20" s="482"/>
      <c r="D20" s="284">
        <f>D18</f>
        <v>1234.125</v>
      </c>
      <c r="E20" s="284">
        <f t="shared" ref="E20:AJ20" si="11">D20+E18</f>
        <v>2468.25</v>
      </c>
      <c r="F20" s="284">
        <f t="shared" si="11"/>
        <v>3702.375</v>
      </c>
      <c r="G20" s="284">
        <f t="shared" si="11"/>
        <v>4936.5</v>
      </c>
      <c r="H20" s="284">
        <f t="shared" si="11"/>
        <v>6170.625</v>
      </c>
      <c r="I20" s="284">
        <f t="shared" si="11"/>
        <v>7404.75</v>
      </c>
      <c r="J20" s="284">
        <f t="shared" si="11"/>
        <v>8638.875</v>
      </c>
      <c r="K20" s="284">
        <f t="shared" si="11"/>
        <v>9873</v>
      </c>
      <c r="L20" s="284">
        <f t="shared" si="11"/>
        <v>11107.125</v>
      </c>
      <c r="M20" s="284">
        <f t="shared" si="11"/>
        <v>12341.25</v>
      </c>
      <c r="N20" s="284">
        <f t="shared" si="11"/>
        <v>13575.375</v>
      </c>
      <c r="O20" s="284">
        <f t="shared" si="11"/>
        <v>14809.5</v>
      </c>
      <c r="P20" s="284">
        <f t="shared" si="11"/>
        <v>16043.625</v>
      </c>
      <c r="Q20" s="284">
        <f t="shared" si="11"/>
        <v>17277.75</v>
      </c>
      <c r="R20" s="284">
        <f t="shared" si="11"/>
        <v>18511.875</v>
      </c>
      <c r="S20" s="284">
        <f t="shared" si="11"/>
        <v>19746</v>
      </c>
      <c r="T20" s="284">
        <f t="shared" si="11"/>
        <v>20980.125</v>
      </c>
      <c r="U20" s="284">
        <f t="shared" si="11"/>
        <v>22214.25</v>
      </c>
      <c r="V20" s="284">
        <f t="shared" si="11"/>
        <v>23448.375</v>
      </c>
      <c r="W20" s="284">
        <f t="shared" si="11"/>
        <v>24682.5</v>
      </c>
      <c r="X20" s="284">
        <f t="shared" si="11"/>
        <v>25916.625</v>
      </c>
      <c r="Y20" s="284">
        <f t="shared" si="11"/>
        <v>27150.75</v>
      </c>
      <c r="Z20" s="284">
        <f t="shared" si="11"/>
        <v>28384.875</v>
      </c>
      <c r="AA20" s="284">
        <f t="shared" si="11"/>
        <v>29619</v>
      </c>
      <c r="AB20" s="284">
        <f t="shared" si="11"/>
        <v>30853.125</v>
      </c>
      <c r="AC20" s="284">
        <f t="shared" si="11"/>
        <v>32087.25</v>
      </c>
      <c r="AD20" s="284">
        <f t="shared" si="11"/>
        <v>33321.375</v>
      </c>
      <c r="AE20" s="284">
        <f t="shared" si="11"/>
        <v>34555.5</v>
      </c>
      <c r="AF20" s="284">
        <f t="shared" si="11"/>
        <v>35789.625</v>
      </c>
      <c r="AG20" s="284">
        <f t="shared" si="11"/>
        <v>37023.75</v>
      </c>
      <c r="AH20" s="284">
        <f t="shared" si="11"/>
        <v>38257.875</v>
      </c>
      <c r="AI20" s="284">
        <f t="shared" si="11"/>
        <v>39492</v>
      </c>
      <c r="AJ20" s="284">
        <f t="shared" si="11"/>
        <v>40726.125</v>
      </c>
      <c r="AK20" s="284">
        <f t="shared" ref="AK20:BA20" si="12">AJ20+AK18</f>
        <v>41960.25</v>
      </c>
      <c r="AL20" s="284">
        <f t="shared" si="12"/>
        <v>43194.375</v>
      </c>
      <c r="AM20" s="284">
        <f t="shared" si="12"/>
        <v>44428.5</v>
      </c>
      <c r="AN20" s="284">
        <f t="shared" si="12"/>
        <v>45662.625</v>
      </c>
      <c r="AO20" s="284">
        <f t="shared" si="12"/>
        <v>46896.75</v>
      </c>
      <c r="AP20" s="284">
        <f t="shared" si="12"/>
        <v>48130.875</v>
      </c>
      <c r="AQ20" s="284">
        <f t="shared" si="12"/>
        <v>49365</v>
      </c>
      <c r="AR20" s="284">
        <f t="shared" si="12"/>
        <v>50599.125</v>
      </c>
      <c r="AS20" s="284">
        <f t="shared" si="12"/>
        <v>51833.25</v>
      </c>
      <c r="AT20" s="284">
        <f t="shared" si="12"/>
        <v>53067.375</v>
      </c>
      <c r="AU20" s="284">
        <f t="shared" si="12"/>
        <v>54301.5</v>
      </c>
      <c r="AV20" s="284">
        <f t="shared" si="12"/>
        <v>55535.625</v>
      </c>
      <c r="AW20" s="284">
        <f t="shared" si="12"/>
        <v>56769.75</v>
      </c>
      <c r="AX20" s="284">
        <f t="shared" si="12"/>
        <v>58003.875</v>
      </c>
      <c r="AY20" s="284">
        <f t="shared" si="12"/>
        <v>59238</v>
      </c>
      <c r="AZ20" s="284">
        <f t="shared" si="12"/>
        <v>60472.125</v>
      </c>
      <c r="BA20" s="285">
        <f t="shared" si="12"/>
        <v>61706.25</v>
      </c>
    </row>
    <row r="21" spans="2:53" ht="14.95" thickBot="1">
      <c r="D21" s="36"/>
    </row>
    <row r="22" spans="2:53" ht="16.3" hidden="1" thickBot="1">
      <c r="B22" s="273" t="s">
        <v>255</v>
      </c>
      <c r="D22" s="36"/>
    </row>
    <row r="23" spans="2:53" ht="14.9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4.95" hidden="1" thickBot="1">
      <c r="B24" s="481" t="s">
        <v>259</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4.95" hidden="1" thickBot="1">
      <c r="D25" s="36"/>
    </row>
    <row r="26" spans="2:53" ht="16.3" thickBot="1">
      <c r="B26" s="273" t="s">
        <v>463</v>
      </c>
      <c r="D26" s="36"/>
    </row>
    <row r="27" spans="2:53" ht="14.9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4.95" thickBot="1">
      <c r="B34" s="492" t="s">
        <v>259</v>
      </c>
      <c r="C34" s="49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8" customHeight="1" thickBot="1">
      <c r="I35" s="6"/>
      <c r="J35" s="6"/>
      <c r="K35" s="6"/>
      <c r="L35" s="6"/>
      <c r="M35" s="5"/>
      <c r="N35" s="5"/>
      <c r="O35" s="5"/>
      <c r="P35" s="5"/>
    </row>
    <row r="36" spans="2:53" ht="16.3" thickBot="1">
      <c r="B36" s="273" t="s">
        <v>20</v>
      </c>
      <c r="C36" s="33"/>
      <c r="I36" s="6"/>
      <c r="J36" s="6"/>
      <c r="K36" s="6"/>
      <c r="L36" s="6"/>
    </row>
    <row r="37" spans="2:53" ht="14.9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3.6999999999999998E-2</v>
      </c>
      <c r="E39" s="39">
        <f t="shared" ref="E39:AJ39" si="26">IF(E38&lt;&gt;"",E38,D39)</f>
        <v>3.6999999999999998E-2</v>
      </c>
      <c r="F39" s="39">
        <f t="shared" si="26"/>
        <v>3.6999999999999998E-2</v>
      </c>
      <c r="G39" s="39">
        <f t="shared" si="26"/>
        <v>3.6999999999999998E-2</v>
      </c>
      <c r="H39" s="39">
        <f t="shared" si="26"/>
        <v>3.6999999999999998E-2</v>
      </c>
      <c r="I39" s="39">
        <f t="shared" si="26"/>
        <v>3.6999999999999998E-2</v>
      </c>
      <c r="J39" s="39">
        <f t="shared" si="26"/>
        <v>3.6999999999999998E-2</v>
      </c>
      <c r="K39" s="39">
        <f t="shared" si="26"/>
        <v>3.6999999999999998E-2</v>
      </c>
      <c r="L39" s="39">
        <f t="shared" si="26"/>
        <v>3.6999999999999998E-2</v>
      </c>
      <c r="M39" s="39">
        <f t="shared" si="26"/>
        <v>3.6999999999999998E-2</v>
      </c>
      <c r="N39" s="39">
        <f t="shared" si="26"/>
        <v>3.6999999999999998E-2</v>
      </c>
      <c r="O39" s="39">
        <f t="shared" si="26"/>
        <v>3.6999999999999998E-2</v>
      </c>
      <c r="P39" s="39">
        <f t="shared" si="26"/>
        <v>3.6999999999999998E-2</v>
      </c>
      <c r="Q39" s="39">
        <f t="shared" si="26"/>
        <v>3.6999999999999998E-2</v>
      </c>
      <c r="R39" s="39">
        <f t="shared" si="26"/>
        <v>3.6999999999999998E-2</v>
      </c>
      <c r="S39" s="39">
        <f t="shared" si="26"/>
        <v>3.6999999999999998E-2</v>
      </c>
      <c r="T39" s="39">
        <f t="shared" si="26"/>
        <v>3.6999999999999998E-2</v>
      </c>
      <c r="U39" s="39">
        <f t="shared" si="26"/>
        <v>3.6999999999999998E-2</v>
      </c>
      <c r="V39" s="39">
        <f t="shared" si="26"/>
        <v>3.6999999999999998E-2</v>
      </c>
      <c r="W39" s="39">
        <f t="shared" si="26"/>
        <v>3.6999999999999998E-2</v>
      </c>
      <c r="X39" s="39">
        <f t="shared" si="26"/>
        <v>3.6999999999999998E-2</v>
      </c>
      <c r="Y39" s="39">
        <f t="shared" si="26"/>
        <v>3.6999999999999998E-2</v>
      </c>
      <c r="Z39" s="39">
        <f t="shared" si="26"/>
        <v>3.6999999999999998E-2</v>
      </c>
      <c r="AA39" s="39">
        <f t="shared" si="26"/>
        <v>3.6999999999999998E-2</v>
      </c>
      <c r="AB39" s="39">
        <f t="shared" si="26"/>
        <v>3.6999999999999998E-2</v>
      </c>
      <c r="AC39" s="39">
        <f t="shared" si="26"/>
        <v>3.6999999999999998E-2</v>
      </c>
      <c r="AD39" s="39">
        <f t="shared" si="26"/>
        <v>3.6999999999999998E-2</v>
      </c>
      <c r="AE39" s="39">
        <f t="shared" si="26"/>
        <v>3.6999999999999998E-2</v>
      </c>
      <c r="AF39" s="39">
        <f t="shared" si="26"/>
        <v>3.6999999999999998E-2</v>
      </c>
      <c r="AG39" s="39">
        <f t="shared" si="26"/>
        <v>3.6999999999999998E-2</v>
      </c>
      <c r="AH39" s="39">
        <f t="shared" si="26"/>
        <v>3.6999999999999998E-2</v>
      </c>
      <c r="AI39" s="39">
        <f t="shared" si="26"/>
        <v>3.6999999999999998E-2</v>
      </c>
      <c r="AJ39" s="39">
        <f t="shared" si="26"/>
        <v>3.6999999999999998E-2</v>
      </c>
      <c r="AK39" s="39">
        <f t="shared" ref="AK39:BA39" si="27">IF(AK38&lt;&gt;"",AK38,AJ39)</f>
        <v>3.6999999999999998E-2</v>
      </c>
      <c r="AL39" s="39">
        <f t="shared" si="27"/>
        <v>3.6999999999999998E-2</v>
      </c>
      <c r="AM39" s="39">
        <f t="shared" si="27"/>
        <v>3.6999999999999998E-2</v>
      </c>
      <c r="AN39" s="39">
        <f t="shared" si="27"/>
        <v>3.6999999999999998E-2</v>
      </c>
      <c r="AO39" s="39">
        <f t="shared" si="27"/>
        <v>3.6999999999999998E-2</v>
      </c>
      <c r="AP39" s="39">
        <f t="shared" si="27"/>
        <v>3.6999999999999998E-2</v>
      </c>
      <c r="AQ39" s="39">
        <f t="shared" si="27"/>
        <v>3.6999999999999998E-2</v>
      </c>
      <c r="AR39" s="39">
        <f t="shared" si="27"/>
        <v>3.6999999999999998E-2</v>
      </c>
      <c r="AS39" s="39">
        <f t="shared" si="27"/>
        <v>3.6999999999999998E-2</v>
      </c>
      <c r="AT39" s="39">
        <f t="shared" si="27"/>
        <v>3.6999999999999998E-2</v>
      </c>
      <c r="AU39" s="39">
        <f t="shared" si="27"/>
        <v>3.6999999999999998E-2</v>
      </c>
      <c r="AV39" s="39">
        <f t="shared" si="27"/>
        <v>3.6999999999999998E-2</v>
      </c>
      <c r="AW39" s="39">
        <f t="shared" si="27"/>
        <v>3.6999999999999998E-2</v>
      </c>
      <c r="AX39" s="39">
        <f t="shared" si="27"/>
        <v>3.6999999999999998E-2</v>
      </c>
      <c r="AY39" s="39">
        <f t="shared" si="27"/>
        <v>3.6999999999999998E-2</v>
      </c>
      <c r="AZ39" s="39">
        <f t="shared" si="27"/>
        <v>3.6999999999999998E-2</v>
      </c>
      <c r="BA39" s="297">
        <f t="shared" si="27"/>
        <v>3.6999999999999998E-2</v>
      </c>
    </row>
    <row r="40" spans="2:53" ht="8.35" customHeight="1">
      <c r="B40" s="502"/>
      <c r="C40" s="503"/>
      <c r="I40" s="6"/>
      <c r="J40" s="6"/>
      <c r="K40" s="6"/>
      <c r="L40" s="6"/>
      <c r="BA40" s="302"/>
    </row>
    <row r="41" spans="2:53">
      <c r="B41" s="457" t="s">
        <v>42</v>
      </c>
      <c r="C41" s="458"/>
      <c r="D41" s="4">
        <f>Cockpit!N17</f>
        <v>100000</v>
      </c>
      <c r="E41" s="4">
        <f>D50</f>
        <v>97700</v>
      </c>
      <c r="F41" s="4">
        <f t="shared" ref="F41:M41" si="28">E50</f>
        <v>85314.9</v>
      </c>
      <c r="G41" s="4">
        <f t="shared" si="28"/>
        <v>82471.551299999992</v>
      </c>
      <c r="H41" s="4">
        <f t="shared" si="28"/>
        <v>79522.998698099997</v>
      </c>
      <c r="I41" s="4">
        <f t="shared" si="28"/>
        <v>76465.349649929703</v>
      </c>
      <c r="J41" s="4">
        <f t="shared" si="28"/>
        <v>73294.567586977108</v>
      </c>
      <c r="K41" s="4">
        <f t="shared" si="28"/>
        <v>70006.466587695264</v>
      </c>
      <c r="L41" s="4">
        <f t="shared" si="28"/>
        <v>66596.705851439983</v>
      </c>
      <c r="M41" s="4">
        <f t="shared" si="28"/>
        <v>63060.783967943265</v>
      </c>
      <c r="N41" s="4">
        <f t="shared" ref="N41:BA41" si="29">M50</f>
        <v>59394.032974757167</v>
      </c>
      <c r="O41" s="4">
        <f t="shared" si="29"/>
        <v>55591.612194823181</v>
      </c>
      <c r="P41" s="4">
        <f t="shared" si="29"/>
        <v>51648.501846031635</v>
      </c>
      <c r="Q41" s="4">
        <f t="shared" si="29"/>
        <v>47559.496414334804</v>
      </c>
      <c r="R41" s="4">
        <f t="shared" si="29"/>
        <v>43319.197781665192</v>
      </c>
      <c r="S41" s="4">
        <f t="shared" si="29"/>
        <v>38922.008099586805</v>
      </c>
      <c r="T41" s="4">
        <f t="shared" si="29"/>
        <v>34362.122399271517</v>
      </c>
      <c r="U41" s="4">
        <f t="shared" si="29"/>
        <v>29633.520928044563</v>
      </c>
      <c r="V41" s="4">
        <f t="shared" si="29"/>
        <v>24729.961202382212</v>
      </c>
      <c r="W41" s="4">
        <f t="shared" si="29"/>
        <v>19644.969766870352</v>
      </c>
      <c r="X41" s="4">
        <f t="shared" si="29"/>
        <v>14371.833648244556</v>
      </c>
      <c r="Y41" s="4">
        <f t="shared" si="29"/>
        <v>8903.5914932296037</v>
      </c>
      <c r="Z41" s="4">
        <f t="shared" si="29"/>
        <v>3233.0243784790991</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3700</v>
      </c>
      <c r="E42" s="4">
        <f t="shared" si="30"/>
        <v>3614.8999999999996</v>
      </c>
      <c r="F42" s="4">
        <f t="shared" si="30"/>
        <v>3156.6512999999995</v>
      </c>
      <c r="G42" s="4">
        <f t="shared" si="30"/>
        <v>3051.4473980999996</v>
      </c>
      <c r="H42" s="4">
        <f t="shared" si="30"/>
        <v>2942.3509518296996</v>
      </c>
      <c r="I42" s="4">
        <f t="shared" si="30"/>
        <v>2829.2179370473987</v>
      </c>
      <c r="J42" s="4">
        <f t="shared" si="30"/>
        <v>2711.8990007181528</v>
      </c>
      <c r="K42" s="4">
        <f t="shared" si="30"/>
        <v>2590.2392637447247</v>
      </c>
      <c r="L42" s="4">
        <f t="shared" si="30"/>
        <v>2464.078116503279</v>
      </c>
      <c r="M42" s="4">
        <f t="shared" si="30"/>
        <v>2333.2490068139009</v>
      </c>
      <c r="N42" s="4">
        <f t="shared" si="30"/>
        <v>2197.5792200660148</v>
      </c>
      <c r="O42" s="4">
        <f t="shared" si="30"/>
        <v>2056.8896512084575</v>
      </c>
      <c r="P42" s="4">
        <f t="shared" si="30"/>
        <v>1910.9945683031704</v>
      </c>
      <c r="Q42" s="4">
        <f t="shared" si="30"/>
        <v>1759.7013673303877</v>
      </c>
      <c r="R42" s="4">
        <f t="shared" si="30"/>
        <v>1602.8103179216121</v>
      </c>
      <c r="S42" s="4">
        <f t="shared" si="30"/>
        <v>1440.1142996847118</v>
      </c>
      <c r="T42" s="4">
        <f t="shared" si="30"/>
        <v>1271.3985287730461</v>
      </c>
      <c r="U42" s="4">
        <f t="shared" si="30"/>
        <v>1096.4402743376488</v>
      </c>
      <c r="V42" s="4">
        <f t="shared" si="30"/>
        <v>915.00856448814181</v>
      </c>
      <c r="W42" s="4">
        <f t="shared" si="30"/>
        <v>726.86388137420295</v>
      </c>
      <c r="X42" s="4">
        <f t="shared" si="30"/>
        <v>531.75784498504856</v>
      </c>
      <c r="Y42" s="4">
        <f t="shared" si="30"/>
        <v>329.43288524949531</v>
      </c>
      <c r="Z42" s="4">
        <f t="shared" si="30"/>
        <v>119.62190200372666</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6999999999999993"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2300</v>
      </c>
      <c r="E45" s="4">
        <f t="shared" ref="E45:L45" si="32">MIN(D50,IF(E44&lt;&gt;"",E44,MAX(D48-E42,0)))</f>
        <v>2385.1000000000004</v>
      </c>
      <c r="F45" s="4">
        <f t="shared" si="32"/>
        <v>2843.3487000000005</v>
      </c>
      <c r="G45" s="4">
        <f t="shared" si="32"/>
        <v>2948.5526019000004</v>
      </c>
      <c r="H45" s="4">
        <f t="shared" si="32"/>
        <v>3057.6490481703004</v>
      </c>
      <c r="I45" s="4">
        <f t="shared" si="32"/>
        <v>3170.7820629526013</v>
      </c>
      <c r="J45" s="4">
        <f t="shared" si="32"/>
        <v>3288.1009992818472</v>
      </c>
      <c r="K45" s="4">
        <f t="shared" si="32"/>
        <v>3409.7607362552753</v>
      </c>
      <c r="L45" s="4">
        <f t="shared" si="32"/>
        <v>3535.921883496721</v>
      </c>
      <c r="M45" s="4">
        <f>MIN(L50,IF(M44&lt;&gt;"",M44,MAX(L48-M42,0)))</f>
        <v>3666.7509931860991</v>
      </c>
      <c r="N45" s="4">
        <f t="shared" ref="N45:AZ45" si="33">MIN(M50,IF(N44&lt;&gt;"",N44,MAX(M48-N42,0)))</f>
        <v>3802.4207799339852</v>
      </c>
      <c r="O45" s="4">
        <f t="shared" si="33"/>
        <v>3943.1103487915425</v>
      </c>
      <c r="P45" s="4">
        <f t="shared" si="33"/>
        <v>4089.0054316968299</v>
      </c>
      <c r="Q45" s="4">
        <f t="shared" si="33"/>
        <v>4240.2986326696118</v>
      </c>
      <c r="R45" s="4">
        <f t="shared" si="33"/>
        <v>4397.1896820783877</v>
      </c>
      <c r="S45" s="4">
        <f t="shared" si="33"/>
        <v>4559.885700315288</v>
      </c>
      <c r="T45" s="4">
        <f t="shared" si="33"/>
        <v>4728.6014712269534</v>
      </c>
      <c r="U45" s="4">
        <f t="shared" si="33"/>
        <v>4903.5597256623514</v>
      </c>
      <c r="V45" s="4">
        <f t="shared" si="33"/>
        <v>5084.9914355118581</v>
      </c>
      <c r="W45" s="4">
        <f t="shared" si="33"/>
        <v>5273.1361186257973</v>
      </c>
      <c r="X45" s="4">
        <f t="shared" si="33"/>
        <v>5468.2421550149511</v>
      </c>
      <c r="Y45" s="4">
        <f t="shared" si="33"/>
        <v>5670.5671147505045</v>
      </c>
      <c r="Z45" s="4">
        <f t="shared" si="33"/>
        <v>3233.0243784790991</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2.3E-2</v>
      </c>
      <c r="E46" s="39">
        <f t="shared" ref="E46:BA46" si="34">IF(E41&gt;0,E45/E41,)</f>
        <v>2.4412487205731834E-2</v>
      </c>
      <c r="F46" s="39">
        <f t="shared" si="34"/>
        <v>3.332769188031634E-2</v>
      </c>
      <c r="G46" s="39">
        <f t="shared" si="34"/>
        <v>3.5752360122029141E-2</v>
      </c>
      <c r="H46" s="39">
        <f t="shared" si="34"/>
        <v>3.8449871084191838E-2</v>
      </c>
      <c r="I46" s="39">
        <f t="shared" si="34"/>
        <v>4.1466913804343225E-2</v>
      </c>
      <c r="J46" s="39">
        <f t="shared" si="34"/>
        <v>4.4861455733126845E-2</v>
      </c>
      <c r="K46" s="39">
        <f t="shared" si="34"/>
        <v>4.8706368175059335E-2</v>
      </c>
      <c r="L46" s="39">
        <f t="shared" si="34"/>
        <v>5.3094546318618936E-2</v>
      </c>
      <c r="M46" s="39">
        <f t="shared" si="34"/>
        <v>5.8146295723980841E-2</v>
      </c>
      <c r="N46" s="39">
        <f t="shared" si="34"/>
        <v>6.4020248996225562E-2</v>
      </c>
      <c r="O46" s="39">
        <f t="shared" si="34"/>
        <v>7.0929951356199991E-2</v>
      </c>
      <c r="P46" s="39">
        <f t="shared" si="34"/>
        <v>7.9169874934349224E-2</v>
      </c>
      <c r="Q46" s="39">
        <f t="shared" si="34"/>
        <v>8.9157769790673233E-2</v>
      </c>
      <c r="R46" s="39">
        <f t="shared" si="34"/>
        <v>0.10150672005148474</v>
      </c>
      <c r="S46" s="39">
        <f t="shared" si="34"/>
        <v>0.11715443069248258</v>
      </c>
      <c r="T46" s="39">
        <f t="shared" si="34"/>
        <v>0.13761086746280843</v>
      </c>
      <c r="U46" s="39">
        <f t="shared" si="34"/>
        <v>0.1654734088996398</v>
      </c>
      <c r="V46" s="39">
        <f t="shared" si="34"/>
        <v>0.20562067986673696</v>
      </c>
      <c r="W46" s="39">
        <f t="shared" si="34"/>
        <v>0.26842169681108463</v>
      </c>
      <c r="X46" s="39">
        <f t="shared" si="34"/>
        <v>0.38048326252947329</v>
      </c>
      <c r="Y46" s="39">
        <f t="shared" si="34"/>
        <v>0.63688536463768253</v>
      </c>
      <c r="Z46" s="39">
        <f t="shared" si="34"/>
        <v>1</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6999999999999993" customHeight="1">
      <c r="B47" s="502"/>
      <c r="C47" s="503"/>
      <c r="I47" s="6"/>
      <c r="J47" s="6"/>
      <c r="K47" s="6"/>
      <c r="L47" s="6"/>
      <c r="BA47" s="302"/>
    </row>
    <row r="48" spans="2:53">
      <c r="B48" s="457" t="s">
        <v>45</v>
      </c>
      <c r="C48" s="458"/>
      <c r="D48" s="4">
        <f t="shared" ref="D48:AI48" si="35">D42+D45</f>
        <v>6000</v>
      </c>
      <c r="E48" s="4">
        <f t="shared" si="35"/>
        <v>6000</v>
      </c>
      <c r="F48" s="4">
        <f t="shared" si="35"/>
        <v>6000</v>
      </c>
      <c r="G48" s="4">
        <f t="shared" si="35"/>
        <v>6000</v>
      </c>
      <c r="H48" s="4">
        <f t="shared" si="35"/>
        <v>6000</v>
      </c>
      <c r="I48" s="4">
        <f t="shared" si="35"/>
        <v>6000</v>
      </c>
      <c r="J48" s="4">
        <f t="shared" si="35"/>
        <v>6000</v>
      </c>
      <c r="K48" s="4">
        <f t="shared" si="35"/>
        <v>6000</v>
      </c>
      <c r="L48" s="4">
        <f t="shared" si="35"/>
        <v>6000</v>
      </c>
      <c r="M48" s="4">
        <f t="shared" si="35"/>
        <v>6000</v>
      </c>
      <c r="N48" s="4">
        <f t="shared" si="35"/>
        <v>6000</v>
      </c>
      <c r="O48" s="4">
        <f t="shared" si="35"/>
        <v>6000</v>
      </c>
      <c r="P48" s="4">
        <f t="shared" si="35"/>
        <v>6000</v>
      </c>
      <c r="Q48" s="4">
        <f t="shared" si="35"/>
        <v>6000</v>
      </c>
      <c r="R48" s="4">
        <f t="shared" si="35"/>
        <v>6000</v>
      </c>
      <c r="S48" s="4">
        <f t="shared" si="35"/>
        <v>6000</v>
      </c>
      <c r="T48" s="4">
        <f t="shared" si="35"/>
        <v>6000</v>
      </c>
      <c r="U48" s="4">
        <f t="shared" si="35"/>
        <v>6000</v>
      </c>
      <c r="V48" s="4">
        <f t="shared" si="35"/>
        <v>6000</v>
      </c>
      <c r="W48" s="4">
        <f t="shared" si="35"/>
        <v>6000</v>
      </c>
      <c r="X48" s="4">
        <f t="shared" si="35"/>
        <v>6000</v>
      </c>
      <c r="Y48" s="4">
        <f t="shared" si="35"/>
        <v>6000</v>
      </c>
      <c r="Z48" s="4">
        <f t="shared" si="35"/>
        <v>3352.6462804828257</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v>10000</v>
      </c>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97700</v>
      </c>
      <c r="E50" s="4">
        <f t="shared" si="37"/>
        <v>85314.9</v>
      </c>
      <c r="F50" s="4">
        <f t="shared" si="37"/>
        <v>82471.551299999992</v>
      </c>
      <c r="G50" s="4">
        <f t="shared" ref="G50" si="38">MAX(G41-G45-G49,0)</f>
        <v>79522.998698099997</v>
      </c>
      <c r="H50" s="4">
        <f t="shared" ref="H50" si="39">MAX(H41-H45-H49,0)</f>
        <v>76465.349649929703</v>
      </c>
      <c r="I50" s="4">
        <f t="shared" ref="I50" si="40">MAX(I41-I45-I49,0)</f>
        <v>73294.567586977108</v>
      </c>
      <c r="J50" s="4">
        <f t="shared" ref="J50" si="41">MAX(J41-J45-J49,0)</f>
        <v>70006.466587695264</v>
      </c>
      <c r="K50" s="4">
        <f t="shared" ref="K50" si="42">MAX(K41-K45-K49,0)</f>
        <v>66596.705851439983</v>
      </c>
      <c r="L50" s="4">
        <f t="shared" ref="L50" si="43">MAX(L41-L45-L49,0)</f>
        <v>63060.783967943265</v>
      </c>
      <c r="M50" s="4">
        <f t="shared" ref="M50" si="44">MAX(M41-M45-M49,0)</f>
        <v>59394.032974757167</v>
      </c>
      <c r="N50" s="4">
        <f t="shared" ref="N50" si="45">MAX(N41-N45-N49,0)</f>
        <v>55591.612194823181</v>
      </c>
      <c r="O50" s="4">
        <f t="shared" ref="O50" si="46">MAX(O41-O45-O49,0)</f>
        <v>51648.501846031635</v>
      </c>
      <c r="P50" s="4">
        <f t="shared" ref="P50" si="47">MAX(P41-P45-P49,0)</f>
        <v>47559.496414334804</v>
      </c>
      <c r="Q50" s="4">
        <f t="shared" ref="Q50" si="48">MAX(Q41-Q45-Q49,0)</f>
        <v>43319.197781665192</v>
      </c>
      <c r="R50" s="4">
        <f t="shared" ref="R50" si="49">MAX(R41-R45-R49,0)</f>
        <v>38922.008099586805</v>
      </c>
      <c r="S50" s="4">
        <f t="shared" ref="S50" si="50">MAX(S41-S45-S49,0)</f>
        <v>34362.122399271517</v>
      </c>
      <c r="T50" s="4">
        <f t="shared" ref="T50" si="51">MAX(T41-T45-T49,0)</f>
        <v>29633.520928044563</v>
      </c>
      <c r="U50" s="4">
        <f t="shared" ref="U50" si="52">MAX(U41-U45-U49,0)</f>
        <v>24729.961202382212</v>
      </c>
      <c r="V50" s="4">
        <f t="shared" ref="V50" si="53">MAX(V41-V45-V49,0)</f>
        <v>19644.969766870352</v>
      </c>
      <c r="W50" s="4">
        <f t="shared" ref="W50" si="54">MAX(W41-W45-W49,0)</f>
        <v>14371.833648244556</v>
      </c>
      <c r="X50" s="4">
        <f t="shared" ref="X50" si="55">MAX(X41-X45-X49,0)</f>
        <v>8903.5914932296037</v>
      </c>
      <c r="Y50" s="4">
        <f t="shared" ref="Y50" si="56">MAX(Y41-Y45-Y49,0)</f>
        <v>3233.0243784790991</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4.95" thickBot="1">
      <c r="B51" s="448" t="s">
        <v>24</v>
      </c>
      <c r="C51" s="449"/>
      <c r="D51" s="298">
        <f>D48/12</f>
        <v>500</v>
      </c>
      <c r="E51" s="298">
        <f t="shared" ref="E51:BA51" si="85">E48/12</f>
        <v>500</v>
      </c>
      <c r="F51" s="298">
        <f t="shared" si="85"/>
        <v>500</v>
      </c>
      <c r="G51" s="298">
        <f t="shared" si="85"/>
        <v>500</v>
      </c>
      <c r="H51" s="298">
        <f t="shared" si="85"/>
        <v>500</v>
      </c>
      <c r="I51" s="298">
        <f t="shared" si="85"/>
        <v>500</v>
      </c>
      <c r="J51" s="298">
        <f t="shared" si="85"/>
        <v>500</v>
      </c>
      <c r="K51" s="298">
        <f t="shared" si="85"/>
        <v>500</v>
      </c>
      <c r="L51" s="298">
        <f t="shared" si="85"/>
        <v>500</v>
      </c>
      <c r="M51" s="298">
        <f t="shared" si="85"/>
        <v>500</v>
      </c>
      <c r="N51" s="298">
        <f t="shared" si="85"/>
        <v>500</v>
      </c>
      <c r="O51" s="298">
        <f t="shared" si="85"/>
        <v>500</v>
      </c>
      <c r="P51" s="298">
        <f t="shared" si="85"/>
        <v>500</v>
      </c>
      <c r="Q51" s="298">
        <f t="shared" si="85"/>
        <v>500</v>
      </c>
      <c r="R51" s="298">
        <f t="shared" si="85"/>
        <v>500</v>
      </c>
      <c r="S51" s="298">
        <f t="shared" si="85"/>
        <v>500</v>
      </c>
      <c r="T51" s="298">
        <f t="shared" si="85"/>
        <v>500</v>
      </c>
      <c r="U51" s="298">
        <f t="shared" si="85"/>
        <v>500</v>
      </c>
      <c r="V51" s="298">
        <f t="shared" si="85"/>
        <v>500</v>
      </c>
      <c r="W51" s="298">
        <f t="shared" si="85"/>
        <v>500</v>
      </c>
      <c r="X51" s="298">
        <f t="shared" si="85"/>
        <v>500</v>
      </c>
      <c r="Y51" s="298">
        <f t="shared" si="85"/>
        <v>500</v>
      </c>
      <c r="Z51" s="298">
        <f t="shared" si="85"/>
        <v>279.38719004023545</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4.95" thickBot="1">
      <c r="I52" s="6"/>
      <c r="J52" s="6"/>
      <c r="K52" s="6"/>
      <c r="L52" s="6"/>
    </row>
    <row r="53" spans="2:53" ht="16.3" thickBot="1">
      <c r="B53" s="273" t="s">
        <v>25</v>
      </c>
      <c r="C53" s="40"/>
      <c r="I53" s="6"/>
      <c r="J53" s="6"/>
      <c r="K53" s="6"/>
      <c r="L53" s="6"/>
    </row>
    <row r="54" spans="2:53" ht="14.9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3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6999999999999993"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6999999999999993"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4.9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4.95" thickBot="1">
      <c r="I69" s="6"/>
      <c r="J69" s="6"/>
      <c r="K69" s="6"/>
      <c r="L69" s="6"/>
    </row>
    <row r="70" spans="1:53" ht="16.3" thickBot="1">
      <c r="A70"/>
      <c r="B70" s="273" t="s">
        <v>238</v>
      </c>
      <c r="C70" s="40"/>
      <c r="I70" s="6"/>
      <c r="J70" s="6"/>
      <c r="K70" s="6"/>
      <c r="L70" s="6"/>
    </row>
    <row r="71" spans="1:53" ht="14.9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3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6999999999999993"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6999999999999993"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4.9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4.95" thickBot="1">
      <c r="I86" s="6"/>
      <c r="J86" s="6"/>
      <c r="K86" s="6"/>
      <c r="L86" s="6"/>
    </row>
    <row r="87" spans="1:53" ht="16.3" thickBot="1">
      <c r="A87"/>
      <c r="B87" s="273" t="s">
        <v>239</v>
      </c>
      <c r="C87" s="40"/>
      <c r="I87" s="6"/>
      <c r="J87" s="6"/>
      <c r="K87" s="6"/>
      <c r="L87" s="6"/>
    </row>
    <row r="88" spans="1:53" ht="14.9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3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6999999999999993"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6999999999999993"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4.9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4.9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6.3"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4.9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100000</v>
      </c>
      <c r="E106" s="291">
        <f t="shared" ref="E106:BA106" si="537">E41+E58+E75+E92</f>
        <v>97700</v>
      </c>
      <c r="F106" s="291">
        <f t="shared" si="537"/>
        <v>85314.9</v>
      </c>
      <c r="G106" s="291">
        <f t="shared" si="537"/>
        <v>82471.551299999992</v>
      </c>
      <c r="H106" s="291">
        <f t="shared" si="537"/>
        <v>79522.998698099997</v>
      </c>
      <c r="I106" s="291">
        <f t="shared" si="537"/>
        <v>76465.349649929703</v>
      </c>
      <c r="J106" s="291">
        <f t="shared" si="537"/>
        <v>73294.567586977108</v>
      </c>
      <c r="K106" s="291">
        <f t="shared" si="537"/>
        <v>70006.466587695264</v>
      </c>
      <c r="L106" s="291">
        <f t="shared" si="537"/>
        <v>66596.705851439983</v>
      </c>
      <c r="M106" s="291">
        <f t="shared" si="537"/>
        <v>63060.783967943265</v>
      </c>
      <c r="N106" s="291">
        <f t="shared" si="537"/>
        <v>59394.032974757167</v>
      </c>
      <c r="O106" s="291">
        <f t="shared" si="537"/>
        <v>55591.612194823181</v>
      </c>
      <c r="P106" s="291">
        <f t="shared" si="537"/>
        <v>51648.501846031635</v>
      </c>
      <c r="Q106" s="291">
        <f t="shared" si="537"/>
        <v>47559.496414334804</v>
      </c>
      <c r="R106" s="291">
        <f t="shared" si="537"/>
        <v>43319.197781665192</v>
      </c>
      <c r="S106" s="291">
        <f t="shared" si="537"/>
        <v>38922.008099586805</v>
      </c>
      <c r="T106" s="291">
        <f t="shared" si="537"/>
        <v>34362.122399271517</v>
      </c>
      <c r="U106" s="291">
        <f t="shared" si="537"/>
        <v>29633.520928044563</v>
      </c>
      <c r="V106" s="291">
        <f t="shared" si="537"/>
        <v>24729.961202382212</v>
      </c>
      <c r="W106" s="291">
        <f t="shared" si="537"/>
        <v>19644.969766870352</v>
      </c>
      <c r="X106" s="291">
        <f t="shared" si="537"/>
        <v>14371.833648244556</v>
      </c>
      <c r="Y106" s="291">
        <f t="shared" si="537"/>
        <v>8903.5914932296037</v>
      </c>
      <c r="Z106" s="291">
        <f t="shared" si="537"/>
        <v>3233.0243784790991</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243</v>
      </c>
      <c r="C107" s="501"/>
      <c r="D107" s="43">
        <f>D41</f>
        <v>100000</v>
      </c>
      <c r="E107" s="43">
        <f t="shared" ref="E107:BA107" si="538">E41</f>
        <v>97700</v>
      </c>
      <c r="F107" s="43">
        <f t="shared" si="538"/>
        <v>85314.9</v>
      </c>
      <c r="G107" s="43">
        <f t="shared" si="538"/>
        <v>82471.551299999992</v>
      </c>
      <c r="H107" s="43">
        <f t="shared" si="538"/>
        <v>79522.998698099997</v>
      </c>
      <c r="I107" s="43">
        <f t="shared" si="538"/>
        <v>76465.349649929703</v>
      </c>
      <c r="J107" s="43">
        <f t="shared" si="538"/>
        <v>73294.567586977108</v>
      </c>
      <c r="K107" s="43">
        <f t="shared" si="538"/>
        <v>70006.466587695264</v>
      </c>
      <c r="L107" s="43">
        <f t="shared" si="538"/>
        <v>66596.705851439983</v>
      </c>
      <c r="M107" s="43">
        <f t="shared" si="538"/>
        <v>63060.783967943265</v>
      </c>
      <c r="N107" s="43">
        <f t="shared" si="538"/>
        <v>59394.032974757167</v>
      </c>
      <c r="O107" s="43">
        <f t="shared" si="538"/>
        <v>55591.612194823181</v>
      </c>
      <c r="P107" s="43">
        <f t="shared" si="538"/>
        <v>51648.501846031635</v>
      </c>
      <c r="Q107" s="43">
        <f t="shared" si="538"/>
        <v>47559.496414334804</v>
      </c>
      <c r="R107" s="43">
        <f t="shared" si="538"/>
        <v>43319.197781665192</v>
      </c>
      <c r="S107" s="43">
        <f t="shared" si="538"/>
        <v>38922.008099586805</v>
      </c>
      <c r="T107" s="43">
        <f t="shared" si="538"/>
        <v>34362.122399271517</v>
      </c>
      <c r="U107" s="43">
        <f t="shared" si="538"/>
        <v>29633.520928044563</v>
      </c>
      <c r="V107" s="43">
        <f t="shared" si="538"/>
        <v>24729.961202382212</v>
      </c>
      <c r="W107" s="43">
        <f t="shared" si="538"/>
        <v>19644.969766870352</v>
      </c>
      <c r="X107" s="43">
        <f t="shared" si="538"/>
        <v>14371.833648244556</v>
      </c>
      <c r="Y107" s="43">
        <f t="shared" si="538"/>
        <v>8903.5914932296037</v>
      </c>
      <c r="Z107" s="43">
        <f t="shared" si="538"/>
        <v>3233.0243784790991</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244</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3700</v>
      </c>
      <c r="E110" s="4">
        <f t="shared" ref="E110:BA110" si="540">E42+E59+E76+E93</f>
        <v>3614.8999999999996</v>
      </c>
      <c r="F110" s="4">
        <f t="shared" si="540"/>
        <v>3156.6512999999995</v>
      </c>
      <c r="G110" s="4">
        <f t="shared" si="540"/>
        <v>3051.4473980999996</v>
      </c>
      <c r="H110" s="4">
        <f t="shared" si="540"/>
        <v>2942.3509518296996</v>
      </c>
      <c r="I110" s="4">
        <f t="shared" si="540"/>
        <v>2829.2179370473987</v>
      </c>
      <c r="J110" s="4">
        <f t="shared" si="540"/>
        <v>2711.8990007181528</v>
      </c>
      <c r="K110" s="4">
        <f t="shared" si="540"/>
        <v>2590.2392637447247</v>
      </c>
      <c r="L110" s="4">
        <f t="shared" si="540"/>
        <v>2464.078116503279</v>
      </c>
      <c r="M110" s="4">
        <f t="shared" si="540"/>
        <v>2333.2490068139009</v>
      </c>
      <c r="N110" s="4">
        <f t="shared" si="540"/>
        <v>2197.5792200660148</v>
      </c>
      <c r="O110" s="4">
        <f t="shared" si="540"/>
        <v>2056.8896512084575</v>
      </c>
      <c r="P110" s="4">
        <f t="shared" si="540"/>
        <v>1910.9945683031704</v>
      </c>
      <c r="Q110" s="4">
        <f t="shared" si="540"/>
        <v>1759.7013673303877</v>
      </c>
      <c r="R110" s="4">
        <f t="shared" si="540"/>
        <v>1602.8103179216121</v>
      </c>
      <c r="S110" s="4">
        <f t="shared" si="540"/>
        <v>1440.1142996847118</v>
      </c>
      <c r="T110" s="4">
        <f t="shared" si="540"/>
        <v>1271.3985287730461</v>
      </c>
      <c r="U110" s="4">
        <f t="shared" si="540"/>
        <v>1096.4402743376488</v>
      </c>
      <c r="V110" s="4">
        <f t="shared" si="540"/>
        <v>915.00856448814181</v>
      </c>
      <c r="W110" s="4">
        <f t="shared" si="540"/>
        <v>726.86388137420295</v>
      </c>
      <c r="X110" s="4">
        <f t="shared" si="540"/>
        <v>531.75784498504856</v>
      </c>
      <c r="Y110" s="4">
        <f t="shared" si="540"/>
        <v>329.43288524949531</v>
      </c>
      <c r="Z110" s="4">
        <f t="shared" si="540"/>
        <v>119.62190200372666</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3700</v>
      </c>
      <c r="E111" s="4">
        <f>D111+E110</f>
        <v>7314.9</v>
      </c>
      <c r="F111" s="4">
        <f t="shared" ref="F111:BA111" si="541">E111+F110</f>
        <v>10471.551299999999</v>
      </c>
      <c r="G111" s="4">
        <f t="shared" si="541"/>
        <v>13522.998698099998</v>
      </c>
      <c r="H111" s="4">
        <f t="shared" si="541"/>
        <v>16465.349649929696</v>
      </c>
      <c r="I111" s="4">
        <f t="shared" si="541"/>
        <v>19294.567586977093</v>
      </c>
      <c r="J111" s="4">
        <f t="shared" si="541"/>
        <v>22006.466587695246</v>
      </c>
      <c r="K111" s="4">
        <f t="shared" si="541"/>
        <v>24596.705851439969</v>
      </c>
      <c r="L111" s="4">
        <f t="shared" si="541"/>
        <v>27060.783967943247</v>
      </c>
      <c r="M111" s="4">
        <f t="shared" si="541"/>
        <v>29394.032974757149</v>
      </c>
      <c r="N111" s="4">
        <f t="shared" si="541"/>
        <v>31591.612194823163</v>
      </c>
      <c r="O111" s="4">
        <f t="shared" si="541"/>
        <v>33648.501846031621</v>
      </c>
      <c r="P111" s="4">
        <f t="shared" si="541"/>
        <v>35559.49641433479</v>
      </c>
      <c r="Q111" s="4">
        <f t="shared" si="541"/>
        <v>37319.197781665178</v>
      </c>
      <c r="R111" s="4">
        <f t="shared" si="541"/>
        <v>38922.00809958679</v>
      </c>
      <c r="S111" s="4">
        <f t="shared" si="541"/>
        <v>40362.122399271502</v>
      </c>
      <c r="T111" s="4">
        <f t="shared" si="541"/>
        <v>41633.520928044549</v>
      </c>
      <c r="U111" s="4">
        <f t="shared" si="541"/>
        <v>42729.961202382197</v>
      </c>
      <c r="V111" s="4">
        <f t="shared" si="541"/>
        <v>43644.969766870337</v>
      </c>
      <c r="W111" s="4">
        <f t="shared" si="541"/>
        <v>44371.833648244537</v>
      </c>
      <c r="X111" s="4">
        <f t="shared" si="541"/>
        <v>44903.591493229585</v>
      </c>
      <c r="Y111" s="4">
        <f t="shared" si="541"/>
        <v>45233.02437847908</v>
      </c>
      <c r="Z111" s="4">
        <f t="shared" si="541"/>
        <v>45352.646280482804</v>
      </c>
      <c r="AA111" s="4">
        <f t="shared" si="541"/>
        <v>45352.646280482804</v>
      </c>
      <c r="AB111" s="4">
        <f t="shared" si="541"/>
        <v>45352.646280482804</v>
      </c>
      <c r="AC111" s="4">
        <f t="shared" si="541"/>
        <v>45352.646280482804</v>
      </c>
      <c r="AD111" s="4">
        <f t="shared" si="541"/>
        <v>45352.646280482804</v>
      </c>
      <c r="AE111" s="4">
        <f t="shared" si="541"/>
        <v>45352.646280482804</v>
      </c>
      <c r="AF111" s="4">
        <f t="shared" si="541"/>
        <v>45352.646280482804</v>
      </c>
      <c r="AG111" s="4">
        <f t="shared" si="541"/>
        <v>45352.646280482804</v>
      </c>
      <c r="AH111" s="4">
        <f t="shared" si="541"/>
        <v>45352.646280482804</v>
      </c>
      <c r="AI111" s="4">
        <f t="shared" si="541"/>
        <v>45352.646280482804</v>
      </c>
      <c r="AJ111" s="4">
        <f t="shared" si="541"/>
        <v>45352.646280482804</v>
      </c>
      <c r="AK111" s="4">
        <f t="shared" si="541"/>
        <v>45352.646280482804</v>
      </c>
      <c r="AL111" s="4">
        <f t="shared" si="541"/>
        <v>45352.646280482804</v>
      </c>
      <c r="AM111" s="4">
        <f t="shared" si="541"/>
        <v>45352.646280482804</v>
      </c>
      <c r="AN111" s="4">
        <f t="shared" si="541"/>
        <v>45352.646280482804</v>
      </c>
      <c r="AO111" s="4">
        <f t="shared" si="541"/>
        <v>45352.646280482804</v>
      </c>
      <c r="AP111" s="4">
        <f t="shared" si="541"/>
        <v>45352.646280482804</v>
      </c>
      <c r="AQ111" s="4">
        <f t="shared" si="541"/>
        <v>45352.646280482804</v>
      </c>
      <c r="AR111" s="4">
        <f t="shared" si="541"/>
        <v>45352.646280482804</v>
      </c>
      <c r="AS111" s="4">
        <f t="shared" si="541"/>
        <v>45352.646280482804</v>
      </c>
      <c r="AT111" s="4">
        <f t="shared" si="541"/>
        <v>45352.646280482804</v>
      </c>
      <c r="AU111" s="4">
        <f t="shared" si="541"/>
        <v>45352.646280482804</v>
      </c>
      <c r="AV111" s="4">
        <f t="shared" si="541"/>
        <v>45352.646280482804</v>
      </c>
      <c r="AW111" s="4">
        <f t="shared" si="541"/>
        <v>45352.646280482804</v>
      </c>
      <c r="AX111" s="4">
        <f t="shared" si="541"/>
        <v>45352.646280482804</v>
      </c>
      <c r="AY111" s="4">
        <f t="shared" si="541"/>
        <v>45352.646280482804</v>
      </c>
      <c r="AZ111" s="4">
        <f t="shared" si="541"/>
        <v>45352.646280482804</v>
      </c>
      <c r="BA111" s="295">
        <f t="shared" si="541"/>
        <v>45352.646280482804</v>
      </c>
    </row>
    <row r="112" spans="1:53">
      <c r="B112" s="494" t="s">
        <v>50</v>
      </c>
      <c r="C112" s="495"/>
      <c r="D112" s="44">
        <f>IF(D106&gt;0,D110/D106,)</f>
        <v>3.6999999999999998E-2</v>
      </c>
      <c r="E112" s="44">
        <f t="shared" ref="E112:BA112" si="542">IF(E106&gt;0,E110/E106,)</f>
        <v>3.6999999999999998E-2</v>
      </c>
      <c r="F112" s="44">
        <f t="shared" si="542"/>
        <v>3.6999999999999998E-2</v>
      </c>
      <c r="G112" s="44">
        <f t="shared" si="542"/>
        <v>3.6999999999999998E-2</v>
      </c>
      <c r="H112" s="44">
        <f t="shared" si="542"/>
        <v>3.6999999999999998E-2</v>
      </c>
      <c r="I112" s="44">
        <f t="shared" si="542"/>
        <v>3.6999999999999998E-2</v>
      </c>
      <c r="J112" s="44">
        <f t="shared" si="542"/>
        <v>3.6999999999999998E-2</v>
      </c>
      <c r="K112" s="44">
        <f t="shared" si="542"/>
        <v>3.6999999999999998E-2</v>
      </c>
      <c r="L112" s="44">
        <f t="shared" si="542"/>
        <v>3.6999999999999998E-2</v>
      </c>
      <c r="M112" s="44">
        <f t="shared" si="542"/>
        <v>3.6999999999999998E-2</v>
      </c>
      <c r="N112" s="44">
        <f t="shared" si="542"/>
        <v>3.6999999999999991E-2</v>
      </c>
      <c r="O112" s="44">
        <f t="shared" si="542"/>
        <v>3.6999999999999998E-2</v>
      </c>
      <c r="P112" s="44">
        <f t="shared" si="542"/>
        <v>3.6999999999999998E-2</v>
      </c>
      <c r="Q112" s="44">
        <f t="shared" si="542"/>
        <v>3.6999999999999998E-2</v>
      </c>
      <c r="R112" s="44">
        <f t="shared" si="542"/>
        <v>3.6999999999999998E-2</v>
      </c>
      <c r="S112" s="44">
        <f t="shared" si="542"/>
        <v>3.6999999999999998E-2</v>
      </c>
      <c r="T112" s="44">
        <f t="shared" si="542"/>
        <v>3.6999999999999998E-2</v>
      </c>
      <c r="U112" s="44">
        <f t="shared" si="542"/>
        <v>3.6999999999999998E-2</v>
      </c>
      <c r="V112" s="44">
        <f t="shared" si="542"/>
        <v>3.6999999999999998E-2</v>
      </c>
      <c r="W112" s="44">
        <f t="shared" si="542"/>
        <v>3.6999999999999998E-2</v>
      </c>
      <c r="X112" s="44">
        <f t="shared" si="542"/>
        <v>3.6999999999999998E-2</v>
      </c>
      <c r="Y112" s="44">
        <f t="shared" si="542"/>
        <v>3.6999999999999998E-2</v>
      </c>
      <c r="Z112" s="44">
        <f t="shared" si="542"/>
        <v>3.6999999999999998E-2</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2300</v>
      </c>
      <c r="E114" s="4">
        <f t="shared" ref="E114:BA114" si="543">E45+E62+E79+E96</f>
        <v>2385.1000000000004</v>
      </c>
      <c r="F114" s="4">
        <f t="shared" si="543"/>
        <v>2843.3487000000005</v>
      </c>
      <c r="G114" s="4">
        <f t="shared" si="543"/>
        <v>2948.5526019000004</v>
      </c>
      <c r="H114" s="4">
        <f t="shared" si="543"/>
        <v>3057.6490481703004</v>
      </c>
      <c r="I114" s="4">
        <f t="shared" si="543"/>
        <v>3170.7820629526013</v>
      </c>
      <c r="J114" s="4">
        <f t="shared" si="543"/>
        <v>3288.1009992818472</v>
      </c>
      <c r="K114" s="4">
        <f t="shared" si="543"/>
        <v>3409.7607362552753</v>
      </c>
      <c r="L114" s="4">
        <f t="shared" si="543"/>
        <v>3535.921883496721</v>
      </c>
      <c r="M114" s="4">
        <f t="shared" si="543"/>
        <v>3666.7509931860991</v>
      </c>
      <c r="N114" s="4">
        <f t="shared" si="543"/>
        <v>3802.4207799339852</v>
      </c>
      <c r="O114" s="4">
        <f t="shared" si="543"/>
        <v>3943.1103487915425</v>
      </c>
      <c r="P114" s="4">
        <f t="shared" si="543"/>
        <v>4089.0054316968299</v>
      </c>
      <c r="Q114" s="4">
        <f t="shared" si="543"/>
        <v>4240.2986326696118</v>
      </c>
      <c r="R114" s="4">
        <f t="shared" si="543"/>
        <v>4397.1896820783877</v>
      </c>
      <c r="S114" s="4">
        <f t="shared" si="543"/>
        <v>4559.885700315288</v>
      </c>
      <c r="T114" s="4">
        <f t="shared" si="543"/>
        <v>4728.6014712269534</v>
      </c>
      <c r="U114" s="4">
        <f t="shared" si="543"/>
        <v>4903.5597256623514</v>
      </c>
      <c r="V114" s="4">
        <f t="shared" si="543"/>
        <v>5084.9914355118581</v>
      </c>
      <c r="W114" s="4">
        <f t="shared" si="543"/>
        <v>5273.1361186257973</v>
      </c>
      <c r="X114" s="4">
        <f t="shared" si="543"/>
        <v>5468.2421550149511</v>
      </c>
      <c r="Y114" s="4">
        <f t="shared" si="543"/>
        <v>5670.5671147505045</v>
      </c>
      <c r="Z114" s="4">
        <f t="shared" si="543"/>
        <v>3233.0243784790991</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2.3E-2</v>
      </c>
      <c r="E115" s="39">
        <f t="shared" ref="E115:BA115" si="544">IF(E106&gt;0,E114/E106,)</f>
        <v>2.4412487205731834E-2</v>
      </c>
      <c r="F115" s="39">
        <f t="shared" si="544"/>
        <v>3.332769188031634E-2</v>
      </c>
      <c r="G115" s="39">
        <f t="shared" si="544"/>
        <v>3.5752360122029141E-2</v>
      </c>
      <c r="H115" s="39">
        <f t="shared" si="544"/>
        <v>3.8449871084191838E-2</v>
      </c>
      <c r="I115" s="39">
        <f t="shared" si="544"/>
        <v>4.1466913804343225E-2</v>
      </c>
      <c r="J115" s="39">
        <f t="shared" si="544"/>
        <v>4.4861455733126845E-2</v>
      </c>
      <c r="K115" s="39">
        <f t="shared" si="544"/>
        <v>4.8706368175059335E-2</v>
      </c>
      <c r="L115" s="39">
        <f t="shared" si="544"/>
        <v>5.3094546318618936E-2</v>
      </c>
      <c r="M115" s="39">
        <f t="shared" si="544"/>
        <v>5.8146295723980841E-2</v>
      </c>
      <c r="N115" s="39">
        <f t="shared" si="544"/>
        <v>6.4020248996225562E-2</v>
      </c>
      <c r="O115" s="39">
        <f t="shared" si="544"/>
        <v>7.0929951356199991E-2</v>
      </c>
      <c r="P115" s="39">
        <f t="shared" si="544"/>
        <v>7.9169874934349224E-2</v>
      </c>
      <c r="Q115" s="39">
        <f t="shared" si="544"/>
        <v>8.9157769790673233E-2</v>
      </c>
      <c r="R115" s="39">
        <f t="shared" si="544"/>
        <v>0.10150672005148474</v>
      </c>
      <c r="S115" s="39">
        <f t="shared" si="544"/>
        <v>0.11715443069248258</v>
      </c>
      <c r="T115" s="39">
        <f t="shared" si="544"/>
        <v>0.13761086746280843</v>
      </c>
      <c r="U115" s="39">
        <f t="shared" si="544"/>
        <v>0.1654734088996398</v>
      </c>
      <c r="V115" s="39">
        <f t="shared" si="544"/>
        <v>0.20562067986673696</v>
      </c>
      <c r="W115" s="39">
        <f t="shared" si="544"/>
        <v>0.26842169681108463</v>
      </c>
      <c r="X115" s="39">
        <f t="shared" si="544"/>
        <v>0.38048326252947329</v>
      </c>
      <c r="Y115" s="39">
        <f t="shared" si="544"/>
        <v>0.63688536463768253</v>
      </c>
      <c r="Z115" s="39">
        <f t="shared" si="544"/>
        <v>1</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6000</v>
      </c>
      <c r="E117" s="4">
        <f t="shared" ref="E117:BA117" si="545">E48+E65+E82+E99</f>
        <v>6000</v>
      </c>
      <c r="F117" s="4">
        <f t="shared" si="545"/>
        <v>6000</v>
      </c>
      <c r="G117" s="4">
        <f t="shared" si="545"/>
        <v>6000</v>
      </c>
      <c r="H117" s="4">
        <f t="shared" si="545"/>
        <v>6000</v>
      </c>
      <c r="I117" s="4">
        <f t="shared" si="545"/>
        <v>6000</v>
      </c>
      <c r="J117" s="4">
        <f t="shared" si="545"/>
        <v>6000</v>
      </c>
      <c r="K117" s="4">
        <f t="shared" si="545"/>
        <v>6000</v>
      </c>
      <c r="L117" s="4">
        <f t="shared" si="545"/>
        <v>6000</v>
      </c>
      <c r="M117" s="4">
        <f t="shared" si="545"/>
        <v>6000</v>
      </c>
      <c r="N117" s="4">
        <f t="shared" si="545"/>
        <v>6000</v>
      </c>
      <c r="O117" s="4">
        <f t="shared" si="545"/>
        <v>6000</v>
      </c>
      <c r="P117" s="4">
        <f t="shared" si="545"/>
        <v>6000</v>
      </c>
      <c r="Q117" s="4">
        <f t="shared" si="545"/>
        <v>6000</v>
      </c>
      <c r="R117" s="4">
        <f t="shared" si="545"/>
        <v>6000</v>
      </c>
      <c r="S117" s="4">
        <f t="shared" si="545"/>
        <v>6000</v>
      </c>
      <c r="T117" s="4">
        <f t="shared" si="545"/>
        <v>6000</v>
      </c>
      <c r="U117" s="4">
        <f t="shared" si="545"/>
        <v>6000</v>
      </c>
      <c r="V117" s="4">
        <f t="shared" si="545"/>
        <v>6000</v>
      </c>
      <c r="W117" s="4">
        <f t="shared" si="545"/>
        <v>6000</v>
      </c>
      <c r="X117" s="4">
        <f t="shared" si="545"/>
        <v>6000</v>
      </c>
      <c r="Y117" s="4">
        <f t="shared" si="545"/>
        <v>6000</v>
      </c>
      <c r="Z117" s="4">
        <f t="shared" si="545"/>
        <v>3352.6462804828257</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97700</v>
      </c>
      <c r="E118" s="4">
        <f t="shared" ref="E118:BA118" si="546">E50+E67+E84+E101</f>
        <v>85314.9</v>
      </c>
      <c r="F118" s="4">
        <f t="shared" si="546"/>
        <v>82471.551299999992</v>
      </c>
      <c r="G118" s="4">
        <f t="shared" si="546"/>
        <v>79522.998698099997</v>
      </c>
      <c r="H118" s="4">
        <f t="shared" si="546"/>
        <v>76465.349649929703</v>
      </c>
      <c r="I118" s="4">
        <f t="shared" si="546"/>
        <v>73294.567586977108</v>
      </c>
      <c r="J118" s="4">
        <f t="shared" si="546"/>
        <v>70006.466587695264</v>
      </c>
      <c r="K118" s="4">
        <f t="shared" si="546"/>
        <v>66596.705851439983</v>
      </c>
      <c r="L118" s="4">
        <f t="shared" si="546"/>
        <v>63060.783967943265</v>
      </c>
      <c r="M118" s="4">
        <f t="shared" si="546"/>
        <v>59394.032974757167</v>
      </c>
      <c r="N118" s="4">
        <f t="shared" si="546"/>
        <v>55591.612194823181</v>
      </c>
      <c r="O118" s="4">
        <f t="shared" si="546"/>
        <v>51648.501846031635</v>
      </c>
      <c r="P118" s="4">
        <f t="shared" si="546"/>
        <v>47559.496414334804</v>
      </c>
      <c r="Q118" s="4">
        <f t="shared" si="546"/>
        <v>43319.197781665192</v>
      </c>
      <c r="R118" s="4">
        <f t="shared" si="546"/>
        <v>38922.008099586805</v>
      </c>
      <c r="S118" s="4">
        <f t="shared" si="546"/>
        <v>34362.122399271517</v>
      </c>
      <c r="T118" s="4">
        <f t="shared" si="546"/>
        <v>29633.520928044563</v>
      </c>
      <c r="U118" s="4">
        <f t="shared" si="546"/>
        <v>24729.961202382212</v>
      </c>
      <c r="V118" s="4">
        <f t="shared" si="546"/>
        <v>19644.969766870352</v>
      </c>
      <c r="W118" s="4">
        <f t="shared" si="546"/>
        <v>14371.833648244556</v>
      </c>
      <c r="X118" s="4">
        <f t="shared" si="546"/>
        <v>8903.5914932296037</v>
      </c>
      <c r="Y118" s="4">
        <f t="shared" si="546"/>
        <v>3233.0243784790991</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4.95" thickBot="1">
      <c r="B119" s="448" t="s">
        <v>24</v>
      </c>
      <c r="C119" s="449"/>
      <c r="D119" s="298">
        <f>D51+D68+D85+D102</f>
        <v>500</v>
      </c>
      <c r="E119" s="298">
        <f t="shared" ref="E119:BA119" si="547">E51+E68+E85+E102</f>
        <v>500</v>
      </c>
      <c r="F119" s="298">
        <f t="shared" si="547"/>
        <v>500</v>
      </c>
      <c r="G119" s="298">
        <f t="shared" si="547"/>
        <v>500</v>
      </c>
      <c r="H119" s="298">
        <f t="shared" si="547"/>
        <v>500</v>
      </c>
      <c r="I119" s="298">
        <f t="shared" si="547"/>
        <v>500</v>
      </c>
      <c r="J119" s="298">
        <f t="shared" si="547"/>
        <v>500</v>
      </c>
      <c r="K119" s="298">
        <f t="shared" si="547"/>
        <v>500</v>
      </c>
      <c r="L119" s="298">
        <f t="shared" si="547"/>
        <v>500</v>
      </c>
      <c r="M119" s="298">
        <f t="shared" si="547"/>
        <v>500</v>
      </c>
      <c r="N119" s="298">
        <f t="shared" si="547"/>
        <v>500</v>
      </c>
      <c r="O119" s="298">
        <f t="shared" si="547"/>
        <v>500</v>
      </c>
      <c r="P119" s="298">
        <f t="shared" si="547"/>
        <v>500</v>
      </c>
      <c r="Q119" s="298">
        <f t="shared" si="547"/>
        <v>500</v>
      </c>
      <c r="R119" s="298">
        <f t="shared" si="547"/>
        <v>500</v>
      </c>
      <c r="S119" s="298">
        <f t="shared" si="547"/>
        <v>500</v>
      </c>
      <c r="T119" s="298">
        <f t="shared" si="547"/>
        <v>500</v>
      </c>
      <c r="U119" s="298">
        <f t="shared" si="547"/>
        <v>500</v>
      </c>
      <c r="V119" s="298">
        <f t="shared" si="547"/>
        <v>500</v>
      </c>
      <c r="W119" s="298">
        <f t="shared" si="547"/>
        <v>500</v>
      </c>
      <c r="X119" s="298">
        <f t="shared" si="547"/>
        <v>500</v>
      </c>
      <c r="Y119" s="298">
        <f t="shared" si="547"/>
        <v>500</v>
      </c>
      <c r="Z119" s="298">
        <f t="shared" si="547"/>
        <v>279.38719004023545</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7.7">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25" defaultRowHeight="13.6"/>
  <cols>
    <col min="1" max="1" width="3.375" style="5" customWidth="1"/>
    <col min="2" max="3" width="11.875" style="5" customWidth="1"/>
    <col min="4" max="4" width="11.875" style="5" hidden="1" customWidth="1"/>
    <col min="5" max="7" width="9.625" style="5" customWidth="1"/>
    <col min="8" max="8" width="11.875" style="5" hidden="1" customWidth="1"/>
    <col min="9" max="9" width="14" style="5" hidden="1" customWidth="1"/>
    <col min="10" max="12" width="11.875" style="5" hidden="1" customWidth="1"/>
    <col min="13" max="13" width="15.125" style="5" hidden="1" customWidth="1"/>
    <col min="14" max="15" width="11.875" style="5" hidden="1" customWidth="1"/>
    <col min="16" max="16" width="14.125" style="5" customWidth="1"/>
    <col min="17" max="17" width="3.375" style="5" customWidth="1"/>
    <col min="18" max="19" width="11.875" style="5" customWidth="1"/>
    <col min="20" max="20" width="11.875" style="5" hidden="1" customWidth="1"/>
    <col min="21" max="23" width="9.625" style="5" customWidth="1"/>
    <col min="24" max="25" width="9.75" style="5" hidden="1" customWidth="1"/>
    <col min="26" max="31" width="12.625" style="5" hidden="1" customWidth="1"/>
    <col min="32" max="32" width="14.125" style="5" customWidth="1"/>
    <col min="33" max="33" width="3.375" style="5" customWidth="1"/>
    <col min="34" max="34" width="11.875" style="5" customWidth="1"/>
    <col min="35" max="35" width="12.625" style="5" customWidth="1"/>
    <col min="36" max="36" width="11.875" style="5" hidden="1" customWidth="1"/>
    <col min="37" max="37" width="9.625" style="5" customWidth="1"/>
    <col min="38" max="38" width="10.25" style="5" customWidth="1"/>
    <col min="39" max="39" width="9.625" style="5" customWidth="1"/>
    <col min="40" max="47" width="12.875" style="5" hidden="1" customWidth="1"/>
    <col min="48" max="48" width="15.25" style="5" customWidth="1"/>
    <col min="49" max="16384" width="9.125" style="5"/>
  </cols>
  <sheetData>
    <row r="1" spans="2:38" s="150" customFormat="1" ht="12.75" customHeight="1">
      <c r="C1" s="427" t="s">
        <v>344</v>
      </c>
      <c r="D1" s="427"/>
      <c r="E1" s="427"/>
      <c r="F1" s="427"/>
      <c r="G1" s="427"/>
      <c r="H1" s="272"/>
      <c r="I1" s="272"/>
      <c r="J1" s="272"/>
      <c r="K1" s="272"/>
      <c r="L1" s="272"/>
      <c r="M1" s="272"/>
      <c r="N1" s="272"/>
      <c r="O1" s="272"/>
      <c r="P1" s="464" t="s">
        <v>341</v>
      </c>
      <c r="Q1" s="464"/>
      <c r="R1" s="464"/>
      <c r="S1" s="464"/>
      <c r="T1" s="147"/>
      <c r="U1" s="147"/>
      <c r="V1" s="147"/>
      <c r="W1" s="427"/>
      <c r="X1" s="427"/>
      <c r="Z1" s="427"/>
      <c r="AA1" s="428"/>
    </row>
    <row r="2" spans="2:38" s="150" customFormat="1" ht="17.7">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 customHeight="1">
      <c r="S4" s="5"/>
      <c r="T4" s="5"/>
      <c r="U4" s="5"/>
      <c r="V4" s="5"/>
    </row>
    <row r="5" spans="2:38" ht="8.35" customHeight="1"/>
    <row r="6" spans="2:38" ht="14.3" thickBot="1">
      <c r="B6" s="57" t="s">
        <v>277</v>
      </c>
      <c r="C6" s="57"/>
      <c r="R6" s="57"/>
      <c r="S6" s="57"/>
      <c r="U6" s="57" t="s">
        <v>277</v>
      </c>
    </row>
    <row r="7" spans="2:38" ht="14.95" customHeight="1" thickBot="1">
      <c r="B7" s="355">
        <v>5000</v>
      </c>
      <c r="C7" s="508" t="s">
        <v>362</v>
      </c>
      <c r="D7" s="504" t="s">
        <v>285</v>
      </c>
      <c r="E7" s="504" t="s">
        <v>363</v>
      </c>
      <c r="F7" s="504" t="s">
        <v>364</v>
      </c>
      <c r="G7" s="504" t="s">
        <v>276</v>
      </c>
      <c r="H7" s="504" t="s">
        <v>471</v>
      </c>
      <c r="I7" s="504" t="s">
        <v>79</v>
      </c>
      <c r="J7" s="504" t="s">
        <v>43</v>
      </c>
      <c r="K7" s="504" t="s">
        <v>44</v>
      </c>
      <c r="L7" s="504" t="s">
        <v>280</v>
      </c>
      <c r="M7" s="504" t="s">
        <v>282</v>
      </c>
      <c r="N7" s="504" t="s">
        <v>281</v>
      </c>
      <c r="O7" s="504" t="s">
        <v>101</v>
      </c>
      <c r="P7" s="511" t="s">
        <v>279</v>
      </c>
      <c r="R7" s="515" t="s">
        <v>1</v>
      </c>
      <c r="S7" s="504" t="s">
        <v>362</v>
      </c>
      <c r="T7" s="516" t="s">
        <v>285</v>
      </c>
      <c r="U7" s="356">
        <v>1E-3</v>
      </c>
      <c r="V7" s="508" t="s">
        <v>364</v>
      </c>
      <c r="W7" s="504" t="s">
        <v>276</v>
      </c>
      <c r="X7" s="504" t="s">
        <v>471</v>
      </c>
      <c r="Y7" s="504" t="s">
        <v>79</v>
      </c>
      <c r="Z7" s="504" t="s">
        <v>43</v>
      </c>
      <c r="AA7" s="504" t="s">
        <v>44</v>
      </c>
      <c r="AB7" s="504" t="s">
        <v>280</v>
      </c>
      <c r="AC7" s="504" t="s">
        <v>282</v>
      </c>
      <c r="AD7" s="504" t="s">
        <v>281</v>
      </c>
      <c r="AE7" s="504" t="s">
        <v>101</v>
      </c>
      <c r="AF7" s="511" t="s">
        <v>279</v>
      </c>
      <c r="AH7" s="506" t="s">
        <v>283</v>
      </c>
      <c r="AI7" s="520"/>
      <c r="AJ7" s="520"/>
      <c r="AK7" s="520"/>
      <c r="AL7" s="521"/>
    </row>
    <row r="8" spans="2:38" ht="15.8"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145000</v>
      </c>
      <c r="C9" s="317">
        <f t="shared" ref="C9:C17" si="0">$AL$10</f>
        <v>0.8</v>
      </c>
      <c r="D9" s="318">
        <f>B9*C9</f>
        <v>116000</v>
      </c>
      <c r="E9" s="319">
        <f t="shared" ref="E9:E17" si="1">$AL$11</f>
        <v>3.6999999999999998E-2</v>
      </c>
      <c r="F9" s="319">
        <f t="shared" ref="F9:F17" si="2">$AL$12</f>
        <v>2.3E-2</v>
      </c>
      <c r="G9" s="318">
        <f t="shared" ref="G9:G17" si="3">$AL$13</f>
        <v>529.375</v>
      </c>
      <c r="H9" s="318">
        <f>G9+Cockpit!$K$9</f>
        <v>640.375</v>
      </c>
      <c r="I9" s="318">
        <f>-Cockpit!$K$12-Cockpit!$H$25*(Szenarien!G9-Szenarien!$AL$13)</f>
        <v>-210.50291666666666</v>
      </c>
      <c r="J9" s="318">
        <f>Cockpit!$Q$21-E9*(D9-$D13)/12</f>
        <v>-357.66666666666663</v>
      </c>
      <c r="K9" s="318">
        <f>Cockpit!$Q$22-F9*(D9-$D13)/12</f>
        <v>-222.33333333333331</v>
      </c>
      <c r="L9" s="318">
        <f>H9+I9+J9+K9</f>
        <v>-150.12791666666664</v>
      </c>
      <c r="M9" s="318">
        <f>Cockpit!$Q$29</f>
        <v>-156</v>
      </c>
      <c r="N9" s="318">
        <f>Cockpit!$Q$31-Cockpit!$H$20*Cockpit!$H$21*(1+Cockpit!$D$22)*(B9-$B13)/12</f>
        <v>-119.47874999999999</v>
      </c>
      <c r="O9" s="318">
        <f>(H9+J9+M9+N9)*Cockpit!$Q$33</f>
        <v>2.8918333333333521</v>
      </c>
      <c r="P9" s="320">
        <f t="shared" ref="P9:P12" si="4">L9-O9</f>
        <v>-153.01974999999999</v>
      </c>
      <c r="R9" s="330">
        <f t="shared" ref="R9:R17" si="5">$AL$9</f>
        <v>125000</v>
      </c>
      <c r="S9" s="317">
        <f t="shared" ref="S9:S17" si="6">$AL$10</f>
        <v>0.8</v>
      </c>
      <c r="T9" s="318">
        <f>R9*S9</f>
        <v>100000</v>
      </c>
      <c r="U9" s="338">
        <f>U10+$U$7</f>
        <v>4.1000000000000002E-2</v>
      </c>
      <c r="V9" s="319">
        <f t="shared" ref="V9:V17" si="7">$AL$12</f>
        <v>2.3E-2</v>
      </c>
      <c r="W9" s="318">
        <f t="shared" ref="W9:W17" si="8">$AL$13</f>
        <v>529.375</v>
      </c>
      <c r="X9" s="318">
        <f>W9+Cockpit!$K$9</f>
        <v>640.375</v>
      </c>
      <c r="Y9" s="318">
        <f>-Cockpit!$K$12-Cockpit!$H$25*(Szenarien!W9-Szenarien!$AL$13)</f>
        <v>-210.50291666666666</v>
      </c>
      <c r="Z9" s="318">
        <f>Cockpit!$Q$21-U9*(T9-$T$13)/12-(U9-$U$13)*$T$13/12</f>
        <v>-341.66666666666669</v>
      </c>
      <c r="AA9" s="318">
        <f>Cockpit!$Q$22-V9*(T9-$T$13)/12-(V9-$V$13)*$T$13/12</f>
        <v>-191.66666666666666</v>
      </c>
      <c r="AB9" s="318">
        <f>X9+Y9+Z9+AA9</f>
        <v>-103.46125000000004</v>
      </c>
      <c r="AC9" s="318">
        <f>Cockpit!$Q$29</f>
        <v>-156</v>
      </c>
      <c r="AD9" s="318">
        <f>Cockpit!$Q$31-Cockpit!$H$20*Cockpit!$H$21*(1+Cockpit!$D$22)*(R9-$R13)/12</f>
        <v>-102.84375</v>
      </c>
      <c r="AE9" s="318">
        <f>(X9+Z9+AC9+AD9)*Cockpit!$Q$33</f>
        <v>15.945833333333326</v>
      </c>
      <c r="AF9" s="320">
        <f t="shared" ref="AF9:AF12" si="9">AB9-AE9</f>
        <v>-119.40708333333336</v>
      </c>
      <c r="AH9" s="525" t="s">
        <v>1</v>
      </c>
      <c r="AI9" s="526"/>
      <c r="AJ9" s="526"/>
      <c r="AK9" s="527"/>
      <c r="AL9" s="351">
        <f>Cockpit!D14</f>
        <v>125000</v>
      </c>
    </row>
    <row r="10" spans="2:38">
      <c r="B10" s="321">
        <f>B11+$B$7</f>
        <v>140000</v>
      </c>
      <c r="C10" s="47">
        <f t="shared" si="0"/>
        <v>0.8</v>
      </c>
      <c r="D10" s="48">
        <f t="shared" ref="D10:D17" si="10">B10*C10</f>
        <v>112000</v>
      </c>
      <c r="E10" s="49">
        <f t="shared" si="1"/>
        <v>3.6999999999999998E-2</v>
      </c>
      <c r="F10" s="49">
        <f t="shared" si="2"/>
        <v>2.3E-2</v>
      </c>
      <c r="G10" s="48">
        <f t="shared" si="3"/>
        <v>529.375</v>
      </c>
      <c r="H10" s="48">
        <f>G10+Cockpit!$K$9</f>
        <v>640.375</v>
      </c>
      <c r="I10" s="48">
        <f>-Cockpit!$K$12-Cockpit!$H$25*(Szenarien!G10-Szenarien!$AL$13)</f>
        <v>-210.50291666666666</v>
      </c>
      <c r="J10" s="48">
        <f>Cockpit!$Q$21-E10*(D10-$D13)/12</f>
        <v>-345.33333333333331</v>
      </c>
      <c r="K10" s="48">
        <f>Cockpit!$Q$22-F10*(D10-$D13)/12</f>
        <v>-214.66666666666666</v>
      </c>
      <c r="L10" s="48">
        <f t="shared" ref="L10:L17" si="11">H10+I10+J10+K10</f>
        <v>-130.12791666666666</v>
      </c>
      <c r="M10" s="48">
        <f>Cockpit!$Q$29</f>
        <v>-156</v>
      </c>
      <c r="N10" s="48">
        <f>Cockpit!$Q$31-Cockpit!$H$20*Cockpit!$H$21*(1+Cockpit!$D$22)*(B10-$B13)/12</f>
        <v>-115.32</v>
      </c>
      <c r="O10" s="48">
        <f>(H10+J10+M10+N10)*Cockpit!$Q$33</f>
        <v>9.4886666666666777</v>
      </c>
      <c r="P10" s="286">
        <f t="shared" si="4"/>
        <v>-139.61658333333335</v>
      </c>
      <c r="R10" s="333">
        <f t="shared" si="5"/>
        <v>125000</v>
      </c>
      <c r="S10" s="47">
        <f t="shared" si="6"/>
        <v>0.8</v>
      </c>
      <c r="T10" s="48">
        <f t="shared" ref="T10:T17" si="12">R10*S10</f>
        <v>100000</v>
      </c>
      <c r="U10" s="129">
        <f>U11+$U$7</f>
        <v>0.04</v>
      </c>
      <c r="V10" s="49">
        <f t="shared" si="7"/>
        <v>2.3E-2</v>
      </c>
      <c r="W10" s="48">
        <f t="shared" si="8"/>
        <v>529.375</v>
      </c>
      <c r="X10" s="48">
        <f>W10+Cockpit!$K$9</f>
        <v>640.375</v>
      </c>
      <c r="Y10" s="48">
        <f>-Cockpit!$K$12-Cockpit!$H$25*(Szenarien!W10-Szenarien!$AL$13)</f>
        <v>-210.50291666666666</v>
      </c>
      <c r="Z10" s="48">
        <f>Cockpit!$Q$21-U10*(T10-$T$13)/12-(U10-$U$13)*$T$13/12</f>
        <v>-333.33333333333331</v>
      </c>
      <c r="AA10" s="48">
        <f>Cockpit!$Q$22-V10*(T10-$T$13)/12-(V10-$V$13)*$T$13/12</f>
        <v>-191.66666666666666</v>
      </c>
      <c r="AB10" s="48">
        <f t="shared" ref="AB10:AB17" si="13">X10+Y10+Z10+AA10</f>
        <v>-95.127916666666664</v>
      </c>
      <c r="AC10" s="48">
        <f>Cockpit!$Q$29</f>
        <v>-156</v>
      </c>
      <c r="AD10" s="48">
        <f>Cockpit!$Q$31-Cockpit!$H$20*Cockpit!$H$21*(1+Cockpit!$D$22)*(R10-$R13)/12</f>
        <v>-102.84375</v>
      </c>
      <c r="AE10" s="48">
        <f>(X10+Z10+AC10+AD10)*Cockpit!$Q$33</f>
        <v>19.279166666666676</v>
      </c>
      <c r="AF10" s="286">
        <f t="shared" si="9"/>
        <v>-114.40708333333333</v>
      </c>
      <c r="AH10" s="528" t="s">
        <v>284</v>
      </c>
      <c r="AI10" s="529"/>
      <c r="AJ10" s="529"/>
      <c r="AK10" s="530"/>
      <c r="AL10" s="352">
        <f>Cockpit!N17/AL9</f>
        <v>0.8</v>
      </c>
    </row>
    <row r="11" spans="2:38">
      <c r="B11" s="321">
        <f>B12+$B$7</f>
        <v>135000</v>
      </c>
      <c r="C11" s="47">
        <f t="shared" si="0"/>
        <v>0.8</v>
      </c>
      <c r="D11" s="48">
        <f t="shared" si="10"/>
        <v>108000</v>
      </c>
      <c r="E11" s="49">
        <f t="shared" si="1"/>
        <v>3.6999999999999998E-2</v>
      </c>
      <c r="F11" s="49">
        <f t="shared" si="2"/>
        <v>2.3E-2</v>
      </c>
      <c r="G11" s="48">
        <f t="shared" si="3"/>
        <v>529.375</v>
      </c>
      <c r="H11" s="48">
        <f>G11+Cockpit!$K$9</f>
        <v>640.375</v>
      </c>
      <c r="I11" s="48">
        <f>-Cockpit!$K$12-Cockpit!$H$25*(Szenarien!G11-Szenarien!$AL$13)</f>
        <v>-210.50291666666666</v>
      </c>
      <c r="J11" s="48">
        <f>Cockpit!$Q$21-E11*(D11-$D13)/12</f>
        <v>-333</v>
      </c>
      <c r="K11" s="48">
        <f>Cockpit!$Q$22-F11*(D11-$D13)/12</f>
        <v>-207</v>
      </c>
      <c r="L11" s="48">
        <f t="shared" si="11"/>
        <v>-110.12791666666669</v>
      </c>
      <c r="M11" s="48">
        <f>Cockpit!$Q$29</f>
        <v>-156</v>
      </c>
      <c r="N11" s="48">
        <f>Cockpit!$Q$31-Cockpit!$H$20*Cockpit!$H$21*(1+Cockpit!$D$22)*(B11-$B13)/12</f>
        <v>-111.16125</v>
      </c>
      <c r="O11" s="48">
        <f>(H11+J11+M11+N11)*Cockpit!$Q$33</f>
        <v>16.085500000000003</v>
      </c>
      <c r="P11" s="286">
        <f t="shared" si="4"/>
        <v>-126.21341666666669</v>
      </c>
      <c r="R11" s="333">
        <f t="shared" si="5"/>
        <v>125000</v>
      </c>
      <c r="S11" s="47">
        <f t="shared" si="6"/>
        <v>0.8</v>
      </c>
      <c r="T11" s="48">
        <f t="shared" si="12"/>
        <v>100000</v>
      </c>
      <c r="U11" s="129">
        <f>U12+$U$7</f>
        <v>3.9E-2</v>
      </c>
      <c r="V11" s="49">
        <f t="shared" si="7"/>
        <v>2.3E-2</v>
      </c>
      <c r="W11" s="48">
        <f t="shared" si="8"/>
        <v>529.375</v>
      </c>
      <c r="X11" s="48">
        <f>W11+Cockpit!$K$9</f>
        <v>640.375</v>
      </c>
      <c r="Y11" s="48">
        <f>-Cockpit!$K$12-Cockpit!$H$25*(Szenarien!W11-Szenarien!$AL$13)</f>
        <v>-210.50291666666666</v>
      </c>
      <c r="Z11" s="48">
        <f>Cockpit!$Q$21-U11*(T11-$T$13)/12-(U11-$U$13)*$T$13/12</f>
        <v>-325</v>
      </c>
      <c r="AA11" s="48">
        <f>Cockpit!$Q$22-V11*(T11-$T$13)/12-(V11-$V$13)*$T$13/12</f>
        <v>-191.66666666666666</v>
      </c>
      <c r="AB11" s="48">
        <f t="shared" si="13"/>
        <v>-86.79458333333335</v>
      </c>
      <c r="AC11" s="48">
        <f>Cockpit!$Q$29</f>
        <v>-156</v>
      </c>
      <c r="AD11" s="48">
        <f>Cockpit!$Q$31-Cockpit!$H$20*Cockpit!$H$21*(1+Cockpit!$D$22)*(R11-$R13)/12</f>
        <v>-102.84375</v>
      </c>
      <c r="AE11" s="48">
        <f>(X11+Z11+AC11+AD11)*Cockpit!$Q$33</f>
        <v>22.612500000000001</v>
      </c>
      <c r="AF11" s="286">
        <f t="shared" si="9"/>
        <v>-109.40708333333335</v>
      </c>
      <c r="AH11" s="528" t="s">
        <v>336</v>
      </c>
      <c r="AI11" s="529"/>
      <c r="AJ11" s="529"/>
      <c r="AK11" s="530"/>
      <c r="AL11" s="353">
        <f>Cockpit!N18</f>
        <v>3.6999999999999998E-2</v>
      </c>
    </row>
    <row r="12" spans="2:38" ht="14.3" thickBot="1">
      <c r="B12" s="322">
        <f>B13+$B$7</f>
        <v>130000</v>
      </c>
      <c r="C12" s="50">
        <f t="shared" si="0"/>
        <v>0.8</v>
      </c>
      <c r="D12" s="51">
        <f t="shared" si="10"/>
        <v>104000</v>
      </c>
      <c r="E12" s="52">
        <f t="shared" si="1"/>
        <v>3.6999999999999998E-2</v>
      </c>
      <c r="F12" s="52">
        <f t="shared" si="2"/>
        <v>2.3E-2</v>
      </c>
      <c r="G12" s="51">
        <f t="shared" si="3"/>
        <v>529.375</v>
      </c>
      <c r="H12" s="51">
        <f>G12+Cockpit!$K$9</f>
        <v>640.375</v>
      </c>
      <c r="I12" s="51">
        <f>-Cockpit!$K$12-Cockpit!$H$25*(Szenarien!G12-Szenarien!$AL$13)</f>
        <v>-210.50291666666666</v>
      </c>
      <c r="J12" s="51">
        <f>Cockpit!$Q$21-E12*(D12-$D13)/12</f>
        <v>-320.66666666666663</v>
      </c>
      <c r="K12" s="51">
        <f>Cockpit!$Q$22-F12*(D12-$D13)/12</f>
        <v>-199.33333333333331</v>
      </c>
      <c r="L12" s="51">
        <f t="shared" si="11"/>
        <v>-90.127916666666636</v>
      </c>
      <c r="M12" s="51">
        <f>Cockpit!$Q$29</f>
        <v>-156</v>
      </c>
      <c r="N12" s="51">
        <f>Cockpit!$Q$31-Cockpit!$H$20*Cockpit!$H$21*(1+Cockpit!$D$22)*(B12-$B13)/12</f>
        <v>-107.0025</v>
      </c>
      <c r="O12" s="51">
        <f>(H12+J12+M12+N12)*Cockpit!$Q$33</f>
        <v>22.68233333333335</v>
      </c>
      <c r="P12" s="323">
        <f t="shared" si="4"/>
        <v>-112.81024999999998</v>
      </c>
      <c r="Q12" s="53"/>
      <c r="R12" s="334">
        <f t="shared" si="5"/>
        <v>125000</v>
      </c>
      <c r="S12" s="50">
        <f t="shared" si="6"/>
        <v>0.8</v>
      </c>
      <c r="T12" s="51">
        <f t="shared" si="12"/>
        <v>100000</v>
      </c>
      <c r="U12" s="130">
        <f>U13+$U$7</f>
        <v>3.7999999999999999E-2</v>
      </c>
      <c r="V12" s="52">
        <f t="shared" si="7"/>
        <v>2.3E-2</v>
      </c>
      <c r="W12" s="51">
        <f t="shared" si="8"/>
        <v>529.375</v>
      </c>
      <c r="X12" s="51">
        <f>W12+Cockpit!$K$9</f>
        <v>640.375</v>
      </c>
      <c r="Y12" s="51">
        <f>-Cockpit!$K$12-Cockpit!$H$25*(Szenarien!W12-Szenarien!$AL$13)</f>
        <v>-210.50291666666666</v>
      </c>
      <c r="Z12" s="51">
        <f>Cockpit!$Q$21-U12*(T12-$T$13)/12-(U12-$U$13)*$T$13/12</f>
        <v>-316.66666666666663</v>
      </c>
      <c r="AA12" s="51">
        <f>Cockpit!$Q$22-V12*(T12-$T$13)/12-(V12-$V$13)*$T$13/12</f>
        <v>-191.66666666666666</v>
      </c>
      <c r="AB12" s="51">
        <f t="shared" si="13"/>
        <v>-78.461249999999978</v>
      </c>
      <c r="AC12" s="51">
        <f>Cockpit!$Q$29</f>
        <v>-156</v>
      </c>
      <c r="AD12" s="51">
        <f>Cockpit!$Q$31-Cockpit!$H$20*Cockpit!$H$21*(1+Cockpit!$D$22)*(R12-$R13)/12</f>
        <v>-102.84375</v>
      </c>
      <c r="AE12" s="51">
        <f>(X12+Z12+AC12+AD12)*Cockpit!$Q$33</f>
        <v>25.945833333333351</v>
      </c>
      <c r="AF12" s="323">
        <f t="shared" si="9"/>
        <v>-104.40708333333333</v>
      </c>
      <c r="AH12" s="528" t="s">
        <v>337</v>
      </c>
      <c r="AI12" s="529"/>
      <c r="AJ12" s="529"/>
      <c r="AK12" s="530"/>
      <c r="AL12" s="353">
        <f>Cockpit!N19</f>
        <v>2.3E-2</v>
      </c>
    </row>
    <row r="13" spans="2:38" ht="14.3" thickBot="1">
      <c r="B13" s="342">
        <f>$AL$9</f>
        <v>125000</v>
      </c>
      <c r="C13" s="343">
        <f t="shared" si="0"/>
        <v>0.8</v>
      </c>
      <c r="D13" s="344">
        <f t="shared" si="10"/>
        <v>100000</v>
      </c>
      <c r="E13" s="345">
        <f t="shared" si="1"/>
        <v>3.6999999999999998E-2</v>
      </c>
      <c r="F13" s="345">
        <f t="shared" si="2"/>
        <v>2.3E-2</v>
      </c>
      <c r="G13" s="344">
        <f t="shared" si="3"/>
        <v>529.375</v>
      </c>
      <c r="H13" s="344">
        <f>G13+Cockpit!$K$9</f>
        <v>640.375</v>
      </c>
      <c r="I13" s="344">
        <f>-Cockpit!$K$12-Cockpit!$H$25*(Szenarien!G13-Szenarien!$AL$13)</f>
        <v>-210.50291666666666</v>
      </c>
      <c r="J13" s="344">
        <f>Cockpit!$Q$21-E13*(D13-$D13)/12</f>
        <v>-308.33333333333331</v>
      </c>
      <c r="K13" s="344">
        <f>Cockpit!$Q$22-F13*(D13-$D13)/12</f>
        <v>-191.66666666666666</v>
      </c>
      <c r="L13" s="344">
        <f t="shared" si="11"/>
        <v>-70.127916666666664</v>
      </c>
      <c r="M13" s="344">
        <f>Cockpit!$Q$29</f>
        <v>-156</v>
      </c>
      <c r="N13" s="344">
        <f>Cockpit!$Q$31-Cockpit!$H$20*Cockpit!$H$21*(1+Cockpit!$D$22)*(B13-$B13)/12</f>
        <v>-102.84375</v>
      </c>
      <c r="O13" s="344">
        <f>(H13+J13+M13+N13)*Cockpit!$Q$33</f>
        <v>29.279166666666676</v>
      </c>
      <c r="P13" s="346">
        <f>L13-O13</f>
        <v>-99.407083333333333</v>
      </c>
      <c r="R13" s="347">
        <f t="shared" si="5"/>
        <v>125000</v>
      </c>
      <c r="S13" s="343">
        <f t="shared" si="6"/>
        <v>0.8</v>
      </c>
      <c r="T13" s="344">
        <f t="shared" si="12"/>
        <v>100000</v>
      </c>
      <c r="U13" s="348">
        <f>$AL$11</f>
        <v>3.6999999999999998E-2</v>
      </c>
      <c r="V13" s="345">
        <f t="shared" si="7"/>
        <v>2.3E-2</v>
      </c>
      <c r="W13" s="344">
        <f t="shared" si="8"/>
        <v>529.375</v>
      </c>
      <c r="X13" s="344">
        <f>W13+Cockpit!$K$9</f>
        <v>640.375</v>
      </c>
      <c r="Y13" s="344">
        <f>-Cockpit!$K$12-Cockpit!$H$25*(Szenarien!W13-Szenarien!$AL$13)</f>
        <v>-210.50291666666666</v>
      </c>
      <c r="Z13" s="344">
        <f>Cockpit!$Q$21-U13*(T13-$T$13)/12-(U13-$U$13)*$T$13/12</f>
        <v>-308.33333333333331</v>
      </c>
      <c r="AA13" s="344">
        <f>Cockpit!$Q$22-V13*(T13-$T$13)/12-(V13-$V$13)*$T$13/12</f>
        <v>-191.66666666666666</v>
      </c>
      <c r="AB13" s="344">
        <f t="shared" si="13"/>
        <v>-70.127916666666664</v>
      </c>
      <c r="AC13" s="344">
        <f>Cockpit!$Q$29</f>
        <v>-156</v>
      </c>
      <c r="AD13" s="344">
        <f>Cockpit!$Q$31-Cockpit!$H$20*Cockpit!$H$21*(1+Cockpit!$D$22)*(R13-$R13)/12</f>
        <v>-102.84375</v>
      </c>
      <c r="AE13" s="344">
        <f>(X13+Z13+AC13+AD13)*Cockpit!$Q$33</f>
        <v>29.279166666666676</v>
      </c>
      <c r="AF13" s="346">
        <f>AB13-AE13</f>
        <v>-99.407083333333333</v>
      </c>
      <c r="AH13" s="517" t="s">
        <v>78</v>
      </c>
      <c r="AI13" s="518"/>
      <c r="AJ13" s="518"/>
      <c r="AK13" s="519"/>
      <c r="AL13" s="354">
        <f>Cockpit!H15</f>
        <v>529.375</v>
      </c>
    </row>
    <row r="14" spans="2:38">
      <c r="B14" s="324">
        <f>B13-$B$7</f>
        <v>120000</v>
      </c>
      <c r="C14" s="54">
        <f t="shared" si="0"/>
        <v>0.8</v>
      </c>
      <c r="D14" s="55">
        <f t="shared" si="10"/>
        <v>96000</v>
      </c>
      <c r="E14" s="56">
        <f t="shared" si="1"/>
        <v>3.6999999999999998E-2</v>
      </c>
      <c r="F14" s="56">
        <f t="shared" si="2"/>
        <v>2.3E-2</v>
      </c>
      <c r="G14" s="55">
        <f t="shared" si="3"/>
        <v>529.375</v>
      </c>
      <c r="H14" s="55">
        <f>G14+Cockpit!$K$9</f>
        <v>640.375</v>
      </c>
      <c r="I14" s="55">
        <f>-Cockpit!$K$12-Cockpit!$H$25*(Szenarien!G14-Szenarien!$AL$13)</f>
        <v>-210.50291666666666</v>
      </c>
      <c r="J14" s="55">
        <f>Cockpit!$Q$21-E14*(D14-$D13)/12</f>
        <v>-296</v>
      </c>
      <c r="K14" s="55">
        <f>Cockpit!$Q$22-F14*(D14-$D13)/12</f>
        <v>-184</v>
      </c>
      <c r="L14" s="55">
        <f t="shared" si="11"/>
        <v>-50.127916666666692</v>
      </c>
      <c r="M14" s="55">
        <f>Cockpit!$Q$29</f>
        <v>-156</v>
      </c>
      <c r="N14" s="55">
        <f>Cockpit!$Q$31-Cockpit!$H$20*Cockpit!$H$21*(1+Cockpit!$D$22)*(B14-$B13)/12</f>
        <v>-98.685000000000002</v>
      </c>
      <c r="O14" s="55">
        <f>(H14+J14+M14+N14)*Cockpit!$Q$33</f>
        <v>35.875999999999998</v>
      </c>
      <c r="P14" s="325">
        <f t="shared" ref="P14:P17" si="14">L14-O14</f>
        <v>-86.003916666666697</v>
      </c>
      <c r="R14" s="335">
        <f t="shared" si="5"/>
        <v>125000</v>
      </c>
      <c r="S14" s="54">
        <f t="shared" si="6"/>
        <v>0.8</v>
      </c>
      <c r="T14" s="55">
        <f t="shared" si="12"/>
        <v>100000</v>
      </c>
      <c r="U14" s="131">
        <f>U13-$U$7</f>
        <v>3.5999999999999997E-2</v>
      </c>
      <c r="V14" s="56">
        <f t="shared" si="7"/>
        <v>2.3E-2</v>
      </c>
      <c r="W14" s="55">
        <f t="shared" si="8"/>
        <v>529.375</v>
      </c>
      <c r="X14" s="55">
        <f>W14+Cockpit!$K$9</f>
        <v>640.375</v>
      </c>
      <c r="Y14" s="55">
        <f>-Cockpit!$K$12-Cockpit!$H$25*(Szenarien!W14-Szenarien!$AL$13)</f>
        <v>-210.50291666666666</v>
      </c>
      <c r="Z14" s="55">
        <f>Cockpit!$Q$21-U14*(T14-$T$13)/12-(U14-$U$13)*$T$13/12</f>
        <v>-300</v>
      </c>
      <c r="AA14" s="55">
        <f>Cockpit!$Q$22-V14*(T14-$T$13)/12-(V14-$V$13)*$T$13/12</f>
        <v>-191.66666666666666</v>
      </c>
      <c r="AB14" s="55">
        <f t="shared" si="13"/>
        <v>-61.79458333333335</v>
      </c>
      <c r="AC14" s="55">
        <f>Cockpit!$Q$29</f>
        <v>-156</v>
      </c>
      <c r="AD14" s="55">
        <f>Cockpit!$Q$31-Cockpit!$H$20*Cockpit!$H$21*(1+Cockpit!$D$22)*(R14-$R13)/12</f>
        <v>-102.84375</v>
      </c>
      <c r="AE14" s="55">
        <f>(X14+Z14+AC14+AD14)*Cockpit!$Q$33</f>
        <v>32.612500000000004</v>
      </c>
      <c r="AF14" s="325">
        <f t="shared" ref="AF14:AF17" si="15">AB14-AE14</f>
        <v>-94.407083333333361</v>
      </c>
    </row>
    <row r="15" spans="2:38">
      <c r="B15" s="321">
        <f>B14-$B$7</f>
        <v>115000</v>
      </c>
      <c r="C15" s="47">
        <f t="shared" si="0"/>
        <v>0.8</v>
      </c>
      <c r="D15" s="48">
        <f t="shared" si="10"/>
        <v>92000</v>
      </c>
      <c r="E15" s="49">
        <f t="shared" si="1"/>
        <v>3.6999999999999998E-2</v>
      </c>
      <c r="F15" s="49">
        <f t="shared" si="2"/>
        <v>2.3E-2</v>
      </c>
      <c r="G15" s="48">
        <f t="shared" si="3"/>
        <v>529.375</v>
      </c>
      <c r="H15" s="48">
        <f>G15+Cockpit!$K$9</f>
        <v>640.375</v>
      </c>
      <c r="I15" s="48">
        <f>-Cockpit!$K$12-Cockpit!$H$25*(Szenarien!G15-Szenarien!$AL$13)</f>
        <v>-210.50291666666666</v>
      </c>
      <c r="J15" s="48">
        <f>Cockpit!$Q$21-E15*(D15-$D13)/12</f>
        <v>-283.66666666666663</v>
      </c>
      <c r="K15" s="48">
        <f>Cockpit!$Q$22-F15*(D15-$D13)/12</f>
        <v>-176.33333333333331</v>
      </c>
      <c r="L15" s="48">
        <f t="shared" si="11"/>
        <v>-30.127916666666636</v>
      </c>
      <c r="M15" s="48">
        <f>Cockpit!$Q$29</f>
        <v>-156</v>
      </c>
      <c r="N15" s="48">
        <f>Cockpit!$Q$31-Cockpit!$H$20*Cockpit!$H$21*(1+Cockpit!$D$22)*(B15-$B13)/12</f>
        <v>-94.526250000000005</v>
      </c>
      <c r="O15" s="48">
        <f>(H15+J15+M15+N15)*Cockpit!$Q$33</f>
        <v>42.472833333333348</v>
      </c>
      <c r="P15" s="286">
        <f t="shared" si="14"/>
        <v>-72.600749999999977</v>
      </c>
      <c r="R15" s="333">
        <f t="shared" si="5"/>
        <v>125000</v>
      </c>
      <c r="S15" s="47">
        <f t="shared" si="6"/>
        <v>0.8</v>
      </c>
      <c r="T15" s="48">
        <f t="shared" si="12"/>
        <v>100000</v>
      </c>
      <c r="U15" s="129">
        <f>U14-$U$7</f>
        <v>3.4999999999999996E-2</v>
      </c>
      <c r="V15" s="49">
        <f t="shared" si="7"/>
        <v>2.3E-2</v>
      </c>
      <c r="W15" s="48">
        <f t="shared" si="8"/>
        <v>529.375</v>
      </c>
      <c r="X15" s="48">
        <f>W15+Cockpit!$K$9</f>
        <v>640.375</v>
      </c>
      <c r="Y15" s="48">
        <f>-Cockpit!$K$12-Cockpit!$H$25*(Szenarien!W15-Szenarien!$AL$13)</f>
        <v>-210.50291666666666</v>
      </c>
      <c r="Z15" s="48">
        <f>Cockpit!$Q$21-U15*(T15-$T$13)/12-(U15-$U$13)*$T$13/12</f>
        <v>-291.66666666666663</v>
      </c>
      <c r="AA15" s="48">
        <f>Cockpit!$Q$22-V15*(T15-$T$13)/12-(V15-$V$13)*$T$13/12</f>
        <v>-191.66666666666666</v>
      </c>
      <c r="AB15" s="48">
        <f t="shared" si="13"/>
        <v>-53.461249999999978</v>
      </c>
      <c r="AC15" s="48">
        <f>Cockpit!$Q$29</f>
        <v>-156</v>
      </c>
      <c r="AD15" s="48">
        <f>Cockpit!$Q$31-Cockpit!$H$20*Cockpit!$H$21*(1+Cockpit!$D$22)*(R15-$R13)/12</f>
        <v>-102.84375</v>
      </c>
      <c r="AE15" s="48">
        <f>(X15+Z15+AC15+AD15)*Cockpit!$Q$33</f>
        <v>35.945833333333347</v>
      </c>
      <c r="AF15" s="286">
        <f t="shared" si="15"/>
        <v>-89.407083333333333</v>
      </c>
    </row>
    <row r="16" spans="2:38">
      <c r="B16" s="321">
        <f>B15-$B$7</f>
        <v>110000</v>
      </c>
      <c r="C16" s="47">
        <f t="shared" si="0"/>
        <v>0.8</v>
      </c>
      <c r="D16" s="48">
        <f t="shared" si="10"/>
        <v>88000</v>
      </c>
      <c r="E16" s="49">
        <f t="shared" si="1"/>
        <v>3.6999999999999998E-2</v>
      </c>
      <c r="F16" s="49">
        <f t="shared" si="2"/>
        <v>2.3E-2</v>
      </c>
      <c r="G16" s="48">
        <f t="shared" si="3"/>
        <v>529.375</v>
      </c>
      <c r="H16" s="48">
        <f>G16+Cockpit!$K$9</f>
        <v>640.375</v>
      </c>
      <c r="I16" s="48">
        <f>-Cockpit!$K$12-Cockpit!$H$25*(Szenarien!G16-Szenarien!$AL$13)</f>
        <v>-210.50291666666666</v>
      </c>
      <c r="J16" s="48">
        <f>Cockpit!$Q$21-E16*(D16-$D13)/12</f>
        <v>-271.33333333333331</v>
      </c>
      <c r="K16" s="48">
        <f>Cockpit!$Q$22-F16*(D16-$D13)/12</f>
        <v>-168.66666666666666</v>
      </c>
      <c r="L16" s="48">
        <f t="shared" si="11"/>
        <v>-10.127916666666664</v>
      </c>
      <c r="M16" s="48">
        <f>Cockpit!$Q$29</f>
        <v>-156</v>
      </c>
      <c r="N16" s="48">
        <f>Cockpit!$Q$31-Cockpit!$H$20*Cockpit!$H$21*(1+Cockpit!$D$22)*(B16-$B13)/12</f>
        <v>-90.367500000000007</v>
      </c>
      <c r="O16" s="48">
        <f>(H16+J16+M16+N16)*Cockpit!$Q$33</f>
        <v>49.069666666666677</v>
      </c>
      <c r="P16" s="286">
        <f t="shared" si="14"/>
        <v>-59.197583333333341</v>
      </c>
      <c r="R16" s="333">
        <f t="shared" si="5"/>
        <v>125000</v>
      </c>
      <c r="S16" s="47">
        <f t="shared" si="6"/>
        <v>0.8</v>
      </c>
      <c r="T16" s="48">
        <f t="shared" si="12"/>
        <v>100000</v>
      </c>
      <c r="U16" s="129">
        <f>U15-$U$7</f>
        <v>3.3999999999999996E-2</v>
      </c>
      <c r="V16" s="49">
        <f t="shared" si="7"/>
        <v>2.3E-2</v>
      </c>
      <c r="W16" s="48">
        <f t="shared" si="8"/>
        <v>529.375</v>
      </c>
      <c r="X16" s="48">
        <f>W16+Cockpit!$K$9</f>
        <v>640.375</v>
      </c>
      <c r="Y16" s="48">
        <f>-Cockpit!$K$12-Cockpit!$H$25*(Szenarien!W16-Szenarien!$AL$13)</f>
        <v>-210.50291666666666</v>
      </c>
      <c r="Z16" s="48">
        <f>Cockpit!$Q$21-U16*(T16-$T$13)/12-(U16-$U$13)*$T$13/12</f>
        <v>-283.33333333333331</v>
      </c>
      <c r="AA16" s="48">
        <f>Cockpit!$Q$22-V16*(T16-$T$13)/12-(V16-$V$13)*$T$13/12</f>
        <v>-191.66666666666666</v>
      </c>
      <c r="AB16" s="48">
        <f t="shared" si="13"/>
        <v>-45.127916666666664</v>
      </c>
      <c r="AC16" s="48">
        <f>Cockpit!$Q$29</f>
        <v>-156</v>
      </c>
      <c r="AD16" s="48">
        <f>Cockpit!$Q$31-Cockpit!$H$20*Cockpit!$H$21*(1+Cockpit!$D$22)*(R16-$R13)/12</f>
        <v>-102.84375</v>
      </c>
      <c r="AE16" s="48">
        <f>(X16+Z16+AC16+AD16)*Cockpit!$Q$33</f>
        <v>39.279166666666676</v>
      </c>
      <c r="AF16" s="286">
        <f t="shared" si="15"/>
        <v>-84.407083333333333</v>
      </c>
    </row>
    <row r="17" spans="2:48" ht="14.3" thickBot="1">
      <c r="B17" s="326">
        <f>B16-$B$7</f>
        <v>105000</v>
      </c>
      <c r="C17" s="327">
        <f t="shared" si="0"/>
        <v>0.8</v>
      </c>
      <c r="D17" s="328">
        <f t="shared" si="10"/>
        <v>84000</v>
      </c>
      <c r="E17" s="329">
        <f t="shared" si="1"/>
        <v>3.6999999999999998E-2</v>
      </c>
      <c r="F17" s="329">
        <f t="shared" si="2"/>
        <v>2.3E-2</v>
      </c>
      <c r="G17" s="328">
        <f t="shared" si="3"/>
        <v>529.375</v>
      </c>
      <c r="H17" s="328">
        <f>G17+Cockpit!$K$9</f>
        <v>640.375</v>
      </c>
      <c r="I17" s="328">
        <f>-Cockpit!$K$12-Cockpit!$H$25*(Szenarien!G17-Szenarien!$AL$13)</f>
        <v>-210.50291666666666</v>
      </c>
      <c r="J17" s="328">
        <f>Cockpit!$Q$21-E17*(D17-$D13)/12</f>
        <v>-259</v>
      </c>
      <c r="K17" s="328">
        <f>Cockpit!$Q$22-F17*(D17-$D13)/12</f>
        <v>-161</v>
      </c>
      <c r="L17" s="328">
        <f t="shared" si="11"/>
        <v>9.8720833333333076</v>
      </c>
      <c r="M17" s="328">
        <f>Cockpit!$Q$29</f>
        <v>-156</v>
      </c>
      <c r="N17" s="328">
        <f>Cockpit!$Q$31-Cockpit!$H$20*Cockpit!$H$21*(1+Cockpit!$D$22)*(B17-$B13)/12</f>
        <v>-86.208750000000009</v>
      </c>
      <c r="O17" s="328">
        <f>(H17+J17+M17+N17)*Cockpit!$Q$33</f>
        <v>55.666499999999999</v>
      </c>
      <c r="P17" s="288">
        <f t="shared" si="14"/>
        <v>-45.794416666666692</v>
      </c>
      <c r="R17" s="336">
        <f t="shared" si="5"/>
        <v>125000</v>
      </c>
      <c r="S17" s="327">
        <f t="shared" si="6"/>
        <v>0.8</v>
      </c>
      <c r="T17" s="328">
        <f t="shared" si="12"/>
        <v>100000</v>
      </c>
      <c r="U17" s="339">
        <f>U16-$U$7</f>
        <v>3.2999999999999995E-2</v>
      </c>
      <c r="V17" s="329">
        <f t="shared" si="7"/>
        <v>2.3E-2</v>
      </c>
      <c r="W17" s="328">
        <f t="shared" si="8"/>
        <v>529.375</v>
      </c>
      <c r="X17" s="328">
        <f>W17+Cockpit!$K$9</f>
        <v>640.375</v>
      </c>
      <c r="Y17" s="328">
        <f>-Cockpit!$K$12-Cockpit!$H$25*(Szenarien!W17-Szenarien!$AL$13)</f>
        <v>-210.50291666666666</v>
      </c>
      <c r="Z17" s="328">
        <f>Cockpit!$Q$21-U17*(T17-$T$13)/12-(U17-$U$13)*$T$13/12</f>
        <v>-274.99999999999994</v>
      </c>
      <c r="AA17" s="328">
        <f>Cockpit!$Q$22-V17*(T17-$T$13)/12-(V17-$V$13)*$T$13/12</f>
        <v>-191.66666666666666</v>
      </c>
      <c r="AB17" s="328">
        <f t="shared" si="13"/>
        <v>-36.794583333333293</v>
      </c>
      <c r="AC17" s="328">
        <f>Cockpit!$Q$29</f>
        <v>-156</v>
      </c>
      <c r="AD17" s="328">
        <f>Cockpit!$Q$31-Cockpit!$H$20*Cockpit!$H$21*(1+Cockpit!$D$22)*(R17-$R13)/12</f>
        <v>-102.84375</v>
      </c>
      <c r="AE17" s="328">
        <f>(X17+Z17+AC17+AD17)*Cockpit!$Q$33</f>
        <v>42.612500000000026</v>
      </c>
      <c r="AF17" s="288">
        <f t="shared" si="15"/>
        <v>-79.407083333333318</v>
      </c>
    </row>
    <row r="20" spans="2:48" ht="14.3" thickBot="1">
      <c r="B20" s="57"/>
      <c r="C20" s="57" t="s">
        <v>277</v>
      </c>
      <c r="R20" s="57"/>
      <c r="S20" s="57"/>
      <c r="U20" s="57"/>
      <c r="V20" s="57" t="s">
        <v>277</v>
      </c>
      <c r="AH20" s="57"/>
      <c r="AI20" s="57"/>
      <c r="AK20" s="57"/>
      <c r="AL20" s="57"/>
      <c r="AM20" s="57" t="s">
        <v>277</v>
      </c>
    </row>
    <row r="21" spans="2:48" ht="12.75" customHeight="1" thickBot="1">
      <c r="B21" s="506" t="s">
        <v>1</v>
      </c>
      <c r="C21" s="357">
        <v>0.05</v>
      </c>
      <c r="D21" s="509" t="s">
        <v>285</v>
      </c>
      <c r="E21" s="504" t="s">
        <v>363</v>
      </c>
      <c r="F21" s="504" t="s">
        <v>364</v>
      </c>
      <c r="G21" s="504" t="s">
        <v>276</v>
      </c>
      <c r="H21" s="504" t="s">
        <v>471</v>
      </c>
      <c r="I21" s="504" t="s">
        <v>79</v>
      </c>
      <c r="J21" s="504" t="s">
        <v>43</v>
      </c>
      <c r="K21" s="504" t="s">
        <v>44</v>
      </c>
      <c r="L21" s="504" t="s">
        <v>280</v>
      </c>
      <c r="M21" s="504" t="s">
        <v>282</v>
      </c>
      <c r="N21" s="504" t="s">
        <v>281</v>
      </c>
      <c r="O21" s="504" t="s">
        <v>101</v>
      </c>
      <c r="P21" s="511" t="s">
        <v>279</v>
      </c>
      <c r="R21" s="515" t="s">
        <v>1</v>
      </c>
      <c r="S21" s="504" t="s">
        <v>362</v>
      </c>
      <c r="T21" s="504" t="s">
        <v>285</v>
      </c>
      <c r="U21" s="514" t="s">
        <v>363</v>
      </c>
      <c r="V21" s="356">
        <v>5.0000000000000001E-3</v>
      </c>
      <c r="W21" s="508" t="s">
        <v>276</v>
      </c>
      <c r="X21" s="513" t="s">
        <v>471</v>
      </c>
      <c r="Y21" s="513" t="s">
        <v>79</v>
      </c>
      <c r="Z21" s="513" t="s">
        <v>43</v>
      </c>
      <c r="AA21" s="513" t="s">
        <v>44</v>
      </c>
      <c r="AB21" s="513" t="s">
        <v>280</v>
      </c>
      <c r="AC21" s="513" t="s">
        <v>282</v>
      </c>
      <c r="AD21" s="513" t="s">
        <v>281</v>
      </c>
      <c r="AE21" s="513" t="s">
        <v>101</v>
      </c>
      <c r="AF21" s="511" t="s">
        <v>279</v>
      </c>
      <c r="AH21" s="515" t="s">
        <v>1</v>
      </c>
      <c r="AI21" s="504" t="s">
        <v>362</v>
      </c>
      <c r="AJ21" s="504" t="s">
        <v>285</v>
      </c>
      <c r="AK21" s="504" t="s">
        <v>363</v>
      </c>
      <c r="AL21" s="514" t="s">
        <v>364</v>
      </c>
      <c r="AM21" s="358">
        <v>20</v>
      </c>
      <c r="AN21" s="509" t="s">
        <v>471</v>
      </c>
      <c r="AO21" s="513" t="s">
        <v>79</v>
      </c>
      <c r="AP21" s="513" t="s">
        <v>43</v>
      </c>
      <c r="AQ21" s="513" t="s">
        <v>44</v>
      </c>
      <c r="AR21" s="513" t="s">
        <v>280</v>
      </c>
      <c r="AS21" s="513" t="s">
        <v>282</v>
      </c>
      <c r="AT21" s="513" t="s">
        <v>281</v>
      </c>
      <c r="AU21" s="513" t="s">
        <v>101</v>
      </c>
      <c r="AV21" s="511" t="s">
        <v>279</v>
      </c>
    </row>
    <row r="22" spans="2:48" ht="15.8" customHeight="1" thickBot="1">
      <c r="B22" s="507"/>
      <c r="C22" s="315" t="s">
        <v>278</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276</v>
      </c>
      <c r="AN22" s="510"/>
      <c r="AO22" s="510"/>
      <c r="AP22" s="510"/>
      <c r="AQ22" s="510"/>
      <c r="AR22" s="510"/>
      <c r="AS22" s="510"/>
      <c r="AT22" s="510"/>
      <c r="AU22" s="510"/>
      <c r="AV22" s="512"/>
    </row>
    <row r="23" spans="2:48">
      <c r="B23" s="330">
        <f t="shared" ref="B23:B31" si="16">$AL$9</f>
        <v>125000</v>
      </c>
      <c r="C23" s="331">
        <f>C24+$C$21</f>
        <v>1.0000000000000002</v>
      </c>
      <c r="D23" s="332">
        <f t="shared" ref="D23:D31" si="17">C23*B23</f>
        <v>125000.00000000003</v>
      </c>
      <c r="E23" s="319">
        <f t="shared" ref="E23:E31" si="18">$AL$11</f>
        <v>3.6999999999999998E-2</v>
      </c>
      <c r="F23" s="319">
        <f t="shared" ref="F23:F31" si="19">$AL$12</f>
        <v>2.3E-2</v>
      </c>
      <c r="G23" s="318">
        <f t="shared" ref="G23:G31" si="20">$AL$13</f>
        <v>529.375</v>
      </c>
      <c r="H23" s="318">
        <f>G23+Cockpit!$K$9</f>
        <v>640.375</v>
      </c>
      <c r="I23" s="318">
        <f>-Cockpit!$K$12-Cockpit!$H$25*(Szenarien!G23-Szenarien!$AL$13)</f>
        <v>-210.50291666666666</v>
      </c>
      <c r="J23" s="318">
        <f>Cockpit!$Q$21-E23*(D23-$D27)/12</f>
        <v>-385.41666666666674</v>
      </c>
      <c r="K23" s="318">
        <f>Cockpit!$Q$22-F23*(D23-$D27)/12</f>
        <v>-239.58333333333337</v>
      </c>
      <c r="L23" s="318">
        <f>H23+I23+J23+K23</f>
        <v>-195.12791666666681</v>
      </c>
      <c r="M23" s="318">
        <f>Cockpit!$Q$29</f>
        <v>-156</v>
      </c>
      <c r="N23" s="318">
        <f>Cockpit!$Q$31-Cockpit!$H$20*Cockpit!$H$21*(1+Cockpit!$D$22)*(B23-$B27)/12</f>
        <v>-102.84375</v>
      </c>
      <c r="O23" s="318">
        <f>(H23+J23+M23+N23)*Cockpit!$Q$33</f>
        <v>-1.5541666666666971</v>
      </c>
      <c r="P23" s="320">
        <f t="shared" ref="P23:P26" si="21">L23-O23</f>
        <v>-193.5737500000001</v>
      </c>
      <c r="R23" s="330">
        <f t="shared" ref="R23:R31" si="22">$AL$9</f>
        <v>125000</v>
      </c>
      <c r="S23" s="317">
        <f t="shared" ref="S23:S31" si="23">$AL$10</f>
        <v>0.8</v>
      </c>
      <c r="T23" s="318">
        <f>R23*S23</f>
        <v>100000</v>
      </c>
      <c r="U23" s="319">
        <f t="shared" ref="U23:U31" si="24">$AL$11</f>
        <v>3.6999999999999998E-2</v>
      </c>
      <c r="V23" s="338">
        <f>V24+$V$21</f>
        <v>4.2999999999999997E-2</v>
      </c>
      <c r="W23" s="318">
        <f t="shared" ref="W23:W31" si="25">$AL$13</f>
        <v>529.375</v>
      </c>
      <c r="X23" s="318">
        <f>W23+Cockpit!$K$9</f>
        <v>640.375</v>
      </c>
      <c r="Y23" s="318">
        <f>-Cockpit!$K$12-Cockpit!$H$25*(Szenarien!W23-Szenarien!$AL$13)</f>
        <v>-210.50291666666666</v>
      </c>
      <c r="Z23" s="318">
        <f>Cockpit!$Q$21-U23*(T23-$T$13)/12-(U23-$U$13)*$T$13/12</f>
        <v>-308.33333333333331</v>
      </c>
      <c r="AA23" s="318">
        <f>Cockpit!$Q$22-V23*(T23-$T$13)/12-(V23-$V$13)*$T$13/12</f>
        <v>-358.33333333333331</v>
      </c>
      <c r="AB23" s="318">
        <f>X23+Y23+Z23+AA23</f>
        <v>-236.79458333333332</v>
      </c>
      <c r="AC23" s="318">
        <f>Cockpit!$Q$29</f>
        <v>-156</v>
      </c>
      <c r="AD23" s="318">
        <f>Cockpit!$Q$31-Cockpit!$H$20*Cockpit!$H$21*(1+Cockpit!$D$22)*(R23-$R27)/12</f>
        <v>-102.84375</v>
      </c>
      <c r="AE23" s="318">
        <f>(X23+Z23+AC23+AD23)*Cockpit!$Q$33</f>
        <v>29.279166666666676</v>
      </c>
      <c r="AF23" s="320">
        <f t="shared" ref="AF23:AF26" si="26">AB23-AE23</f>
        <v>-266.07375000000002</v>
      </c>
      <c r="AH23" s="330">
        <f t="shared" ref="AH23:AH31" si="27">$AL$9</f>
        <v>125000</v>
      </c>
      <c r="AI23" s="317">
        <f t="shared" ref="AI23:AI31" si="28">$AL$10</f>
        <v>0.8</v>
      </c>
      <c r="AJ23" s="318">
        <f>AH23*AI23</f>
        <v>100000</v>
      </c>
      <c r="AK23" s="319">
        <f t="shared" ref="AK23:AK31" si="29">$AL$11</f>
        <v>3.6999999999999998E-2</v>
      </c>
      <c r="AL23" s="319">
        <f t="shared" ref="AL23:AL31" si="30">$AL$12</f>
        <v>2.3E-2</v>
      </c>
      <c r="AM23" s="340">
        <f>AM24+$AM$21</f>
        <v>609.375</v>
      </c>
      <c r="AN23" s="318">
        <f>AM23+Cockpit!$K$9</f>
        <v>720.375</v>
      </c>
      <c r="AO23" s="318">
        <f>-Cockpit!$K$12-Cockpit!$H$25*(Szenarien!AM23-Szenarien!$AL$13)</f>
        <v>-212.90291666666667</v>
      </c>
      <c r="AP23" s="318">
        <f>Cockpit!$Q$21-AK23*(AJ23-$T$13)/12-(AK23-$U$13)*$T$13/12</f>
        <v>-308.33333333333331</v>
      </c>
      <c r="AQ23" s="318">
        <f>Cockpit!$Q$22-AL23*(AJ23-$T$13)/12-(AL23-$V$13)*$T$13/12</f>
        <v>-191.66666666666666</v>
      </c>
      <c r="AR23" s="318">
        <f>AN23+AO23+AP23+AQ23</f>
        <v>7.4720833333333587</v>
      </c>
      <c r="AS23" s="318">
        <f>Cockpit!$Q$29</f>
        <v>-156</v>
      </c>
      <c r="AT23" s="318">
        <f>Cockpit!$Q$31-Cockpit!$H$20*Cockpit!$H$21*(1+Cockpit!$D$22)*(AH23-$AH27)/12</f>
        <v>-102.84375</v>
      </c>
      <c r="AU23" s="318">
        <f>(AN23+AP23+AS23+AT23)*Cockpit!$Q$33</f>
        <v>61.279166666666676</v>
      </c>
      <c r="AV23" s="320">
        <f t="shared" ref="AV23:AV26" si="31">AR23-AU23</f>
        <v>-53.807083333333317</v>
      </c>
    </row>
    <row r="24" spans="2:48">
      <c r="B24" s="333">
        <f t="shared" si="16"/>
        <v>125000</v>
      </c>
      <c r="C24" s="126">
        <f>C25+$C$21</f>
        <v>0.95000000000000018</v>
      </c>
      <c r="D24" s="51">
        <f t="shared" si="17"/>
        <v>118750.00000000003</v>
      </c>
      <c r="E24" s="49">
        <f t="shared" si="18"/>
        <v>3.6999999999999998E-2</v>
      </c>
      <c r="F24" s="49">
        <f t="shared" si="19"/>
        <v>2.3E-2</v>
      </c>
      <c r="G24" s="48">
        <f t="shared" si="20"/>
        <v>529.375</v>
      </c>
      <c r="H24" s="48">
        <f>G24+Cockpit!$K$9</f>
        <v>640.375</v>
      </c>
      <c r="I24" s="48">
        <f>-Cockpit!$K$12-Cockpit!$H$25*(Szenarien!G24-Szenarien!$AL$13)</f>
        <v>-210.50291666666666</v>
      </c>
      <c r="J24" s="48">
        <f>Cockpit!$Q$21-E24*(D24-$D27)/12</f>
        <v>-366.14583333333337</v>
      </c>
      <c r="K24" s="48">
        <f>Cockpit!$Q$22-F24*(D24-$D27)/12</f>
        <v>-227.60416666666671</v>
      </c>
      <c r="L24" s="48">
        <f t="shared" ref="L24:L31" si="32">H24+I24+J24+K24</f>
        <v>-163.87791666666678</v>
      </c>
      <c r="M24" s="48">
        <f>Cockpit!$Q$29</f>
        <v>-156</v>
      </c>
      <c r="N24" s="48">
        <f>Cockpit!$Q$31-Cockpit!$H$20*Cockpit!$H$21*(1+Cockpit!$D$22)*(B24-$B27)/12</f>
        <v>-102.84375</v>
      </c>
      <c r="O24" s="48">
        <f>(H24+J24+M24+N24)*Cockpit!$Q$33</f>
        <v>6.1541666666666517</v>
      </c>
      <c r="P24" s="286">
        <f t="shared" si="21"/>
        <v>-170.03208333333342</v>
      </c>
      <c r="R24" s="333">
        <f t="shared" si="22"/>
        <v>125000</v>
      </c>
      <c r="S24" s="47">
        <f t="shared" si="23"/>
        <v>0.8</v>
      </c>
      <c r="T24" s="48">
        <f t="shared" ref="T24:T31" si="33">R24*S24</f>
        <v>100000</v>
      </c>
      <c r="U24" s="49">
        <f t="shared" si="24"/>
        <v>3.6999999999999998E-2</v>
      </c>
      <c r="V24" s="129">
        <f>V25+$V$21</f>
        <v>3.7999999999999999E-2</v>
      </c>
      <c r="W24" s="48">
        <f t="shared" si="25"/>
        <v>529.375</v>
      </c>
      <c r="X24" s="48">
        <f>W24+Cockpit!$K$9</f>
        <v>640.375</v>
      </c>
      <c r="Y24" s="48">
        <f>-Cockpit!$K$12-Cockpit!$H$25*(Szenarien!W24-Szenarien!$AL$13)</f>
        <v>-210.50291666666666</v>
      </c>
      <c r="Z24" s="48">
        <f>Cockpit!$Q$21-U24*(T24-$T$13)/12-(U24-$U$13)*$T$13/12</f>
        <v>-308.33333333333331</v>
      </c>
      <c r="AA24" s="48">
        <f>Cockpit!$Q$22-V24*(T24-$T$13)/12-(V24-$V$13)*$T$13/12</f>
        <v>-316.66666666666663</v>
      </c>
      <c r="AB24" s="48">
        <f t="shared" ref="AB24:AB31" si="34">X24+Y24+Z24+AA24</f>
        <v>-195.12791666666664</v>
      </c>
      <c r="AC24" s="48">
        <f>Cockpit!$Q$29</f>
        <v>-156</v>
      </c>
      <c r="AD24" s="48">
        <f>Cockpit!$Q$31-Cockpit!$H$20*Cockpit!$H$21*(1+Cockpit!$D$22)*(R24-$R27)/12</f>
        <v>-102.84375</v>
      </c>
      <c r="AE24" s="48">
        <f>(X24+Z24+AC24+AD24)*Cockpit!$Q$33</f>
        <v>29.279166666666676</v>
      </c>
      <c r="AF24" s="286">
        <f t="shared" si="26"/>
        <v>-224.4070833333333</v>
      </c>
      <c r="AH24" s="333">
        <f t="shared" si="27"/>
        <v>125000</v>
      </c>
      <c r="AI24" s="47">
        <f t="shared" si="28"/>
        <v>0.8</v>
      </c>
      <c r="AJ24" s="48">
        <f t="shared" ref="AJ24:AJ31" si="35">AH24*AI24</f>
        <v>100000</v>
      </c>
      <c r="AK24" s="49">
        <f t="shared" si="29"/>
        <v>3.6999999999999998E-2</v>
      </c>
      <c r="AL24" s="49">
        <f t="shared" si="30"/>
        <v>2.3E-2</v>
      </c>
      <c r="AM24" s="132">
        <f>AM25+$AM$21</f>
        <v>589.375</v>
      </c>
      <c r="AN24" s="48">
        <f>AM24+Cockpit!$K$9</f>
        <v>700.375</v>
      </c>
      <c r="AO24" s="48">
        <f>-Cockpit!$K$12-Cockpit!$H$25*(Szenarien!AM24-Szenarien!$AL$13)</f>
        <v>-212.30291666666668</v>
      </c>
      <c r="AP24" s="48">
        <f>Cockpit!$Q$21-AK24*(AJ24-$T$13)/12-(AK24-$U$13)*$T$13/12</f>
        <v>-308.33333333333331</v>
      </c>
      <c r="AQ24" s="48">
        <f>Cockpit!$Q$22-AL24*(AJ24-$T$13)/12-(AL24-$V$13)*$T$13/12</f>
        <v>-191.66666666666666</v>
      </c>
      <c r="AR24" s="48">
        <f t="shared" ref="AR24:AR31" si="36">AN24+AO24+AP24+AQ24</f>
        <v>-11.927916666666619</v>
      </c>
      <c r="AS24" s="48">
        <f>Cockpit!$Q$29</f>
        <v>-156</v>
      </c>
      <c r="AT24" s="48">
        <f>Cockpit!$Q$31-Cockpit!$H$20*Cockpit!$H$21*(1+Cockpit!$D$22)*(AH24-$AH27)/12</f>
        <v>-102.84375</v>
      </c>
      <c r="AU24" s="48">
        <f>(AN24+AP24+AS24+AT24)*Cockpit!$Q$33</f>
        <v>53.279166666666676</v>
      </c>
      <c r="AV24" s="286">
        <f t="shared" si="31"/>
        <v>-65.207083333333287</v>
      </c>
    </row>
    <row r="25" spans="2:48">
      <c r="B25" s="333">
        <f t="shared" si="16"/>
        <v>125000</v>
      </c>
      <c r="C25" s="126">
        <f>C26+$C$21</f>
        <v>0.90000000000000013</v>
      </c>
      <c r="D25" s="51">
        <f t="shared" si="17"/>
        <v>112500.00000000001</v>
      </c>
      <c r="E25" s="49">
        <f t="shared" si="18"/>
        <v>3.6999999999999998E-2</v>
      </c>
      <c r="F25" s="49">
        <f t="shared" si="19"/>
        <v>2.3E-2</v>
      </c>
      <c r="G25" s="48">
        <f t="shared" si="20"/>
        <v>529.375</v>
      </c>
      <c r="H25" s="48">
        <f>G25+Cockpit!$K$9</f>
        <v>640.375</v>
      </c>
      <c r="I25" s="48">
        <f>-Cockpit!$K$12-Cockpit!$H$25*(Szenarien!G25-Szenarien!$AL$13)</f>
        <v>-210.50291666666666</v>
      </c>
      <c r="J25" s="48">
        <f>Cockpit!$Q$21-E25*(D25-$D27)/12</f>
        <v>-346.875</v>
      </c>
      <c r="K25" s="48">
        <f>Cockpit!$Q$22-F25*(D25-$D27)/12</f>
        <v>-215.62500000000003</v>
      </c>
      <c r="L25" s="48">
        <f t="shared" si="32"/>
        <v>-132.62791666666672</v>
      </c>
      <c r="M25" s="48">
        <f>Cockpit!$Q$29</f>
        <v>-156</v>
      </c>
      <c r="N25" s="48">
        <f>Cockpit!$Q$31-Cockpit!$H$20*Cockpit!$H$21*(1+Cockpit!$D$22)*(B25-$B27)/12</f>
        <v>-102.84375</v>
      </c>
      <c r="O25" s="48">
        <f>(H25+J25+M25+N25)*Cockpit!$Q$33</f>
        <v>13.862500000000001</v>
      </c>
      <c r="P25" s="286">
        <f t="shared" si="21"/>
        <v>-146.49041666666673</v>
      </c>
      <c r="R25" s="333">
        <f t="shared" si="22"/>
        <v>125000</v>
      </c>
      <c r="S25" s="47">
        <f t="shared" si="23"/>
        <v>0.8</v>
      </c>
      <c r="T25" s="48">
        <f t="shared" si="33"/>
        <v>100000</v>
      </c>
      <c r="U25" s="49">
        <f t="shared" si="24"/>
        <v>3.6999999999999998E-2</v>
      </c>
      <c r="V25" s="129">
        <f>V26+$V$21</f>
        <v>3.3000000000000002E-2</v>
      </c>
      <c r="W25" s="48">
        <f t="shared" si="25"/>
        <v>529.375</v>
      </c>
      <c r="X25" s="48">
        <f>W25+Cockpit!$K$9</f>
        <v>640.375</v>
      </c>
      <c r="Y25" s="48">
        <f>-Cockpit!$K$12-Cockpit!$H$25*(Szenarien!W25-Szenarien!$AL$13)</f>
        <v>-210.50291666666666</v>
      </c>
      <c r="Z25" s="48">
        <f>Cockpit!$Q$21-U25*(T25-$T$13)/12-(U25-$U$13)*$T$13/12</f>
        <v>-308.33333333333331</v>
      </c>
      <c r="AA25" s="48">
        <f>Cockpit!$Q$22-V25*(T25-$T$13)/12-(V25-$V$13)*$T$13/12</f>
        <v>-275</v>
      </c>
      <c r="AB25" s="48">
        <f t="shared" si="34"/>
        <v>-153.46125000000001</v>
      </c>
      <c r="AC25" s="48">
        <f>Cockpit!$Q$29</f>
        <v>-156</v>
      </c>
      <c r="AD25" s="48">
        <f>Cockpit!$Q$31-Cockpit!$H$20*Cockpit!$H$21*(1+Cockpit!$D$22)*(R25-$R27)/12</f>
        <v>-102.84375</v>
      </c>
      <c r="AE25" s="48">
        <f>(X25+Z25+AC25+AD25)*Cockpit!$Q$33</f>
        <v>29.279166666666676</v>
      </c>
      <c r="AF25" s="286">
        <f t="shared" si="26"/>
        <v>-182.74041666666668</v>
      </c>
      <c r="AH25" s="333">
        <f t="shared" si="27"/>
        <v>125000</v>
      </c>
      <c r="AI25" s="47">
        <f t="shared" si="28"/>
        <v>0.8</v>
      </c>
      <c r="AJ25" s="48">
        <f t="shared" si="35"/>
        <v>100000</v>
      </c>
      <c r="AK25" s="49">
        <f t="shared" si="29"/>
        <v>3.6999999999999998E-2</v>
      </c>
      <c r="AL25" s="49">
        <f t="shared" si="30"/>
        <v>2.3E-2</v>
      </c>
      <c r="AM25" s="132">
        <f>AM26+$AM$21</f>
        <v>569.375</v>
      </c>
      <c r="AN25" s="48">
        <f>AM25+Cockpit!$K$9</f>
        <v>680.375</v>
      </c>
      <c r="AO25" s="48">
        <f>-Cockpit!$K$12-Cockpit!$H$25*(Szenarien!AM25-Szenarien!$AL$13)</f>
        <v>-211.70291666666665</v>
      </c>
      <c r="AP25" s="48">
        <f>Cockpit!$Q$21-AK25*(AJ25-$T$13)/12-(AK25-$U$13)*$T$13/12</f>
        <v>-308.33333333333331</v>
      </c>
      <c r="AQ25" s="48">
        <f>Cockpit!$Q$22-AL25*(AJ25-$T$13)/12-(AL25-$V$13)*$T$13/12</f>
        <v>-191.66666666666666</v>
      </c>
      <c r="AR25" s="48">
        <f t="shared" si="36"/>
        <v>-31.327916666666596</v>
      </c>
      <c r="AS25" s="48">
        <f>Cockpit!$Q$29</f>
        <v>-156</v>
      </c>
      <c r="AT25" s="48">
        <f>Cockpit!$Q$31-Cockpit!$H$20*Cockpit!$H$21*(1+Cockpit!$D$22)*(AH25-$AH27)/12</f>
        <v>-102.84375</v>
      </c>
      <c r="AU25" s="48">
        <f>(AN25+AP25+AS25+AT25)*Cockpit!$Q$33</f>
        <v>45.279166666666676</v>
      </c>
      <c r="AV25" s="286">
        <f t="shared" si="31"/>
        <v>-76.607083333333264</v>
      </c>
    </row>
    <row r="26" spans="2:48" ht="14.3" thickBot="1">
      <c r="B26" s="334">
        <f t="shared" si="16"/>
        <v>125000</v>
      </c>
      <c r="C26" s="126">
        <f>C27+$C$21</f>
        <v>0.85000000000000009</v>
      </c>
      <c r="D26" s="51">
        <f t="shared" si="17"/>
        <v>106250.00000000001</v>
      </c>
      <c r="E26" s="52">
        <f t="shared" si="18"/>
        <v>3.6999999999999998E-2</v>
      </c>
      <c r="F26" s="52">
        <f t="shared" si="19"/>
        <v>2.3E-2</v>
      </c>
      <c r="G26" s="51">
        <f t="shared" si="20"/>
        <v>529.375</v>
      </c>
      <c r="H26" s="51">
        <f>G26+Cockpit!$K$9</f>
        <v>640.375</v>
      </c>
      <c r="I26" s="51">
        <f>-Cockpit!$K$12-Cockpit!$H$25*(Szenarien!G26-Szenarien!$AL$13)</f>
        <v>-210.50291666666666</v>
      </c>
      <c r="J26" s="51">
        <f>Cockpit!$Q$21-E26*(D26-$D27)/12</f>
        <v>-327.60416666666669</v>
      </c>
      <c r="K26" s="51">
        <f>Cockpit!$Q$22-F26*(D26-$D27)/12</f>
        <v>-203.64583333333334</v>
      </c>
      <c r="L26" s="51">
        <f t="shared" si="32"/>
        <v>-101.37791666666672</v>
      </c>
      <c r="M26" s="51">
        <f>Cockpit!$Q$29</f>
        <v>-156</v>
      </c>
      <c r="N26" s="51">
        <f>Cockpit!$Q$31-Cockpit!$H$20*Cockpit!$H$21*(1+Cockpit!$D$22)*(B26-$B27)/12</f>
        <v>-102.84375</v>
      </c>
      <c r="O26" s="51">
        <f>(H26+J26+M26+N26)*Cockpit!$Q$33</f>
        <v>21.570833333333326</v>
      </c>
      <c r="P26" s="323">
        <f t="shared" si="21"/>
        <v>-122.94875000000005</v>
      </c>
      <c r="R26" s="334">
        <f t="shared" si="22"/>
        <v>125000</v>
      </c>
      <c r="S26" s="50">
        <f t="shared" si="23"/>
        <v>0.8</v>
      </c>
      <c r="T26" s="51">
        <f t="shared" si="33"/>
        <v>100000</v>
      </c>
      <c r="U26" s="52">
        <f t="shared" si="24"/>
        <v>3.6999999999999998E-2</v>
      </c>
      <c r="V26" s="130">
        <f>V27+$V$21</f>
        <v>2.8000000000000001E-2</v>
      </c>
      <c r="W26" s="51">
        <f t="shared" si="25"/>
        <v>529.375</v>
      </c>
      <c r="X26" s="51">
        <f>W26+Cockpit!$K$9</f>
        <v>640.375</v>
      </c>
      <c r="Y26" s="51">
        <f>-Cockpit!$K$12-Cockpit!$H$25*(Szenarien!W26-Szenarien!$AL$13)</f>
        <v>-210.50291666666666</v>
      </c>
      <c r="Z26" s="51">
        <f>Cockpit!$Q$21-U26*(T26-$T$13)/12-(U26-$U$13)*$T$13/12</f>
        <v>-308.33333333333331</v>
      </c>
      <c r="AA26" s="51">
        <f>Cockpit!$Q$22-V26*(T26-$T$13)/12-(V26-$V$13)*$T$13/12</f>
        <v>-233.33333333333334</v>
      </c>
      <c r="AB26" s="51">
        <f t="shared" si="34"/>
        <v>-111.79458333333335</v>
      </c>
      <c r="AC26" s="51">
        <f>Cockpit!$Q$29</f>
        <v>-156</v>
      </c>
      <c r="AD26" s="51">
        <f>Cockpit!$Q$31-Cockpit!$H$20*Cockpit!$H$21*(1+Cockpit!$D$22)*(R26-$R27)/12</f>
        <v>-102.84375</v>
      </c>
      <c r="AE26" s="51">
        <f>(X26+Z26+AC26+AD26)*Cockpit!$Q$33</f>
        <v>29.279166666666676</v>
      </c>
      <c r="AF26" s="323">
        <f t="shared" si="26"/>
        <v>-141.07375000000002</v>
      </c>
      <c r="AH26" s="334">
        <f t="shared" si="27"/>
        <v>125000</v>
      </c>
      <c r="AI26" s="50">
        <f t="shared" si="28"/>
        <v>0.8</v>
      </c>
      <c r="AJ26" s="51">
        <f t="shared" si="35"/>
        <v>100000</v>
      </c>
      <c r="AK26" s="52">
        <f t="shared" si="29"/>
        <v>3.6999999999999998E-2</v>
      </c>
      <c r="AL26" s="52">
        <f t="shared" si="30"/>
        <v>2.3E-2</v>
      </c>
      <c r="AM26" s="133">
        <f>AM27+$AM$21</f>
        <v>549.375</v>
      </c>
      <c r="AN26" s="51">
        <f>AM26+Cockpit!$K$9</f>
        <v>660.375</v>
      </c>
      <c r="AO26" s="51">
        <f>-Cockpit!$K$12-Cockpit!$H$25*(Szenarien!AM26-Szenarien!$AL$13)</f>
        <v>-211.10291666666666</v>
      </c>
      <c r="AP26" s="51">
        <f>Cockpit!$Q$21-AK26*(AJ26-$T$13)/12-(AK26-$U$13)*$T$13/12</f>
        <v>-308.33333333333331</v>
      </c>
      <c r="AQ26" s="51">
        <f>Cockpit!$Q$22-AL26*(AJ26-$T$13)/12-(AL26-$V$13)*$T$13/12</f>
        <v>-191.66666666666666</v>
      </c>
      <c r="AR26" s="51">
        <f t="shared" si="36"/>
        <v>-50.72791666666663</v>
      </c>
      <c r="AS26" s="51">
        <f>Cockpit!$Q$29</f>
        <v>-156</v>
      </c>
      <c r="AT26" s="51">
        <f>Cockpit!$Q$31-Cockpit!$H$20*Cockpit!$H$21*(1+Cockpit!$D$22)*(AH26-$AH27)/12</f>
        <v>-102.84375</v>
      </c>
      <c r="AU26" s="51">
        <f>(AN26+AP26+AS26+AT26)*Cockpit!$Q$33</f>
        <v>37.279166666666676</v>
      </c>
      <c r="AV26" s="323">
        <f t="shared" si="31"/>
        <v>-88.007083333333298</v>
      </c>
    </row>
    <row r="27" spans="2:48" ht="14.3" thickBot="1">
      <c r="B27" s="347">
        <f t="shared" si="16"/>
        <v>125000</v>
      </c>
      <c r="C27" s="350">
        <f>$AL$10</f>
        <v>0.8</v>
      </c>
      <c r="D27" s="344">
        <f t="shared" si="17"/>
        <v>100000</v>
      </c>
      <c r="E27" s="345">
        <f t="shared" si="18"/>
        <v>3.6999999999999998E-2</v>
      </c>
      <c r="F27" s="345">
        <f t="shared" si="19"/>
        <v>2.3E-2</v>
      </c>
      <c r="G27" s="344">
        <f t="shared" si="20"/>
        <v>529.375</v>
      </c>
      <c r="H27" s="344">
        <f>G27+Cockpit!$K$9</f>
        <v>640.375</v>
      </c>
      <c r="I27" s="344">
        <f>-Cockpit!$K$12-Cockpit!$H$25*(Szenarien!G27-Szenarien!$AL$13)</f>
        <v>-210.50291666666666</v>
      </c>
      <c r="J27" s="344">
        <f>Cockpit!$Q$21-E27*(D27-$D27)/12</f>
        <v>-308.33333333333331</v>
      </c>
      <c r="K27" s="344">
        <f>Cockpit!$Q$22-F27*(D27-$D27)/12</f>
        <v>-191.66666666666666</v>
      </c>
      <c r="L27" s="344">
        <f t="shared" si="32"/>
        <v>-70.127916666666664</v>
      </c>
      <c r="M27" s="344">
        <f>Cockpit!$Q$29</f>
        <v>-156</v>
      </c>
      <c r="N27" s="344">
        <f>Cockpit!$Q$31-Cockpit!$H$20*Cockpit!$H$21*(1+Cockpit!$D$22)*(B27-$B27)/12</f>
        <v>-102.84375</v>
      </c>
      <c r="O27" s="344">
        <f>(H27+J27+M27+N27)*Cockpit!$Q$33</f>
        <v>29.279166666666676</v>
      </c>
      <c r="P27" s="346">
        <f>L27-O27</f>
        <v>-99.407083333333333</v>
      </c>
      <c r="R27" s="347">
        <f t="shared" si="22"/>
        <v>125000</v>
      </c>
      <c r="S27" s="343">
        <f t="shared" si="23"/>
        <v>0.8</v>
      </c>
      <c r="T27" s="344">
        <f t="shared" si="33"/>
        <v>100000</v>
      </c>
      <c r="U27" s="345">
        <f t="shared" si="24"/>
        <v>3.6999999999999998E-2</v>
      </c>
      <c r="V27" s="348">
        <f>$AL$12</f>
        <v>2.3E-2</v>
      </c>
      <c r="W27" s="344">
        <f t="shared" si="25"/>
        <v>529.375</v>
      </c>
      <c r="X27" s="344">
        <f>W27+Cockpit!$K$9</f>
        <v>640.375</v>
      </c>
      <c r="Y27" s="344">
        <f>-Cockpit!$K$12-Cockpit!$H$25*(Szenarien!W27-Szenarien!$AL$13)</f>
        <v>-210.50291666666666</v>
      </c>
      <c r="Z27" s="344">
        <f>Cockpit!$Q$21-U27*(T27-$T$13)/12-(U27-$U$13)*$T$13/12</f>
        <v>-308.33333333333331</v>
      </c>
      <c r="AA27" s="344">
        <f>Cockpit!$Q$22-V27*(T27-$T$13)/12-(V27-$V$13)*$T$13/12</f>
        <v>-191.66666666666666</v>
      </c>
      <c r="AB27" s="344">
        <f t="shared" si="34"/>
        <v>-70.127916666666664</v>
      </c>
      <c r="AC27" s="344">
        <f>Cockpit!$Q$29</f>
        <v>-156</v>
      </c>
      <c r="AD27" s="344">
        <f>Cockpit!$Q$31-Cockpit!$H$20*Cockpit!$H$21*(1+Cockpit!$D$22)*(R27-$R27)/12</f>
        <v>-102.84375</v>
      </c>
      <c r="AE27" s="344">
        <f>(X27+Z27+AC27+AD27)*Cockpit!$Q$33</f>
        <v>29.279166666666676</v>
      </c>
      <c r="AF27" s="346">
        <f>AB27-AE27</f>
        <v>-99.407083333333333</v>
      </c>
      <c r="AH27" s="347">
        <f t="shared" si="27"/>
        <v>125000</v>
      </c>
      <c r="AI27" s="343">
        <f t="shared" si="28"/>
        <v>0.8</v>
      </c>
      <c r="AJ27" s="344">
        <f t="shared" si="35"/>
        <v>100000</v>
      </c>
      <c r="AK27" s="345">
        <f t="shared" si="29"/>
        <v>3.6999999999999998E-2</v>
      </c>
      <c r="AL27" s="345">
        <f t="shared" si="30"/>
        <v>2.3E-2</v>
      </c>
      <c r="AM27" s="349">
        <f>$AL$13</f>
        <v>529.375</v>
      </c>
      <c r="AN27" s="344">
        <f>AM27+Cockpit!$K$9</f>
        <v>640.375</v>
      </c>
      <c r="AO27" s="344">
        <f>-Cockpit!$K$12-Cockpit!$H$25*(Szenarien!AM27-Szenarien!$AL$13)</f>
        <v>-210.50291666666666</v>
      </c>
      <c r="AP27" s="344">
        <f>Cockpit!$Q$21-AK27*(AJ27-$T$13)/12-(AK27-$U$13)*$T$13/12</f>
        <v>-308.33333333333331</v>
      </c>
      <c r="AQ27" s="344">
        <f>Cockpit!$Q$22-AL27*(AJ27-$T$13)/12-(AL27-$V$13)*$T$13/12</f>
        <v>-191.66666666666666</v>
      </c>
      <c r="AR27" s="344">
        <f t="shared" si="36"/>
        <v>-70.127916666666664</v>
      </c>
      <c r="AS27" s="344">
        <f>Cockpit!$Q$29</f>
        <v>-156</v>
      </c>
      <c r="AT27" s="344">
        <f>Cockpit!$Q$31-Cockpit!$H$20*Cockpit!$H$21*(1+Cockpit!$D$22)*(AH27-$AH27)/12</f>
        <v>-102.84375</v>
      </c>
      <c r="AU27" s="344">
        <f>(AN27+AP27+AS27+AT27)*Cockpit!$Q$33</f>
        <v>29.279166666666676</v>
      </c>
      <c r="AV27" s="346">
        <f>AR27-AU27</f>
        <v>-99.407083333333333</v>
      </c>
    </row>
    <row r="28" spans="2:48">
      <c r="B28" s="335">
        <f t="shared" si="16"/>
        <v>125000</v>
      </c>
      <c r="C28" s="127">
        <f>C27-$C$21</f>
        <v>0.75</v>
      </c>
      <c r="D28" s="314">
        <f t="shared" si="17"/>
        <v>93750</v>
      </c>
      <c r="E28" s="56">
        <f t="shared" si="18"/>
        <v>3.6999999999999998E-2</v>
      </c>
      <c r="F28" s="56">
        <f t="shared" si="19"/>
        <v>2.3E-2</v>
      </c>
      <c r="G28" s="55">
        <f t="shared" si="20"/>
        <v>529.375</v>
      </c>
      <c r="H28" s="55">
        <f>G28+Cockpit!$K$9</f>
        <v>640.375</v>
      </c>
      <c r="I28" s="55">
        <f>-Cockpit!$K$12-Cockpit!$H$25*(Szenarien!G28-Szenarien!$AL$13)</f>
        <v>-210.50291666666666</v>
      </c>
      <c r="J28" s="55">
        <f>Cockpit!$Q$21-E28*(D28-$D27)/12</f>
        <v>-289.0625</v>
      </c>
      <c r="K28" s="55">
        <f>Cockpit!$Q$22-F28*(D28-$D27)/12</f>
        <v>-179.6875</v>
      </c>
      <c r="L28" s="55">
        <f t="shared" si="32"/>
        <v>-38.877916666666692</v>
      </c>
      <c r="M28" s="55">
        <f>Cockpit!$Q$29</f>
        <v>-156</v>
      </c>
      <c r="N28" s="55">
        <f>Cockpit!$Q$31-Cockpit!$H$20*Cockpit!$H$21*(1+Cockpit!$D$22)*(B28-$B27)/12</f>
        <v>-102.84375</v>
      </c>
      <c r="O28" s="55">
        <f>(H28+J28+M28+N28)*Cockpit!$Q$33</f>
        <v>36.987500000000004</v>
      </c>
      <c r="P28" s="325">
        <f t="shared" ref="P28:P31" si="37">L28-O28</f>
        <v>-75.865416666666704</v>
      </c>
      <c r="R28" s="335">
        <f t="shared" si="22"/>
        <v>125000</v>
      </c>
      <c r="S28" s="54">
        <f t="shared" si="23"/>
        <v>0.8</v>
      </c>
      <c r="T28" s="55">
        <f t="shared" si="33"/>
        <v>100000</v>
      </c>
      <c r="U28" s="56">
        <f t="shared" si="24"/>
        <v>3.6999999999999998E-2</v>
      </c>
      <c r="V28" s="131">
        <f>V27-$V$21</f>
        <v>1.7999999999999999E-2</v>
      </c>
      <c r="W28" s="55">
        <f t="shared" si="25"/>
        <v>529.375</v>
      </c>
      <c r="X28" s="55">
        <f>W28+Cockpit!$K$9</f>
        <v>640.375</v>
      </c>
      <c r="Y28" s="55">
        <f>-Cockpit!$K$12-Cockpit!$H$25*(Szenarien!W28-Szenarien!$AL$13)</f>
        <v>-210.50291666666666</v>
      </c>
      <c r="Z28" s="55">
        <f>Cockpit!$Q$21-U28*(T28-$T$13)/12-(U28-$U$13)*$T$13/12</f>
        <v>-308.33333333333331</v>
      </c>
      <c r="AA28" s="55">
        <f>Cockpit!$Q$22-V28*(T28-$T$13)/12-(V28-$V$13)*$T$13/12</f>
        <v>-149.99999999999997</v>
      </c>
      <c r="AB28" s="55">
        <f t="shared" si="34"/>
        <v>-28.461249999999978</v>
      </c>
      <c r="AC28" s="55">
        <f>Cockpit!$Q$29</f>
        <v>-156</v>
      </c>
      <c r="AD28" s="55">
        <f>Cockpit!$Q$31-Cockpit!$H$20*Cockpit!$H$21*(1+Cockpit!$D$22)*(R28-$R27)/12</f>
        <v>-102.84375</v>
      </c>
      <c r="AE28" s="55">
        <f>(X28+Z28+AC28+AD28)*Cockpit!$Q$33</f>
        <v>29.279166666666676</v>
      </c>
      <c r="AF28" s="325">
        <f t="shared" ref="AF28:AF31" si="38">AB28-AE28</f>
        <v>-57.740416666666654</v>
      </c>
      <c r="AH28" s="335">
        <f t="shared" si="27"/>
        <v>125000</v>
      </c>
      <c r="AI28" s="54">
        <f t="shared" si="28"/>
        <v>0.8</v>
      </c>
      <c r="AJ28" s="55">
        <f t="shared" si="35"/>
        <v>100000</v>
      </c>
      <c r="AK28" s="56">
        <f t="shared" si="29"/>
        <v>3.6999999999999998E-2</v>
      </c>
      <c r="AL28" s="56">
        <f t="shared" si="30"/>
        <v>2.3E-2</v>
      </c>
      <c r="AM28" s="134">
        <f>AM27-$AM$21</f>
        <v>509.375</v>
      </c>
      <c r="AN28" s="55">
        <f>AM28+Cockpit!$K$9</f>
        <v>620.375</v>
      </c>
      <c r="AO28" s="55">
        <f>-Cockpit!$K$12-Cockpit!$H$25*(Szenarien!AM28-Szenarien!$AL$13)</f>
        <v>-209.90291666666667</v>
      </c>
      <c r="AP28" s="55">
        <f>Cockpit!$Q$21-AK28*(AJ28-$T$13)/12-(AK28-$U$13)*$T$13/12</f>
        <v>-308.33333333333331</v>
      </c>
      <c r="AQ28" s="55">
        <f>Cockpit!$Q$22-AL28*(AJ28-$T$13)/12-(AL28-$V$13)*$T$13/12</f>
        <v>-191.66666666666666</v>
      </c>
      <c r="AR28" s="55">
        <f t="shared" si="36"/>
        <v>-89.527916666666641</v>
      </c>
      <c r="AS28" s="55">
        <f>Cockpit!$Q$29</f>
        <v>-156</v>
      </c>
      <c r="AT28" s="55">
        <f>Cockpit!$Q$31-Cockpit!$H$20*Cockpit!$H$21*(1+Cockpit!$D$22)*(AH28-$AH27)/12</f>
        <v>-102.84375</v>
      </c>
      <c r="AU28" s="55">
        <f>(AN28+AP28+AS28+AT28)*Cockpit!$Q$33</f>
        <v>21.279166666666676</v>
      </c>
      <c r="AV28" s="325">
        <f t="shared" ref="AV28:AV31" si="39">AR28-AU28</f>
        <v>-110.80708333333331</v>
      </c>
    </row>
    <row r="29" spans="2:48">
      <c r="B29" s="333">
        <f t="shared" si="16"/>
        <v>125000</v>
      </c>
      <c r="C29" s="128">
        <f>C28-$C$21</f>
        <v>0.7</v>
      </c>
      <c r="D29" s="51">
        <f t="shared" si="17"/>
        <v>87500</v>
      </c>
      <c r="E29" s="49">
        <f t="shared" si="18"/>
        <v>3.6999999999999998E-2</v>
      </c>
      <c r="F29" s="49">
        <f t="shared" si="19"/>
        <v>2.3E-2</v>
      </c>
      <c r="G29" s="48">
        <f t="shared" si="20"/>
        <v>529.375</v>
      </c>
      <c r="H29" s="48">
        <f>G29+Cockpit!$K$9</f>
        <v>640.375</v>
      </c>
      <c r="I29" s="48">
        <f>-Cockpit!$K$12-Cockpit!$H$25*(Szenarien!G29-Szenarien!$AL$13)</f>
        <v>-210.50291666666666</v>
      </c>
      <c r="J29" s="48">
        <f>Cockpit!$Q$21-E29*(D29-$D27)/12</f>
        <v>-269.79166666666663</v>
      </c>
      <c r="K29" s="48">
        <f>Cockpit!$Q$22-F29*(D29-$D27)/12</f>
        <v>-167.70833333333331</v>
      </c>
      <c r="L29" s="48">
        <f t="shared" si="32"/>
        <v>-7.6279166666666356</v>
      </c>
      <c r="M29" s="48">
        <f>Cockpit!$Q$29</f>
        <v>-156</v>
      </c>
      <c r="N29" s="48">
        <f>Cockpit!$Q$31-Cockpit!$H$20*Cockpit!$H$21*(1+Cockpit!$D$22)*(B29-$B27)/12</f>
        <v>-102.84375</v>
      </c>
      <c r="O29" s="48">
        <f>(H29+J29+M29+N29)*Cockpit!$Q$33</f>
        <v>44.695833333333354</v>
      </c>
      <c r="P29" s="286">
        <f t="shared" si="37"/>
        <v>-52.32374999999999</v>
      </c>
      <c r="R29" s="333">
        <f t="shared" si="22"/>
        <v>125000</v>
      </c>
      <c r="S29" s="47">
        <f t="shared" si="23"/>
        <v>0.8</v>
      </c>
      <c r="T29" s="48">
        <f t="shared" si="33"/>
        <v>100000</v>
      </c>
      <c r="U29" s="49">
        <f t="shared" si="24"/>
        <v>3.6999999999999998E-2</v>
      </c>
      <c r="V29" s="129">
        <f>V28-$V$21</f>
        <v>1.2999999999999998E-2</v>
      </c>
      <c r="W29" s="48">
        <f t="shared" si="25"/>
        <v>529.375</v>
      </c>
      <c r="X29" s="48">
        <f>W29+Cockpit!$K$9</f>
        <v>640.375</v>
      </c>
      <c r="Y29" s="48">
        <f>-Cockpit!$K$12-Cockpit!$H$25*(Szenarien!W29-Szenarien!$AL$13)</f>
        <v>-210.50291666666666</v>
      </c>
      <c r="Z29" s="48">
        <f>Cockpit!$Q$21-U29*(T29-$T$13)/12-(U29-$U$13)*$T$13/12</f>
        <v>-308.33333333333331</v>
      </c>
      <c r="AA29" s="48">
        <f>Cockpit!$Q$22-V29*(T29-$T$13)/12-(V29-$V$13)*$T$13/12</f>
        <v>-108.3333333333333</v>
      </c>
      <c r="AB29" s="48">
        <f t="shared" si="34"/>
        <v>13.205416666666693</v>
      </c>
      <c r="AC29" s="48">
        <f>Cockpit!$Q$29</f>
        <v>-156</v>
      </c>
      <c r="AD29" s="48">
        <f>Cockpit!$Q$31-Cockpit!$H$20*Cockpit!$H$21*(1+Cockpit!$D$22)*(R29-$R27)/12</f>
        <v>-102.84375</v>
      </c>
      <c r="AE29" s="48">
        <f>(X29+Z29+AC29+AD29)*Cockpit!$Q$33</f>
        <v>29.279166666666676</v>
      </c>
      <c r="AF29" s="286">
        <f t="shared" si="38"/>
        <v>-16.073749999999983</v>
      </c>
      <c r="AH29" s="333">
        <f t="shared" si="27"/>
        <v>125000</v>
      </c>
      <c r="AI29" s="47">
        <f t="shared" si="28"/>
        <v>0.8</v>
      </c>
      <c r="AJ29" s="48">
        <f t="shared" si="35"/>
        <v>100000</v>
      </c>
      <c r="AK29" s="49">
        <f t="shared" si="29"/>
        <v>3.6999999999999998E-2</v>
      </c>
      <c r="AL29" s="49">
        <f t="shared" si="30"/>
        <v>2.3E-2</v>
      </c>
      <c r="AM29" s="132">
        <f>AM28-$AM$21</f>
        <v>489.375</v>
      </c>
      <c r="AN29" s="48">
        <f>AM29+Cockpit!$K$9</f>
        <v>600.375</v>
      </c>
      <c r="AO29" s="48">
        <f>-Cockpit!$K$12-Cockpit!$H$25*(Szenarien!AM29-Szenarien!$AL$13)</f>
        <v>-209.30291666666668</v>
      </c>
      <c r="AP29" s="48">
        <f>Cockpit!$Q$21-AK29*(AJ29-$T$13)/12-(AK29-$U$13)*$T$13/12</f>
        <v>-308.33333333333331</v>
      </c>
      <c r="AQ29" s="48">
        <f>Cockpit!$Q$22-AL29*(AJ29-$T$13)/12-(AL29-$V$13)*$T$13/12</f>
        <v>-191.66666666666666</v>
      </c>
      <c r="AR29" s="48">
        <f t="shared" si="36"/>
        <v>-108.92791666666662</v>
      </c>
      <c r="AS29" s="48">
        <f>Cockpit!$Q$29</f>
        <v>-156</v>
      </c>
      <c r="AT29" s="48">
        <f>Cockpit!$Q$31-Cockpit!$H$20*Cockpit!$H$21*(1+Cockpit!$D$22)*(AH29-$AH27)/12</f>
        <v>-102.84375</v>
      </c>
      <c r="AU29" s="48">
        <f>(AN29+AP29+AS29+AT29)*Cockpit!$Q$33</f>
        <v>13.279166666666676</v>
      </c>
      <c r="AV29" s="286">
        <f t="shared" si="39"/>
        <v>-122.20708333333329</v>
      </c>
    </row>
    <row r="30" spans="2:48">
      <c r="B30" s="333">
        <f t="shared" si="16"/>
        <v>125000</v>
      </c>
      <c r="C30" s="128">
        <f>C29-$C$21</f>
        <v>0.64999999999999991</v>
      </c>
      <c r="D30" s="51">
        <f t="shared" si="17"/>
        <v>81249.999999999985</v>
      </c>
      <c r="E30" s="49">
        <f t="shared" si="18"/>
        <v>3.6999999999999998E-2</v>
      </c>
      <c r="F30" s="49">
        <f t="shared" si="19"/>
        <v>2.3E-2</v>
      </c>
      <c r="G30" s="48">
        <f t="shared" si="20"/>
        <v>529.375</v>
      </c>
      <c r="H30" s="48">
        <f>G30+Cockpit!$K$9</f>
        <v>640.375</v>
      </c>
      <c r="I30" s="48">
        <f>-Cockpit!$K$12-Cockpit!$H$25*(Szenarien!G30-Szenarien!$AL$13)</f>
        <v>-210.50291666666666</v>
      </c>
      <c r="J30" s="48">
        <f>Cockpit!$Q$21-E30*(D30-$D27)/12</f>
        <v>-250.52083333333329</v>
      </c>
      <c r="K30" s="48">
        <f>Cockpit!$Q$22-F30*(D30-$D27)/12</f>
        <v>-155.72916666666663</v>
      </c>
      <c r="L30" s="48">
        <f t="shared" si="32"/>
        <v>23.622083333333393</v>
      </c>
      <c r="M30" s="48">
        <f>Cockpit!$Q$29</f>
        <v>-156</v>
      </c>
      <c r="N30" s="48">
        <f>Cockpit!$Q$31-Cockpit!$H$20*Cockpit!$H$21*(1+Cockpit!$D$22)*(B30-$B27)/12</f>
        <v>-102.84375</v>
      </c>
      <c r="O30" s="48">
        <f>(H30+J30+M30+N30)*Cockpit!$Q$33</f>
        <v>52.404166666666697</v>
      </c>
      <c r="P30" s="286">
        <f t="shared" si="37"/>
        <v>-28.782083333333304</v>
      </c>
      <c r="R30" s="333">
        <f t="shared" si="22"/>
        <v>125000</v>
      </c>
      <c r="S30" s="47">
        <f t="shared" si="23"/>
        <v>0.8</v>
      </c>
      <c r="T30" s="48">
        <f t="shared" si="33"/>
        <v>100000</v>
      </c>
      <c r="U30" s="49">
        <f t="shared" si="24"/>
        <v>3.6999999999999998E-2</v>
      </c>
      <c r="V30" s="129">
        <f>V29-$V$21</f>
        <v>7.9999999999999967E-3</v>
      </c>
      <c r="W30" s="48">
        <f t="shared" si="25"/>
        <v>529.375</v>
      </c>
      <c r="X30" s="48">
        <f>W30+Cockpit!$K$9</f>
        <v>640.375</v>
      </c>
      <c r="Y30" s="48">
        <f>-Cockpit!$K$12-Cockpit!$H$25*(Szenarien!W30-Szenarien!$AL$13)</f>
        <v>-210.50291666666666</v>
      </c>
      <c r="Z30" s="48">
        <f>Cockpit!$Q$21-U30*(T30-$T$13)/12-(U30-$U$13)*$T$13/12</f>
        <v>-308.33333333333331</v>
      </c>
      <c r="AA30" s="48">
        <f>Cockpit!$Q$22-V30*(T30-$T$13)/12-(V30-$V$13)*$T$13/12</f>
        <v>-66.666666666666643</v>
      </c>
      <c r="AB30" s="48">
        <f t="shared" si="34"/>
        <v>54.87208333333335</v>
      </c>
      <c r="AC30" s="48">
        <f>Cockpit!$Q$29</f>
        <v>-156</v>
      </c>
      <c r="AD30" s="48">
        <f>Cockpit!$Q$31-Cockpit!$H$20*Cockpit!$H$21*(1+Cockpit!$D$22)*(R30-$R27)/12</f>
        <v>-102.84375</v>
      </c>
      <c r="AE30" s="48">
        <f>(X30+Z30+AC30+AD30)*Cockpit!$Q$33</f>
        <v>29.279166666666676</v>
      </c>
      <c r="AF30" s="286">
        <f t="shared" si="38"/>
        <v>25.592916666666675</v>
      </c>
      <c r="AH30" s="333">
        <f t="shared" si="27"/>
        <v>125000</v>
      </c>
      <c r="AI30" s="47">
        <f t="shared" si="28"/>
        <v>0.8</v>
      </c>
      <c r="AJ30" s="48">
        <f t="shared" si="35"/>
        <v>100000</v>
      </c>
      <c r="AK30" s="49">
        <f t="shared" si="29"/>
        <v>3.6999999999999998E-2</v>
      </c>
      <c r="AL30" s="49">
        <f t="shared" si="30"/>
        <v>2.3E-2</v>
      </c>
      <c r="AM30" s="132">
        <f>AM29-$AM$21</f>
        <v>469.375</v>
      </c>
      <c r="AN30" s="48">
        <f>AM30+Cockpit!$K$9</f>
        <v>580.375</v>
      </c>
      <c r="AO30" s="48">
        <f>-Cockpit!$K$12-Cockpit!$H$25*(Szenarien!AM30-Szenarien!$AL$13)</f>
        <v>-208.70291666666665</v>
      </c>
      <c r="AP30" s="48">
        <f>Cockpit!$Q$21-AK30*(AJ30-$T$13)/12-(AK30-$U$13)*$T$13/12</f>
        <v>-308.33333333333331</v>
      </c>
      <c r="AQ30" s="48">
        <f>Cockpit!$Q$22-AL30*(AJ30-$T$13)/12-(AL30-$V$13)*$T$13/12</f>
        <v>-191.66666666666666</v>
      </c>
      <c r="AR30" s="48">
        <f t="shared" si="36"/>
        <v>-128.3279166666666</v>
      </c>
      <c r="AS30" s="48">
        <f>Cockpit!$Q$29</f>
        <v>-156</v>
      </c>
      <c r="AT30" s="48">
        <f>Cockpit!$Q$31-Cockpit!$H$20*Cockpit!$H$21*(1+Cockpit!$D$22)*(AH30-$AH27)/12</f>
        <v>-102.84375</v>
      </c>
      <c r="AU30" s="48">
        <f>(AN30+AP30+AS30+AT30)*Cockpit!$Q$33</f>
        <v>5.2791666666666748</v>
      </c>
      <c r="AV30" s="286">
        <f t="shared" si="39"/>
        <v>-133.60708333333326</v>
      </c>
    </row>
    <row r="31" spans="2:48" ht="14.3" thickBot="1">
      <c r="B31" s="336">
        <f t="shared" si="16"/>
        <v>125000</v>
      </c>
      <c r="C31" s="337">
        <f>C30-$C$21</f>
        <v>0.59999999999999987</v>
      </c>
      <c r="D31" s="328">
        <f t="shared" si="17"/>
        <v>74999.999999999985</v>
      </c>
      <c r="E31" s="329">
        <f t="shared" si="18"/>
        <v>3.6999999999999998E-2</v>
      </c>
      <c r="F31" s="329">
        <f t="shared" si="19"/>
        <v>2.3E-2</v>
      </c>
      <c r="G31" s="328">
        <f t="shared" si="20"/>
        <v>529.375</v>
      </c>
      <c r="H31" s="328">
        <f>G31+Cockpit!$K$9</f>
        <v>640.375</v>
      </c>
      <c r="I31" s="328">
        <f>-Cockpit!$K$12-Cockpit!$H$25*(Szenarien!G31-Szenarien!$AL$13)</f>
        <v>-210.50291666666666</v>
      </c>
      <c r="J31" s="328">
        <f>Cockpit!$Q$21-E31*(D31-$D27)/12</f>
        <v>-231.24999999999994</v>
      </c>
      <c r="K31" s="328">
        <f>Cockpit!$Q$22-F31*(D31-$D27)/12</f>
        <v>-143.74999999999997</v>
      </c>
      <c r="L31" s="328">
        <f t="shared" si="32"/>
        <v>54.872083333333393</v>
      </c>
      <c r="M31" s="328">
        <f>Cockpit!$Q$29</f>
        <v>-156</v>
      </c>
      <c r="N31" s="328">
        <f>Cockpit!$Q$31-Cockpit!$H$20*Cockpit!$H$21*(1+Cockpit!$D$22)*(B31-$B27)/12</f>
        <v>-102.84375</v>
      </c>
      <c r="O31" s="328">
        <f>(H31+J31+M31+N31)*Cockpit!$Q$33</f>
        <v>60.112500000000026</v>
      </c>
      <c r="P31" s="288">
        <f t="shared" si="37"/>
        <v>-5.2404166666666328</v>
      </c>
      <c r="R31" s="336">
        <f t="shared" si="22"/>
        <v>125000</v>
      </c>
      <c r="S31" s="327">
        <f t="shared" si="23"/>
        <v>0.8</v>
      </c>
      <c r="T31" s="328">
        <f t="shared" si="33"/>
        <v>100000</v>
      </c>
      <c r="U31" s="329">
        <f t="shared" si="24"/>
        <v>3.6999999999999998E-2</v>
      </c>
      <c r="V31" s="339">
        <f>V30-$V$21</f>
        <v>2.9999999999999966E-3</v>
      </c>
      <c r="W31" s="328">
        <f t="shared" si="25"/>
        <v>529.375</v>
      </c>
      <c r="X31" s="328">
        <f>W31+Cockpit!$K$9</f>
        <v>640.375</v>
      </c>
      <c r="Y31" s="328">
        <f>-Cockpit!$K$12-Cockpit!$H$25*(Szenarien!W31-Szenarien!$AL$13)</f>
        <v>-210.50291666666666</v>
      </c>
      <c r="Z31" s="328">
        <f>Cockpit!$Q$21-U31*(T31-$T$13)/12-(U31-$U$13)*$T$13/12</f>
        <v>-308.33333333333331</v>
      </c>
      <c r="AA31" s="328">
        <f>Cockpit!$Q$22-V31*(T31-$T$13)/12-(V31-$V$13)*$T$13/12</f>
        <v>-24.999999999999943</v>
      </c>
      <c r="AB31" s="328">
        <f t="shared" si="34"/>
        <v>96.53875000000005</v>
      </c>
      <c r="AC31" s="328">
        <f>Cockpit!$Q$29</f>
        <v>-156</v>
      </c>
      <c r="AD31" s="328">
        <f>Cockpit!$Q$31-Cockpit!$H$20*Cockpit!$H$21*(1+Cockpit!$D$22)*(R31-$R27)/12</f>
        <v>-102.84375</v>
      </c>
      <c r="AE31" s="328">
        <f>(X31+Z31+AC31+AD31)*Cockpit!$Q$33</f>
        <v>29.279166666666676</v>
      </c>
      <c r="AF31" s="288">
        <f t="shared" si="38"/>
        <v>67.259583333333381</v>
      </c>
      <c r="AH31" s="336">
        <f t="shared" si="27"/>
        <v>125000</v>
      </c>
      <c r="AI31" s="327">
        <f t="shared" si="28"/>
        <v>0.8</v>
      </c>
      <c r="AJ31" s="328">
        <f t="shared" si="35"/>
        <v>100000</v>
      </c>
      <c r="AK31" s="329">
        <f t="shared" si="29"/>
        <v>3.6999999999999998E-2</v>
      </c>
      <c r="AL31" s="329">
        <f t="shared" si="30"/>
        <v>2.3E-2</v>
      </c>
      <c r="AM31" s="341">
        <f>AM30-$AM$21</f>
        <v>449.375</v>
      </c>
      <c r="AN31" s="328">
        <f>AM31+Cockpit!$K$9</f>
        <v>560.375</v>
      </c>
      <c r="AO31" s="328">
        <f>-Cockpit!$K$12-Cockpit!$H$25*(Szenarien!AM31-Szenarien!$AL$13)</f>
        <v>-208.10291666666666</v>
      </c>
      <c r="AP31" s="328">
        <f>Cockpit!$Q$21-AK31*(AJ31-$T$13)/12-(AK31-$U$13)*$T$13/12</f>
        <v>-308.33333333333331</v>
      </c>
      <c r="AQ31" s="328">
        <f>Cockpit!$Q$22-AL31*(AJ31-$T$13)/12-(AL31-$V$13)*$T$13/12</f>
        <v>-191.66666666666666</v>
      </c>
      <c r="AR31" s="328">
        <f t="shared" si="36"/>
        <v>-147.72791666666663</v>
      </c>
      <c r="AS31" s="328">
        <f>Cockpit!$Q$29</f>
        <v>-156</v>
      </c>
      <c r="AT31" s="328">
        <f>Cockpit!$Q$31-Cockpit!$H$20*Cockpit!$H$21*(1+Cockpit!$D$22)*(AH31-$AH27)/12</f>
        <v>-102.84375</v>
      </c>
      <c r="AU31" s="328">
        <f>(AN31+AP31+AS31+AT31)*Cockpit!$Q$33</f>
        <v>-2.7208333333333261</v>
      </c>
      <c r="AV31" s="288">
        <f t="shared" si="39"/>
        <v>-145.0070833333333</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375" defaultRowHeight="14.3"/>
  <cols>
    <col min="1" max="1" width="11.375" style="6"/>
    <col min="2" max="2" width="11.375" style="6" customWidth="1"/>
    <col min="3" max="8" width="11.375" style="6"/>
    <col min="9" max="9" width="11.375" style="6" customWidth="1"/>
    <col min="10" max="11" width="11.375" style="6"/>
    <col min="12" max="12" width="22.375" style="6" customWidth="1"/>
    <col min="13" max="17" width="11.375" style="6"/>
    <col min="18" max="18" width="6" style="6" customWidth="1"/>
    <col min="19" max="16384" width="11.375" style="6"/>
  </cols>
  <sheetData>
    <row r="1" spans="2:18" s="150" customFormat="1" ht="12.75" customHeight="1">
      <c r="B1" s="532" t="s">
        <v>344</v>
      </c>
      <c r="C1" s="532"/>
      <c r="D1" s="532"/>
      <c r="E1" s="491" t="s">
        <v>114</v>
      </c>
      <c r="F1" s="491"/>
      <c r="G1" s="491"/>
      <c r="N1" s="471"/>
      <c r="O1" s="471"/>
    </row>
    <row r="2" spans="2:18" s="150" customFormat="1" ht="14.95" customHeight="1">
      <c r="B2" s="532"/>
      <c r="C2" s="532"/>
      <c r="D2" s="532"/>
      <c r="E2" s="491"/>
      <c r="F2" s="491"/>
      <c r="G2" s="491"/>
      <c r="N2" s="471"/>
      <c r="O2" s="471"/>
    </row>
    <row r="3" spans="2:18" s="150" customFormat="1" ht="12.75" customHeight="1">
      <c r="B3" s="532"/>
      <c r="C3" s="532"/>
      <c r="D3" s="532"/>
      <c r="E3" s="491"/>
      <c r="F3" s="491"/>
      <c r="G3" s="491"/>
      <c r="N3" s="471"/>
      <c r="O3" s="471"/>
    </row>
    <row r="4" spans="2:18" ht="18.7" customHeight="1">
      <c r="N4" s="5"/>
      <c r="O4" s="5"/>
      <c r="P4" s="5"/>
      <c r="Q4" s="5"/>
    </row>
    <row r="5" spans="2:18" ht="9" customHeight="1">
      <c r="N5" s="5"/>
      <c r="O5" s="5"/>
      <c r="P5" s="5"/>
      <c r="Q5" s="5"/>
    </row>
    <row r="6" spans="2:18" ht="28.5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125000</v>
      </c>
      <c r="H10" s="6" t="s">
        <v>354</v>
      </c>
      <c r="I10" s="7">
        <f>IF((Cockpit!N17)=0,#N/A,Cockpit!N17)</f>
        <v>100000</v>
      </c>
      <c r="L10" s="6" t="s">
        <v>471</v>
      </c>
      <c r="M10" s="6">
        <f>Cockpit!Q19</f>
        <v>640.375</v>
      </c>
    </row>
    <row r="11" spans="2:18">
      <c r="C11" s="6" t="s">
        <v>360</v>
      </c>
      <c r="D11" s="7">
        <f>IF(Cockpit!E22=0,#N/A,Cockpit!E22)</f>
        <v>13325</v>
      </c>
      <c r="H11" s="6" t="s">
        <v>240</v>
      </c>
      <c r="I11" s="7" t="e">
        <f>IF((Cockpit!N9-Cockpit!N17)=0,#N/A,Cockpit!N9-Cockpit!N17)</f>
        <v>#N/A</v>
      </c>
      <c r="L11" s="6" t="s">
        <v>79</v>
      </c>
      <c r="N11" s="8">
        <f>-Cockpit!Q20</f>
        <v>210.50291666666666</v>
      </c>
    </row>
    <row r="12" spans="2:18">
      <c r="C12" s="6" t="s">
        <v>361</v>
      </c>
      <c r="D12" s="7" t="e">
        <f>IF(Cockpit!C30=0,#N/A,Cockpit!C30)</f>
        <v>#N/A</v>
      </c>
      <c r="H12" s="6" t="s">
        <v>26</v>
      </c>
      <c r="I12" s="7">
        <f>Cockpit!N10</f>
        <v>38325</v>
      </c>
      <c r="L12" s="6" t="s">
        <v>43</v>
      </c>
      <c r="N12" s="8">
        <f>-Cockpit!Q21</f>
        <v>308.33333333333331</v>
      </c>
    </row>
    <row r="13" spans="2:18">
      <c r="L13" s="6" t="s">
        <v>44</v>
      </c>
      <c r="N13" s="8">
        <f>-Cockpit!Q22</f>
        <v>191.66666666666666</v>
      </c>
    </row>
    <row r="14" spans="2:18">
      <c r="L14" s="6" t="s">
        <v>101</v>
      </c>
      <c r="N14" s="8">
        <f>-Cockpit!Q24</f>
        <v>29.279166666666676</v>
      </c>
    </row>
    <row r="15" spans="2:18">
      <c r="N15" s="8"/>
    </row>
    <row r="18" spans="14:14">
      <c r="N18" s="8"/>
    </row>
    <row r="52" ht="5.3" customHeight="1"/>
    <row r="53" ht="5.3" customHeight="1"/>
    <row r="54" ht="5.3"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25" defaultRowHeight="14.3"/>
  <cols>
    <col min="1" max="1" width="2.875" style="6" customWidth="1"/>
    <col min="2" max="2" width="31.125" style="6" customWidth="1"/>
    <col min="3" max="3" width="9" style="6" customWidth="1"/>
    <col min="4" max="4" width="0.375" style="6" customWidth="1"/>
    <col min="5" max="9" width="9.375" style="6" customWidth="1"/>
    <col min="10" max="13" width="9.375" style="5" customWidth="1"/>
    <col min="14" max="14" width="9.375" style="6" customWidth="1"/>
    <col min="15" max="15" width="9.625" style="6" customWidth="1"/>
    <col min="16" max="16" width="8.875" style="6" customWidth="1"/>
    <col min="17" max="17" width="9.125" style="6"/>
    <col min="18" max="18" width="8" style="6" customWidth="1"/>
    <col min="19" max="19" width="8.875" style="6" customWidth="1"/>
    <col min="20" max="21" width="9.125" style="6"/>
    <col min="22" max="22" width="9.75" style="6" customWidth="1"/>
    <col min="23" max="16384" width="9.125" style="6"/>
  </cols>
  <sheetData>
    <row r="1" spans="1:54" s="150" customFormat="1" ht="12.75" customHeight="1">
      <c r="B1" s="471" t="s">
        <v>344</v>
      </c>
      <c r="C1" s="471"/>
      <c r="D1" s="471"/>
      <c r="F1" s="491" t="s">
        <v>345</v>
      </c>
      <c r="G1" s="491"/>
      <c r="H1" s="491"/>
      <c r="I1" s="491"/>
      <c r="J1" s="491"/>
      <c r="K1" s="491"/>
      <c r="L1" s="491"/>
      <c r="N1" s="471"/>
      <c r="O1" s="471"/>
      <c r="Q1" s="471"/>
      <c r="R1" s="471"/>
      <c r="S1" s="471"/>
      <c r="U1" s="471"/>
      <c r="V1" s="471"/>
    </row>
    <row r="2" spans="1:54" s="150" customFormat="1" ht="14.9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 customHeight="1">
      <c r="J4" s="6"/>
      <c r="K4" s="6"/>
      <c r="L4" s="6"/>
      <c r="M4" s="6"/>
      <c r="N4" s="5"/>
      <c r="O4" s="5"/>
      <c r="P4" s="5"/>
      <c r="Q4" s="5"/>
    </row>
    <row r="5" spans="1:54" s="5" customFormat="1" ht="9" customHeight="1" thickBot="1"/>
    <row r="6" spans="1:54" s="5" customFormat="1"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1" customHeight="1" thickBot="1"/>
    <row r="8" spans="1:54" ht="16.3"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4.9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254</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4.95" thickBot="1">
      <c r="B13" s="492" t="s">
        <v>294</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6.3" thickBot="1">
      <c r="A15"/>
      <c r="B15" s="533" t="s">
        <v>295</v>
      </c>
      <c r="C15" s="534"/>
      <c r="D15" s="32"/>
      <c r="E15" s="275"/>
      <c r="J15" s="6"/>
      <c r="K15" s="6"/>
      <c r="L15" s="6"/>
      <c r="M15" s="6"/>
    </row>
    <row r="16" spans="1:54" ht="14.9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254</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4.95" thickBot="1">
      <c r="B20" s="492" t="s">
        <v>294</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350000000000001" customHeight="1" thickBot="1">
      <c r="J21" s="6"/>
      <c r="K21" s="6"/>
      <c r="L21" s="6"/>
      <c r="M21" s="6"/>
      <c r="O21" s="5"/>
      <c r="P21" s="5"/>
      <c r="Q21" s="5"/>
      <c r="R21" s="5"/>
    </row>
    <row r="22" spans="1:54" ht="16.3" thickBot="1">
      <c r="A22"/>
      <c r="B22" s="533" t="s">
        <v>296</v>
      </c>
      <c r="C22" s="534"/>
      <c r="D22" s="32"/>
      <c r="E22" s="275"/>
      <c r="J22" s="6"/>
      <c r="K22" s="6"/>
      <c r="L22" s="6"/>
      <c r="M22" s="6"/>
    </row>
    <row r="23" spans="1:54" ht="14.9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254</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4.95" thickBot="1">
      <c r="B27" s="492" t="s">
        <v>294</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350000000000001" customHeight="1" thickBot="1">
      <c r="J28" s="6"/>
      <c r="K28" s="6"/>
      <c r="L28" s="6"/>
      <c r="M28" s="6"/>
      <c r="O28" s="5"/>
      <c r="P28" s="5"/>
      <c r="Q28" s="5"/>
      <c r="R28" s="5"/>
    </row>
    <row r="29" spans="1:54" ht="16.3" thickBot="1">
      <c r="A29"/>
      <c r="B29" s="533" t="s">
        <v>297</v>
      </c>
      <c r="C29" s="534"/>
      <c r="D29" s="32"/>
      <c r="E29" s="275"/>
      <c r="J29" s="6"/>
      <c r="K29" s="6"/>
      <c r="L29" s="6"/>
      <c r="M29" s="6"/>
    </row>
    <row r="30" spans="1:54" ht="14.9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254</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4.95" thickBot="1">
      <c r="B34" s="492" t="s">
        <v>294</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350000000000001" customHeight="1" thickBot="1">
      <c r="J35" s="6"/>
      <c r="K35" s="6"/>
      <c r="L35" s="6"/>
      <c r="M35" s="6"/>
      <c r="O35" s="5"/>
      <c r="P35" s="5"/>
      <c r="Q35" s="5"/>
      <c r="R35" s="5"/>
    </row>
    <row r="36" spans="1:54" ht="16.3" thickBot="1">
      <c r="A36"/>
      <c r="B36" s="533" t="s">
        <v>298</v>
      </c>
      <c r="C36" s="534"/>
      <c r="D36" s="32"/>
      <c r="E36" s="275"/>
      <c r="J36" s="6"/>
      <c r="K36" s="6"/>
      <c r="L36" s="6"/>
      <c r="M36" s="6"/>
    </row>
    <row r="37" spans="1:54" ht="14.9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254</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4.95" thickBot="1">
      <c r="B41" s="492" t="s">
        <v>294</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350000000000001" customHeight="1" thickBot="1">
      <c r="J42" s="6"/>
      <c r="K42" s="6"/>
      <c r="L42" s="6"/>
      <c r="M42" s="6"/>
      <c r="O42" s="5"/>
      <c r="P42" s="5"/>
      <c r="Q42" s="5"/>
      <c r="R42" s="5"/>
    </row>
    <row r="43" spans="1:54" ht="16.3" thickBot="1">
      <c r="A43"/>
      <c r="B43" s="533" t="s">
        <v>288</v>
      </c>
      <c r="C43" s="534"/>
      <c r="D43" s="32"/>
      <c r="E43" s="275"/>
      <c r="J43" s="6"/>
      <c r="K43" s="6"/>
      <c r="L43" s="6"/>
      <c r="M43" s="6"/>
    </row>
    <row r="44" spans="1:54" ht="14.9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254</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4.95" thickBot="1">
      <c r="B48" s="492" t="s">
        <v>294</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350000000000001" customHeight="1" thickBot="1">
      <c r="J49" s="6"/>
      <c r="K49" s="6"/>
      <c r="L49" s="6"/>
      <c r="M49" s="6"/>
      <c r="O49" s="5"/>
      <c r="P49" s="5"/>
      <c r="Q49" s="5"/>
      <c r="R49" s="5"/>
    </row>
    <row r="50" spans="1:54" ht="16.3" thickBot="1">
      <c r="A50"/>
      <c r="B50" s="533" t="s">
        <v>289</v>
      </c>
      <c r="C50" s="534"/>
      <c r="D50" s="32"/>
      <c r="E50" s="275"/>
      <c r="J50" s="6"/>
      <c r="K50" s="6"/>
      <c r="L50" s="6"/>
      <c r="M50" s="6"/>
    </row>
    <row r="51" spans="1:54" ht="14.9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254</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4.95" thickBot="1">
      <c r="B55" s="492" t="s">
        <v>294</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350000000000001" customHeight="1" thickBot="1">
      <c r="J56" s="6"/>
      <c r="K56" s="6"/>
      <c r="L56" s="6"/>
      <c r="M56" s="6"/>
      <c r="O56" s="5"/>
      <c r="P56" s="5"/>
      <c r="Q56" s="5"/>
      <c r="R56" s="5"/>
    </row>
    <row r="57" spans="1:54" ht="16.3" thickBot="1">
      <c r="A57"/>
      <c r="B57" s="533" t="s">
        <v>290</v>
      </c>
      <c r="C57" s="534"/>
      <c r="D57" s="32"/>
      <c r="E57" s="275"/>
      <c r="J57" s="6"/>
      <c r="K57" s="6"/>
      <c r="L57" s="6"/>
      <c r="M57" s="6"/>
    </row>
    <row r="58" spans="1:54" ht="14.9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254</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4.95" thickBot="1">
      <c r="B62" s="492" t="s">
        <v>294</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350000000000001" customHeight="1" thickBot="1">
      <c r="J63" s="6"/>
      <c r="K63" s="6"/>
      <c r="L63" s="6"/>
      <c r="M63" s="6"/>
      <c r="O63" s="5"/>
      <c r="P63" s="5"/>
      <c r="Q63" s="5"/>
      <c r="R63" s="5"/>
    </row>
    <row r="64" spans="1:54" ht="16.3" thickBot="1">
      <c r="A64"/>
      <c r="B64" s="533" t="s">
        <v>291</v>
      </c>
      <c r="C64" s="534"/>
      <c r="D64" s="32"/>
      <c r="E64" s="275"/>
      <c r="J64" s="6"/>
      <c r="K64" s="6"/>
      <c r="L64" s="6"/>
      <c r="M64" s="6"/>
    </row>
    <row r="65" spans="1:54" ht="14.9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254</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4.95" thickBot="1">
      <c r="B69" s="492" t="s">
        <v>294</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350000000000001" customHeight="1" thickBot="1">
      <c r="J70" s="6"/>
      <c r="K70" s="6"/>
      <c r="L70" s="6"/>
      <c r="M70" s="6"/>
      <c r="O70" s="5"/>
      <c r="P70" s="5"/>
      <c r="Q70" s="5"/>
      <c r="R70" s="5"/>
    </row>
    <row r="71" spans="1:54" ht="16.3" thickBot="1">
      <c r="A71"/>
      <c r="B71" s="533" t="s">
        <v>299</v>
      </c>
      <c r="C71" s="534"/>
      <c r="D71" s="32"/>
      <c r="E71" s="275"/>
      <c r="J71" s="6"/>
      <c r="K71" s="6"/>
      <c r="L71" s="6"/>
      <c r="M71" s="6"/>
    </row>
    <row r="72" spans="1:54" ht="14.9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254</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4.95" thickBot="1">
      <c r="B76" s="492" t="s">
        <v>294</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350000000000001" customHeight="1" thickBot="1">
      <c r="J77" s="6"/>
      <c r="K77" s="6"/>
      <c r="L77" s="6"/>
      <c r="M77" s="6"/>
      <c r="O77" s="5"/>
      <c r="P77" s="5"/>
      <c r="Q77" s="5"/>
      <c r="R77" s="5"/>
    </row>
    <row r="78" spans="1:54" ht="16.3" thickBot="1">
      <c r="A78"/>
      <c r="B78" s="533" t="s">
        <v>292</v>
      </c>
      <c r="C78" s="534"/>
      <c r="D78" s="32"/>
      <c r="E78" s="275"/>
      <c r="J78" s="6"/>
      <c r="K78" s="6"/>
      <c r="L78" s="6"/>
      <c r="M78" s="6"/>
    </row>
    <row r="79" spans="1:54" ht="14.9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254</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4.95" thickBot="1">
      <c r="B83" s="492" t="s">
        <v>294</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350000000000001" customHeight="1" thickBot="1">
      <c r="J84" s="6"/>
      <c r="K84" s="6"/>
      <c r="L84" s="6"/>
      <c r="M84" s="6"/>
      <c r="O84" s="5"/>
      <c r="P84" s="5"/>
      <c r="Q84" s="5"/>
      <c r="R84" s="5"/>
    </row>
    <row r="85" spans="1:54" ht="16.3" thickBot="1">
      <c r="A85"/>
      <c r="B85" s="533" t="s">
        <v>293</v>
      </c>
      <c r="C85" s="534"/>
      <c r="D85" s="32"/>
      <c r="E85" s="275"/>
      <c r="J85" s="6"/>
      <c r="K85" s="6"/>
      <c r="L85" s="6"/>
      <c r="M85" s="6"/>
    </row>
    <row r="86" spans="1:54" ht="14.9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254</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4.95" thickBot="1">
      <c r="B90" s="492" t="s">
        <v>294</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350000000000001" customHeight="1" thickBot="1">
      <c r="J91" s="6"/>
      <c r="K91" s="6"/>
      <c r="L91" s="6"/>
      <c r="M91" s="6"/>
      <c r="O91" s="5"/>
      <c r="P91" s="5"/>
      <c r="Q91" s="5"/>
      <c r="R91" s="5"/>
    </row>
    <row r="92" spans="1:54" ht="16.3" thickBot="1">
      <c r="A92"/>
      <c r="B92" s="533" t="s">
        <v>300</v>
      </c>
      <c r="C92" s="534"/>
      <c r="D92" s="32"/>
      <c r="E92" s="275"/>
      <c r="J92" s="6"/>
      <c r="K92" s="6"/>
      <c r="L92" s="6"/>
      <c r="M92" s="6"/>
    </row>
    <row r="93" spans="1:54" ht="14.9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254</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4.95" thickBot="1">
      <c r="B97" s="492" t="s">
        <v>294</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350000000000001" customHeight="1" thickBot="1">
      <c r="J98" s="6"/>
      <c r="K98" s="6"/>
      <c r="L98" s="6"/>
      <c r="M98" s="6"/>
      <c r="O98" s="5"/>
      <c r="P98" s="5"/>
      <c r="Q98" s="5"/>
      <c r="R98" s="5"/>
    </row>
    <row r="99" spans="1:54" ht="16.3" thickBot="1">
      <c r="A99"/>
      <c r="B99" s="533" t="s">
        <v>301</v>
      </c>
      <c r="C99" s="534"/>
      <c r="D99" s="32"/>
      <c r="E99" s="275"/>
      <c r="J99" s="6"/>
      <c r="K99" s="6"/>
      <c r="L99" s="6"/>
      <c r="M99" s="6"/>
    </row>
    <row r="100" spans="1:54" ht="14.9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254</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4.95" thickBot="1">
      <c r="B104" s="492" t="s">
        <v>294</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350000000000001" customHeight="1" thickBot="1">
      <c r="J105" s="6"/>
      <c r="K105" s="6"/>
      <c r="L105" s="6"/>
      <c r="M105" s="6"/>
      <c r="O105" s="5"/>
      <c r="P105" s="5"/>
      <c r="Q105" s="5"/>
      <c r="R105" s="5"/>
    </row>
    <row r="106" spans="1:54" ht="16.3" thickBot="1">
      <c r="A106"/>
      <c r="B106" s="533" t="s">
        <v>302</v>
      </c>
      <c r="C106" s="534"/>
      <c r="D106" s="32"/>
      <c r="E106" s="275"/>
      <c r="J106" s="6"/>
      <c r="K106" s="6"/>
      <c r="L106" s="6"/>
      <c r="M106" s="6"/>
    </row>
    <row r="107" spans="1:54" ht="14.9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254</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4.95" thickBot="1">
      <c r="B111" s="492" t="s">
        <v>294</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350000000000001" customHeight="1" thickBot="1">
      <c r="J112" s="6"/>
      <c r="K112" s="6"/>
      <c r="L112" s="6"/>
      <c r="M112" s="6"/>
      <c r="O112" s="5"/>
      <c r="P112" s="5"/>
      <c r="Q112" s="5"/>
      <c r="R112" s="5"/>
    </row>
    <row r="113" spans="1:54" ht="16.3" thickBot="1">
      <c r="A113"/>
      <c r="B113" s="533" t="s">
        <v>303</v>
      </c>
      <c r="C113" s="534"/>
      <c r="D113" s="32"/>
      <c r="E113" s="275"/>
      <c r="J113" s="6"/>
      <c r="K113" s="6"/>
      <c r="L113" s="6"/>
      <c r="M113" s="6"/>
    </row>
    <row r="114" spans="1:54" ht="14.9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254</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4.95" thickBot="1">
      <c r="B118" s="492" t="s">
        <v>294</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350000000000001" customHeight="1" thickBot="1">
      <c r="J119" s="6"/>
      <c r="K119" s="6"/>
      <c r="L119" s="6"/>
      <c r="M119" s="6"/>
      <c r="O119" s="5"/>
      <c r="P119" s="5"/>
      <c r="Q119" s="5"/>
      <c r="R119" s="5"/>
    </row>
    <row r="120" spans="1:54" ht="16.3" thickBot="1">
      <c r="A120"/>
      <c r="B120" s="533" t="s">
        <v>304</v>
      </c>
      <c r="C120" s="534"/>
      <c r="D120" s="32"/>
      <c r="E120" s="275"/>
      <c r="J120" s="6"/>
      <c r="K120" s="6"/>
      <c r="L120" s="6"/>
      <c r="M120" s="6"/>
    </row>
    <row r="121" spans="1:54" ht="14.9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254</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4.95" thickBot="1">
      <c r="B125" s="492" t="s">
        <v>294</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350000000000001" customHeight="1" thickBot="1">
      <c r="J126" s="6"/>
      <c r="K126" s="6"/>
      <c r="L126" s="6"/>
      <c r="M126" s="6"/>
      <c r="O126" s="5"/>
      <c r="P126" s="5"/>
      <c r="Q126" s="5"/>
      <c r="R126" s="5"/>
    </row>
    <row r="127" spans="1:54" ht="16.3" thickBot="1">
      <c r="A127"/>
      <c r="B127" s="533" t="s">
        <v>305</v>
      </c>
      <c r="C127" s="534"/>
      <c r="D127" s="32"/>
      <c r="E127" s="275"/>
      <c r="J127" s="6"/>
      <c r="K127" s="6"/>
      <c r="L127" s="6"/>
      <c r="M127" s="6"/>
    </row>
    <row r="128" spans="1:54" ht="14.9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254</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4.95" thickBot="1">
      <c r="B132" s="492" t="s">
        <v>294</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350000000000001" customHeight="1" thickBot="1">
      <c r="J133" s="6"/>
      <c r="K133" s="6"/>
      <c r="L133" s="6"/>
      <c r="M133" s="6"/>
      <c r="O133" s="5"/>
      <c r="P133" s="5"/>
      <c r="Q133" s="5"/>
      <c r="R133" s="5"/>
    </row>
    <row r="134" spans="1:54" ht="16.3" thickBot="1">
      <c r="A134"/>
      <c r="B134" s="533" t="s">
        <v>306</v>
      </c>
      <c r="C134" s="534"/>
      <c r="D134" s="32"/>
      <c r="E134" s="275"/>
      <c r="J134" s="6"/>
      <c r="K134" s="6"/>
      <c r="L134" s="6"/>
      <c r="M134" s="6"/>
    </row>
    <row r="135" spans="1:54" ht="14.9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254</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4.95" thickBot="1">
      <c r="B139" s="492" t="s">
        <v>294</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350000000000001" customHeight="1" thickBot="1">
      <c r="J140" s="6"/>
      <c r="K140" s="6"/>
      <c r="L140" s="6"/>
      <c r="M140" s="6"/>
      <c r="O140" s="5"/>
      <c r="P140" s="5"/>
      <c r="Q140" s="5"/>
      <c r="R140" s="5"/>
    </row>
    <row r="141" spans="1:54" ht="16.3" thickBot="1">
      <c r="A141"/>
      <c r="B141" s="533" t="s">
        <v>307</v>
      </c>
      <c r="C141" s="534"/>
      <c r="D141" s="32"/>
      <c r="E141" s="275"/>
      <c r="J141" s="6"/>
      <c r="K141" s="6"/>
      <c r="L141" s="6"/>
      <c r="M141" s="6"/>
    </row>
    <row r="142" spans="1:54" ht="14.9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254</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4.95" thickBot="1">
      <c r="B146" s="492" t="s">
        <v>294</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350000000000001" customHeight="1" thickBot="1">
      <c r="J147" s="6"/>
      <c r="K147" s="6"/>
      <c r="L147" s="6"/>
      <c r="M147" s="6"/>
      <c r="O147" s="5"/>
      <c r="P147" s="5"/>
      <c r="Q147" s="5"/>
      <c r="R147" s="5"/>
    </row>
    <row r="148" spans="1:54" ht="16.3" thickBot="1">
      <c r="A148"/>
      <c r="B148" s="533" t="s">
        <v>308</v>
      </c>
      <c r="C148" s="534"/>
      <c r="D148" s="32"/>
      <c r="E148" s="275"/>
      <c r="J148" s="6"/>
      <c r="K148" s="6"/>
      <c r="L148" s="6"/>
      <c r="M148" s="6"/>
    </row>
    <row r="149" spans="1:54" ht="14.9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254</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4.95" thickBot="1">
      <c r="B153" s="492" t="s">
        <v>294</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350000000000001" customHeight="1" thickBot="1">
      <c r="J154" s="6"/>
      <c r="K154" s="6"/>
      <c r="L154" s="6"/>
      <c r="M154" s="6"/>
      <c r="O154" s="5"/>
      <c r="P154" s="5"/>
      <c r="Q154" s="5"/>
      <c r="R154" s="5"/>
    </row>
    <row r="155" spans="1:54" ht="16.3" thickBot="1">
      <c r="A155"/>
      <c r="B155" s="533" t="s">
        <v>309</v>
      </c>
      <c r="C155" s="534"/>
      <c r="D155" s="32"/>
      <c r="E155" s="275"/>
      <c r="J155" s="6"/>
      <c r="K155" s="6"/>
      <c r="L155" s="6"/>
      <c r="M155" s="6"/>
    </row>
    <row r="156" spans="1:54" ht="14.9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254</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4.95" thickBot="1">
      <c r="B160" s="492" t="s">
        <v>294</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350000000000001" customHeight="1" thickBot="1">
      <c r="J161" s="6"/>
      <c r="K161" s="6"/>
      <c r="L161" s="6"/>
      <c r="M161" s="6"/>
      <c r="O161" s="5"/>
      <c r="P161" s="5"/>
      <c r="Q161" s="5"/>
      <c r="R161" s="5"/>
    </row>
    <row r="162" spans="1:54" ht="16.3" thickBot="1">
      <c r="A162"/>
      <c r="B162" s="533" t="s">
        <v>310</v>
      </c>
      <c r="C162" s="534"/>
      <c r="D162" s="32"/>
      <c r="E162" s="275"/>
      <c r="J162" s="6"/>
      <c r="K162" s="6"/>
      <c r="L162" s="6"/>
      <c r="M162" s="6"/>
    </row>
    <row r="163" spans="1:54" ht="14.9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254</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4.95" thickBot="1">
      <c r="B167" s="492" t="s">
        <v>294</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350000000000001" customHeight="1" thickBot="1">
      <c r="J168" s="6"/>
      <c r="K168" s="6"/>
      <c r="L168" s="6"/>
      <c r="M168" s="6"/>
      <c r="O168" s="5"/>
      <c r="P168" s="5"/>
      <c r="Q168" s="5"/>
      <c r="R168" s="5"/>
    </row>
    <row r="169" spans="1:54" ht="16.3" thickBot="1">
      <c r="A169"/>
      <c r="B169" s="533" t="s">
        <v>311</v>
      </c>
      <c r="C169" s="534"/>
      <c r="D169" s="32"/>
      <c r="E169" s="275"/>
      <c r="J169" s="6"/>
      <c r="K169" s="6"/>
      <c r="L169" s="6"/>
      <c r="M169" s="6"/>
    </row>
    <row r="170" spans="1:54" ht="14.9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254</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4.95" thickBot="1">
      <c r="B174" s="492" t="s">
        <v>294</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350000000000001" customHeight="1" thickBot="1">
      <c r="J175" s="6"/>
      <c r="K175" s="6"/>
      <c r="L175" s="6"/>
      <c r="M175" s="6"/>
      <c r="O175" s="5"/>
      <c r="P175" s="5"/>
      <c r="Q175" s="5"/>
      <c r="R175" s="5"/>
    </row>
    <row r="176" spans="1:54" ht="16.3" thickBot="1">
      <c r="A176"/>
      <c r="B176" s="533" t="s">
        <v>312</v>
      </c>
      <c r="C176" s="534"/>
      <c r="D176" s="32"/>
      <c r="E176" s="275"/>
      <c r="J176" s="6"/>
      <c r="K176" s="6"/>
      <c r="L176" s="6"/>
      <c r="M176" s="6"/>
    </row>
    <row r="177" spans="1:54" ht="14.9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254</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4.95" thickBot="1">
      <c r="B181" s="492" t="s">
        <v>294</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350000000000001" customHeight="1" thickBot="1">
      <c r="J182" s="6"/>
      <c r="K182" s="6"/>
      <c r="L182" s="6"/>
      <c r="M182" s="6"/>
      <c r="O182" s="5"/>
      <c r="P182" s="5"/>
      <c r="Q182" s="5"/>
      <c r="R182" s="5"/>
    </row>
    <row r="183" spans="1:54" ht="16.3" thickBot="1">
      <c r="A183"/>
      <c r="B183" s="533" t="s">
        <v>313</v>
      </c>
      <c r="C183" s="534"/>
      <c r="D183" s="32"/>
      <c r="E183" s="275"/>
      <c r="J183" s="6"/>
      <c r="K183" s="6"/>
      <c r="L183" s="6"/>
      <c r="M183" s="6"/>
    </row>
    <row r="184" spans="1:54" ht="14.9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254</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4.95" thickBot="1">
      <c r="B188" s="492" t="s">
        <v>294</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350000000000001" customHeight="1" thickBot="1">
      <c r="J189" s="6"/>
      <c r="K189" s="6"/>
      <c r="L189" s="6"/>
      <c r="M189" s="6"/>
      <c r="O189" s="5"/>
      <c r="P189" s="5"/>
      <c r="Q189" s="5"/>
      <c r="R189" s="5"/>
    </row>
    <row r="190" spans="1:54" ht="16.3" thickBot="1">
      <c r="A190"/>
      <c r="B190" s="533" t="s">
        <v>314</v>
      </c>
      <c r="C190" s="534"/>
      <c r="D190" s="32"/>
      <c r="E190" s="275"/>
      <c r="J190" s="6"/>
      <c r="K190" s="6"/>
      <c r="L190" s="6"/>
      <c r="M190" s="6"/>
    </row>
    <row r="191" spans="1:54" ht="14.9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254</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4.95" thickBot="1">
      <c r="B195" s="492" t="s">
        <v>294</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350000000000001" customHeight="1" thickBot="1">
      <c r="J196" s="6"/>
      <c r="K196" s="6"/>
      <c r="L196" s="6"/>
      <c r="M196" s="6"/>
      <c r="O196" s="5"/>
      <c r="P196" s="5"/>
      <c r="Q196" s="5"/>
      <c r="R196" s="5"/>
    </row>
    <row r="197" spans="1:54" ht="16.3" thickBot="1">
      <c r="A197"/>
      <c r="B197" s="533" t="s">
        <v>315</v>
      </c>
      <c r="C197" s="534"/>
      <c r="D197" s="32"/>
      <c r="E197" s="275"/>
      <c r="J197" s="6"/>
      <c r="K197" s="6"/>
      <c r="L197" s="6"/>
      <c r="M197" s="6"/>
    </row>
    <row r="198" spans="1:54" ht="14.9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254</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4.95" thickBot="1">
      <c r="B202" s="492" t="s">
        <v>294</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350000000000001" customHeight="1" thickBot="1">
      <c r="J203" s="6"/>
      <c r="K203" s="6"/>
      <c r="L203" s="6"/>
      <c r="M203" s="6"/>
      <c r="O203" s="5"/>
      <c r="P203" s="5"/>
      <c r="Q203" s="5"/>
      <c r="R203" s="5"/>
    </row>
    <row r="204" spans="1:54" ht="16.3" thickBot="1">
      <c r="A204"/>
      <c r="B204" s="533" t="s">
        <v>316</v>
      </c>
      <c r="C204" s="534"/>
      <c r="D204" s="32"/>
      <c r="E204" s="275"/>
      <c r="J204" s="6"/>
      <c r="K204" s="6"/>
      <c r="L204" s="6"/>
      <c r="M204" s="6"/>
    </row>
    <row r="205" spans="1:54" ht="14.9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254</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4.95" thickBot="1">
      <c r="B209" s="492" t="s">
        <v>294</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350000000000001" customHeight="1" thickBot="1">
      <c r="J210" s="6"/>
      <c r="K210" s="6"/>
      <c r="L210" s="6"/>
      <c r="M210" s="6"/>
      <c r="O210" s="5"/>
      <c r="P210" s="5"/>
      <c r="Q210" s="5"/>
      <c r="R210" s="5"/>
    </row>
    <row r="211" spans="1:54" ht="16.3" thickBot="1">
      <c r="A211"/>
      <c r="B211" s="533" t="s">
        <v>317</v>
      </c>
      <c r="C211" s="534"/>
      <c r="D211" s="32"/>
      <c r="E211" s="275"/>
      <c r="J211" s="6"/>
      <c r="K211" s="6"/>
      <c r="L211" s="6"/>
      <c r="M211" s="6"/>
    </row>
    <row r="212" spans="1:54" ht="14.9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254</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4.95" thickBot="1">
      <c r="B216" s="492" t="s">
        <v>294</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350000000000001" customHeight="1" thickBot="1">
      <c r="J217" s="6"/>
      <c r="K217" s="6"/>
      <c r="L217" s="6"/>
      <c r="M217" s="6"/>
      <c r="O217" s="5"/>
      <c r="P217" s="5"/>
      <c r="Q217" s="5"/>
      <c r="R217" s="5"/>
    </row>
    <row r="218" spans="1:54" ht="16.3" thickBot="1">
      <c r="A218"/>
      <c r="B218" s="533" t="s">
        <v>318</v>
      </c>
      <c r="C218" s="534"/>
      <c r="D218" s="32"/>
      <c r="E218" s="275"/>
      <c r="J218" s="6"/>
      <c r="K218" s="6"/>
      <c r="L218" s="6"/>
      <c r="M218" s="6"/>
    </row>
    <row r="219" spans="1:54" ht="14.9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254</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4.95" thickBot="1">
      <c r="B223" s="492" t="s">
        <v>294</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25" defaultRowHeight="13.6"/>
  <cols>
    <col min="1" max="1" width="4.25" style="14" customWidth="1"/>
    <col min="2" max="2" width="73.25" style="1" customWidth="1"/>
    <col min="3" max="3" width="17.75" style="1" customWidth="1"/>
    <col min="4" max="4" width="11.875" style="5" customWidth="1"/>
    <col min="5" max="5" width="10.75" style="5" customWidth="1"/>
    <col min="6" max="6" width="17.375" style="1" customWidth="1"/>
    <col min="7" max="7" width="10.375" style="1" customWidth="1"/>
    <col min="8" max="9" width="10.375" style="5" customWidth="1"/>
    <col min="10" max="10" width="22.875" style="5" customWidth="1"/>
    <col min="11" max="11" width="16.875" style="5" customWidth="1"/>
    <col min="12" max="12" width="4.75" style="5" customWidth="1"/>
    <col min="13" max="16384" width="9.125" style="5"/>
  </cols>
  <sheetData>
    <row r="1" spans="1:21" s="150" customFormat="1" ht="12.75" customHeight="1">
      <c r="B1" s="471" t="s">
        <v>344</v>
      </c>
      <c r="C1" s="472" t="s">
        <v>342</v>
      </c>
      <c r="D1" s="472"/>
      <c r="E1" s="472"/>
      <c r="F1" s="472"/>
      <c r="H1" s="238"/>
      <c r="K1" s="471"/>
      <c r="L1" s="471"/>
      <c r="M1" s="237"/>
      <c r="N1" s="471"/>
      <c r="O1" s="471"/>
      <c r="P1" s="237"/>
      <c r="Q1" s="471"/>
      <c r="R1" s="471"/>
      <c r="T1" s="471"/>
      <c r="U1" s="428"/>
    </row>
    <row r="2" spans="1:21" s="150" customFormat="1" ht="14.9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 customHeight="1">
      <c r="M4" s="5"/>
      <c r="N4" s="5"/>
      <c r="O4" s="5"/>
      <c r="P4" s="5"/>
    </row>
    <row r="5" spans="1:21" ht="15.8" customHeight="1" thickBot="1">
      <c r="A5" s="372" t="s">
        <v>231</v>
      </c>
      <c r="B5" s="371" t="s">
        <v>230</v>
      </c>
      <c r="C5" s="13"/>
      <c r="E5" s="6"/>
      <c r="F5" s="5"/>
      <c r="G5" s="5"/>
    </row>
    <row r="6" spans="1:21" ht="26.35" customHeight="1" thickBot="1">
      <c r="A6" s="373"/>
      <c r="B6" s="374" t="s">
        <v>206</v>
      </c>
      <c r="C6" s="375" t="s">
        <v>207</v>
      </c>
      <c r="D6" s="375" t="s">
        <v>208</v>
      </c>
      <c r="E6" s="375" t="s">
        <v>233</v>
      </c>
      <c r="F6" s="376" t="s">
        <v>232</v>
      </c>
      <c r="G6" s="376" t="s">
        <v>234</v>
      </c>
      <c r="H6" s="376" t="s">
        <v>209</v>
      </c>
      <c r="I6" s="376" t="s">
        <v>210</v>
      </c>
      <c r="J6" s="548" t="s">
        <v>148</v>
      </c>
      <c r="K6" s="549"/>
    </row>
    <row r="7" spans="1:21" s="6" customFormat="1" ht="10.55" customHeight="1">
      <c r="A7" s="15" t="s">
        <v>229</v>
      </c>
    </row>
    <row r="8" spans="1:21" s="6" customFormat="1" ht="14.95" customHeight="1">
      <c r="A8" s="15"/>
      <c r="B8" s="559" t="s">
        <v>375</v>
      </c>
      <c r="C8" s="559"/>
      <c r="D8" s="559"/>
      <c r="E8" s="559"/>
      <c r="F8" s="559"/>
      <c r="G8" s="559"/>
      <c r="H8" s="559"/>
      <c r="I8" s="559"/>
      <c r="J8" s="559"/>
      <c r="K8" s="559"/>
    </row>
    <row r="9" spans="1:21" s="6" customFormat="1" ht="10.55" customHeight="1">
      <c r="A9" s="15"/>
      <c r="B9" s="559"/>
      <c r="C9" s="559"/>
      <c r="D9" s="559"/>
      <c r="E9" s="559"/>
      <c r="F9" s="559"/>
      <c r="G9" s="559"/>
      <c r="H9" s="559"/>
      <c r="I9" s="559"/>
      <c r="J9" s="559"/>
      <c r="K9" s="559"/>
    </row>
    <row r="10" spans="1:21" s="6" customFormat="1" ht="10.55" customHeight="1">
      <c r="A10" s="15"/>
      <c r="B10" s="559"/>
      <c r="C10" s="559"/>
      <c r="D10" s="559"/>
      <c r="E10" s="559"/>
      <c r="F10" s="559"/>
      <c r="G10" s="559"/>
      <c r="H10" s="559"/>
      <c r="I10" s="559"/>
      <c r="J10" s="559"/>
      <c r="K10" s="559"/>
    </row>
    <row r="11" spans="1:21" s="6" customFormat="1" ht="10.55" customHeight="1">
      <c r="A11" s="15"/>
      <c r="B11" s="559"/>
      <c r="C11" s="559"/>
      <c r="D11" s="559"/>
      <c r="E11" s="559"/>
      <c r="F11" s="559"/>
      <c r="G11" s="559"/>
      <c r="H11" s="559"/>
      <c r="I11" s="559"/>
      <c r="J11" s="559"/>
      <c r="K11" s="559"/>
    </row>
    <row r="12" spans="1:21" s="6" customFormat="1" ht="10.55" customHeight="1">
      <c r="A12" s="15"/>
      <c r="B12" s="559"/>
      <c r="C12" s="559"/>
      <c r="D12" s="559"/>
      <c r="E12" s="559"/>
      <c r="F12" s="559"/>
      <c r="G12" s="559"/>
      <c r="H12" s="559"/>
      <c r="I12" s="559"/>
      <c r="J12" s="559"/>
      <c r="K12" s="559"/>
    </row>
    <row r="13" spans="1:21" s="6" customFormat="1" ht="10.55" customHeight="1">
      <c r="A13" s="15"/>
      <c r="B13" s="559"/>
      <c r="C13" s="559"/>
      <c r="D13" s="559"/>
      <c r="E13" s="559"/>
      <c r="F13" s="559"/>
      <c r="G13" s="559"/>
      <c r="H13" s="559"/>
      <c r="I13" s="559"/>
      <c r="J13" s="559"/>
      <c r="K13" s="559"/>
    </row>
    <row r="14" spans="1:21" s="6" customFormat="1" ht="10.55" customHeight="1">
      <c r="A14" s="15"/>
      <c r="B14" s="559"/>
      <c r="C14" s="559"/>
      <c r="D14" s="559"/>
      <c r="E14" s="559"/>
      <c r="F14" s="559"/>
      <c r="G14" s="559"/>
      <c r="H14" s="559"/>
      <c r="I14" s="559"/>
      <c r="J14" s="559"/>
      <c r="K14" s="559"/>
    </row>
    <row r="15" spans="1:21" s="6" customFormat="1" ht="10.55" customHeight="1" thickBot="1">
      <c r="A15" s="15"/>
    </row>
    <row r="16" spans="1:21" ht="14.3"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4.3" thickBot="1">
      <c r="A31" s="14" t="str">
        <f t="shared" si="0"/>
        <v/>
      </c>
      <c r="B31" s="390"/>
      <c r="C31" s="391"/>
      <c r="D31" s="392"/>
      <c r="E31" s="393"/>
      <c r="F31" s="394"/>
      <c r="G31" s="378">
        <f t="shared" si="7"/>
        <v>0</v>
      </c>
      <c r="H31" s="378">
        <f t="shared" si="8"/>
        <v>0</v>
      </c>
      <c r="I31" s="378">
        <f t="shared" si="9"/>
        <v>0</v>
      </c>
      <c r="J31" s="556"/>
      <c r="K31" s="557"/>
    </row>
    <row r="32" spans="1:11" ht="14.3" thickBot="1">
      <c r="A32" s="14" t="str">
        <f>IF(COUNTIF(A34:A48,"Nur Tätigkeiten mit geplantem Aufwand")&gt;0,"Nur Tätigkeiten mit geplantem Aufwand","")</f>
        <v/>
      </c>
      <c r="B32" s="405"/>
      <c r="C32" s="405"/>
      <c r="D32" s="405"/>
      <c r="E32" s="405"/>
      <c r="F32" s="405"/>
      <c r="G32" s="405"/>
      <c r="H32" s="405"/>
      <c r="I32" s="405"/>
      <c r="J32" s="558"/>
      <c r="K32" s="558"/>
    </row>
    <row r="33" spans="1:11" ht="14.3"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4.3" thickBot="1">
      <c r="A48" s="14" t="str">
        <f t="shared" si="10"/>
        <v/>
      </c>
      <c r="B48" s="390"/>
      <c r="C48" s="391"/>
      <c r="D48" s="392"/>
      <c r="E48" s="393"/>
      <c r="F48" s="394"/>
      <c r="G48" s="378">
        <f t="shared" si="11"/>
        <v>0</v>
      </c>
      <c r="H48" s="378">
        <f t="shared" si="12"/>
        <v>0</v>
      </c>
      <c r="I48" s="378">
        <f t="shared" si="13"/>
        <v>0</v>
      </c>
      <c r="J48" s="556"/>
      <c r="K48" s="557"/>
    </row>
    <row r="49" spans="1:11" ht="14.3" thickBot="1">
      <c r="A49" s="14" t="str">
        <f>IF(COUNTIF(A51:A65,"Nur Tätigkeiten mit geplantem Aufwand")&gt;0,"Nur Tätigkeiten mit geplantem Aufwand","")</f>
        <v/>
      </c>
      <c r="B49" s="405"/>
      <c r="C49" s="405"/>
      <c r="D49" s="405"/>
      <c r="E49" s="405"/>
      <c r="F49" s="405"/>
      <c r="G49" s="405"/>
      <c r="H49" s="405"/>
      <c r="I49" s="405"/>
      <c r="J49" s="558"/>
      <c r="K49" s="558"/>
    </row>
    <row r="50" spans="1:11" ht="14.3"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4.3" thickBot="1">
      <c r="A65" s="14" t="str">
        <f t="shared" si="14"/>
        <v/>
      </c>
      <c r="B65" s="390"/>
      <c r="C65" s="391"/>
      <c r="D65" s="392"/>
      <c r="E65" s="393"/>
      <c r="F65" s="394"/>
      <c r="G65" s="378">
        <f t="shared" si="15"/>
        <v>0</v>
      </c>
      <c r="H65" s="378">
        <f t="shared" si="16"/>
        <v>0</v>
      </c>
      <c r="I65" s="378">
        <f t="shared" si="17"/>
        <v>0</v>
      </c>
      <c r="J65" s="556"/>
      <c r="K65" s="557"/>
    </row>
    <row r="66" spans="1:11" ht="14.3" thickBot="1">
      <c r="A66" s="14" t="str">
        <f>IF(COUNTIF(A68:A82,"Nur Tätigkeiten mit geplantem Aufwand")&gt;0,"Nur Tätigkeiten mit geplantem Aufwand","")</f>
        <v/>
      </c>
      <c r="B66" s="405"/>
      <c r="C66" s="405"/>
      <c r="D66" s="405"/>
      <c r="E66" s="405"/>
      <c r="F66" s="405"/>
      <c r="G66" s="405"/>
      <c r="H66" s="405"/>
      <c r="I66" s="405"/>
      <c r="J66" s="558"/>
      <c r="K66" s="558"/>
    </row>
    <row r="67" spans="1:11" ht="14.3"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4.3" thickBot="1">
      <c r="A82" s="14" t="str">
        <f t="shared" si="18"/>
        <v/>
      </c>
      <c r="B82" s="390"/>
      <c r="C82" s="391"/>
      <c r="D82" s="392"/>
      <c r="E82" s="393"/>
      <c r="F82" s="394"/>
      <c r="G82" s="378">
        <f t="shared" si="19"/>
        <v>0</v>
      </c>
      <c r="H82" s="378">
        <f t="shared" si="20"/>
        <v>0</v>
      </c>
      <c r="I82" s="378">
        <f t="shared" si="21"/>
        <v>0</v>
      </c>
      <c r="J82" s="556"/>
      <c r="K82" s="557"/>
    </row>
    <row r="83" spans="1:11" ht="14.3" thickBot="1">
      <c r="A83" s="14" t="str">
        <f>IF(COUNTIF(A85:A98,"Nur Tätigkeiten mit geplantem Aufwand")&gt;0,"Nur Tätigkeiten mit geplantem Aufwand","")</f>
        <v/>
      </c>
      <c r="B83" s="405"/>
      <c r="C83" s="405"/>
      <c r="D83" s="405"/>
      <c r="E83" s="405"/>
      <c r="F83" s="405"/>
      <c r="G83" s="405"/>
      <c r="H83" s="405"/>
      <c r="I83" s="405"/>
      <c r="J83" s="558"/>
      <c r="K83" s="558"/>
    </row>
    <row r="84" spans="1:11" ht="14.3"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4.3" thickBot="1">
      <c r="A99" s="14" t="str">
        <f t="shared" si="22"/>
        <v/>
      </c>
      <c r="B99" s="390"/>
      <c r="C99" s="391"/>
      <c r="D99" s="392"/>
      <c r="E99" s="393"/>
      <c r="F99" s="394"/>
      <c r="G99" s="378">
        <f t="shared" si="23"/>
        <v>0</v>
      </c>
      <c r="H99" s="378">
        <f t="shared" si="24"/>
        <v>0</v>
      </c>
      <c r="I99" s="378">
        <f t="shared" si="25"/>
        <v>0</v>
      </c>
      <c r="J99" s="556"/>
      <c r="K99" s="557"/>
    </row>
    <row r="100" spans="1:11" ht="14.3"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4.3"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4.3" thickBot="1">
      <c r="A116" s="14" t="str">
        <f t="shared" si="26"/>
        <v/>
      </c>
      <c r="B116" s="390"/>
      <c r="C116" s="391"/>
      <c r="D116" s="392"/>
      <c r="E116" s="393"/>
      <c r="F116" s="394"/>
      <c r="G116" s="378">
        <f t="shared" si="27"/>
        <v>0</v>
      </c>
      <c r="H116" s="378">
        <f t="shared" si="28"/>
        <v>0</v>
      </c>
      <c r="I116" s="378">
        <f t="shared" si="29"/>
        <v>0</v>
      </c>
      <c r="J116" s="556"/>
      <c r="K116" s="557"/>
    </row>
    <row r="117" spans="1:11" ht="14.3"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4.3"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4.3"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4.3"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4.3"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4.3"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4.3" thickBot="1">
      <c r="A167" s="14" t="str">
        <f t="shared" si="41"/>
        <v/>
      </c>
      <c r="B167" s="390"/>
      <c r="C167" s="391"/>
      <c r="D167" s="392"/>
      <c r="E167" s="393"/>
      <c r="F167" s="394"/>
      <c r="G167" s="378">
        <f t="shared" si="42"/>
        <v>0</v>
      </c>
      <c r="H167" s="378">
        <f t="shared" si="43"/>
        <v>0</v>
      </c>
      <c r="I167" s="378">
        <f t="shared" si="44"/>
        <v>0</v>
      </c>
      <c r="J167" s="556"/>
      <c r="K167" s="557"/>
    </row>
    <row r="168" spans="1:11" ht="14.3"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4.3"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4.3" thickBot="1">
      <c r="A184" s="14" t="str">
        <f t="shared" si="45"/>
        <v/>
      </c>
      <c r="B184" s="390"/>
      <c r="C184" s="391"/>
      <c r="D184" s="392"/>
      <c r="E184" s="393"/>
      <c r="F184" s="394"/>
      <c r="G184" s="378">
        <f t="shared" si="46"/>
        <v>0</v>
      </c>
      <c r="H184" s="378">
        <f t="shared" si="47"/>
        <v>0</v>
      </c>
      <c r="I184" s="378">
        <f t="shared" si="48"/>
        <v>0</v>
      </c>
      <c r="J184" s="556"/>
      <c r="K184" s="557"/>
    </row>
    <row r="185" spans="1:11" ht="14.3"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4.3"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4.3" thickBot="1">
      <c r="A201" s="14" t="str">
        <f t="shared" si="49"/>
        <v/>
      </c>
      <c r="B201" s="390"/>
      <c r="C201" s="391"/>
      <c r="D201" s="392"/>
      <c r="E201" s="393"/>
      <c r="F201" s="394"/>
      <c r="G201" s="378">
        <f t="shared" si="50"/>
        <v>0</v>
      </c>
      <c r="H201" s="378">
        <f t="shared" si="51"/>
        <v>0</v>
      </c>
      <c r="I201" s="378">
        <f t="shared" si="52"/>
        <v>0</v>
      </c>
      <c r="J201" s="556"/>
      <c r="K201" s="557"/>
    </row>
    <row r="202" spans="1:11" ht="14.3"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4.3"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4.3" thickBot="1">
      <c r="A218" s="14" t="str">
        <f t="shared" si="53"/>
        <v/>
      </c>
      <c r="B218" s="390"/>
      <c r="C218" s="391"/>
      <c r="D218" s="392"/>
      <c r="E218" s="393"/>
      <c r="F218" s="394"/>
      <c r="G218" s="378">
        <f t="shared" si="54"/>
        <v>0</v>
      </c>
      <c r="H218" s="378">
        <f t="shared" si="55"/>
        <v>0</v>
      </c>
      <c r="I218" s="378">
        <f t="shared" si="56"/>
        <v>0</v>
      </c>
      <c r="J218" s="556"/>
      <c r="K218" s="557"/>
    </row>
    <row r="219" spans="1:11" ht="14.3"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4.3"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4.3" thickBot="1">
      <c r="A235" s="14" t="str">
        <f t="shared" si="60"/>
        <v/>
      </c>
      <c r="B235" s="390"/>
      <c r="C235" s="391"/>
      <c r="D235" s="392"/>
      <c r="E235" s="393"/>
      <c r="F235" s="394"/>
      <c r="G235" s="378">
        <f t="shared" si="57"/>
        <v>0</v>
      </c>
      <c r="H235" s="378">
        <f t="shared" si="58"/>
        <v>0</v>
      </c>
      <c r="I235" s="378">
        <f t="shared" si="59"/>
        <v>0</v>
      </c>
      <c r="J235" s="556"/>
      <c r="K235" s="557"/>
    </row>
    <row r="236" spans="1:11" ht="14.3" thickBot="1">
      <c r="A236" s="14" t="s">
        <v>229</v>
      </c>
      <c r="B236" s="407"/>
      <c r="C236" s="408"/>
      <c r="D236" s="408"/>
      <c r="E236" s="405"/>
      <c r="F236" s="405"/>
      <c r="G236" s="405"/>
      <c r="H236" s="405"/>
      <c r="I236" s="405"/>
      <c r="J236" s="408"/>
      <c r="K236" s="408"/>
    </row>
    <row r="237" spans="1:11">
      <c r="A237" s="14" t="s">
        <v>229</v>
      </c>
      <c r="B237" s="5"/>
      <c r="C237" s="5"/>
      <c r="E237" s="540" t="s">
        <v>235</v>
      </c>
      <c r="F237" s="541"/>
      <c r="G237" s="17">
        <f>G118+G135+G152+G101+G84+G169+G67+G16+G33+G203+G50+G220+G186</f>
        <v>7070</v>
      </c>
      <c r="H237" s="17">
        <f>H118+H135+H152+H101+H84+H169+H67+H16+H33+H203+H50+H220+H186</f>
        <v>5895</v>
      </c>
      <c r="I237" s="406">
        <f>I118+I135+I152+I101+I84+I169+I67+I16+I33+I203+I50+I220+I186</f>
        <v>8245</v>
      </c>
      <c r="J237" s="16"/>
    </row>
    <row r="238" spans="1:11" ht="14.3">
      <c r="A238" s="14" t="s">
        <v>229</v>
      </c>
      <c r="B238" s="5"/>
      <c r="E238" s="542" t="s">
        <v>236</v>
      </c>
      <c r="F238" s="543"/>
      <c r="G238" s="396">
        <v>0.1</v>
      </c>
      <c r="H238" s="396">
        <v>0.05</v>
      </c>
      <c r="I238" s="397">
        <v>0.15</v>
      </c>
      <c r="J238" s="16"/>
    </row>
    <row r="239" spans="1:11" ht="14.95" thickBot="1">
      <c r="A239" s="14" t="s">
        <v>229</v>
      </c>
      <c r="B239" s="5"/>
      <c r="E239" s="544" t="s">
        <v>237</v>
      </c>
      <c r="F239" s="545"/>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375" defaultRowHeight="13.6"/>
  <cols>
    <col min="1" max="1" width="4.125" style="5" customWidth="1"/>
    <col min="2" max="2" width="22" style="5" customWidth="1"/>
    <col min="3" max="16384" width="11.375" style="5"/>
  </cols>
  <sheetData>
    <row r="1" spans="2:17" s="150" customFormat="1" ht="12.75" customHeight="1">
      <c r="B1" s="427" t="s">
        <v>344</v>
      </c>
      <c r="C1" s="427"/>
      <c r="D1" s="427"/>
      <c r="E1" s="464" t="s">
        <v>129</v>
      </c>
      <c r="F1" s="464"/>
      <c r="G1" s="464"/>
      <c r="H1" s="272"/>
      <c r="N1" s="427"/>
      <c r="O1" s="427"/>
    </row>
    <row r="2" spans="2:17" s="150" customFormat="1" ht="14.9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 customHeight="1">
      <c r="N4" s="5"/>
      <c r="O4" s="5"/>
      <c r="P4" s="5"/>
      <c r="Q4" s="5"/>
    </row>
    <row r="5" spans="2:17" ht="14.3" thickBot="1"/>
    <row r="6" spans="2:17" ht="14.3"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4.3" thickBot="1">
      <c r="B12" s="162" t="s">
        <v>74</v>
      </c>
      <c r="C12" s="403">
        <v>100</v>
      </c>
      <c r="D12" s="403">
        <v>0</v>
      </c>
      <c r="E12" s="404">
        <v>-50</v>
      </c>
      <c r="F12" s="5" t="str">
        <f>IF(NOT(AND(C12&gt;D12,D12&gt;E12)),"Ungültige Kombination. Grün muss &gt; gelb muss &gt; rot sein.","")</f>
        <v/>
      </c>
    </row>
    <row r="14" spans="2:17" ht="14.3">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375" defaultRowHeight="13.6"/>
  <cols>
    <col min="1" max="1" width="4.125" style="5" customWidth="1"/>
    <col min="2" max="2" width="22" style="5" customWidth="1"/>
    <col min="3" max="16384" width="11.375" style="5"/>
  </cols>
  <sheetData>
    <row r="1" spans="2:17" s="150" customFormat="1" ht="12.75" customHeight="1">
      <c r="B1" s="427" t="s">
        <v>344</v>
      </c>
      <c r="C1" s="427"/>
      <c r="D1" s="427"/>
      <c r="E1" s="464" t="s">
        <v>394</v>
      </c>
      <c r="F1" s="464"/>
      <c r="G1" s="464"/>
      <c r="H1" s="272"/>
      <c r="N1" s="427"/>
      <c r="O1" s="427"/>
    </row>
    <row r="2" spans="2:17" s="150" customFormat="1" ht="14.9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 customHeight="1">
      <c r="N4" s="5"/>
      <c r="O4" s="5"/>
      <c r="P4" s="5"/>
      <c r="Q4" s="5"/>
    </row>
    <row r="6" spans="2:17" ht="19.05">
      <c r="B6" s="415" t="s">
        <v>473</v>
      </c>
    </row>
    <row r="7" spans="2:17" ht="16.3">
      <c r="B7" s="411" t="s">
        <v>476</v>
      </c>
    </row>
    <row r="8" spans="2:17" s="6" customFormat="1" ht="14.3"/>
    <row r="9" spans="2:17" s="6" customFormat="1" ht="19.05">
      <c r="B9" s="415" t="s">
        <v>402</v>
      </c>
    </row>
    <row r="10" spans="2:17" s="6" customFormat="1" ht="7.5" customHeight="1"/>
    <row r="11" spans="2:17" s="6" customFormat="1" ht="14.3">
      <c r="B11" s="6" t="s">
        <v>395</v>
      </c>
      <c r="D11" s="414">
        <v>0</v>
      </c>
    </row>
    <row r="12" spans="2:17" s="6" customFormat="1" ht="14.3">
      <c r="B12" s="6" t="s">
        <v>396</v>
      </c>
      <c r="D12" s="414">
        <v>0.25</v>
      </c>
    </row>
    <row r="13" spans="2:17" s="6" customFormat="1" ht="14.3">
      <c r="B13" s="6" t="s">
        <v>397</v>
      </c>
      <c r="D13" s="414">
        <v>0.35</v>
      </c>
    </row>
    <row r="14" spans="2:17" s="6" customFormat="1" ht="14.3">
      <c r="B14" s="6" t="s">
        <v>398</v>
      </c>
      <c r="D14" s="414">
        <v>0.42</v>
      </c>
    </row>
    <row r="15" spans="2:17" s="6" customFormat="1" ht="14.3">
      <c r="B15" s="6" t="s">
        <v>399</v>
      </c>
      <c r="D15" s="414">
        <v>0.48</v>
      </c>
    </row>
    <row r="16" spans="2:17" s="6" customFormat="1" ht="14.3">
      <c r="B16" s="6" t="s">
        <v>400</v>
      </c>
      <c r="D16" s="414">
        <v>0.5</v>
      </c>
    </row>
    <row r="17" spans="2:14" s="6" customFormat="1" ht="14.3">
      <c r="B17" s="6" t="s">
        <v>401</v>
      </c>
      <c r="D17" s="414">
        <v>0.55000000000000004</v>
      </c>
    </row>
    <row r="18" spans="2:14" s="6" customFormat="1" ht="14.3"/>
    <row r="19" spans="2:14" s="6" customFormat="1" ht="14.3">
      <c r="B19" s="562" t="s">
        <v>411</v>
      </c>
      <c r="C19" s="562"/>
      <c r="D19" s="562"/>
      <c r="E19" s="562"/>
      <c r="F19" s="562"/>
      <c r="G19" s="562"/>
      <c r="H19" s="562"/>
      <c r="I19" s="562"/>
      <c r="J19" s="562"/>
      <c r="K19" s="562"/>
      <c r="L19" s="562"/>
      <c r="M19" s="562"/>
      <c r="N19" s="562"/>
    </row>
    <row r="20" spans="2:14" s="6" customFormat="1" ht="14.3">
      <c r="B20" s="562"/>
      <c r="C20" s="562"/>
      <c r="D20" s="562"/>
      <c r="E20" s="562"/>
      <c r="F20" s="562"/>
      <c r="G20" s="562"/>
      <c r="H20" s="562"/>
      <c r="I20" s="562"/>
      <c r="J20" s="562"/>
      <c r="K20" s="562"/>
      <c r="L20" s="562"/>
      <c r="M20" s="562"/>
      <c r="N20" s="562"/>
    </row>
    <row r="21" spans="2:14" s="6" customFormat="1" ht="14.3"/>
    <row r="22" spans="2:14" s="6" customFormat="1" ht="14.3"/>
    <row r="23" spans="2:14" s="6" customFormat="1" ht="14.3"/>
    <row r="24" spans="2:14" s="6" customFormat="1" ht="14.3"/>
    <row r="25" spans="2:14" s="6" customFormat="1" ht="14.3"/>
    <row r="26" spans="2:14" s="6" customFormat="1" ht="19.05">
      <c r="B26" s="415" t="s">
        <v>403</v>
      </c>
    </row>
    <row r="27" spans="2:14" s="6" customFormat="1" ht="6.8" customHeight="1"/>
    <row r="28" spans="2:14" s="6" customFormat="1" ht="14.3">
      <c r="B28" s="560" t="s">
        <v>412</v>
      </c>
      <c r="C28" s="560"/>
      <c r="D28" s="560"/>
      <c r="E28" s="560"/>
      <c r="F28" s="560"/>
      <c r="G28" s="560"/>
      <c r="H28" s="560"/>
      <c r="I28" s="560"/>
      <c r="J28" s="560"/>
      <c r="K28" s="560"/>
      <c r="L28" s="560"/>
      <c r="M28" s="560"/>
      <c r="N28" s="560"/>
    </row>
    <row r="29" spans="2:14" s="6" customFormat="1" ht="14.3">
      <c r="B29" s="560"/>
      <c r="C29" s="560"/>
      <c r="D29" s="560"/>
      <c r="E29" s="560"/>
      <c r="F29" s="560"/>
      <c r="G29" s="560"/>
      <c r="H29" s="560"/>
      <c r="I29" s="560"/>
      <c r="J29" s="560"/>
      <c r="K29" s="560"/>
      <c r="L29" s="560"/>
      <c r="M29" s="560"/>
      <c r="N29" s="560"/>
    </row>
    <row r="30" spans="2:14" s="6" customFormat="1" ht="14.3"/>
    <row r="31" spans="2:14" s="6" customFormat="1" ht="14.3">
      <c r="B31" s="413" t="s">
        <v>404</v>
      </c>
    </row>
    <row r="32" spans="2:14" s="6" customFormat="1" ht="14.3">
      <c r="B32" s="413"/>
    </row>
    <row r="33" spans="2:14" s="6" customFormat="1" ht="14.3">
      <c r="B33" s="412" t="s">
        <v>405</v>
      </c>
    </row>
    <row r="34" spans="2:14" s="6" customFormat="1" ht="14.3">
      <c r="B34" s="6" t="s">
        <v>406</v>
      </c>
    </row>
    <row r="35" spans="2:14" s="6" customFormat="1" ht="14.3">
      <c r="B35" s="6" t="s">
        <v>407</v>
      </c>
    </row>
    <row r="36" spans="2:14" s="6" customFormat="1" ht="14.3"/>
    <row r="37" spans="2:14" s="6" customFormat="1" ht="14.3">
      <c r="B37" s="412" t="s">
        <v>408</v>
      </c>
    </row>
    <row r="38" spans="2:14" s="6" customFormat="1" ht="14.3">
      <c r="B38" s="6" t="s">
        <v>409</v>
      </c>
    </row>
    <row r="39" spans="2:14" s="6" customFormat="1" ht="14.3">
      <c r="B39" s="6" t="s">
        <v>452</v>
      </c>
    </row>
    <row r="40" spans="2:14" s="6" customFormat="1" ht="14.3"/>
    <row r="41" spans="2:14" s="6" customFormat="1" ht="14.3">
      <c r="B41" s="412" t="s">
        <v>410</v>
      </c>
    </row>
    <row r="42" spans="2:14" s="6" customFormat="1" ht="14.3">
      <c r="B42" s="6" t="s">
        <v>409</v>
      </c>
    </row>
    <row r="43" spans="2:14" s="6" customFormat="1" ht="14.3">
      <c r="B43" s="6" t="s">
        <v>453</v>
      </c>
    </row>
    <row r="44" spans="2:14" s="6" customFormat="1" ht="14.3"/>
    <row r="45" spans="2:14" s="6" customFormat="1" ht="14.3">
      <c r="B45" s="6" t="s">
        <v>414</v>
      </c>
    </row>
    <row r="46" spans="2:14" s="6" customFormat="1" ht="14.3"/>
    <row r="47" spans="2:14" s="6" customFormat="1" ht="14.3">
      <c r="B47" s="560" t="s">
        <v>413</v>
      </c>
      <c r="C47" s="560"/>
      <c r="D47" s="560"/>
      <c r="E47" s="560"/>
      <c r="F47" s="560"/>
      <c r="G47" s="560"/>
      <c r="H47" s="560"/>
      <c r="I47" s="560"/>
      <c r="J47" s="560"/>
      <c r="K47" s="560"/>
      <c r="L47" s="560"/>
      <c r="M47" s="560"/>
      <c r="N47" s="560"/>
    </row>
    <row r="48" spans="2:14" s="6" customFormat="1" ht="14.3">
      <c r="B48" s="560"/>
      <c r="C48" s="560"/>
      <c r="D48" s="560"/>
      <c r="E48" s="560"/>
      <c r="F48" s="560"/>
      <c r="G48" s="560"/>
      <c r="H48" s="560"/>
      <c r="I48" s="560"/>
      <c r="J48" s="560"/>
      <c r="K48" s="560"/>
      <c r="L48" s="560"/>
      <c r="M48" s="560"/>
      <c r="N48" s="560"/>
    </row>
    <row r="49" spans="2:14" s="6" customFormat="1" ht="14.3"/>
    <row r="50" spans="2:14" s="6" customFormat="1" ht="14.3"/>
    <row r="51" spans="2:14" s="6" customFormat="1" ht="14.3"/>
    <row r="52" spans="2:14" s="6" customFormat="1" ht="14.3"/>
    <row r="53" spans="2:14" s="6" customFormat="1" ht="14.3"/>
    <row r="54" spans="2:14" s="6" customFormat="1" ht="19.05">
      <c r="B54" s="415" t="s">
        <v>415</v>
      </c>
    </row>
    <row r="55" spans="2:14" s="6" customFormat="1" ht="14.3"/>
    <row r="56" spans="2:14" s="6" customFormat="1" ht="14.3">
      <c r="B56" s="6" t="s">
        <v>454</v>
      </c>
    </row>
    <row r="57" spans="2:14" s="6" customFormat="1" ht="14.3"/>
    <row r="58" spans="2:14" s="6" customFormat="1" ht="14.3"/>
    <row r="59" spans="2:14" s="6" customFormat="1" ht="14.3">
      <c r="B59" s="412" t="s">
        <v>416</v>
      </c>
    </row>
    <row r="60" spans="2:14" s="6" customFormat="1" ht="14.3">
      <c r="B60" s="560" t="s">
        <v>455</v>
      </c>
      <c r="C60" s="560"/>
      <c r="D60" s="560"/>
      <c r="E60" s="560"/>
      <c r="F60" s="560"/>
      <c r="G60" s="560"/>
      <c r="H60" s="560"/>
      <c r="I60" s="560"/>
      <c r="J60" s="560"/>
      <c r="K60" s="560"/>
      <c r="L60" s="560"/>
      <c r="M60" s="560"/>
      <c r="N60" s="560"/>
    </row>
    <row r="61" spans="2:14" s="6" customFormat="1" ht="14.3">
      <c r="B61" s="560"/>
      <c r="C61" s="560"/>
      <c r="D61" s="560"/>
      <c r="E61" s="560"/>
      <c r="F61" s="560"/>
      <c r="G61" s="560"/>
      <c r="H61" s="560"/>
      <c r="I61" s="560"/>
      <c r="J61" s="560"/>
      <c r="K61" s="560"/>
      <c r="L61" s="560"/>
      <c r="M61" s="560"/>
      <c r="N61" s="560"/>
    </row>
    <row r="62" spans="2:14" s="6" customFormat="1" ht="14.3"/>
    <row r="63" spans="2:14" s="6" customFormat="1" ht="14.3">
      <c r="B63" s="413" t="s">
        <v>417</v>
      </c>
      <c r="C63" s="6" t="s">
        <v>418</v>
      </c>
    </row>
    <row r="64" spans="2:14" s="6" customFormat="1" ht="14.3">
      <c r="C64" s="6" t="s">
        <v>419</v>
      </c>
    </row>
    <row r="65" spans="2:14" s="6" customFormat="1" ht="14.3">
      <c r="C65" s="6" t="s">
        <v>420</v>
      </c>
    </row>
    <row r="66" spans="2:14" s="6" customFormat="1" ht="14.3">
      <c r="C66" s="6" t="s">
        <v>421</v>
      </c>
    </row>
    <row r="67" spans="2:14" s="6" customFormat="1" ht="14.3">
      <c r="C67" s="6" t="s">
        <v>422</v>
      </c>
    </row>
    <row r="68" spans="2:14" s="6" customFormat="1" ht="14.3">
      <c r="C68" s="6" t="s">
        <v>423</v>
      </c>
    </row>
    <row r="69" spans="2:14" s="6" customFormat="1" ht="14.3"/>
    <row r="70" spans="2:14" s="6" customFormat="1" ht="14.3"/>
    <row r="71" spans="2:14" s="6" customFormat="1" ht="14.3">
      <c r="B71" s="412" t="s">
        <v>424</v>
      </c>
    </row>
    <row r="72" spans="2:14" s="6" customFormat="1" ht="14.3">
      <c r="B72" s="560" t="s">
        <v>456</v>
      </c>
      <c r="C72" s="560"/>
      <c r="D72" s="560"/>
      <c r="E72" s="560"/>
      <c r="F72" s="560"/>
      <c r="G72" s="560"/>
      <c r="H72" s="560"/>
      <c r="I72" s="560"/>
      <c r="J72" s="560"/>
      <c r="K72" s="560"/>
      <c r="L72" s="560"/>
      <c r="M72" s="560"/>
      <c r="N72" s="560"/>
    </row>
    <row r="73" spans="2:14" s="6" customFormat="1" ht="14.3">
      <c r="B73" s="560"/>
      <c r="C73" s="560"/>
      <c r="D73" s="560"/>
      <c r="E73" s="560"/>
      <c r="F73" s="560"/>
      <c r="G73" s="560"/>
      <c r="H73" s="560"/>
      <c r="I73" s="560"/>
      <c r="J73" s="560"/>
      <c r="K73" s="560"/>
      <c r="L73" s="560"/>
      <c r="M73" s="560"/>
      <c r="N73" s="560"/>
    </row>
    <row r="74" spans="2:14" s="6" customFormat="1" ht="14.3"/>
    <row r="75" spans="2:14" s="6" customFormat="1" ht="14.3">
      <c r="B75" s="413" t="s">
        <v>417</v>
      </c>
      <c r="C75" s="6" t="s">
        <v>425</v>
      </c>
    </row>
    <row r="76" spans="2:14" s="6" customFormat="1" ht="14.3">
      <c r="C76" s="6" t="s">
        <v>426</v>
      </c>
    </row>
    <row r="77" spans="2:14" s="6" customFormat="1" ht="14.3">
      <c r="C77" s="6" t="s">
        <v>427</v>
      </c>
    </row>
    <row r="78" spans="2:14" s="6" customFormat="1" ht="14.3">
      <c r="C78" s="6" t="s">
        <v>428</v>
      </c>
    </row>
    <row r="79" spans="2:14" s="6" customFormat="1" ht="14.3">
      <c r="C79" s="6" t="s">
        <v>429</v>
      </c>
    </row>
    <row r="80" spans="2:14" s="6" customFormat="1" ht="14.3">
      <c r="C80" s="6" t="s">
        <v>430</v>
      </c>
    </row>
    <row r="81" spans="2:14" s="6" customFormat="1" ht="14.3">
      <c r="C81" s="6" t="s">
        <v>431</v>
      </c>
    </row>
    <row r="82" spans="2:14" s="6" customFormat="1" ht="14.3">
      <c r="C82" s="6" t="s">
        <v>432</v>
      </c>
    </row>
    <row r="83" spans="2:14" s="6" customFormat="1" ht="14.3">
      <c r="C83" s="6" t="s">
        <v>433</v>
      </c>
    </row>
    <row r="84" spans="2:14" s="6" customFormat="1" ht="14.3">
      <c r="C84" s="6" t="s">
        <v>434</v>
      </c>
    </row>
    <row r="85" spans="2:14" s="6" customFormat="1" ht="14.3">
      <c r="C85" s="6" t="s">
        <v>435</v>
      </c>
      <c r="E85" s="45"/>
    </row>
    <row r="86" spans="2:14" s="6" customFormat="1" ht="14.3">
      <c r="C86" s="6" t="s">
        <v>436</v>
      </c>
    </row>
    <row r="87" spans="2:14" s="6" customFormat="1" ht="14.3">
      <c r="C87" s="6" t="s">
        <v>437</v>
      </c>
    </row>
    <row r="88" spans="2:14" s="6" customFormat="1" ht="14.3">
      <c r="C88" s="6" t="s">
        <v>438</v>
      </c>
    </row>
    <row r="89" spans="2:14" s="6" customFormat="1" ht="14.3">
      <c r="C89" s="6" t="s">
        <v>439</v>
      </c>
    </row>
    <row r="90" spans="2:14" s="6" customFormat="1" ht="14.3"/>
    <row r="91" spans="2:14" s="6" customFormat="1" ht="14.3"/>
    <row r="92" spans="2:14" s="6" customFormat="1" ht="14.3">
      <c r="B92" s="412" t="s">
        <v>440</v>
      </c>
    </row>
    <row r="93" spans="2:14" s="6" customFormat="1" ht="14.3">
      <c r="B93" s="560" t="s">
        <v>457</v>
      </c>
      <c r="C93" s="560"/>
      <c r="D93" s="560"/>
      <c r="E93" s="560"/>
      <c r="F93" s="560"/>
      <c r="G93" s="560"/>
      <c r="H93" s="560"/>
      <c r="I93" s="560"/>
      <c r="J93" s="560"/>
      <c r="K93" s="560"/>
      <c r="L93" s="560"/>
      <c r="M93" s="560"/>
      <c r="N93" s="560"/>
    </row>
    <row r="94" spans="2:14" s="6" customFormat="1" ht="14.3">
      <c r="B94" s="560"/>
      <c r="C94" s="560"/>
      <c r="D94" s="560"/>
      <c r="E94" s="560"/>
      <c r="F94" s="560"/>
      <c r="G94" s="560"/>
      <c r="H94" s="560"/>
      <c r="I94" s="560"/>
      <c r="J94" s="560"/>
      <c r="K94" s="560"/>
      <c r="L94" s="560"/>
      <c r="M94" s="560"/>
      <c r="N94" s="560"/>
    </row>
    <row r="95" spans="2:14" s="6" customFormat="1" ht="14.3">
      <c r="B95" s="417"/>
      <c r="C95" s="417"/>
      <c r="D95" s="417"/>
      <c r="E95" s="417"/>
      <c r="F95" s="417"/>
      <c r="G95" s="417"/>
      <c r="H95" s="417"/>
      <c r="I95" s="417"/>
      <c r="J95" s="417"/>
      <c r="K95" s="417"/>
      <c r="L95" s="417"/>
      <c r="M95" s="417"/>
      <c r="N95" s="417"/>
    </row>
    <row r="96" spans="2:14" s="6" customFormat="1" ht="14.3">
      <c r="B96" s="413" t="s">
        <v>417</v>
      </c>
      <c r="C96" s="6" t="s">
        <v>441</v>
      </c>
    </row>
    <row r="97" spans="2:3" s="6" customFormat="1" ht="14.3">
      <c r="C97" s="6" t="s">
        <v>442</v>
      </c>
    </row>
    <row r="98" spans="2:3" s="6" customFormat="1" ht="14.3">
      <c r="C98" s="6" t="s">
        <v>443</v>
      </c>
    </row>
    <row r="99" spans="2:3" s="6" customFormat="1" ht="14.3">
      <c r="C99" s="6" t="s">
        <v>444</v>
      </c>
    </row>
    <row r="100" spans="2:3" s="6" customFormat="1" ht="14.3">
      <c r="C100" s="6" t="s">
        <v>445</v>
      </c>
    </row>
    <row r="101" spans="2:3" s="6" customFormat="1" ht="14.3">
      <c r="C101" s="6" t="s">
        <v>446</v>
      </c>
    </row>
    <row r="102" spans="2:3" s="6" customFormat="1" ht="14.3">
      <c r="C102" s="6" t="s">
        <v>447</v>
      </c>
    </row>
    <row r="103" spans="2:3" s="6" customFormat="1" ht="14.3">
      <c r="C103" s="6" t="s">
        <v>448</v>
      </c>
    </row>
    <row r="104" spans="2:3" s="6" customFormat="1" ht="14.3"/>
    <row r="105" spans="2:3" s="6" customFormat="1" ht="14.3">
      <c r="B105" s="6" t="s">
        <v>449</v>
      </c>
    </row>
    <row r="106" spans="2:3" s="6" customFormat="1" ht="14.3"/>
    <row r="107" spans="2:3" s="6" customFormat="1" ht="14.3">
      <c r="B107" s="6" t="s">
        <v>450</v>
      </c>
    </row>
    <row r="108" spans="2:3" s="6" customFormat="1" ht="14.3">
      <c r="B108" s="6" t="s">
        <v>458</v>
      </c>
    </row>
    <row r="109" spans="2:3" s="6" customFormat="1" ht="14.3">
      <c r="B109" s="6" t="s">
        <v>451</v>
      </c>
    </row>
    <row r="110" spans="2:3" s="6" customFormat="1" ht="14.3"/>
    <row r="111" spans="2:3" s="6" customFormat="1" ht="14.3"/>
    <row r="112" spans="2:3" s="6" customFormat="1" ht="14.3"/>
    <row r="113" spans="1:14" s="6" customFormat="1" ht="14.3">
      <c r="B113" s="412" t="s">
        <v>472</v>
      </c>
    </row>
    <row r="114" spans="1:14" s="6" customFormat="1" ht="14.3">
      <c r="B114" s="416"/>
    </row>
    <row r="115" spans="1:14" s="6" customFormat="1" ht="14.3">
      <c r="B115" s="416"/>
    </row>
    <row r="116" spans="1:14" s="6" customFormat="1" ht="14.3">
      <c r="A116" s="5"/>
      <c r="B116" s="561" t="s">
        <v>365</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25" defaultRowHeight="14.3"/>
  <cols>
    <col min="1" max="1" width="9.125" style="31"/>
    <col min="2" max="2" width="2.625" style="31" customWidth="1"/>
    <col min="3" max="3" width="11" style="31" customWidth="1"/>
    <col min="4" max="6" width="9.125" style="31"/>
    <col min="7" max="7" width="5.25" style="31" customWidth="1"/>
    <col min="8" max="9" width="10.375" style="31" customWidth="1"/>
    <col min="10" max="10" width="5.625" style="31" customWidth="1"/>
    <col min="11" max="14" width="9.125" style="31"/>
    <col min="15" max="15" width="2.875" style="31" customWidth="1"/>
    <col min="16" max="16" width="2.625" style="31" customWidth="1"/>
    <col min="17" max="16384" width="9.125" style="31"/>
  </cols>
  <sheetData>
    <row r="1" spans="2:20" s="150" customFormat="1" ht="12.75" customHeight="1">
      <c r="B1" s="532" t="s">
        <v>356</v>
      </c>
      <c r="C1" s="532"/>
      <c r="D1" s="532"/>
      <c r="E1" s="532"/>
      <c r="F1" s="532"/>
      <c r="G1" s="472" t="s">
        <v>357</v>
      </c>
      <c r="H1" s="472"/>
      <c r="I1" s="472"/>
      <c r="J1" s="472"/>
      <c r="K1" s="472"/>
      <c r="L1" s="472"/>
      <c r="O1" s="237"/>
      <c r="S1" s="238"/>
      <c r="T1" s="271"/>
    </row>
    <row r="2" spans="2:20" s="150" customFormat="1" ht="14.9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 customHeight="1">
      <c r="L4" s="5"/>
      <c r="M4" s="5"/>
      <c r="N4" s="5"/>
      <c r="O4" s="5"/>
    </row>
    <row r="6" spans="2:20" ht="7.5" customHeight="1">
      <c r="B6" s="58"/>
      <c r="C6" s="59"/>
      <c r="D6" s="59"/>
      <c r="E6" s="59"/>
      <c r="F6" s="59"/>
      <c r="G6" s="59"/>
      <c r="H6" s="59"/>
      <c r="I6" s="59"/>
      <c r="J6" s="59"/>
      <c r="K6" s="59"/>
      <c r="L6" s="59"/>
      <c r="M6" s="59"/>
      <c r="N6" s="59"/>
      <c r="O6" s="59"/>
      <c r="P6" s="60"/>
    </row>
    <row r="7" spans="2:20" ht="21.75">
      <c r="B7" s="61"/>
      <c r="C7" s="563" t="s">
        <v>130</v>
      </c>
      <c r="D7" s="563"/>
      <c r="E7" s="563"/>
      <c r="F7" s="563"/>
      <c r="G7" s="563"/>
      <c r="H7" s="563"/>
      <c r="I7" s="563"/>
      <c r="J7" s="563"/>
      <c r="K7" s="563"/>
      <c r="L7" s="563"/>
      <c r="M7" s="563"/>
      <c r="N7" s="563"/>
      <c r="O7" s="563"/>
      <c r="P7" s="62"/>
    </row>
    <row r="8" spans="2:20" ht="19.0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ht="14.95">
      <c r="B10" s="61"/>
      <c r="C10" s="67" t="s">
        <v>133</v>
      </c>
      <c r="D10" s="68"/>
      <c r="E10" s="68"/>
      <c r="F10" s="68"/>
      <c r="G10" s="68"/>
      <c r="H10" s="68"/>
      <c r="I10" s="68"/>
      <c r="J10" s="68"/>
      <c r="K10" s="68"/>
      <c r="L10" s="68"/>
      <c r="M10" s="68"/>
      <c r="N10" s="68"/>
      <c r="O10" s="69"/>
      <c r="P10" s="62"/>
    </row>
    <row r="11" spans="2:20" ht="14.95">
      <c r="B11" s="61"/>
      <c r="C11" s="70" t="s">
        <v>134</v>
      </c>
      <c r="D11" s="71" t="s">
        <v>131</v>
      </c>
      <c r="E11" s="71"/>
      <c r="F11" s="71"/>
      <c r="G11" s="71"/>
      <c r="H11" s="71"/>
      <c r="I11" s="71"/>
      <c r="J11" s="71"/>
      <c r="K11" s="71" t="s">
        <v>135</v>
      </c>
      <c r="L11" s="71"/>
      <c r="M11" s="71" t="s">
        <v>136</v>
      </c>
      <c r="N11" s="71"/>
      <c r="O11" s="72"/>
      <c r="P11" s="62"/>
    </row>
    <row r="12" spans="2:20" ht="14.95">
      <c r="B12" s="61"/>
      <c r="C12" s="70" t="s">
        <v>137</v>
      </c>
      <c r="D12" s="71" t="s">
        <v>138</v>
      </c>
      <c r="E12" s="71"/>
      <c r="F12" s="71"/>
      <c r="G12" s="71"/>
      <c r="H12" s="71"/>
      <c r="I12" s="71"/>
      <c r="J12" s="71"/>
      <c r="K12" s="71" t="s">
        <v>139</v>
      </c>
      <c r="L12" s="71"/>
      <c r="M12" s="71" t="s">
        <v>140</v>
      </c>
      <c r="N12" s="71"/>
      <c r="O12" s="72"/>
      <c r="P12" s="62"/>
    </row>
    <row r="13" spans="2:20" ht="14.95">
      <c r="B13" s="61"/>
      <c r="C13" s="73"/>
      <c r="D13" s="74" t="s">
        <v>141</v>
      </c>
      <c r="E13" s="74"/>
      <c r="F13" s="74"/>
      <c r="G13" s="74"/>
      <c r="H13" s="74"/>
      <c r="I13" s="74"/>
      <c r="J13" s="74"/>
      <c r="K13" s="74" t="s">
        <v>142</v>
      </c>
      <c r="L13" s="74"/>
      <c r="M13" s="74" t="s">
        <v>143</v>
      </c>
      <c r="N13" s="74"/>
      <c r="O13" s="75"/>
      <c r="P13" s="62"/>
    </row>
    <row r="14" spans="2:20" ht="14.95">
      <c r="B14" s="61"/>
      <c r="C14" s="71"/>
      <c r="D14" s="71"/>
      <c r="E14" s="71"/>
      <c r="F14" s="71"/>
      <c r="G14" s="71"/>
      <c r="H14" s="71"/>
      <c r="I14" s="71"/>
      <c r="J14" s="71"/>
      <c r="K14" s="71"/>
      <c r="L14" s="71"/>
      <c r="M14" s="71"/>
      <c r="N14" s="71"/>
      <c r="O14" s="71"/>
      <c r="P14" s="62"/>
    </row>
    <row r="15" spans="2:20" ht="14.95">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ht="14.95">
      <c r="B17" s="61"/>
      <c r="C17" s="79" t="s">
        <v>145</v>
      </c>
      <c r="D17" s="80"/>
      <c r="E17" s="80"/>
      <c r="F17" s="80"/>
      <c r="G17" s="80"/>
      <c r="H17" s="81" t="s">
        <v>146</v>
      </c>
      <c r="I17" s="81" t="s">
        <v>147</v>
      </c>
      <c r="J17" s="80"/>
      <c r="K17" s="80" t="s">
        <v>148</v>
      </c>
      <c r="L17" s="80"/>
      <c r="M17" s="80"/>
      <c r="N17" s="80"/>
      <c r="O17" s="82"/>
      <c r="P17" s="62"/>
    </row>
    <row r="18" spans="2:16" ht="14.95">
      <c r="B18" s="61"/>
      <c r="C18" s="83" t="s">
        <v>149</v>
      </c>
      <c r="D18" s="84"/>
      <c r="E18" s="84"/>
      <c r="F18" s="84"/>
      <c r="G18" s="84"/>
      <c r="H18" s="85"/>
      <c r="I18" s="85"/>
      <c r="J18" s="84"/>
      <c r="K18" s="84"/>
      <c r="L18" s="84"/>
      <c r="M18" s="84"/>
      <c r="N18" s="84"/>
      <c r="O18" s="86"/>
      <c r="P18" s="62"/>
    </row>
    <row r="19" spans="2:16" ht="14.95">
      <c r="B19" s="61"/>
      <c r="C19" s="83" t="s">
        <v>150</v>
      </c>
      <c r="D19" s="84"/>
      <c r="E19" s="84"/>
      <c r="F19" s="84"/>
      <c r="G19" s="84"/>
      <c r="H19" s="85"/>
      <c r="I19" s="85"/>
      <c r="J19" s="84"/>
      <c r="K19" s="84"/>
      <c r="L19" s="84"/>
      <c r="M19" s="84"/>
      <c r="N19" s="84"/>
      <c r="O19" s="86"/>
      <c r="P19" s="62"/>
    </row>
    <row r="20" spans="2:16" ht="14.95">
      <c r="B20" s="61"/>
      <c r="C20" s="87" t="s">
        <v>151</v>
      </c>
      <c r="D20" s="88"/>
      <c r="E20" s="88"/>
      <c r="F20" s="88"/>
      <c r="G20" s="88"/>
      <c r="H20" s="85"/>
      <c r="I20" s="89"/>
      <c r="J20" s="88"/>
      <c r="K20" s="88"/>
      <c r="L20" s="88"/>
      <c r="M20" s="88"/>
      <c r="N20" s="88"/>
      <c r="O20" s="90"/>
      <c r="P20" s="62"/>
    </row>
    <row r="21" spans="2:16" ht="14.95">
      <c r="B21" s="61"/>
      <c r="C21" s="87" t="s">
        <v>152</v>
      </c>
      <c r="D21" s="88"/>
      <c r="E21" s="88"/>
      <c r="F21" s="88"/>
      <c r="G21" s="88"/>
      <c r="H21" s="89"/>
      <c r="I21" s="89"/>
      <c r="J21" s="88"/>
      <c r="K21" s="88"/>
      <c r="L21" s="88"/>
      <c r="M21" s="88"/>
      <c r="N21" s="88"/>
      <c r="O21" s="90"/>
      <c r="P21" s="62"/>
    </row>
    <row r="22" spans="2:16" ht="14.95">
      <c r="B22" s="61"/>
      <c r="C22" s="87" t="s">
        <v>43</v>
      </c>
      <c r="D22" s="88"/>
      <c r="E22" s="88"/>
      <c r="F22" s="88"/>
      <c r="G22" s="88"/>
      <c r="H22" s="89"/>
      <c r="I22" s="89"/>
      <c r="J22" s="88"/>
      <c r="K22" s="88"/>
      <c r="L22" s="88"/>
      <c r="M22" s="88"/>
      <c r="N22" s="88"/>
      <c r="O22" s="90"/>
      <c r="P22" s="62"/>
    </row>
    <row r="23" spans="2:16" ht="14.95">
      <c r="B23" s="61"/>
      <c r="C23" s="87" t="s">
        <v>153</v>
      </c>
      <c r="D23" s="88"/>
      <c r="E23" s="88"/>
      <c r="F23" s="88"/>
      <c r="G23" s="88"/>
      <c r="H23" s="89"/>
      <c r="I23" s="89"/>
      <c r="J23" s="88"/>
      <c r="K23" s="88"/>
      <c r="L23" s="88"/>
      <c r="M23" s="88"/>
      <c r="N23" s="88"/>
      <c r="O23" s="90"/>
      <c r="P23" s="62"/>
    </row>
    <row r="24" spans="2:16" ht="14.95">
      <c r="B24" s="61"/>
      <c r="C24" s="87" t="s">
        <v>154</v>
      </c>
      <c r="D24" s="88"/>
      <c r="E24" s="88"/>
      <c r="F24" s="88"/>
      <c r="G24" s="88"/>
      <c r="H24" s="89"/>
      <c r="I24" s="89"/>
      <c r="J24" s="88"/>
      <c r="K24" s="88"/>
      <c r="L24" s="88"/>
      <c r="M24" s="88"/>
      <c r="N24" s="88"/>
      <c r="O24" s="90"/>
      <c r="P24" s="62"/>
    </row>
    <row r="25" spans="2:16" ht="15.65" thickBot="1">
      <c r="B25" s="61"/>
      <c r="C25" s="87" t="s">
        <v>155</v>
      </c>
      <c r="D25" s="88"/>
      <c r="E25" s="88"/>
      <c r="F25" s="88"/>
      <c r="G25" s="88"/>
      <c r="H25" s="89"/>
      <c r="I25" s="89"/>
      <c r="J25" s="88"/>
      <c r="K25" s="88"/>
      <c r="L25" s="88"/>
      <c r="M25" s="88"/>
      <c r="N25" s="88"/>
      <c r="O25" s="90"/>
      <c r="P25" s="62"/>
    </row>
    <row r="26" spans="2:16" ht="15.6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ht="14.95">
      <c r="B28" s="61"/>
      <c r="C28" s="95" t="s">
        <v>63</v>
      </c>
      <c r="D28" s="96"/>
      <c r="E28" s="96"/>
      <c r="F28" s="96"/>
      <c r="G28" s="96"/>
      <c r="H28" s="97" t="s">
        <v>146</v>
      </c>
      <c r="I28" s="81" t="s">
        <v>147</v>
      </c>
      <c r="J28" s="96"/>
      <c r="K28" s="96" t="s">
        <v>148</v>
      </c>
      <c r="L28" s="96"/>
      <c r="M28" s="96"/>
      <c r="N28" s="96"/>
      <c r="O28" s="98"/>
      <c r="P28" s="62"/>
    </row>
    <row r="29" spans="2:16" ht="14.95">
      <c r="B29" s="61"/>
      <c r="C29" s="83" t="s">
        <v>156</v>
      </c>
      <c r="D29" s="84"/>
      <c r="E29" s="84"/>
      <c r="F29" s="84"/>
      <c r="G29" s="84"/>
      <c r="H29" s="99"/>
      <c r="I29" s="99"/>
      <c r="J29" s="84"/>
      <c r="K29" s="88"/>
      <c r="L29" s="84"/>
      <c r="M29" s="84"/>
      <c r="N29" s="84"/>
      <c r="O29" s="86"/>
      <c r="P29" s="62"/>
    </row>
    <row r="30" spans="2:16" ht="14.95">
      <c r="B30" s="61"/>
      <c r="C30" s="87" t="s">
        <v>157</v>
      </c>
      <c r="D30" s="88"/>
      <c r="E30" s="88"/>
      <c r="F30" s="88"/>
      <c r="G30" s="88"/>
      <c r="H30" s="100"/>
      <c r="I30" s="100"/>
      <c r="J30" s="88"/>
      <c r="K30" s="88"/>
      <c r="L30" s="88"/>
      <c r="M30" s="88"/>
      <c r="N30" s="88"/>
      <c r="O30" s="90"/>
      <c r="P30" s="62"/>
    </row>
    <row r="31" spans="2:16" ht="14.95">
      <c r="B31" s="61"/>
      <c r="C31" s="87" t="s">
        <v>158</v>
      </c>
      <c r="D31" s="88"/>
      <c r="E31" s="88"/>
      <c r="F31" s="88"/>
      <c r="G31" s="88"/>
      <c r="H31" s="100"/>
      <c r="I31" s="100"/>
      <c r="J31" s="88"/>
      <c r="K31" s="88"/>
      <c r="L31" s="88"/>
      <c r="M31" s="88"/>
      <c r="N31" s="88"/>
      <c r="O31" s="90"/>
      <c r="P31" s="62"/>
    </row>
    <row r="32" spans="2:16" ht="14.95">
      <c r="B32" s="61"/>
      <c r="C32" s="87" t="s">
        <v>159</v>
      </c>
      <c r="D32" s="88"/>
      <c r="E32" s="88"/>
      <c r="F32" s="88"/>
      <c r="G32" s="88"/>
      <c r="H32" s="100"/>
      <c r="I32" s="100"/>
      <c r="J32" s="88"/>
      <c r="K32" s="88"/>
      <c r="L32" s="88"/>
      <c r="M32" s="88"/>
      <c r="N32" s="88"/>
      <c r="O32" s="90"/>
      <c r="P32" s="62"/>
    </row>
    <row r="33" spans="2:16" ht="14.95">
      <c r="B33" s="61"/>
      <c r="C33" s="87" t="s">
        <v>160</v>
      </c>
      <c r="D33" s="88"/>
      <c r="E33" s="88"/>
      <c r="F33" s="88"/>
      <c r="G33" s="88"/>
      <c r="H33" s="100"/>
      <c r="I33" s="100"/>
      <c r="J33" s="88"/>
      <c r="K33" s="88"/>
      <c r="L33" s="88"/>
      <c r="M33" s="88"/>
      <c r="N33" s="88"/>
      <c r="O33" s="90"/>
      <c r="P33" s="62"/>
    </row>
    <row r="34" spans="2:16" ht="14.95">
      <c r="B34" s="61"/>
      <c r="C34" s="87" t="s">
        <v>161</v>
      </c>
      <c r="D34" s="88"/>
      <c r="E34" s="88"/>
      <c r="F34" s="88"/>
      <c r="G34" s="88"/>
      <c r="H34" s="100"/>
      <c r="I34" s="100"/>
      <c r="J34" s="88"/>
      <c r="K34" s="88"/>
      <c r="L34" s="88"/>
      <c r="M34" s="88"/>
      <c r="N34" s="88"/>
      <c r="O34" s="90"/>
      <c r="P34" s="62"/>
    </row>
    <row r="35" spans="2:16" ht="14.95">
      <c r="B35" s="61"/>
      <c r="C35" s="87" t="s">
        <v>162</v>
      </c>
      <c r="D35" s="88"/>
      <c r="E35" s="88"/>
      <c r="F35" s="88"/>
      <c r="G35" s="88"/>
      <c r="H35" s="100"/>
      <c r="I35" s="100"/>
      <c r="J35" s="88"/>
      <c r="K35" s="88"/>
      <c r="L35" s="88"/>
      <c r="M35" s="88"/>
      <c r="N35" s="88"/>
      <c r="O35" s="90"/>
      <c r="P35" s="62"/>
    </row>
    <row r="36" spans="2:16" ht="14.95">
      <c r="B36" s="61"/>
      <c r="C36" s="87" t="s">
        <v>163</v>
      </c>
      <c r="D36" s="88"/>
      <c r="E36" s="88"/>
      <c r="F36" s="88"/>
      <c r="G36" s="88"/>
      <c r="H36" s="100"/>
      <c r="I36" s="100"/>
      <c r="J36" s="88"/>
      <c r="K36" s="88"/>
      <c r="L36" s="88"/>
      <c r="M36" s="88"/>
      <c r="N36" s="88"/>
      <c r="O36" s="90"/>
      <c r="P36" s="62"/>
    </row>
    <row r="37" spans="2:16" ht="14.95">
      <c r="B37" s="61"/>
      <c r="C37" s="87" t="s">
        <v>164</v>
      </c>
      <c r="D37" s="88"/>
      <c r="E37" s="88"/>
      <c r="F37" s="88"/>
      <c r="G37" s="88"/>
      <c r="H37" s="100"/>
      <c r="I37" s="100"/>
      <c r="J37" s="88"/>
      <c r="K37" s="88"/>
      <c r="L37" s="88"/>
      <c r="M37" s="88"/>
      <c r="N37" s="88"/>
      <c r="O37" s="90"/>
      <c r="P37" s="62"/>
    </row>
    <row r="38" spans="2:16" ht="14.95">
      <c r="B38" s="61"/>
      <c r="C38" s="87" t="s">
        <v>165</v>
      </c>
      <c r="D38" s="88"/>
      <c r="E38" s="88"/>
      <c r="F38" s="88"/>
      <c r="G38" s="88"/>
      <c r="H38" s="100"/>
      <c r="I38" s="100"/>
      <c r="J38" s="88"/>
      <c r="K38" s="88"/>
      <c r="L38" s="88"/>
      <c r="M38" s="88"/>
      <c r="N38" s="88"/>
      <c r="O38" s="90"/>
      <c r="P38" s="62"/>
    </row>
    <row r="39" spans="2:16" ht="14.95">
      <c r="B39" s="61"/>
      <c r="C39" s="87" t="s">
        <v>166</v>
      </c>
      <c r="D39" s="88"/>
      <c r="E39" s="88"/>
      <c r="F39" s="88"/>
      <c r="G39" s="88"/>
      <c r="H39" s="100"/>
      <c r="I39" s="100"/>
      <c r="J39" s="88"/>
      <c r="K39" s="88"/>
      <c r="L39" s="88"/>
      <c r="M39" s="88"/>
      <c r="N39" s="88"/>
      <c r="O39" s="90"/>
      <c r="P39" s="62"/>
    </row>
    <row r="40" spans="2:16" ht="14.95">
      <c r="B40" s="61"/>
      <c r="C40" s="87" t="s">
        <v>167</v>
      </c>
      <c r="D40" s="88"/>
      <c r="E40" s="88"/>
      <c r="F40" s="88"/>
      <c r="G40" s="88"/>
      <c r="H40" s="100"/>
      <c r="I40" s="100"/>
      <c r="J40" s="88"/>
      <c r="K40" s="88"/>
      <c r="L40" s="88"/>
      <c r="M40" s="88"/>
      <c r="N40" s="88"/>
      <c r="O40" s="90"/>
      <c r="P40" s="62"/>
    </row>
    <row r="41" spans="2:16" ht="14.95">
      <c r="B41" s="61"/>
      <c r="C41" s="87" t="s">
        <v>168</v>
      </c>
      <c r="D41" s="88"/>
      <c r="E41" s="88"/>
      <c r="F41" s="88"/>
      <c r="G41" s="88"/>
      <c r="H41" s="100"/>
      <c r="I41" s="100"/>
      <c r="J41" s="88"/>
      <c r="K41" s="88"/>
      <c r="L41" s="88"/>
      <c r="M41" s="88"/>
      <c r="N41" s="88"/>
      <c r="O41" s="90"/>
      <c r="P41" s="62"/>
    </row>
    <row r="42" spans="2:16" ht="14.95">
      <c r="B42" s="61"/>
      <c r="C42" s="87" t="s">
        <v>169</v>
      </c>
      <c r="D42" s="88"/>
      <c r="E42" s="88"/>
      <c r="F42" s="88"/>
      <c r="G42" s="88"/>
      <c r="H42" s="100"/>
      <c r="I42" s="100"/>
      <c r="J42" s="88"/>
      <c r="K42" s="88"/>
      <c r="L42" s="88"/>
      <c r="M42" s="88"/>
      <c r="N42" s="88"/>
      <c r="O42" s="90"/>
      <c r="P42" s="62"/>
    </row>
    <row r="43" spans="2:16" ht="14.95">
      <c r="B43" s="61"/>
      <c r="C43" s="87" t="s">
        <v>170</v>
      </c>
      <c r="D43" s="88"/>
      <c r="E43" s="88"/>
      <c r="F43" s="88"/>
      <c r="G43" s="88"/>
      <c r="H43" s="100"/>
      <c r="I43" s="100"/>
      <c r="J43" s="88"/>
      <c r="K43" s="88"/>
      <c r="L43" s="88"/>
      <c r="M43" s="88"/>
      <c r="N43" s="88"/>
      <c r="O43" s="90"/>
      <c r="P43" s="62"/>
    </row>
    <row r="44" spans="2:16" ht="15.65" thickBot="1">
      <c r="B44" s="61"/>
      <c r="C44" s="70" t="s">
        <v>10</v>
      </c>
      <c r="D44" s="71"/>
      <c r="E44" s="71"/>
      <c r="F44" s="71"/>
      <c r="G44" s="71"/>
      <c r="H44" s="101"/>
      <c r="I44" s="101"/>
      <c r="J44" s="71"/>
      <c r="K44" s="71"/>
      <c r="L44" s="71"/>
      <c r="M44" s="71"/>
      <c r="N44" s="71"/>
      <c r="O44" s="72"/>
      <c r="P44" s="62"/>
    </row>
    <row r="45" spans="2:16" ht="15.6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ht="14.95">
      <c r="B47" s="61"/>
      <c r="C47" s="79" t="s">
        <v>171</v>
      </c>
      <c r="D47" s="80"/>
      <c r="E47" s="80"/>
      <c r="F47" s="80"/>
      <c r="G47" s="80"/>
      <c r="H47" s="81" t="s">
        <v>146</v>
      </c>
      <c r="I47" s="81" t="s">
        <v>147</v>
      </c>
      <c r="J47" s="80"/>
      <c r="K47" s="80" t="s">
        <v>148</v>
      </c>
      <c r="L47" s="80"/>
      <c r="M47" s="80"/>
      <c r="N47" s="80"/>
      <c r="O47" s="82"/>
      <c r="P47" s="62"/>
    </row>
    <row r="48" spans="2:16" ht="14.95">
      <c r="B48" s="61"/>
      <c r="C48" s="83" t="s">
        <v>62</v>
      </c>
      <c r="D48" s="84"/>
      <c r="E48" s="84"/>
      <c r="F48" s="84"/>
      <c r="G48" s="84"/>
      <c r="H48" s="99">
        <f>12*I48</f>
        <v>0</v>
      </c>
      <c r="I48" s="99">
        <f>I26</f>
        <v>0</v>
      </c>
      <c r="J48" s="84"/>
      <c r="K48" s="84"/>
      <c r="L48" s="84"/>
      <c r="M48" s="84"/>
      <c r="N48" s="84"/>
      <c r="O48" s="86"/>
      <c r="P48" s="62"/>
    </row>
    <row r="49" spans="2:16" ht="15.65" thickBot="1">
      <c r="B49" s="61"/>
      <c r="C49" s="103" t="s">
        <v>63</v>
      </c>
      <c r="D49" s="104"/>
      <c r="E49" s="104"/>
      <c r="F49" s="104"/>
      <c r="G49" s="104"/>
      <c r="H49" s="105">
        <f>12*I49</f>
        <v>0</v>
      </c>
      <c r="I49" s="105">
        <f>I45</f>
        <v>0</v>
      </c>
      <c r="J49" s="104"/>
      <c r="K49" s="104"/>
      <c r="L49" s="104"/>
      <c r="M49" s="104"/>
      <c r="N49" s="104"/>
      <c r="O49" s="106"/>
      <c r="P49" s="62"/>
    </row>
    <row r="50" spans="2:16" ht="15.6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7.7">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25" defaultRowHeight="14.3"/>
  <cols>
    <col min="1" max="1" width="9.125" style="31"/>
    <col min="2" max="2" width="2.625" style="31" customWidth="1"/>
    <col min="3" max="3" width="11" style="31" customWidth="1"/>
    <col min="4" max="6" width="9.125" style="31"/>
    <col min="7" max="7" width="5.25" style="31" customWidth="1"/>
    <col min="8" max="9" width="10.375" style="31" customWidth="1"/>
    <col min="10" max="10" width="5.625" style="31" customWidth="1"/>
    <col min="11" max="14" width="9.125" style="31"/>
    <col min="15" max="15" width="2.875" style="31" customWidth="1"/>
    <col min="16" max="16" width="2.625" style="31" customWidth="1"/>
    <col min="17" max="16384" width="9.125" style="31"/>
  </cols>
  <sheetData>
    <row r="1" spans="2:20" s="150" customFormat="1" ht="12.75" customHeight="1">
      <c r="B1" s="564" t="s">
        <v>356</v>
      </c>
      <c r="C1" s="564"/>
      <c r="D1" s="564"/>
      <c r="E1" s="564"/>
      <c r="F1" s="564"/>
      <c r="G1" s="464" t="s">
        <v>358</v>
      </c>
      <c r="H1" s="464"/>
      <c r="I1" s="464"/>
      <c r="J1" s="464"/>
      <c r="K1" s="464"/>
      <c r="L1" s="464"/>
      <c r="O1" s="237"/>
      <c r="S1" s="427"/>
      <c r="T1" s="428"/>
    </row>
    <row r="2" spans="2:20" s="150" customFormat="1" ht="14.9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 customHeight="1">
      <c r="L4" s="5"/>
      <c r="M4" s="5"/>
      <c r="N4" s="5"/>
      <c r="O4" s="5"/>
    </row>
    <row r="6" spans="2:20" ht="7.5" customHeight="1">
      <c r="B6" s="112"/>
      <c r="C6" s="113"/>
      <c r="D6" s="113"/>
      <c r="E6" s="113"/>
      <c r="F6" s="113"/>
      <c r="G6" s="113"/>
      <c r="H6" s="113"/>
      <c r="I6" s="113"/>
      <c r="J6" s="113"/>
      <c r="K6" s="113"/>
      <c r="L6" s="113"/>
      <c r="M6" s="113"/>
      <c r="N6" s="113"/>
      <c r="O6" s="113"/>
      <c r="P6" s="114"/>
    </row>
    <row r="7" spans="2:20" ht="21.75">
      <c r="B7" s="115"/>
      <c r="C7" s="563" t="s">
        <v>174</v>
      </c>
      <c r="D7" s="563"/>
      <c r="E7" s="563"/>
      <c r="F7" s="563"/>
      <c r="G7" s="563"/>
      <c r="H7" s="563"/>
      <c r="I7" s="563"/>
      <c r="J7" s="563"/>
      <c r="K7" s="563"/>
      <c r="L7" s="563"/>
      <c r="M7" s="563"/>
      <c r="N7" s="563"/>
      <c r="O7" s="563"/>
      <c r="P7" s="116"/>
    </row>
    <row r="8" spans="2:20" ht="18.350000000000001">
      <c r="B8" s="115"/>
      <c r="C8" s="63" t="s">
        <v>131</v>
      </c>
      <c r="D8" s="117"/>
      <c r="E8" s="117"/>
      <c r="F8" s="117"/>
      <c r="G8" s="118"/>
      <c r="H8" s="117"/>
      <c r="I8" s="117"/>
      <c r="J8" s="117"/>
      <c r="K8" s="118"/>
      <c r="L8" s="118"/>
      <c r="M8" s="118"/>
      <c r="N8" s="118"/>
      <c r="O8" s="66" t="s">
        <v>132</v>
      </c>
      <c r="P8" s="116"/>
    </row>
    <row r="9" spans="2:20" ht="15.65">
      <c r="B9" s="115"/>
      <c r="C9" s="118"/>
      <c r="D9" s="118"/>
      <c r="E9" s="118"/>
      <c r="F9" s="118"/>
      <c r="G9" s="118"/>
      <c r="H9" s="118"/>
      <c r="I9" s="118"/>
      <c r="J9" s="118"/>
      <c r="K9" s="118"/>
      <c r="L9" s="118"/>
      <c r="M9" s="118"/>
      <c r="N9" s="118"/>
      <c r="O9" s="118"/>
      <c r="P9" s="116"/>
    </row>
    <row r="10" spans="2:20" ht="15.65">
      <c r="B10" s="115"/>
      <c r="C10" s="67" t="s">
        <v>133</v>
      </c>
      <c r="D10" s="68"/>
      <c r="E10" s="68"/>
      <c r="F10" s="68"/>
      <c r="G10" s="68"/>
      <c r="H10" s="68"/>
      <c r="I10" s="68"/>
      <c r="J10" s="68"/>
      <c r="K10" s="68"/>
      <c r="L10" s="68"/>
      <c r="M10" s="68"/>
      <c r="N10" s="68"/>
      <c r="O10" s="69"/>
      <c r="P10" s="116"/>
    </row>
    <row r="11" spans="2:20" ht="15.65">
      <c r="B11" s="115"/>
      <c r="C11" s="70" t="s">
        <v>134</v>
      </c>
      <c r="D11" s="71" t="s">
        <v>131</v>
      </c>
      <c r="E11" s="71"/>
      <c r="F11" s="71"/>
      <c r="G11" s="71"/>
      <c r="H11" s="71"/>
      <c r="I11" s="71"/>
      <c r="J11" s="71"/>
      <c r="K11" s="71" t="s">
        <v>135</v>
      </c>
      <c r="L11" s="71"/>
      <c r="M11" s="71" t="s">
        <v>136</v>
      </c>
      <c r="N11" s="71"/>
      <c r="O11" s="72"/>
      <c r="P11" s="116"/>
    </row>
    <row r="12" spans="2:20" ht="15.65">
      <c r="B12" s="115"/>
      <c r="C12" s="70" t="s">
        <v>137</v>
      </c>
      <c r="D12" s="71" t="s">
        <v>138</v>
      </c>
      <c r="E12" s="71"/>
      <c r="F12" s="71"/>
      <c r="G12" s="71"/>
      <c r="H12" s="71"/>
      <c r="I12" s="71"/>
      <c r="J12" s="71"/>
      <c r="K12" s="71" t="s">
        <v>139</v>
      </c>
      <c r="L12" s="71"/>
      <c r="M12" s="71" t="s">
        <v>140</v>
      </c>
      <c r="N12" s="71"/>
      <c r="O12" s="72"/>
      <c r="P12" s="116"/>
    </row>
    <row r="13" spans="2:20" ht="15.65">
      <c r="B13" s="115"/>
      <c r="C13" s="73"/>
      <c r="D13" s="74" t="s">
        <v>141</v>
      </c>
      <c r="E13" s="74"/>
      <c r="F13" s="74"/>
      <c r="G13" s="74"/>
      <c r="H13" s="74"/>
      <c r="I13" s="74"/>
      <c r="J13" s="74"/>
      <c r="K13" s="74" t="s">
        <v>142</v>
      </c>
      <c r="L13" s="74"/>
      <c r="M13" s="74" t="s">
        <v>143</v>
      </c>
      <c r="N13" s="74"/>
      <c r="O13" s="75"/>
      <c r="P13" s="116"/>
    </row>
    <row r="14" spans="2:20" ht="15.65">
      <c r="B14" s="115"/>
      <c r="C14" s="71"/>
      <c r="D14" s="71"/>
      <c r="E14" s="71"/>
      <c r="F14" s="71"/>
      <c r="G14" s="71"/>
      <c r="H14" s="71"/>
      <c r="I14" s="71"/>
      <c r="J14" s="71"/>
      <c r="K14" s="71"/>
      <c r="L14" s="71"/>
      <c r="M14" s="71"/>
      <c r="N14" s="71"/>
      <c r="O14" s="71"/>
      <c r="P14" s="116"/>
    </row>
    <row r="15" spans="2:20" ht="15.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5.65">
      <c r="B17" s="115"/>
      <c r="C17" s="79" t="s">
        <v>176</v>
      </c>
      <c r="D17" s="80"/>
      <c r="E17" s="80"/>
      <c r="F17" s="80"/>
      <c r="G17" s="80"/>
      <c r="H17" s="81" t="s">
        <v>177</v>
      </c>
      <c r="I17" s="119" t="s">
        <v>178</v>
      </c>
      <c r="J17" s="119"/>
      <c r="K17" s="80" t="s">
        <v>148</v>
      </c>
      <c r="L17" s="80"/>
      <c r="M17" s="80"/>
      <c r="N17" s="80"/>
      <c r="O17" s="82"/>
      <c r="P17" s="116"/>
    </row>
    <row r="18" spans="2:16" ht="15.65">
      <c r="B18" s="115"/>
      <c r="C18" s="87" t="s">
        <v>179</v>
      </c>
      <c r="D18" s="88"/>
      <c r="E18" s="88"/>
      <c r="F18" s="84"/>
      <c r="G18" s="88"/>
      <c r="H18" s="100">
        <v>5100</v>
      </c>
      <c r="I18" s="120" t="s">
        <v>180</v>
      </c>
      <c r="J18" s="120"/>
      <c r="K18" s="88"/>
      <c r="L18" s="88"/>
      <c r="M18" s="88"/>
      <c r="N18" s="88"/>
      <c r="O18" s="90"/>
      <c r="P18" s="116"/>
    </row>
    <row r="19" spans="2:16" ht="15.65">
      <c r="B19" s="115"/>
      <c r="C19" s="87" t="s">
        <v>181</v>
      </c>
      <c r="D19" s="88"/>
      <c r="E19" s="88"/>
      <c r="F19" s="84"/>
      <c r="G19" s="88"/>
      <c r="H19" s="100">
        <v>4200</v>
      </c>
      <c r="I19" s="120" t="s">
        <v>180</v>
      </c>
      <c r="J19" s="120"/>
      <c r="K19" s="88" t="s">
        <v>182</v>
      </c>
      <c r="L19" s="88"/>
      <c r="M19" s="88"/>
      <c r="N19" s="88"/>
      <c r="O19" s="90"/>
      <c r="P19" s="116"/>
    </row>
    <row r="20" spans="2:16" ht="15.65">
      <c r="B20" s="115"/>
      <c r="C20" s="87" t="s">
        <v>183</v>
      </c>
      <c r="D20" s="88"/>
      <c r="E20" s="88"/>
      <c r="F20" s="84"/>
      <c r="G20" s="88"/>
      <c r="H20" s="100">
        <v>22000</v>
      </c>
      <c r="I20" s="120" t="s">
        <v>180</v>
      </c>
      <c r="J20" s="120"/>
      <c r="K20" s="88" t="s">
        <v>184</v>
      </c>
      <c r="L20" s="88"/>
      <c r="M20" s="88"/>
      <c r="N20" s="88"/>
      <c r="O20" s="90"/>
      <c r="P20" s="116"/>
    </row>
    <row r="21" spans="2:16" ht="15.65">
      <c r="B21" s="115"/>
      <c r="C21" s="87" t="s">
        <v>185</v>
      </c>
      <c r="D21" s="88"/>
      <c r="E21" s="88"/>
      <c r="F21" s="84"/>
      <c r="G21" s="88"/>
      <c r="H21" s="100">
        <v>4500</v>
      </c>
      <c r="I21" s="120" t="s">
        <v>180</v>
      </c>
      <c r="J21" s="120"/>
      <c r="K21" s="88"/>
      <c r="L21" s="88"/>
      <c r="M21" s="88"/>
      <c r="N21" s="88"/>
      <c r="O21" s="90"/>
      <c r="P21" s="116"/>
    </row>
    <row r="22" spans="2:16" ht="15.65">
      <c r="B22" s="115"/>
      <c r="C22" s="87" t="s">
        <v>186</v>
      </c>
      <c r="D22" s="88"/>
      <c r="E22" s="88"/>
      <c r="F22" s="84"/>
      <c r="G22" s="88"/>
      <c r="H22" s="100">
        <v>179000</v>
      </c>
      <c r="I22" s="120" t="s">
        <v>180</v>
      </c>
      <c r="J22" s="120"/>
      <c r="K22" s="88" t="s">
        <v>187</v>
      </c>
      <c r="L22" s="88"/>
      <c r="M22" s="88"/>
      <c r="N22" s="88"/>
      <c r="O22" s="90"/>
      <c r="P22" s="116"/>
    </row>
    <row r="23" spans="2:16" ht="15.65">
      <c r="B23" s="115"/>
      <c r="C23" s="87" t="s">
        <v>188</v>
      </c>
      <c r="D23" s="88"/>
      <c r="E23" s="88"/>
      <c r="F23" s="84"/>
      <c r="G23" s="88"/>
      <c r="H23" s="100">
        <v>24000</v>
      </c>
      <c r="I23" s="120" t="s">
        <v>180</v>
      </c>
      <c r="J23" s="120"/>
      <c r="K23" s="88" t="s">
        <v>189</v>
      </c>
      <c r="L23" s="88"/>
      <c r="M23" s="88"/>
      <c r="N23" s="88"/>
      <c r="O23" s="90"/>
      <c r="P23" s="116"/>
    </row>
    <row r="24" spans="2:16" ht="16.3" thickBot="1">
      <c r="B24" s="115"/>
      <c r="C24" s="87" t="s">
        <v>190</v>
      </c>
      <c r="D24" s="88"/>
      <c r="E24" s="88"/>
      <c r="F24" s="84"/>
      <c r="G24" s="88"/>
      <c r="H24" s="100">
        <v>22000</v>
      </c>
      <c r="I24" s="120" t="s">
        <v>180</v>
      </c>
      <c r="J24" s="120"/>
      <c r="K24" s="84" t="s">
        <v>191</v>
      </c>
      <c r="L24" s="88"/>
      <c r="M24" s="88"/>
      <c r="N24" s="88"/>
      <c r="O24" s="90"/>
      <c r="P24" s="116"/>
    </row>
    <row r="25" spans="2:16" ht="16.3" thickTop="1">
      <c r="B25" s="115"/>
      <c r="C25" s="91" t="s">
        <v>7</v>
      </c>
      <c r="D25" s="92"/>
      <c r="E25" s="92"/>
      <c r="F25" s="92"/>
      <c r="G25" s="92"/>
      <c r="H25" s="102">
        <f>SUM(H18:H24)</f>
        <v>260800</v>
      </c>
      <c r="I25" s="102"/>
      <c r="J25" s="92"/>
      <c r="K25" s="92"/>
      <c r="L25" s="92"/>
      <c r="M25" s="92"/>
      <c r="N25" s="92"/>
      <c r="O25" s="94"/>
      <c r="P25" s="116"/>
    </row>
    <row r="26" spans="2:16" ht="15.65">
      <c r="B26" s="115"/>
      <c r="C26" s="71"/>
      <c r="D26" s="71"/>
      <c r="E26" s="71"/>
      <c r="F26" s="71"/>
      <c r="G26" s="71"/>
      <c r="H26" s="71"/>
      <c r="I26" s="71"/>
      <c r="J26" s="71"/>
      <c r="K26" s="71"/>
      <c r="L26" s="71"/>
      <c r="M26" s="71"/>
      <c r="N26" s="71"/>
      <c r="O26" s="71"/>
      <c r="P26" s="116"/>
    </row>
    <row r="27" spans="2:16" ht="15.65">
      <c r="B27" s="115"/>
      <c r="C27" s="95" t="s">
        <v>192</v>
      </c>
      <c r="D27" s="96"/>
      <c r="E27" s="96"/>
      <c r="F27" s="96"/>
      <c r="G27" s="96"/>
      <c r="H27" s="97" t="s">
        <v>193</v>
      </c>
      <c r="I27" s="97"/>
      <c r="J27" s="96"/>
      <c r="K27" s="96" t="s">
        <v>148</v>
      </c>
      <c r="L27" s="96"/>
      <c r="M27" s="96"/>
      <c r="N27" s="96"/>
      <c r="O27" s="98"/>
      <c r="P27" s="116"/>
    </row>
    <row r="28" spans="2:16" ht="15.65">
      <c r="B28" s="115"/>
      <c r="C28" s="87" t="s">
        <v>194</v>
      </c>
      <c r="D28" s="88"/>
      <c r="E28" s="88"/>
      <c r="F28" s="88"/>
      <c r="G28" s="88"/>
      <c r="H28" s="100">
        <v>0</v>
      </c>
      <c r="I28" s="100"/>
      <c r="J28" s="88"/>
      <c r="K28" s="88" t="s">
        <v>195</v>
      </c>
      <c r="L28" s="88"/>
      <c r="M28" s="88"/>
      <c r="N28" s="88"/>
      <c r="O28" s="90"/>
      <c r="P28" s="116"/>
    </row>
    <row r="29" spans="2:16" ht="15.65">
      <c r="B29" s="115"/>
      <c r="C29" s="87" t="s">
        <v>196</v>
      </c>
      <c r="D29" s="88"/>
      <c r="E29" s="88"/>
      <c r="F29" s="88"/>
      <c r="G29" s="88"/>
      <c r="H29" s="100">
        <v>16000</v>
      </c>
      <c r="I29" s="100"/>
      <c r="J29" s="88"/>
      <c r="K29" s="88" t="s">
        <v>197</v>
      </c>
      <c r="L29" s="88"/>
      <c r="M29" s="88"/>
      <c r="N29" s="88"/>
      <c r="O29" s="90"/>
      <c r="P29" s="116"/>
    </row>
    <row r="30" spans="2:16" ht="15.65">
      <c r="B30" s="115"/>
      <c r="C30" s="87" t="s">
        <v>198</v>
      </c>
      <c r="D30" s="88"/>
      <c r="E30" s="88"/>
      <c r="F30" s="88"/>
      <c r="G30" s="88"/>
      <c r="H30" s="100">
        <v>122000</v>
      </c>
      <c r="I30" s="100"/>
      <c r="J30" s="88"/>
      <c r="K30" s="88" t="s">
        <v>187</v>
      </c>
      <c r="L30" s="88"/>
      <c r="M30" s="88"/>
      <c r="N30" s="88"/>
      <c r="O30" s="90"/>
      <c r="P30" s="116"/>
    </row>
    <row r="31" spans="2:16" ht="15.65">
      <c r="B31" s="115"/>
      <c r="C31" s="87" t="s">
        <v>199</v>
      </c>
      <c r="D31" s="88"/>
      <c r="E31" s="88"/>
      <c r="F31" s="88"/>
      <c r="G31" s="88"/>
      <c r="H31" s="100">
        <v>0</v>
      </c>
      <c r="I31" s="100"/>
      <c r="J31" s="88"/>
      <c r="K31" s="88" t="s">
        <v>195</v>
      </c>
      <c r="L31" s="88"/>
      <c r="M31" s="88"/>
      <c r="N31" s="88"/>
      <c r="O31" s="90"/>
      <c r="P31" s="116"/>
    </row>
    <row r="32" spans="2:16" ht="16.3" thickBot="1">
      <c r="B32" s="115"/>
      <c r="C32" s="87" t="s">
        <v>200</v>
      </c>
      <c r="D32" s="88"/>
      <c r="E32" s="88"/>
      <c r="F32" s="88"/>
      <c r="G32" s="88"/>
      <c r="H32" s="100">
        <v>0</v>
      </c>
      <c r="I32" s="100"/>
      <c r="J32" s="88"/>
      <c r="K32" s="88" t="s">
        <v>195</v>
      </c>
      <c r="L32" s="88"/>
      <c r="M32" s="88"/>
      <c r="N32" s="88"/>
      <c r="O32" s="90"/>
      <c r="P32" s="116"/>
    </row>
    <row r="33" spans="2:16" ht="16.3" thickTop="1">
      <c r="B33" s="115"/>
      <c r="C33" s="91" t="s">
        <v>7</v>
      </c>
      <c r="D33" s="92"/>
      <c r="E33" s="92"/>
      <c r="F33" s="92"/>
      <c r="G33" s="92"/>
      <c r="H33" s="102">
        <f>SUM(H28:H32)</f>
        <v>138000</v>
      </c>
      <c r="I33" s="102"/>
      <c r="J33" s="92"/>
      <c r="K33" s="92"/>
      <c r="L33" s="92"/>
      <c r="M33" s="92"/>
      <c r="N33" s="92"/>
      <c r="O33" s="94"/>
      <c r="P33" s="116"/>
    </row>
    <row r="34" spans="2:16" ht="15.65">
      <c r="B34" s="115"/>
      <c r="C34" s="71"/>
      <c r="D34" s="71"/>
      <c r="E34" s="71"/>
      <c r="F34" s="71"/>
      <c r="G34" s="71"/>
      <c r="H34" s="71"/>
      <c r="I34" s="71"/>
      <c r="J34" s="71"/>
      <c r="K34" s="71"/>
      <c r="L34" s="71"/>
      <c r="M34" s="71"/>
      <c r="N34" s="71"/>
      <c r="O34" s="71"/>
      <c r="P34" s="116"/>
    </row>
    <row r="35" spans="2:16" ht="15.65">
      <c r="B35" s="115"/>
      <c r="C35" s="79" t="s">
        <v>174</v>
      </c>
      <c r="D35" s="80"/>
      <c r="E35" s="80"/>
      <c r="F35" s="80"/>
      <c r="G35" s="80"/>
      <c r="H35" s="81" t="s">
        <v>177</v>
      </c>
      <c r="I35" s="81"/>
      <c r="J35" s="80"/>
      <c r="K35" s="80" t="s">
        <v>148</v>
      </c>
      <c r="L35" s="80"/>
      <c r="M35" s="80"/>
      <c r="N35" s="80"/>
      <c r="O35" s="82"/>
      <c r="P35" s="116"/>
    </row>
    <row r="36" spans="2:16" ht="15.65">
      <c r="B36" s="115"/>
      <c r="C36" s="87" t="s">
        <v>176</v>
      </c>
      <c r="D36" s="88"/>
      <c r="E36" s="88"/>
      <c r="F36" s="88"/>
      <c r="G36" s="88"/>
      <c r="H36" s="100">
        <f>H25</f>
        <v>260800</v>
      </c>
      <c r="I36" s="100"/>
      <c r="J36" s="88"/>
      <c r="K36" s="88"/>
      <c r="L36" s="88"/>
      <c r="M36" s="88"/>
      <c r="N36" s="88"/>
      <c r="O36" s="90"/>
      <c r="P36" s="116"/>
    </row>
    <row r="37" spans="2:16" ht="16.3" thickBot="1">
      <c r="B37" s="115"/>
      <c r="C37" s="87" t="s">
        <v>192</v>
      </c>
      <c r="D37" s="88"/>
      <c r="E37" s="88"/>
      <c r="F37" s="88"/>
      <c r="G37" s="88"/>
      <c r="H37" s="100">
        <f>-H33</f>
        <v>-138000</v>
      </c>
      <c r="I37" s="100"/>
      <c r="J37" s="88"/>
      <c r="K37" s="88"/>
      <c r="L37" s="88"/>
      <c r="M37" s="88"/>
      <c r="N37" s="88"/>
      <c r="O37" s="90"/>
      <c r="P37" s="116"/>
    </row>
    <row r="38" spans="2:16" ht="16.3" thickTop="1">
      <c r="B38" s="115"/>
      <c r="C38" s="91" t="s">
        <v>172</v>
      </c>
      <c r="D38" s="92"/>
      <c r="E38" s="92"/>
      <c r="F38" s="92"/>
      <c r="G38" s="92"/>
      <c r="H38" s="102">
        <f>SUM(H36:H37)</f>
        <v>122800</v>
      </c>
      <c r="I38" s="102"/>
      <c r="J38" s="92"/>
      <c r="K38" s="121" t="s">
        <v>53</v>
      </c>
      <c r="L38" s="92"/>
      <c r="M38" s="92"/>
      <c r="N38" s="92"/>
      <c r="O38" s="94"/>
      <c r="P38" s="116"/>
    </row>
    <row r="39" spans="2:16" ht="15.65">
      <c r="B39" s="122"/>
      <c r="C39" s="123"/>
      <c r="D39" s="123"/>
      <c r="E39" s="123"/>
      <c r="F39" s="123"/>
      <c r="G39" s="123"/>
      <c r="H39" s="124"/>
      <c r="I39" s="124"/>
      <c r="J39" s="123"/>
      <c r="K39" s="123"/>
      <c r="L39" s="123"/>
      <c r="M39" s="123"/>
      <c r="N39" s="123"/>
      <c r="O39" s="123"/>
      <c r="P39" s="125"/>
    </row>
    <row r="41" spans="2:16" ht="17.7">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2026-01-08T10:55:54Z</dcterms:modified>
</cp:coreProperties>
</file>