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filterPrivacy="1" codeName="ThisWorkbook"/>
  <xr:revisionPtr revIDLastSave="0" documentId="13_ncr:1_{0C063225-340F-4E41-AF32-710E621A9491}" xr6:coauthVersionLast="47" xr6:coauthVersionMax="47" xr10:uidLastSave="{00000000-0000-0000-0000-000000000000}"/>
  <workbookProtection workbookAlgorithmName="SHA-512" workbookHashValue="bkAoVUSPiS/Fr9l0linjIC61UKtGmiqhhwopVtBovyY5fZitDhtYqqqRamAeiYE4s++TXM/+D/RTXgiNxfwKPQ==" workbookSaltValue="JKbtuXv6gT8J3bHeBsZBtw==" workbookSpinCount="100000" lockStructure="1"/>
  <bookViews>
    <workbookView xWindow="-110" yWindow="-110" windowWidth="38620" windowHeight="21100" tabRatio="842" activeTab="1" xr2:uid="{00000000-000D-0000-FFFF-FFFF00000000}"/>
  </bookViews>
  <sheets>
    <sheet name="Deckblatt" sheetId="16" r:id="rId1"/>
    <sheet name="Roter Faden" sheetId="34" r:id="rId2"/>
    <sheet name="0" sheetId="41" r:id="rId3"/>
    <sheet name="1" sheetId="20" r:id="rId4"/>
    <sheet name="2" sheetId="23" r:id="rId5"/>
    <sheet name="3" sheetId="24" r:id="rId6"/>
    <sheet name="4" sheetId="25" r:id="rId7"/>
    <sheet name="5" sheetId="26" r:id="rId8"/>
    <sheet name="6" sheetId="27" r:id="rId9"/>
    <sheet name="7" sheetId="28" r:id="rId10"/>
    <sheet name="8" sheetId="30" r:id="rId11"/>
    <sheet name="9" sheetId="31" r:id="rId12"/>
    <sheet name="10" sheetId="33" r:id="rId13"/>
    <sheet name="11" sheetId="35" r:id="rId14"/>
    <sheet name="12" sheetId="37" r:id="rId15"/>
    <sheet name="13" sheetId="38" r:id="rId16"/>
    <sheet name="14" sheetId="43" r:id="rId17"/>
    <sheet name="15" sheetId="42" r:id="rId18"/>
    <sheet name="Cockpit" sheetId="9" r:id="rId19"/>
    <sheet name="Bankgespräch" sheetId="15" r:id="rId20"/>
    <sheet name="Kennzahlen im Verlauf" sheetId="10" r:id="rId21"/>
    <sheet name="Diagramme" sheetId="11" r:id="rId22"/>
    <sheet name="Konfiguration" sheetId="14" r:id="rId23"/>
    <sheet name="Haushaltsrechnung" sheetId="17" r:id="rId24"/>
    <sheet name="Vermögensaufstellung" sheetId="18" r:id="rId25"/>
    <sheet name="calc_rf" sheetId="40" state="hidden" r:id="rId26"/>
    <sheet name="cnfg_rf" sheetId="36" state="hidden" r:id="rId27"/>
    <sheet name="txt_rf" sheetId="44" state="hidden" r:id="rId28"/>
    <sheet name="ekst_rf" sheetId="39" state="hidden" r:id="rId29"/>
  </sheets>
  <definedNames>
    <definedName name="_xlnm.Print_Area" localSheetId="2">'0'!$A$1:$R$24</definedName>
    <definedName name="_xlnm.Print_Area" localSheetId="3">'1'!$A$1:$R$21</definedName>
    <definedName name="_xlnm.Print_Area" localSheetId="12">'10'!$A$1:$R$20</definedName>
    <definedName name="_xlnm.Print_Area" localSheetId="13">'11'!$A$1:$R$23</definedName>
    <definedName name="_xlnm.Print_Area" localSheetId="14">'12'!$A$1:$R$22</definedName>
    <definedName name="_xlnm.Print_Area" localSheetId="15">'13'!$A$1:$S$33</definedName>
    <definedName name="_xlnm.Print_Area" localSheetId="16">'14'!$A$1:$S$26</definedName>
    <definedName name="_xlnm.Print_Area" localSheetId="17">'15'!$A$1:$S$28</definedName>
    <definedName name="_xlnm.Print_Area" localSheetId="4">'2'!$A$1:$R$24</definedName>
    <definedName name="_xlnm.Print_Area" localSheetId="5">'3'!$A$1:$R$23</definedName>
    <definedName name="_xlnm.Print_Area" localSheetId="6">'4'!$A$1:$R$20</definedName>
    <definedName name="_xlnm.Print_Area" localSheetId="7">'5'!$A$1:$R$18</definedName>
    <definedName name="_xlnm.Print_Area" localSheetId="8">'6'!$A$1:$R$20</definedName>
    <definedName name="_xlnm.Print_Area" localSheetId="9">'7'!$A$1:$R$21</definedName>
    <definedName name="_xlnm.Print_Area" localSheetId="10">'8'!$A$1:$R$18</definedName>
    <definedName name="_xlnm.Print_Area" localSheetId="11">'9'!$A$1:$R$22</definedName>
    <definedName name="_xlnm.Print_Area" localSheetId="19">Bankgespräch!$A$5:$L$55</definedName>
    <definedName name="_xlnm.Print_Area" localSheetId="18">Cockpit!$A$5:$U$47</definedName>
    <definedName name="_xlnm.Print_Area" localSheetId="0">Deckblatt!$B$6:$M$43</definedName>
    <definedName name="_xlnm.Print_Area" localSheetId="21">Diagramme!$A$5:$S$106</definedName>
    <definedName name="_xlnm.Print_Area" localSheetId="23">Haushaltsrechnung!$B$6:$P$51</definedName>
    <definedName name="_xlnm.Print_Area" localSheetId="20">'Kennzahlen im Verlauf'!$A$11:$BB$77</definedName>
    <definedName name="_xlnm.Print_Area" localSheetId="22">Konfiguration!$A$5:$F$13</definedName>
    <definedName name="_xlnm.Print_Area" localSheetId="1">'Roter Faden'!$A$1:$R$30</definedName>
    <definedName name="_xlnm.Print_Area" localSheetId="24">Vermögensaufstellung!$B$6:$P$39</definedName>
    <definedName name="_xlnm.Print_Titles" localSheetId="20">'Kennzahlen im Verlauf'!$A:$C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2" i="14" l="1"/>
  <c r="C11" i="14"/>
  <c r="B16" i="20"/>
  <c r="P6" i="36"/>
  <c r="C9" i="9" l="1"/>
  <c r="E10" i="23"/>
  <c r="E14" i="41"/>
  <c r="C10" i="9" s="1"/>
  <c r="E18" i="44"/>
  <c r="C18" i="40" l="1"/>
  <c r="C9" i="40"/>
  <c r="B9" i="40" s="1"/>
  <c r="B12" i="30" l="1"/>
  <c r="C14" i="40" l="1"/>
  <c r="E11" i="9"/>
  <c r="B10" i="40" l="1"/>
  <c r="B11" i="40"/>
  <c r="C19" i="40"/>
  <c r="E7" i="39"/>
  <c r="C7" i="39"/>
  <c r="E9" i="39" l="1"/>
  <c r="E14" i="39" s="1"/>
  <c r="E16" i="39" s="1"/>
  <c r="C9" i="39"/>
  <c r="C22" i="39" l="1"/>
  <c r="C24" i="39" s="1"/>
  <c r="C27" i="39" s="1"/>
  <c r="C14" i="39"/>
  <c r="E22" i="39"/>
  <c r="E24" i="39" s="1"/>
  <c r="E18" i="39"/>
  <c r="E30" i="39" s="1"/>
  <c r="E17" i="39"/>
  <c r="X6" i="36"/>
  <c r="X18" i="36" s="1"/>
  <c r="Y6" i="36"/>
  <c r="Y18" i="36" s="1"/>
  <c r="Z6" i="36"/>
  <c r="Z18" i="36" s="1"/>
  <c r="N6" i="36"/>
  <c r="N18" i="36" s="1"/>
  <c r="L6" i="36"/>
  <c r="L18" i="36" s="1"/>
  <c r="O6" i="36"/>
  <c r="O18" i="36" s="1"/>
  <c r="W6" i="36"/>
  <c r="W18" i="36" s="1"/>
  <c r="V6" i="36"/>
  <c r="V18" i="36" s="1"/>
  <c r="U6" i="36"/>
  <c r="U18" i="36" s="1"/>
  <c r="T6" i="36"/>
  <c r="T18" i="36" s="1"/>
  <c r="S6" i="36"/>
  <c r="S18" i="36" s="1"/>
  <c r="R6" i="36"/>
  <c r="R18" i="36" s="1"/>
  <c r="Q6" i="36"/>
  <c r="Q18" i="36" s="1"/>
  <c r="P18" i="36"/>
  <c r="M6" i="36"/>
  <c r="M18" i="36" s="1"/>
  <c r="K6" i="36"/>
  <c r="K18" i="36" s="1"/>
  <c r="I6" i="36"/>
  <c r="I18" i="36" s="1"/>
  <c r="J6" i="36"/>
  <c r="J18" i="36" l="1"/>
  <c r="E26" i="39"/>
  <c r="E28" i="39" s="1"/>
  <c r="C18" i="39"/>
  <c r="C16" i="39"/>
  <c r="C17" i="39"/>
  <c r="C28" i="39"/>
  <c r="C26" i="39"/>
  <c r="E27" i="39" l="1"/>
  <c r="E31" i="39"/>
  <c r="E33" i="39" s="1"/>
  <c r="E35" i="39" s="1"/>
  <c r="E37" i="39" s="1"/>
  <c r="C31" i="39"/>
  <c r="C30" i="39"/>
  <c r="C26" i="9"/>
  <c r="E26" i="9" s="1"/>
  <c r="C25" i="9"/>
  <c r="E25" i="9" s="1"/>
  <c r="C33" i="39" l="1"/>
  <c r="C35" i="39" s="1"/>
  <c r="C37" i="39" s="1"/>
  <c r="C39" i="39" s="1"/>
  <c r="E14" i="37" s="1"/>
  <c r="H12" i="36" l="1"/>
  <c r="F24" i="36" s="1"/>
  <c r="G24" i="36" s="1"/>
  <c r="H9" i="36"/>
  <c r="F21" i="36" s="1"/>
  <c r="G21" i="36" s="1"/>
  <c r="H8" i="36"/>
  <c r="F20" i="36" s="1"/>
  <c r="G20" i="36" s="1"/>
  <c r="H10" i="36"/>
  <c r="F22" i="36" s="1"/>
  <c r="G22" i="36" s="1"/>
  <c r="H11" i="36"/>
  <c r="F23" i="36" s="1"/>
  <c r="G23" i="36" s="1"/>
  <c r="H7" i="36"/>
  <c r="Q33" i="9"/>
  <c r="T33" i="9" s="1"/>
  <c r="E14" i="35"/>
  <c r="H15" i="9" s="1"/>
  <c r="F19" i="36" l="1"/>
  <c r="G19" i="36" s="1"/>
  <c r="E8" i="44"/>
  <c r="E7" i="44"/>
  <c r="E13" i="44"/>
  <c r="E12" i="44"/>
  <c r="C11" i="9"/>
  <c r="C15" i="40" l="1"/>
  <c r="C20" i="40"/>
  <c r="K24" i="9" l="1"/>
  <c r="H21" i="9"/>
  <c r="H20" i="9"/>
  <c r="N19" i="9" l="1"/>
  <c r="N18" i="9"/>
  <c r="N16" i="9"/>
  <c r="D20" i="9" l="1"/>
  <c r="D18" i="9"/>
  <c r="D17" i="9"/>
  <c r="D16" i="9"/>
  <c r="D19" i="9"/>
  <c r="H9" i="9" l="1"/>
  <c r="M11" i="11" s="1"/>
  <c r="D14" i="9"/>
  <c r="D15" i="9" l="1"/>
  <c r="D29" i="15" s="1"/>
  <c r="N17" i="9"/>
  <c r="N9" i="9" l="1"/>
  <c r="N11" i="9" s="1"/>
  <c r="E10" i="25"/>
  <c r="D10" i="11"/>
  <c r="B6" i="11"/>
  <c r="C8" i="15"/>
  <c r="Q21" i="9" l="1"/>
  <c r="G35" i="15"/>
  <c r="N12" i="9"/>
  <c r="D49" i="10"/>
  <c r="D47" i="10"/>
  <c r="Q22" i="9" l="1"/>
  <c r="D12" i="14" s="1"/>
  <c r="G34" i="15"/>
  <c r="D53" i="10"/>
  <c r="D54" i="10" s="1"/>
  <c r="D65" i="10"/>
  <c r="D50" i="10"/>
  <c r="E47" i="10"/>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7" i="10" s="1"/>
  <c r="AD47" i="10" s="1"/>
  <c r="AE47" i="10" s="1"/>
  <c r="AF47" i="10" s="1"/>
  <c r="AG47" i="10" s="1"/>
  <c r="AH47" i="10" s="1"/>
  <c r="AI47" i="10" s="1"/>
  <c r="AJ47" i="10" s="1"/>
  <c r="AK47" i="10" s="1"/>
  <c r="AL47" i="10" s="1"/>
  <c r="AM47" i="10" s="1"/>
  <c r="AN47" i="10" s="1"/>
  <c r="AO47" i="10" s="1"/>
  <c r="AP47" i="10" s="1"/>
  <c r="AQ47" i="10" s="1"/>
  <c r="AR47" i="10" s="1"/>
  <c r="AS47" i="10" s="1"/>
  <c r="AT47" i="10" s="1"/>
  <c r="AU47" i="10" s="1"/>
  <c r="AV47" i="10" s="1"/>
  <c r="AW47" i="10" s="1"/>
  <c r="AX47" i="10" s="1"/>
  <c r="AY47" i="10" s="1"/>
  <c r="AZ47" i="10" s="1"/>
  <c r="BA47" i="10" s="1"/>
  <c r="BB47" i="10" s="1"/>
  <c r="D8" i="10"/>
  <c r="E11" i="14" l="1"/>
  <c r="D11" i="14"/>
  <c r="E12" i="14"/>
  <c r="BC47" i="10"/>
  <c r="D58" i="10"/>
  <c r="E8" i="10"/>
  <c r="D56" i="10"/>
  <c r="D59" i="10" s="1"/>
  <c r="K45" i="9"/>
  <c r="K28" i="9" s="1"/>
  <c r="K37" i="9"/>
  <c r="K20" i="9" s="1"/>
  <c r="K21" i="9" s="1"/>
  <c r="K9" i="9" s="1"/>
  <c r="D9" i="10" s="1"/>
  <c r="E9" i="10" s="1"/>
  <c r="F9" i="10" s="1"/>
  <c r="G9" i="10" s="1"/>
  <c r="H9" i="10" s="1"/>
  <c r="I9" i="10" s="1"/>
  <c r="J9" i="10" s="1"/>
  <c r="K9" i="10" s="1"/>
  <c r="L9" i="10" s="1"/>
  <c r="M9" i="10" s="1"/>
  <c r="N9" i="10" s="1"/>
  <c r="O9" i="10" s="1"/>
  <c r="P9" i="10" s="1"/>
  <c r="Q9" i="10" s="1"/>
  <c r="R9" i="10" s="1"/>
  <c r="S9" i="10" s="1"/>
  <c r="T9" i="10" s="1"/>
  <c r="U9" i="10" s="1"/>
  <c r="V9" i="10" s="1"/>
  <c r="W9" i="10" s="1"/>
  <c r="X9" i="10" s="1"/>
  <c r="Y9" i="10" s="1"/>
  <c r="Z9" i="10" s="1"/>
  <c r="AA9" i="10" s="1"/>
  <c r="AB9" i="10" s="1"/>
  <c r="AC9" i="10" s="1"/>
  <c r="AD9" i="10" s="1"/>
  <c r="AE9" i="10" s="1"/>
  <c r="AF9" i="10" s="1"/>
  <c r="AG9" i="10" s="1"/>
  <c r="AH9" i="10" s="1"/>
  <c r="AI9" i="10" s="1"/>
  <c r="AJ9" i="10" s="1"/>
  <c r="AK9" i="10" s="1"/>
  <c r="AL9" i="10" s="1"/>
  <c r="AM9" i="10" s="1"/>
  <c r="AN9" i="10" s="1"/>
  <c r="AO9" i="10" s="1"/>
  <c r="AP9" i="10" s="1"/>
  <c r="AQ9" i="10" s="1"/>
  <c r="AR9" i="10" s="1"/>
  <c r="AS9" i="10" s="1"/>
  <c r="AT9" i="10" s="1"/>
  <c r="AU9" i="10" s="1"/>
  <c r="AV9" i="10" s="1"/>
  <c r="AW9" i="10" s="1"/>
  <c r="AX9" i="10" s="1"/>
  <c r="AY9" i="10" s="1"/>
  <c r="AZ9" i="10" s="1"/>
  <c r="BA9" i="10" s="1"/>
  <c r="BB9" i="10" s="1"/>
  <c r="BC9" i="10" s="1"/>
  <c r="BD9" i="10" s="1"/>
  <c r="BE9" i="10" s="1"/>
  <c r="BF9" i="10" s="1"/>
  <c r="BG9" i="10" s="1"/>
  <c r="BH9" i="10" s="1"/>
  <c r="BI9" i="10" s="1"/>
  <c r="BJ9" i="10" s="1"/>
  <c r="BK9" i="10" s="1"/>
  <c r="BL9" i="10" s="1"/>
  <c r="BM9" i="10" s="1"/>
  <c r="BN9" i="10" s="1"/>
  <c r="BO9" i="10" s="1"/>
  <c r="BP9" i="10" s="1"/>
  <c r="BQ9" i="10" s="1"/>
  <c r="BR9" i="10" s="1"/>
  <c r="BS9" i="10" s="1"/>
  <c r="BT9" i="10" s="1"/>
  <c r="BU9" i="10" s="1"/>
  <c r="BV9" i="10" s="1"/>
  <c r="BW9" i="10" s="1"/>
  <c r="BX9" i="10" s="1"/>
  <c r="BY9" i="10" s="1"/>
  <c r="BZ9" i="10" s="1"/>
  <c r="CA9" i="10" s="1"/>
  <c r="CB9" i="10" s="1"/>
  <c r="CC9" i="10" s="1"/>
  <c r="CD9" i="10" s="1"/>
  <c r="CE9" i="10" s="1"/>
  <c r="CF9" i="10" s="1"/>
  <c r="CG9" i="10" s="1"/>
  <c r="CH9" i="10" s="1"/>
  <c r="K15" i="9"/>
  <c r="BD47" i="10" l="1"/>
  <c r="D10" i="10"/>
  <c r="F8" i="10"/>
  <c r="E10" i="10"/>
  <c r="I10" i="11"/>
  <c r="BE47" i="10" l="1"/>
  <c r="F10" i="10"/>
  <c r="G8" i="10"/>
  <c r="D22" i="10"/>
  <c r="BF47" i="10" l="1"/>
  <c r="H8" i="10"/>
  <c r="G10" i="10"/>
  <c r="E22" i="10"/>
  <c r="D13" i="10"/>
  <c r="D7" i="10" s="1"/>
  <c r="BG47" i="10" l="1"/>
  <c r="I8" i="10"/>
  <c r="H10" i="10"/>
  <c r="F22" i="10"/>
  <c r="D62" i="10"/>
  <c r="D77" i="10" s="1"/>
  <c r="D28" i="10"/>
  <c r="D45" i="10"/>
  <c r="E13" i="10"/>
  <c r="E7" i="10" s="1"/>
  <c r="BH47" i="10" l="1"/>
  <c r="J8" i="10"/>
  <c r="I10" i="10"/>
  <c r="D20" i="10"/>
  <c r="G22" i="10"/>
  <c r="E45" i="10"/>
  <c r="F13" i="10"/>
  <c r="F7" i="10" s="1"/>
  <c r="E28" i="10"/>
  <c r="E62" i="10"/>
  <c r="E77" i="10" s="1"/>
  <c r="BI47" i="10" l="1"/>
  <c r="BJ47" i="10" s="1"/>
  <c r="BK47" i="10" s="1"/>
  <c r="BL47" i="10" s="1"/>
  <c r="BM47" i="10" s="1"/>
  <c r="BN47" i="10" s="1"/>
  <c r="BO47" i="10" s="1"/>
  <c r="BP47" i="10" s="1"/>
  <c r="K8" i="10"/>
  <c r="J10" i="10"/>
  <c r="E20" i="10"/>
  <c r="H22" i="10"/>
  <c r="G13" i="10"/>
  <c r="G7" i="10" s="1"/>
  <c r="F45" i="10"/>
  <c r="F28" i="10"/>
  <c r="F62" i="10"/>
  <c r="F77" i="10" s="1"/>
  <c r="BQ47" i="10" l="1"/>
  <c r="K10" i="10"/>
  <c r="L8" i="10"/>
  <c r="F20" i="10"/>
  <c r="I22" i="10"/>
  <c r="H13" i="10"/>
  <c r="H7" i="10" s="1"/>
  <c r="G62" i="10"/>
  <c r="G77" i="10" s="1"/>
  <c r="G28" i="10"/>
  <c r="G45"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BR47" i="10" l="1"/>
  <c r="L10" i="10"/>
  <c r="M8" i="10"/>
  <c r="G20" i="10"/>
  <c r="J22" i="10"/>
  <c r="I13" i="10"/>
  <c r="I7" i="10" s="1"/>
  <c r="H62" i="10"/>
  <c r="H77" i="10" s="1"/>
  <c r="H45" i="10"/>
  <c r="H28" i="10"/>
  <c r="H45" i="17"/>
  <c r="H38" i="18"/>
  <c r="I50" i="17"/>
  <c r="H50" i="17" s="1"/>
  <c r="H48" i="17"/>
  <c r="H26" i="17"/>
  <c r="BS47" i="10" l="1"/>
  <c r="N8" i="10"/>
  <c r="M10" i="10"/>
  <c r="H20" i="10"/>
  <c r="K22" i="10"/>
  <c r="J13" i="10"/>
  <c r="J7" i="10" s="1"/>
  <c r="I45" i="10"/>
  <c r="I62" i="10"/>
  <c r="I77" i="10" s="1"/>
  <c r="I28" i="10"/>
  <c r="BT47" i="10" l="1"/>
  <c r="N10" i="10"/>
  <c r="O8" i="10"/>
  <c r="I20" i="10"/>
  <c r="L22" i="10"/>
  <c r="K13" i="10"/>
  <c r="K7" i="10" s="1"/>
  <c r="J45" i="10"/>
  <c r="J28" i="10"/>
  <c r="J62" i="10"/>
  <c r="J77" i="10" s="1"/>
  <c r="BU47" i="10" l="1"/>
  <c r="P8" i="10"/>
  <c r="O10" i="10"/>
  <c r="J20" i="10"/>
  <c r="M22" i="10"/>
  <c r="L13" i="10"/>
  <c r="L7" i="10" s="1"/>
  <c r="K62" i="10"/>
  <c r="K77" i="10" s="1"/>
  <c r="K28" i="10"/>
  <c r="K45" i="10"/>
  <c r="BV47" i="10" l="1"/>
  <c r="Q8" i="10"/>
  <c r="P10" i="10"/>
  <c r="K20" i="10"/>
  <c r="N22" i="10"/>
  <c r="M13" i="10"/>
  <c r="M7" i="10" s="1"/>
  <c r="L62" i="10"/>
  <c r="L77" i="10" s="1"/>
  <c r="L45" i="10"/>
  <c r="L28" i="10"/>
  <c r="E29" i="9"/>
  <c r="D14" i="10" s="1"/>
  <c r="BW47" i="10" l="1"/>
  <c r="R8" i="10"/>
  <c r="Q10" i="10"/>
  <c r="D16" i="10"/>
  <c r="L20" i="10"/>
  <c r="O22" i="10"/>
  <c r="N13" i="10"/>
  <c r="N7" i="10" s="1"/>
  <c r="M45" i="10"/>
  <c r="M62" i="10"/>
  <c r="M77" i="10" s="1"/>
  <c r="M28" i="10"/>
  <c r="E30" i="9"/>
  <c r="BX47" i="10" l="1"/>
  <c r="R10" i="10"/>
  <c r="S8" i="10"/>
  <c r="D17" i="10"/>
  <c r="E14" i="10" s="1"/>
  <c r="E16" i="10" s="1"/>
  <c r="M20" i="10"/>
  <c r="P22" i="10"/>
  <c r="O13" i="10"/>
  <c r="O7" i="10" s="1"/>
  <c r="N45" i="10"/>
  <c r="N28" i="10"/>
  <c r="N62" i="10"/>
  <c r="N77" i="10" s="1"/>
  <c r="T10" i="9"/>
  <c r="BY47" i="10" l="1"/>
  <c r="T8" i="10"/>
  <c r="S10" i="10"/>
  <c r="E17" i="10"/>
  <c r="F14" i="10" s="1"/>
  <c r="F16" i="10" s="1"/>
  <c r="N20" i="10"/>
  <c r="Q22" i="10"/>
  <c r="P13" i="10"/>
  <c r="P7" i="10" s="1"/>
  <c r="O62" i="10"/>
  <c r="O77" i="10" s="1"/>
  <c r="O28" i="10"/>
  <c r="O45" i="10"/>
  <c r="BZ47" i="10" l="1"/>
  <c r="T10" i="10"/>
  <c r="U8" i="10"/>
  <c r="F17" i="10"/>
  <c r="G14" i="10" s="1"/>
  <c r="O20" i="10"/>
  <c r="H10" i="9"/>
  <c r="R22" i="10"/>
  <c r="Q13" i="10"/>
  <c r="Q7" i="10" s="1"/>
  <c r="P62" i="10"/>
  <c r="P77" i="10" s="1"/>
  <c r="P45" i="10"/>
  <c r="P28" i="10"/>
  <c r="CA47" i="10" l="1"/>
  <c r="V8" i="10"/>
  <c r="U10" i="10"/>
  <c r="G16" i="10"/>
  <c r="G17" i="10" s="1"/>
  <c r="H14" i="10" s="1"/>
  <c r="P20" i="10"/>
  <c r="S22" i="10"/>
  <c r="R13" i="10"/>
  <c r="R7" i="10" s="1"/>
  <c r="Q45" i="10"/>
  <c r="Q62" i="10"/>
  <c r="Q77" i="10" s="1"/>
  <c r="Q28" i="10"/>
  <c r="CB47" i="10" l="1"/>
  <c r="V10" i="10"/>
  <c r="W8" i="10"/>
  <c r="H16" i="10"/>
  <c r="H17" i="10" s="1"/>
  <c r="I14" i="10" s="1"/>
  <c r="I16" i="10" s="1"/>
  <c r="Q20" i="10"/>
  <c r="T22" i="10"/>
  <c r="S13" i="10"/>
  <c r="S7" i="10" s="1"/>
  <c r="R45" i="10"/>
  <c r="R28" i="10"/>
  <c r="R62" i="10"/>
  <c r="R77" i="10" s="1"/>
  <c r="G30" i="15"/>
  <c r="G29" i="15"/>
  <c r="D33" i="15"/>
  <c r="D28" i="15"/>
  <c r="I8" i="15"/>
  <c r="CC47" i="10" l="1"/>
  <c r="X8" i="10"/>
  <c r="W10" i="10"/>
  <c r="I17" i="10"/>
  <c r="J14" i="10" s="1"/>
  <c r="R20" i="10"/>
  <c r="U22" i="10"/>
  <c r="T13" i="10"/>
  <c r="T7" i="10" s="1"/>
  <c r="S62" i="10"/>
  <c r="S77" i="10" s="1"/>
  <c r="S28" i="10"/>
  <c r="S45" i="10"/>
  <c r="G28" i="15"/>
  <c r="CD47" i="10" l="1"/>
  <c r="Y8" i="10"/>
  <c r="X10" i="10"/>
  <c r="J16" i="10"/>
  <c r="S20" i="10"/>
  <c r="V22" i="10"/>
  <c r="U13" i="10"/>
  <c r="U7" i="10" s="1"/>
  <c r="T62" i="10"/>
  <c r="T77" i="10" s="1"/>
  <c r="T45" i="10"/>
  <c r="T28" i="10"/>
  <c r="G33" i="15"/>
  <c r="I11" i="11"/>
  <c r="F12" i="14"/>
  <c r="F11" i="14"/>
  <c r="F10" i="14"/>
  <c r="F9" i="14"/>
  <c r="F8" i="14"/>
  <c r="CE47" i="10" l="1"/>
  <c r="Y10" i="10"/>
  <c r="Z8" i="10"/>
  <c r="J17" i="10"/>
  <c r="K14" i="10" s="1"/>
  <c r="T20" i="10"/>
  <c r="W22" i="10"/>
  <c r="V13" i="10"/>
  <c r="V7" i="10" s="1"/>
  <c r="U45" i="10"/>
  <c r="U28" i="10"/>
  <c r="U62" i="10"/>
  <c r="U77" i="10" s="1"/>
  <c r="N14" i="11"/>
  <c r="N15" i="11"/>
  <c r="CF47" i="10" l="1"/>
  <c r="Z10" i="10"/>
  <c r="AA8" i="10"/>
  <c r="K16" i="10"/>
  <c r="U20" i="10"/>
  <c r="X22" i="10"/>
  <c r="W13" i="10"/>
  <c r="W7" i="10" s="1"/>
  <c r="V45" i="10"/>
  <c r="V28" i="10"/>
  <c r="V62" i="10"/>
  <c r="V77" i="10" s="1"/>
  <c r="CG47" i="10" l="1"/>
  <c r="AB8" i="10"/>
  <c r="AA10" i="10"/>
  <c r="K17" i="10"/>
  <c r="L14" i="10" s="1"/>
  <c r="V20" i="10"/>
  <c r="Y22" i="10"/>
  <c r="Z22" i="10" s="1"/>
  <c r="AA22" i="10" s="1"/>
  <c r="X13" i="10"/>
  <c r="X7" i="10" s="1"/>
  <c r="W62" i="10"/>
  <c r="W77" i="10" s="1"/>
  <c r="W28" i="10"/>
  <c r="W45" i="10"/>
  <c r="CH47" i="10" l="1"/>
  <c r="AB10" i="10"/>
  <c r="AC8" i="10"/>
  <c r="L16" i="10"/>
  <c r="W20" i="10"/>
  <c r="Y13" i="10"/>
  <c r="Y7" i="10" s="1"/>
  <c r="X62" i="10"/>
  <c r="X77" i="10" s="1"/>
  <c r="X45" i="10"/>
  <c r="X28" i="10"/>
  <c r="AD8" i="10" l="1"/>
  <c r="AC10" i="10"/>
  <c r="L17" i="10"/>
  <c r="M14" i="10" s="1"/>
  <c r="X20" i="10"/>
  <c r="Z13" i="10"/>
  <c r="Z7" i="10" s="1"/>
  <c r="Y45" i="10"/>
  <c r="Y62" i="10"/>
  <c r="Y77" i="10" s="1"/>
  <c r="Y28" i="10"/>
  <c r="AD10" i="10" l="1"/>
  <c r="AE8" i="10"/>
  <c r="M16" i="10"/>
  <c r="Y20" i="10"/>
  <c r="AB22" i="10"/>
  <c r="AA13" i="10"/>
  <c r="AA7" i="10" s="1"/>
  <c r="Z45" i="10"/>
  <c r="Z28" i="10"/>
  <c r="Z62" i="10"/>
  <c r="Z77" i="10" s="1"/>
  <c r="AF8" i="10" l="1"/>
  <c r="AE10" i="10"/>
  <c r="M17" i="10"/>
  <c r="N14" i="10" s="1"/>
  <c r="Z20" i="10"/>
  <c r="AC22" i="10"/>
  <c r="AB13" i="10"/>
  <c r="AB7" i="10" s="1"/>
  <c r="AA62" i="10"/>
  <c r="AA77" i="10" s="1"/>
  <c r="AA28" i="10"/>
  <c r="AA45" i="10"/>
  <c r="AG8" i="10" l="1"/>
  <c r="AF10" i="10"/>
  <c r="N16" i="10"/>
  <c r="AA20" i="10"/>
  <c r="AD22" i="10"/>
  <c r="AC13" i="10"/>
  <c r="AC7" i="10" s="1"/>
  <c r="AB62" i="10"/>
  <c r="AB77" i="10" s="1"/>
  <c r="AB45" i="10"/>
  <c r="AB28" i="10"/>
  <c r="D30" i="10"/>
  <c r="E30" i="10" s="1"/>
  <c r="AH8" i="10" l="1"/>
  <c r="AG10" i="10"/>
  <c r="N17" i="10"/>
  <c r="O14" i="10" s="1"/>
  <c r="AB20" i="10"/>
  <c r="AE22" i="10"/>
  <c r="AD13" i="10"/>
  <c r="AD7" i="10" s="1"/>
  <c r="AC45" i="10"/>
  <c r="AC62" i="10"/>
  <c r="AC77" i="10" s="1"/>
  <c r="AC28" i="10"/>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AN30" i="10" s="1"/>
  <c r="AO30" i="10" s="1"/>
  <c r="AP30" i="10" s="1"/>
  <c r="AQ30" i="10" s="1"/>
  <c r="AR30" i="10" s="1"/>
  <c r="AS30" i="10" s="1"/>
  <c r="AT30" i="10" s="1"/>
  <c r="AU30" i="10" s="1"/>
  <c r="AV30" i="10" s="1"/>
  <c r="AW30" i="10" s="1"/>
  <c r="AX30" i="10" s="1"/>
  <c r="AY30" i="10" s="1"/>
  <c r="AZ30" i="10" s="1"/>
  <c r="BA30" i="10" s="1"/>
  <c r="BB30" i="10" s="1"/>
  <c r="BC30" i="10" s="1"/>
  <c r="BD30" i="10" s="1"/>
  <c r="BE30" i="10" s="1"/>
  <c r="BF30" i="10" s="1"/>
  <c r="BG30" i="10" s="1"/>
  <c r="BH30" i="10" s="1"/>
  <c r="BI30" i="10" s="1"/>
  <c r="BJ30" i="10" s="1"/>
  <c r="BK30" i="10" s="1"/>
  <c r="BL30" i="10" s="1"/>
  <c r="BM30" i="10" s="1"/>
  <c r="BN30" i="10" s="1"/>
  <c r="BO30" i="10" s="1"/>
  <c r="BP30" i="10" s="1"/>
  <c r="BQ30" i="10" s="1"/>
  <c r="BR30" i="10" s="1"/>
  <c r="BS30" i="10" s="1"/>
  <c r="BT30" i="10" s="1"/>
  <c r="BU30" i="10" s="1"/>
  <c r="BV30" i="10" s="1"/>
  <c r="BW30" i="10" s="1"/>
  <c r="BX30" i="10" s="1"/>
  <c r="BY30" i="10" s="1"/>
  <c r="BZ30" i="10" s="1"/>
  <c r="CA30" i="10" s="1"/>
  <c r="CB30" i="10" s="1"/>
  <c r="CC30" i="10" s="1"/>
  <c r="CD30" i="10" s="1"/>
  <c r="CE30" i="10" s="1"/>
  <c r="CF30" i="10" s="1"/>
  <c r="CG30" i="10" s="1"/>
  <c r="CH30" i="10" s="1"/>
  <c r="AH10" i="10" l="1"/>
  <c r="AI8" i="10"/>
  <c r="O16" i="10"/>
  <c r="AC20" i="10"/>
  <c r="AF22" i="10"/>
  <c r="AE13" i="10"/>
  <c r="AE7" i="10" s="1"/>
  <c r="AD45" i="10"/>
  <c r="AD28" i="10"/>
  <c r="AD62" i="10"/>
  <c r="AD77" i="10" s="1"/>
  <c r="AJ8" i="10" l="1"/>
  <c r="AI10" i="10"/>
  <c r="O17" i="10"/>
  <c r="P14" i="10" s="1"/>
  <c r="AD20" i="10"/>
  <c r="AG22" i="10"/>
  <c r="AF13" i="10"/>
  <c r="AF7" i="10" s="1"/>
  <c r="AE62" i="10"/>
  <c r="AE77" i="10" s="1"/>
  <c r="AE28" i="10"/>
  <c r="AE45" i="10"/>
  <c r="E49" i="10"/>
  <c r="E65" i="10" s="1"/>
  <c r="C29" i="9"/>
  <c r="D12" i="11" s="1"/>
  <c r="K26" i="9"/>
  <c r="D21" i="9"/>
  <c r="E20" i="9"/>
  <c r="E19" i="9"/>
  <c r="N27" i="9"/>
  <c r="E18" i="9"/>
  <c r="E17" i="9"/>
  <c r="E16" i="9"/>
  <c r="Q13" i="9"/>
  <c r="C16" i="40"/>
  <c r="C17" i="40" s="1"/>
  <c r="C21" i="40" s="1"/>
  <c r="Q15" i="9" l="1"/>
  <c r="Q14" i="9"/>
  <c r="AK8" i="10"/>
  <c r="AJ10" i="10"/>
  <c r="E50" i="10"/>
  <c r="P16" i="10"/>
  <c r="AE20" i="10"/>
  <c r="AH22" i="10"/>
  <c r="AG13" i="10"/>
  <c r="AG7" i="10" s="1"/>
  <c r="AF62" i="10"/>
  <c r="AF77" i="10" s="1"/>
  <c r="AF45" i="10"/>
  <c r="AF28" i="10"/>
  <c r="E13" i="20"/>
  <c r="H11" i="9"/>
  <c r="K27" i="9" s="1"/>
  <c r="D35" i="15"/>
  <c r="J28" i="15"/>
  <c r="I43" i="15"/>
  <c r="J33" i="15"/>
  <c r="D32" i="10"/>
  <c r="D63" i="10" s="1"/>
  <c r="E21" i="9"/>
  <c r="E12" i="24" s="1"/>
  <c r="E14" i="24" s="1"/>
  <c r="N20" i="9"/>
  <c r="N13" i="9" s="1"/>
  <c r="E8" i="26" l="1"/>
  <c r="D11" i="11"/>
  <c r="E20" i="23"/>
  <c r="AL8" i="10"/>
  <c r="AK10" i="10"/>
  <c r="E53" i="10"/>
  <c r="K29" i="9"/>
  <c r="E9" i="44" s="1"/>
  <c r="E10" i="44" s="1"/>
  <c r="P17" i="10"/>
  <c r="Q14" i="10" s="1"/>
  <c r="AF20" i="10"/>
  <c r="AI22" i="10"/>
  <c r="AH13" i="10"/>
  <c r="AH7" i="10" s="1"/>
  <c r="AG45" i="10"/>
  <c r="AG62" i="10"/>
  <c r="AG77" i="10" s="1"/>
  <c r="AG28" i="10"/>
  <c r="D15" i="10"/>
  <c r="D64" i="10"/>
  <c r="D33" i="10"/>
  <c r="D67" i="10" s="1"/>
  <c r="D34" i="15"/>
  <c r="D36" i="15" s="1"/>
  <c r="D36" i="10"/>
  <c r="D71" i="10" s="1"/>
  <c r="E33" i="9"/>
  <c r="N10" i="9" s="1"/>
  <c r="C8" i="40" s="1"/>
  <c r="Q19" i="9"/>
  <c r="M10" i="11" s="1"/>
  <c r="J30" i="15"/>
  <c r="J29" i="15"/>
  <c r="G13" i="20" l="1"/>
  <c r="E12" i="26"/>
  <c r="F7" i="36"/>
  <c r="G7" i="36" s="1"/>
  <c r="K10" i="9"/>
  <c r="N12" i="11"/>
  <c r="E12" i="35"/>
  <c r="H16" i="9"/>
  <c r="AL10" i="10"/>
  <c r="AM8" i="10"/>
  <c r="E54" i="10"/>
  <c r="E58" i="10"/>
  <c r="E56" i="10"/>
  <c r="E59" i="10" s="1"/>
  <c r="Q16" i="10"/>
  <c r="AG20" i="10"/>
  <c r="AJ22" i="10"/>
  <c r="AI13" i="10"/>
  <c r="AI7" i="10" s="1"/>
  <c r="AH45" i="10"/>
  <c r="AH28" i="10"/>
  <c r="AH62" i="10"/>
  <c r="AH77" i="10" s="1"/>
  <c r="D41" i="10"/>
  <c r="Q30" i="9"/>
  <c r="J45" i="15"/>
  <c r="J35" i="15"/>
  <c r="Q28" i="9"/>
  <c r="J36" i="15"/>
  <c r="J46" i="15"/>
  <c r="D39" i="10"/>
  <c r="D74" i="10" s="1"/>
  <c r="D37" i="10"/>
  <c r="D69" i="10"/>
  <c r="D68" i="10"/>
  <c r="H17" i="9" l="1"/>
  <c r="D21" i="10" s="1"/>
  <c r="D23" i="10" s="1"/>
  <c r="H22" i="9"/>
  <c r="K11" i="9"/>
  <c r="I34" i="15" s="1"/>
  <c r="Q16" i="9"/>
  <c r="C30" i="9"/>
  <c r="AN8" i="10"/>
  <c r="AM10" i="10"/>
  <c r="F49" i="10"/>
  <c r="F65" i="10" s="1"/>
  <c r="D75" i="10"/>
  <c r="E32" i="10"/>
  <c r="Q17" i="10"/>
  <c r="R14" i="10" s="1"/>
  <c r="AH20" i="10"/>
  <c r="D72" i="10"/>
  <c r="AK22" i="10"/>
  <c r="AJ13" i="10"/>
  <c r="AJ7" i="10" s="1"/>
  <c r="AI62" i="10"/>
  <c r="AI77" i="10" s="1"/>
  <c r="AI28" i="10"/>
  <c r="AI45" i="10"/>
  <c r="D42" i="10"/>
  <c r="D76" i="10" s="1"/>
  <c r="K12" i="9"/>
  <c r="T29" i="9" s="1"/>
  <c r="I12" i="11"/>
  <c r="G38" i="15"/>
  <c r="E21" i="10" l="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1" i="10" s="1"/>
  <c r="AD21" i="10" s="1"/>
  <c r="AE21" i="10" s="1"/>
  <c r="AF21" i="10" s="1"/>
  <c r="AG21" i="10" s="1"/>
  <c r="AH21" i="10" s="1"/>
  <c r="AI21" i="10" s="1"/>
  <c r="AJ21" i="10" s="1"/>
  <c r="AK21" i="10" s="1"/>
  <c r="AL21" i="10" s="1"/>
  <c r="AM21" i="10" s="1"/>
  <c r="AN21" i="10" s="1"/>
  <c r="AO21" i="10" s="1"/>
  <c r="AP21" i="10" s="1"/>
  <c r="AQ21" i="10" s="1"/>
  <c r="AR21" i="10" s="1"/>
  <c r="AS21" i="10" s="1"/>
  <c r="AT21" i="10" s="1"/>
  <c r="AU21" i="10" s="1"/>
  <c r="AV21" i="10" s="1"/>
  <c r="AW21" i="10" s="1"/>
  <c r="AX21" i="10" s="1"/>
  <c r="AY21" i="10" s="1"/>
  <c r="AZ21" i="10" s="1"/>
  <c r="BA21" i="10" s="1"/>
  <c r="BB21" i="10" s="1"/>
  <c r="BC21" i="10" s="1"/>
  <c r="BD21" i="10" s="1"/>
  <c r="BE21" i="10" s="1"/>
  <c r="F50" i="10"/>
  <c r="F53" i="10" s="1"/>
  <c r="AO8" i="10"/>
  <c r="AN10" i="10"/>
  <c r="E63" i="10"/>
  <c r="E15" i="10" s="1"/>
  <c r="E64" i="10"/>
  <c r="Q29" i="9"/>
  <c r="E33" i="10"/>
  <c r="R16" i="10"/>
  <c r="AI20" i="10"/>
  <c r="AL22" i="10"/>
  <c r="AK13" i="10"/>
  <c r="AK7" i="10" s="1"/>
  <c r="AJ62" i="10"/>
  <c r="AJ77" i="10" s="1"/>
  <c r="AJ45" i="10"/>
  <c r="AJ28" i="10"/>
  <c r="Q20" i="9"/>
  <c r="N13" i="11" s="1"/>
  <c r="D25" i="10" l="1"/>
  <c r="E23" i="10" s="1"/>
  <c r="E24" i="10" s="1"/>
  <c r="D24" i="10"/>
  <c r="BF21" i="10"/>
  <c r="AP8" i="10"/>
  <c r="AO10" i="10"/>
  <c r="E67" i="10"/>
  <c r="E68" i="10" s="1"/>
  <c r="F54" i="10"/>
  <c r="F58" i="10"/>
  <c r="F56" i="10"/>
  <c r="F59" i="10" s="1"/>
  <c r="E36" i="10"/>
  <c r="R17" i="10"/>
  <c r="S14" i="10" s="1"/>
  <c r="AJ20" i="10"/>
  <c r="AM22" i="10"/>
  <c r="AL13" i="10"/>
  <c r="AL7" i="10" s="1"/>
  <c r="AK45" i="10"/>
  <c r="AK28" i="10"/>
  <c r="AK62" i="10"/>
  <c r="AK77" i="10" s="1"/>
  <c r="Q23" i="9"/>
  <c r="F9" i="36" l="1"/>
  <c r="G9" i="36" s="1"/>
  <c r="Q31" i="9"/>
  <c r="E16" i="35"/>
  <c r="E25" i="10"/>
  <c r="F23" i="10" s="1"/>
  <c r="F24" i="10" s="1"/>
  <c r="BG21" i="10"/>
  <c r="AP10" i="10"/>
  <c r="AQ8" i="10"/>
  <c r="E37" i="10"/>
  <c r="E71" i="10"/>
  <c r="E72" i="10" s="1"/>
  <c r="E69" i="10"/>
  <c r="E41" i="10"/>
  <c r="E39" i="10"/>
  <c r="E74" i="10" s="1"/>
  <c r="S16" i="10"/>
  <c r="AK20" i="10"/>
  <c r="AN22" i="10"/>
  <c r="AM13" i="10"/>
  <c r="AM7" i="10" s="1"/>
  <c r="AL45" i="10"/>
  <c r="AL28" i="10"/>
  <c r="AL62" i="10"/>
  <c r="AL77" i="10" s="1"/>
  <c r="G49" i="10"/>
  <c r="G65" i="10" s="1"/>
  <c r="Q32" i="9" l="1"/>
  <c r="Q34" i="9" s="1"/>
  <c r="E14" i="44" s="1"/>
  <c r="E15" i="44" s="1"/>
  <c r="I16" i="37"/>
  <c r="F25" i="10"/>
  <c r="G23" i="10" s="1"/>
  <c r="G24" i="10" s="1"/>
  <c r="BH21" i="10"/>
  <c r="AR8" i="10"/>
  <c r="AQ10" i="10"/>
  <c r="E75" i="10"/>
  <c r="F32" i="10"/>
  <c r="E42" i="10"/>
  <c r="E76" i="10" s="1"/>
  <c r="G50" i="10"/>
  <c r="T13" i="9"/>
  <c r="T14" i="9" s="1"/>
  <c r="S17" i="10"/>
  <c r="T14" i="10" s="1"/>
  <c r="AL20" i="10"/>
  <c r="AO22" i="10"/>
  <c r="AP22" i="10" s="1"/>
  <c r="AN13" i="10"/>
  <c r="AN7" i="10" s="1"/>
  <c r="AM62" i="10"/>
  <c r="AM77" i="10" s="1"/>
  <c r="AM28" i="10"/>
  <c r="AM45" i="10"/>
  <c r="I14" i="37" l="1"/>
  <c r="E16" i="37"/>
  <c r="Q24" i="9"/>
  <c r="N16" i="11" s="1"/>
  <c r="I17" i="37"/>
  <c r="G25" i="10"/>
  <c r="H23" i="10" s="1"/>
  <c r="H24" i="10" s="1"/>
  <c r="BI21" i="10"/>
  <c r="AS8" i="10"/>
  <c r="AR10" i="10"/>
  <c r="F63" i="10"/>
  <c r="F15" i="10" s="1"/>
  <c r="F64" i="10"/>
  <c r="F33" i="10"/>
  <c r="G53" i="10"/>
  <c r="T16" i="10"/>
  <c r="AM20" i="10"/>
  <c r="AO13" i="10"/>
  <c r="AO7" i="10" s="1"/>
  <c r="AN62" i="10"/>
  <c r="AN77" i="10" s="1"/>
  <c r="AN45" i="10"/>
  <c r="AN28" i="10"/>
  <c r="Q25" i="9" l="1"/>
  <c r="BJ21" i="10"/>
  <c r="AS10" i="10"/>
  <c r="AT8" i="10"/>
  <c r="F67" i="10"/>
  <c r="F68" i="10" s="1"/>
  <c r="F36" i="10"/>
  <c r="G54" i="10"/>
  <c r="G58" i="10"/>
  <c r="G56" i="10"/>
  <c r="G59" i="10" s="1"/>
  <c r="T17" i="10"/>
  <c r="U14" i="10" s="1"/>
  <c r="AN20" i="10"/>
  <c r="H25" i="10"/>
  <c r="AQ22" i="10"/>
  <c r="AP13" i="10"/>
  <c r="AP7" i="10" s="1"/>
  <c r="AO45" i="10"/>
  <c r="AO62" i="10"/>
  <c r="AO77" i="10" s="1"/>
  <c r="AO28" i="10"/>
  <c r="Q9" i="9" l="1"/>
  <c r="F10" i="36"/>
  <c r="G10" i="36" s="1"/>
  <c r="BK21" i="10"/>
  <c r="AU8" i="10"/>
  <c r="AT10" i="10"/>
  <c r="F41" i="10"/>
  <c r="G32" i="10" s="1"/>
  <c r="F71" i="10"/>
  <c r="F72" i="10" s="1"/>
  <c r="F69" i="10"/>
  <c r="F37" i="10"/>
  <c r="F39" i="10"/>
  <c r="F74" i="10" s="1"/>
  <c r="U16" i="10"/>
  <c r="AO20" i="10"/>
  <c r="I23" i="10"/>
  <c r="I24" i="10" s="1"/>
  <c r="AR22" i="10"/>
  <c r="AQ13" i="10"/>
  <c r="AQ7" i="10" s="1"/>
  <c r="AP45" i="10"/>
  <c r="AP28" i="10"/>
  <c r="AP62" i="10"/>
  <c r="AP77" i="10" s="1"/>
  <c r="H49" i="10"/>
  <c r="H65" i="10" s="1"/>
  <c r="Q10" i="9" l="1"/>
  <c r="Q38" i="9" s="1"/>
  <c r="Q37" i="9"/>
  <c r="BL21" i="10"/>
  <c r="AU10" i="10"/>
  <c r="AV8" i="10"/>
  <c r="F75" i="10"/>
  <c r="G63" i="10"/>
  <c r="G15" i="10" s="1"/>
  <c r="G64" i="10"/>
  <c r="F42" i="10"/>
  <c r="F76" i="10" s="1"/>
  <c r="H50" i="10"/>
  <c r="U17" i="10"/>
  <c r="V14" i="10" s="1"/>
  <c r="AP20" i="10"/>
  <c r="I25" i="10"/>
  <c r="J23" i="10" s="1"/>
  <c r="J24" i="10" s="1"/>
  <c r="AS22" i="10"/>
  <c r="AR13" i="10"/>
  <c r="AR7" i="10" s="1"/>
  <c r="AQ62" i="10"/>
  <c r="AQ77" i="10" s="1"/>
  <c r="AQ28" i="10"/>
  <c r="AQ45" i="10"/>
  <c r="G33" i="10"/>
  <c r="G67" i="10" s="1"/>
  <c r="G68" i="10" s="1"/>
  <c r="BM21" i="10" l="1"/>
  <c r="AV10" i="10"/>
  <c r="AW8" i="10"/>
  <c r="G69" i="10"/>
  <c r="H53" i="10"/>
  <c r="V16" i="10"/>
  <c r="AQ20" i="10"/>
  <c r="J25" i="10"/>
  <c r="AT22" i="10"/>
  <c r="AS13" i="10"/>
  <c r="AS7" i="10" s="1"/>
  <c r="AR62" i="10"/>
  <c r="AR77" i="10" s="1"/>
  <c r="AR45" i="10"/>
  <c r="AR28" i="10"/>
  <c r="G36" i="10"/>
  <c r="G71" i="10" s="1"/>
  <c r="G72" i="10" s="1"/>
  <c r="BN21" i="10" l="1"/>
  <c r="AW10" i="10"/>
  <c r="AX8" i="10"/>
  <c r="H54" i="10"/>
  <c r="H58" i="10"/>
  <c r="H56" i="10"/>
  <c r="H59" i="10" s="1"/>
  <c r="V17" i="10"/>
  <c r="W14" i="10" s="1"/>
  <c r="AR20" i="10"/>
  <c r="K23" i="10"/>
  <c r="K24" i="10" s="1"/>
  <c r="AU22" i="10"/>
  <c r="AT13" i="10"/>
  <c r="AT7" i="10" s="1"/>
  <c r="AS45" i="10"/>
  <c r="AS62" i="10"/>
  <c r="AS77" i="10" s="1"/>
  <c r="AS28" i="10"/>
  <c r="G41" i="10"/>
  <c r="G37" i="10"/>
  <c r="G39" i="10"/>
  <c r="G74" i="10" s="1"/>
  <c r="BO21" i="10" l="1"/>
  <c r="AY8" i="10"/>
  <c r="AX10" i="10"/>
  <c r="G75" i="10"/>
  <c r="W16" i="10"/>
  <c r="W17" i="10" s="1"/>
  <c r="X14" i="10" s="1"/>
  <c r="AS20" i="10"/>
  <c r="K25" i="10"/>
  <c r="AV22" i="10"/>
  <c r="AU13" i="10"/>
  <c r="AU7" i="10" s="1"/>
  <c r="AT45" i="10"/>
  <c r="AT28" i="10"/>
  <c r="AT62" i="10"/>
  <c r="AT77" i="10" s="1"/>
  <c r="I49" i="10"/>
  <c r="I65" i="10" s="1"/>
  <c r="H32" i="10"/>
  <c r="G42" i="10"/>
  <c r="G76" i="10" s="1"/>
  <c r="BP21" i="10" l="1"/>
  <c r="AZ8" i="10"/>
  <c r="AY10" i="10"/>
  <c r="H64" i="10"/>
  <c r="H63" i="10"/>
  <c r="H15" i="10" s="1"/>
  <c r="I50" i="10"/>
  <c r="T19" i="9"/>
  <c r="X16" i="10"/>
  <c r="AT20" i="10"/>
  <c r="L23" i="10"/>
  <c r="L24" i="10" s="1"/>
  <c r="AW22" i="10"/>
  <c r="AX22" i="10" s="1"/>
  <c r="AV13" i="10"/>
  <c r="AV7" i="10" s="1"/>
  <c r="AU62" i="10"/>
  <c r="AU77" i="10" s="1"/>
  <c r="AU28" i="10"/>
  <c r="AU45" i="10"/>
  <c r="H33" i="10"/>
  <c r="H67" i="10" s="1"/>
  <c r="H68" i="10" s="1"/>
  <c r="BQ21" i="10" l="1"/>
  <c r="AZ10" i="10"/>
  <c r="BA8" i="10"/>
  <c r="T20" i="9"/>
  <c r="T28" i="9"/>
  <c r="H69" i="10"/>
  <c r="I53" i="10"/>
  <c r="X17" i="10"/>
  <c r="Y14" i="10" s="1"/>
  <c r="AU20" i="10"/>
  <c r="L25" i="10"/>
  <c r="M23" i="10" s="1"/>
  <c r="M24" i="10" s="1"/>
  <c r="AW13" i="10"/>
  <c r="AW7" i="10" s="1"/>
  <c r="AV62" i="10"/>
  <c r="AV77" i="10" s="1"/>
  <c r="AV45" i="10"/>
  <c r="AV28" i="10"/>
  <c r="H36" i="10"/>
  <c r="H71" i="10" s="1"/>
  <c r="H72" i="10" s="1"/>
  <c r="BA10" i="10" l="1"/>
  <c r="BB8" i="10"/>
  <c r="BR21" i="10"/>
  <c r="I54" i="10"/>
  <c r="I58" i="10"/>
  <c r="I56" i="10"/>
  <c r="I59" i="10" s="1"/>
  <c r="Y16" i="10"/>
  <c r="AV20" i="10"/>
  <c r="M25" i="10"/>
  <c r="AY22" i="10"/>
  <c r="AX13" i="10"/>
  <c r="AX7" i="10" s="1"/>
  <c r="AW45" i="10"/>
  <c r="AW62" i="10"/>
  <c r="AW77" i="10" s="1"/>
  <c r="AW28" i="10"/>
  <c r="H41" i="10"/>
  <c r="H39" i="10"/>
  <c r="H74" i="10" s="1"/>
  <c r="H37" i="10"/>
  <c r="BC8" i="10" l="1"/>
  <c r="BB10" i="10"/>
  <c r="BS21" i="10"/>
  <c r="H75" i="10"/>
  <c r="Y17" i="10"/>
  <c r="Z14" i="10" s="1"/>
  <c r="AW20" i="10"/>
  <c r="N23" i="10"/>
  <c r="N24" i="10" s="1"/>
  <c r="AZ22" i="10"/>
  <c r="AY13" i="10"/>
  <c r="AY7" i="10" s="1"/>
  <c r="AX45" i="10"/>
  <c r="AX28" i="10"/>
  <c r="AX62" i="10"/>
  <c r="AX77" i="10" s="1"/>
  <c r="J49" i="10"/>
  <c r="J65" i="10" s="1"/>
  <c r="H42" i="10"/>
  <c r="H76" i="10" s="1"/>
  <c r="I32" i="10"/>
  <c r="BC10" i="10" l="1"/>
  <c r="BD8" i="10"/>
  <c r="BT21" i="10"/>
  <c r="I63" i="10"/>
  <c r="I15" i="10" s="1"/>
  <c r="I64" i="10"/>
  <c r="J50" i="10"/>
  <c r="Z16" i="10"/>
  <c r="AX20" i="10"/>
  <c r="N25" i="10"/>
  <c r="O23" i="10" s="1"/>
  <c r="O24" i="10" s="1"/>
  <c r="BA22" i="10"/>
  <c r="BB22" i="10" s="1"/>
  <c r="BC22" i="10" s="1"/>
  <c r="BD22" i="10" s="1"/>
  <c r="BE22" i="10" s="1"/>
  <c r="BF22" i="10" s="1"/>
  <c r="BG22" i="10" s="1"/>
  <c r="BH22" i="10" s="1"/>
  <c r="BI22" i="10" s="1"/>
  <c r="BJ22" i="10" s="1"/>
  <c r="BK22" i="10" s="1"/>
  <c r="BL22" i="10" s="1"/>
  <c r="BM22" i="10" s="1"/>
  <c r="BN22" i="10" s="1"/>
  <c r="BO22" i="10" s="1"/>
  <c r="BP22" i="10" s="1"/>
  <c r="BQ22" i="10" s="1"/>
  <c r="BR22" i="10" s="1"/>
  <c r="BS22" i="10" s="1"/>
  <c r="BT22" i="10" s="1"/>
  <c r="BU22" i="10" s="1"/>
  <c r="BV22" i="10" s="1"/>
  <c r="BW22" i="10" s="1"/>
  <c r="BX22" i="10" s="1"/>
  <c r="BY22" i="10" s="1"/>
  <c r="BZ22" i="10" s="1"/>
  <c r="CA22" i="10" s="1"/>
  <c r="CB22" i="10" s="1"/>
  <c r="CC22" i="10" s="1"/>
  <c r="CD22" i="10" s="1"/>
  <c r="CE22" i="10" s="1"/>
  <c r="CF22" i="10" s="1"/>
  <c r="CG22" i="10" s="1"/>
  <c r="CH22" i="10" s="1"/>
  <c r="AZ13" i="10"/>
  <c r="AZ7" i="10" s="1"/>
  <c r="AY62" i="10"/>
  <c r="AY77" i="10" s="1"/>
  <c r="AY28" i="10"/>
  <c r="AY45" i="10"/>
  <c r="I33" i="10"/>
  <c r="I67" i="10" s="1"/>
  <c r="I68" i="10" s="1"/>
  <c r="BE8" i="10" l="1"/>
  <c r="BD10" i="10"/>
  <c r="BU21" i="10"/>
  <c r="I69" i="10"/>
  <c r="J53" i="10"/>
  <c r="Z17" i="10"/>
  <c r="AA14" i="10" s="1"/>
  <c r="AY20" i="10"/>
  <c r="O25" i="10"/>
  <c r="BA13" i="10"/>
  <c r="AZ62" i="10"/>
  <c r="AZ77" i="10" s="1"/>
  <c r="AZ45" i="10"/>
  <c r="AZ28" i="10"/>
  <c r="I36" i="10"/>
  <c r="BA7" i="10" l="1"/>
  <c r="BB13" i="10"/>
  <c r="BF8" i="10"/>
  <c r="BE10" i="10"/>
  <c r="BV21" i="10"/>
  <c r="I71" i="10"/>
  <c r="I72" i="10" s="1"/>
  <c r="J54" i="10"/>
  <c r="J58" i="10"/>
  <c r="J56" i="10"/>
  <c r="J59" i="10" s="1"/>
  <c r="AA16" i="10"/>
  <c r="AZ20" i="10"/>
  <c r="P23" i="10"/>
  <c r="P24" i="10" s="1"/>
  <c r="I41" i="10"/>
  <c r="I75" i="10" s="1"/>
  <c r="BA45" i="10"/>
  <c r="BA28" i="10"/>
  <c r="BA62" i="10"/>
  <c r="BA77" i="10" s="1"/>
  <c r="I37" i="10"/>
  <c r="I39" i="10"/>
  <c r="I74" i="10" s="1"/>
  <c r="BC13" i="10" l="1"/>
  <c r="BB45" i="10"/>
  <c r="BB28" i="10"/>
  <c r="BB7" i="10"/>
  <c r="BB20" i="10" s="1"/>
  <c r="BB62" i="10"/>
  <c r="BB77" i="10" s="1"/>
  <c r="BF10" i="10"/>
  <c r="BG8" i="10"/>
  <c r="BW21" i="10"/>
  <c r="AA17" i="10"/>
  <c r="AB14" i="10" s="1"/>
  <c r="BA20" i="10"/>
  <c r="P25" i="10"/>
  <c r="Q23" i="10" s="1"/>
  <c r="K49" i="10"/>
  <c r="K65" i="10" s="1"/>
  <c r="I42" i="10"/>
  <c r="I76" i="10" s="1"/>
  <c r="J32" i="10"/>
  <c r="BD13" i="10" l="1"/>
  <c r="BC45" i="10"/>
  <c r="BC28" i="10"/>
  <c r="BC7" i="10"/>
  <c r="BC20" i="10" s="1"/>
  <c r="BC62" i="10"/>
  <c r="BC77" i="10" s="1"/>
  <c r="BH8" i="10"/>
  <c r="BG10" i="10"/>
  <c r="BX21" i="10"/>
  <c r="J63" i="10"/>
  <c r="J15" i="10" s="1"/>
  <c r="J64" i="10"/>
  <c r="K50" i="10"/>
  <c r="K53" i="10" s="1"/>
  <c r="K54" i="10" s="1"/>
  <c r="AB16" i="10"/>
  <c r="Q24" i="10"/>
  <c r="Q25" i="10"/>
  <c r="R23" i="10" s="1"/>
  <c r="R24" i="10" s="1"/>
  <c r="J33" i="10"/>
  <c r="J67" i="10" s="1"/>
  <c r="J68" i="10" s="1"/>
  <c r="BE13" i="10" l="1"/>
  <c r="BD62" i="10"/>
  <c r="BD77" i="10" s="1"/>
  <c r="BD45" i="10"/>
  <c r="BD28" i="10"/>
  <c r="BD7" i="10"/>
  <c r="BD20" i="10" s="1"/>
  <c r="BI8" i="10"/>
  <c r="BH10" i="10"/>
  <c r="BY21" i="10"/>
  <c r="J69" i="10"/>
  <c r="K58" i="10"/>
  <c r="K56" i="10"/>
  <c r="K59" i="10" s="1"/>
  <c r="AB17" i="10"/>
  <c r="AC14" i="10" s="1"/>
  <c r="R25" i="10"/>
  <c r="J36" i="10"/>
  <c r="J71" i="10" s="1"/>
  <c r="J72" i="10" s="1"/>
  <c r="BF13" i="10" l="1"/>
  <c r="BE28" i="10"/>
  <c r="BE62" i="10"/>
  <c r="BE77" i="10" s="1"/>
  <c r="BE45" i="10"/>
  <c r="BE7" i="10"/>
  <c r="BE20" i="10" s="1"/>
  <c r="BI10" i="10"/>
  <c r="BJ8" i="10"/>
  <c r="BZ21" i="10"/>
  <c r="AC16" i="10"/>
  <c r="S23" i="10"/>
  <c r="S24" i="10" s="1"/>
  <c r="J41" i="10"/>
  <c r="J37" i="10"/>
  <c r="J39" i="10"/>
  <c r="J74" i="10" s="1"/>
  <c r="BG13" i="10" l="1"/>
  <c r="BF45" i="10"/>
  <c r="BF28" i="10"/>
  <c r="BF7" i="10"/>
  <c r="BF20" i="10" s="1"/>
  <c r="BF62" i="10"/>
  <c r="BF77" i="10" s="1"/>
  <c r="BK8" i="10"/>
  <c r="BJ10" i="10"/>
  <c r="CA21" i="10"/>
  <c r="J75" i="10"/>
  <c r="AC17" i="10"/>
  <c r="AD14" i="10" s="1"/>
  <c r="S25" i="10"/>
  <c r="L49" i="10"/>
  <c r="L65" i="10" s="1"/>
  <c r="J42" i="10"/>
  <c r="J76" i="10" s="1"/>
  <c r="K32" i="10"/>
  <c r="BH13" i="10" l="1"/>
  <c r="BG45" i="10"/>
  <c r="BG28" i="10"/>
  <c r="BG7" i="10"/>
  <c r="BG20" i="10" s="1"/>
  <c r="BG62" i="10"/>
  <c r="BG77" i="10" s="1"/>
  <c r="BK10" i="10"/>
  <c r="BL8" i="10"/>
  <c r="CB21" i="10"/>
  <c r="K63" i="10"/>
  <c r="K15" i="10" s="1"/>
  <c r="K64" i="10"/>
  <c r="L50" i="10"/>
  <c r="L53" i="10" s="1"/>
  <c r="L54" i="10" s="1"/>
  <c r="AD16" i="10"/>
  <c r="T23" i="10"/>
  <c r="T24" i="10" s="1"/>
  <c r="K33" i="10"/>
  <c r="K67" i="10" s="1"/>
  <c r="K68" i="10" s="1"/>
  <c r="BI13" i="10" l="1"/>
  <c r="BH62" i="10"/>
  <c r="BH77" i="10" s="1"/>
  <c r="BH45" i="10"/>
  <c r="BH28" i="10"/>
  <c r="BH7" i="10"/>
  <c r="BH20" i="10" s="1"/>
  <c r="BM8" i="10"/>
  <c r="BL10" i="10"/>
  <c r="CC21" i="10"/>
  <c r="K69" i="10"/>
  <c r="L58" i="10"/>
  <c r="L56" i="10"/>
  <c r="L59" i="10" s="1"/>
  <c r="AD17" i="10"/>
  <c r="AE14" i="10" s="1"/>
  <c r="T25" i="10"/>
  <c r="U23" i="10" s="1"/>
  <c r="K36" i="10"/>
  <c r="K71" i="10" s="1"/>
  <c r="K72" i="10" s="1"/>
  <c r="BJ13" i="10" l="1"/>
  <c r="BI28" i="10"/>
  <c r="BI62" i="10"/>
  <c r="BI77" i="10" s="1"/>
  <c r="BI45" i="10"/>
  <c r="BI7" i="10"/>
  <c r="BI20" i="10" s="1"/>
  <c r="BM10" i="10"/>
  <c r="BN8" i="10"/>
  <c r="CD21" i="10"/>
  <c r="AE16" i="10"/>
  <c r="U24" i="10"/>
  <c r="U25" i="10"/>
  <c r="V23" i="10" s="1"/>
  <c r="V24" i="10" s="1"/>
  <c r="K41" i="10"/>
  <c r="K39" i="10"/>
  <c r="K74" i="10" s="1"/>
  <c r="K37" i="10"/>
  <c r="BK13" i="10" l="1"/>
  <c r="BJ45" i="10"/>
  <c r="BJ28" i="10"/>
  <c r="BJ7" i="10"/>
  <c r="BJ20" i="10" s="1"/>
  <c r="BJ62" i="10"/>
  <c r="BJ77" i="10" s="1"/>
  <c r="BN10" i="10"/>
  <c r="BO8" i="10"/>
  <c r="CE21" i="10"/>
  <c r="K75" i="10"/>
  <c r="AE17" i="10"/>
  <c r="AF14" i="10" s="1"/>
  <c r="V25" i="10"/>
  <c r="W23" i="10" s="1"/>
  <c r="M49" i="10"/>
  <c r="M65" i="10" s="1"/>
  <c r="K42" i="10"/>
  <c r="K76" i="10" s="1"/>
  <c r="L32" i="10"/>
  <c r="BL13" i="10" l="1"/>
  <c r="BK7" i="10"/>
  <c r="BK20" i="10" s="1"/>
  <c r="BK45" i="10"/>
  <c r="BK28" i="10"/>
  <c r="BK62" i="10"/>
  <c r="BK77" i="10" s="1"/>
  <c r="BP8" i="10"/>
  <c r="BO10" i="10"/>
  <c r="CF21" i="10"/>
  <c r="L64" i="10"/>
  <c r="L63" i="10"/>
  <c r="L15" i="10" s="1"/>
  <c r="M50" i="10"/>
  <c r="M53" i="10" s="1"/>
  <c r="M54" i="10" s="1"/>
  <c r="AF16" i="10"/>
  <c r="W24" i="10"/>
  <c r="W25" i="10"/>
  <c r="X23" i="10" s="1"/>
  <c r="X24" i="10" s="1"/>
  <c r="L33" i="10"/>
  <c r="L67" i="10" s="1"/>
  <c r="L68" i="10" s="1"/>
  <c r="BM13" i="10" l="1"/>
  <c r="BL62" i="10"/>
  <c r="BL77" i="10" s="1"/>
  <c r="BL45" i="10"/>
  <c r="BL28" i="10"/>
  <c r="BL7" i="10"/>
  <c r="BL20" i="10" s="1"/>
  <c r="BQ8" i="10"/>
  <c r="BP10" i="10"/>
  <c r="CG21" i="10"/>
  <c r="L69" i="10"/>
  <c r="M58" i="10"/>
  <c r="M56" i="10"/>
  <c r="M59" i="10" s="1"/>
  <c r="AF17" i="10"/>
  <c r="AG14" i="10" s="1"/>
  <c r="X25" i="10"/>
  <c r="Y23" i="10" s="1"/>
  <c r="Y24" i="10" s="1"/>
  <c r="L36" i="10"/>
  <c r="L71" i="10" s="1"/>
  <c r="L72" i="10" s="1"/>
  <c r="BN13" i="10" l="1"/>
  <c r="BM28" i="10"/>
  <c r="BM62" i="10"/>
  <c r="BM77" i="10" s="1"/>
  <c r="BM45" i="10"/>
  <c r="BM7" i="10"/>
  <c r="BM20" i="10" s="1"/>
  <c r="BQ10" i="10"/>
  <c r="BR8" i="10"/>
  <c r="CH21" i="10"/>
  <c r="AG16" i="10"/>
  <c r="Y25" i="10"/>
  <c r="L41" i="10"/>
  <c r="L37" i="10"/>
  <c r="L39" i="10"/>
  <c r="L74" i="10" s="1"/>
  <c r="BO13" i="10" l="1"/>
  <c r="BN45" i="10"/>
  <c r="BN28" i="10"/>
  <c r="BN7" i="10"/>
  <c r="BN20" i="10" s="1"/>
  <c r="BN62" i="10"/>
  <c r="BN77" i="10" s="1"/>
  <c r="BS8" i="10"/>
  <c r="BR10" i="10"/>
  <c r="L75" i="10"/>
  <c r="AG17" i="10"/>
  <c r="AH14" i="10" s="1"/>
  <c r="Z23" i="10"/>
  <c r="Z24" i="10" s="1"/>
  <c r="N49" i="10"/>
  <c r="N65" i="10" s="1"/>
  <c r="M32" i="10"/>
  <c r="L42" i="10"/>
  <c r="L76" i="10" s="1"/>
  <c r="BP13" i="10" l="1"/>
  <c r="BO45" i="10"/>
  <c r="BO28" i="10"/>
  <c r="BO7" i="10"/>
  <c r="BO20" i="10" s="1"/>
  <c r="BO62" i="10"/>
  <c r="BO77" i="10" s="1"/>
  <c r="BT8" i="10"/>
  <c r="BS10" i="10"/>
  <c r="M63" i="10"/>
  <c r="M15" i="10" s="1"/>
  <c r="M64" i="10"/>
  <c r="N50" i="10"/>
  <c r="N53" i="10" s="1"/>
  <c r="N54" i="10" s="1"/>
  <c r="AH16" i="10"/>
  <c r="Z25" i="10"/>
  <c r="AA23" i="10" s="1"/>
  <c r="AA24" i="10" s="1"/>
  <c r="M33" i="10"/>
  <c r="M67" i="10" s="1"/>
  <c r="M68" i="10" s="1"/>
  <c r="BQ13" i="10" l="1"/>
  <c r="BP62" i="10"/>
  <c r="BP77" i="10" s="1"/>
  <c r="BP45" i="10"/>
  <c r="BP28" i="10"/>
  <c r="BP7" i="10"/>
  <c r="BP20" i="10" s="1"/>
  <c r="BU8" i="10"/>
  <c r="BT10" i="10"/>
  <c r="M69" i="10"/>
  <c r="N58" i="10"/>
  <c r="N56" i="10"/>
  <c r="N59" i="10" s="1"/>
  <c r="AH17" i="10"/>
  <c r="AI14" i="10" s="1"/>
  <c r="AA25" i="10"/>
  <c r="AB23" i="10" s="1"/>
  <c r="AB24" i="10" s="1"/>
  <c r="M36" i="10"/>
  <c r="M71" i="10" s="1"/>
  <c r="M72" i="10" s="1"/>
  <c r="BR13" i="10" l="1"/>
  <c r="BQ62" i="10"/>
  <c r="BQ77" i="10" s="1"/>
  <c r="BQ45" i="10"/>
  <c r="BQ28" i="10"/>
  <c r="BQ7" i="10"/>
  <c r="BQ20" i="10" s="1"/>
  <c r="BU10" i="10"/>
  <c r="BV8" i="10"/>
  <c r="AI16" i="10"/>
  <c r="AB25" i="10"/>
  <c r="M41" i="10"/>
  <c r="M37" i="10"/>
  <c r="M39" i="10"/>
  <c r="M74" i="10" s="1"/>
  <c r="BS13" i="10" l="1"/>
  <c r="BR45" i="10"/>
  <c r="BR28" i="10"/>
  <c r="BR7" i="10"/>
  <c r="BR20" i="10" s="1"/>
  <c r="BR62" i="10"/>
  <c r="BR77" i="10" s="1"/>
  <c r="BV10" i="10"/>
  <c r="BW8" i="10"/>
  <c r="M75" i="10"/>
  <c r="AI17" i="10"/>
  <c r="AJ14" i="10" s="1"/>
  <c r="AC23" i="10"/>
  <c r="AC24" i="10" s="1"/>
  <c r="O49" i="10"/>
  <c r="O65" i="10" s="1"/>
  <c r="N32" i="10"/>
  <c r="M42" i="10"/>
  <c r="M76" i="10" s="1"/>
  <c r="BT13" i="10" l="1"/>
  <c r="BS7" i="10"/>
  <c r="BS20" i="10" s="1"/>
  <c r="BS45" i="10"/>
  <c r="BS28" i="10"/>
  <c r="BS62" i="10"/>
  <c r="BS77" i="10" s="1"/>
  <c r="BX8" i="10"/>
  <c r="BW10" i="10"/>
  <c r="N63" i="10"/>
  <c r="N64" i="10"/>
  <c r="O50" i="10"/>
  <c r="AJ16" i="10"/>
  <c r="AC25" i="10"/>
  <c r="N33" i="10"/>
  <c r="N67" i="10" s="1"/>
  <c r="N68" i="10" s="1"/>
  <c r="N15" i="10" l="1"/>
  <c r="BU13" i="10"/>
  <c r="BT62" i="10"/>
  <c r="BT77" i="10" s="1"/>
  <c r="BT45" i="10"/>
  <c r="BT28" i="10"/>
  <c r="BT7" i="10"/>
  <c r="BT20" i="10" s="1"/>
  <c r="BY8" i="10"/>
  <c r="BX10" i="10"/>
  <c r="N69" i="10"/>
  <c r="O53" i="10"/>
  <c r="AJ17" i="10"/>
  <c r="AK14" i="10" s="1"/>
  <c r="AD23" i="10"/>
  <c r="AD24" i="10" s="1"/>
  <c r="N36" i="10"/>
  <c r="N71" i="10" s="1"/>
  <c r="N72" i="10" s="1"/>
  <c r="BV13" i="10" l="1"/>
  <c r="BU45" i="10"/>
  <c r="BU7" i="10"/>
  <c r="BU20" i="10" s="1"/>
  <c r="BU62" i="10"/>
  <c r="BU77" i="10" s="1"/>
  <c r="BU28" i="10"/>
  <c r="BY10" i="10"/>
  <c r="BZ8" i="10"/>
  <c r="O54" i="10"/>
  <c r="O58" i="10"/>
  <c r="O56" i="10"/>
  <c r="O59" i="10" s="1"/>
  <c r="AK16" i="10"/>
  <c r="AD25" i="10"/>
  <c r="N41" i="10"/>
  <c r="N75" i="10" s="1"/>
  <c r="N37" i="10"/>
  <c r="N39" i="10"/>
  <c r="N74" i="10" s="1"/>
  <c r="BW13" i="10" l="1"/>
  <c r="BV45" i="10"/>
  <c r="BV28" i="10"/>
  <c r="BV7" i="10"/>
  <c r="BV20" i="10" s="1"/>
  <c r="BV62" i="10"/>
  <c r="BV77" i="10" s="1"/>
  <c r="CA8" i="10"/>
  <c r="BZ10" i="10"/>
  <c r="AK17" i="10"/>
  <c r="AL14" i="10" s="1"/>
  <c r="AE23" i="10"/>
  <c r="AE24" i="10" s="1"/>
  <c r="P49" i="10"/>
  <c r="P65" i="10" s="1"/>
  <c r="N42" i="10"/>
  <c r="N76" i="10" s="1"/>
  <c r="O32" i="10"/>
  <c r="BX13" i="10" l="1"/>
  <c r="BW45" i="10"/>
  <c r="BW28" i="10"/>
  <c r="BW7" i="10"/>
  <c r="BW20" i="10" s="1"/>
  <c r="BW62" i="10"/>
  <c r="BW77" i="10" s="1"/>
  <c r="CB8" i="10"/>
  <c r="CA10" i="10"/>
  <c r="O63" i="10"/>
  <c r="O15" i="10" s="1"/>
  <c r="O64" i="10"/>
  <c r="P50" i="10"/>
  <c r="AL16" i="10"/>
  <c r="AE25" i="10"/>
  <c r="O33" i="10"/>
  <c r="O67" i="10" s="1"/>
  <c r="O68" i="10" s="1"/>
  <c r="BY13" i="10" l="1"/>
  <c r="BX62" i="10"/>
  <c r="BX77" i="10" s="1"/>
  <c r="BX7" i="10"/>
  <c r="BX20" i="10" s="1"/>
  <c r="BX45" i="10"/>
  <c r="BX28" i="10"/>
  <c r="CC8" i="10"/>
  <c r="CB10" i="10"/>
  <c r="O69" i="10"/>
  <c r="P53" i="10"/>
  <c r="AL17" i="10"/>
  <c r="AM14" i="10" s="1"/>
  <c r="AF23" i="10"/>
  <c r="AF24" i="10" s="1"/>
  <c r="O36" i="10"/>
  <c r="O71" i="10" s="1"/>
  <c r="O72" i="10" s="1"/>
  <c r="BZ13" i="10" l="1"/>
  <c r="BY28" i="10"/>
  <c r="BY62" i="10"/>
  <c r="BY77" i="10" s="1"/>
  <c r="BY45" i="10"/>
  <c r="BY7" i="10"/>
  <c r="BY20" i="10" s="1"/>
  <c r="CC10" i="10"/>
  <c r="CD8" i="10"/>
  <c r="P54" i="10"/>
  <c r="P58" i="10"/>
  <c r="P56" i="10"/>
  <c r="P59" i="10" s="1"/>
  <c r="AM16" i="10"/>
  <c r="AF25" i="10"/>
  <c r="O41" i="10"/>
  <c r="O75" i="10" s="1"/>
  <c r="O37" i="10"/>
  <c r="O39" i="10"/>
  <c r="O74" i="10" s="1"/>
  <c r="BZ45" i="10" l="1"/>
  <c r="BZ28" i="10"/>
  <c r="BZ7" i="10"/>
  <c r="BZ20" i="10" s="1"/>
  <c r="CA13" i="10"/>
  <c r="BZ62" i="10"/>
  <c r="BZ77" i="10" s="1"/>
  <c r="CD10" i="10"/>
  <c r="CE8" i="10"/>
  <c r="AM17" i="10"/>
  <c r="AN14" i="10" s="1"/>
  <c r="AG23" i="10"/>
  <c r="AG24" i="10" s="1"/>
  <c r="Q49" i="10"/>
  <c r="Q65" i="10" s="1"/>
  <c r="P32" i="10"/>
  <c r="O42" i="10"/>
  <c r="O76" i="10" s="1"/>
  <c r="CB13" i="10" l="1"/>
  <c r="CA7" i="10"/>
  <c r="CA20" i="10" s="1"/>
  <c r="CA62" i="10"/>
  <c r="CA77" i="10" s="1"/>
  <c r="CA45" i="10"/>
  <c r="CA28" i="10"/>
  <c r="CF8" i="10"/>
  <c r="CE10" i="10"/>
  <c r="P64" i="10"/>
  <c r="P63" i="10"/>
  <c r="P15" i="10" s="1"/>
  <c r="Q50" i="10"/>
  <c r="AN16" i="10"/>
  <c r="AG25" i="10"/>
  <c r="P33" i="10"/>
  <c r="P67" i="10" s="1"/>
  <c r="P68" i="10" s="1"/>
  <c r="CC13" i="10" l="1"/>
  <c r="CB62" i="10"/>
  <c r="CB77" i="10" s="1"/>
  <c r="CB45" i="10"/>
  <c r="CB28" i="10"/>
  <c r="CB7" i="10"/>
  <c r="CB20" i="10" s="1"/>
  <c r="CG8" i="10"/>
  <c r="CF10" i="10"/>
  <c r="P69" i="10"/>
  <c r="Q53" i="10"/>
  <c r="AN17" i="10"/>
  <c r="AO14" i="10" s="1"/>
  <c r="AH23" i="10"/>
  <c r="AH24" i="10" s="1"/>
  <c r="P36" i="10"/>
  <c r="P71" i="10" s="1"/>
  <c r="P72" i="10" s="1"/>
  <c r="CD13" i="10" l="1"/>
  <c r="CC62" i="10"/>
  <c r="CC77" i="10" s="1"/>
  <c r="CC45" i="10"/>
  <c r="CC28" i="10"/>
  <c r="CC7" i="10"/>
  <c r="CC20" i="10" s="1"/>
  <c r="CH8" i="10"/>
  <c r="CH10" i="10" s="1"/>
  <c r="CG10" i="10"/>
  <c r="Q54" i="10"/>
  <c r="Q58" i="10"/>
  <c r="Q56" i="10"/>
  <c r="Q59" i="10" s="1"/>
  <c r="AO16" i="10"/>
  <c r="AH25" i="10"/>
  <c r="AI23" i="10" s="1"/>
  <c r="AI24" i="10" s="1"/>
  <c r="P41" i="10"/>
  <c r="P75" i="10" s="1"/>
  <c r="P37" i="10"/>
  <c r="P39" i="10"/>
  <c r="P74" i="10" s="1"/>
  <c r="CE13" i="10" l="1"/>
  <c r="CD45" i="10"/>
  <c r="CD28" i="10"/>
  <c r="CD7" i="10"/>
  <c r="CD20" i="10" s="1"/>
  <c r="CD62" i="10"/>
  <c r="CD77" i="10" s="1"/>
  <c r="AO17" i="10"/>
  <c r="AP14" i="10" s="1"/>
  <c r="AI25" i="10"/>
  <c r="R49" i="10"/>
  <c r="R65" i="10" s="1"/>
  <c r="P42" i="10"/>
  <c r="P76" i="10" s="1"/>
  <c r="Q32" i="10"/>
  <c r="CF13" i="10" l="1"/>
  <c r="CE45" i="10"/>
  <c r="CE28" i="10"/>
  <c r="CE7" i="10"/>
  <c r="CE20" i="10" s="1"/>
  <c r="CE62" i="10"/>
  <c r="CE77" i="10" s="1"/>
  <c r="Q63" i="10"/>
  <c r="Q15" i="10" s="1"/>
  <c r="Q64" i="10"/>
  <c r="R50" i="10"/>
  <c r="AP16" i="10"/>
  <c r="AJ23" i="10"/>
  <c r="AJ24" i="10" s="1"/>
  <c r="Q33" i="10"/>
  <c r="Q67" i="10" s="1"/>
  <c r="Q68" i="10" s="1"/>
  <c r="CG13" i="10" l="1"/>
  <c r="CF62" i="10"/>
  <c r="CF77" i="10" s="1"/>
  <c r="CF7" i="10"/>
  <c r="CF20" i="10" s="1"/>
  <c r="CF45" i="10"/>
  <c r="CF28" i="10"/>
  <c r="Q69" i="10"/>
  <c r="R53" i="10"/>
  <c r="AP17" i="10"/>
  <c r="AQ14" i="10" s="1"/>
  <c r="AJ25" i="10"/>
  <c r="Q36" i="10"/>
  <c r="Q71" i="10" s="1"/>
  <c r="Q72" i="10" s="1"/>
  <c r="CH13" i="10" l="1"/>
  <c r="CG45" i="10"/>
  <c r="CG7" i="10"/>
  <c r="CG20" i="10" s="1"/>
  <c r="CG62" i="10"/>
  <c r="CG77" i="10" s="1"/>
  <c r="CG28" i="10"/>
  <c r="R54" i="10"/>
  <c r="R58" i="10"/>
  <c r="R56" i="10"/>
  <c r="R59" i="10" s="1"/>
  <c r="AQ16" i="10"/>
  <c r="AK23" i="10"/>
  <c r="AK24" i="10" s="1"/>
  <c r="Q41" i="10"/>
  <c r="Q75" i="10" s="1"/>
  <c r="Q37" i="10"/>
  <c r="Q39" i="10"/>
  <c r="Q74" i="10" s="1"/>
  <c r="CH45" i="10" l="1"/>
  <c r="CH28" i="10"/>
  <c r="CH7" i="10"/>
  <c r="CH20" i="10" s="1"/>
  <c r="CH62" i="10"/>
  <c r="CH77" i="10" s="1"/>
  <c r="AQ17" i="10"/>
  <c r="AR14" i="10" s="1"/>
  <c r="AK25" i="10"/>
  <c r="S49" i="10"/>
  <c r="S65" i="10" s="1"/>
  <c r="R32" i="10"/>
  <c r="Q42" i="10"/>
  <c r="Q76" i="10" s="1"/>
  <c r="R63" i="10" l="1"/>
  <c r="R15" i="10" s="1"/>
  <c r="R64" i="10"/>
  <c r="S50" i="10"/>
  <c r="AR16" i="10"/>
  <c r="AL23" i="10"/>
  <c r="AL24" i="10" s="1"/>
  <c r="R33" i="10"/>
  <c r="R67" i="10" s="1"/>
  <c r="R68" i="10" s="1"/>
  <c r="R69" i="10" l="1"/>
  <c r="S53" i="10"/>
  <c r="AR17" i="10"/>
  <c r="AS14" i="10" s="1"/>
  <c r="AL25" i="10"/>
  <c r="AM23" i="10" s="1"/>
  <c r="AM24" i="10" s="1"/>
  <c r="R36" i="10"/>
  <c r="R71" i="10" s="1"/>
  <c r="R72" i="10" s="1"/>
  <c r="S54" i="10" l="1"/>
  <c r="S58" i="10"/>
  <c r="S56" i="10"/>
  <c r="S59" i="10" s="1"/>
  <c r="AS16" i="10"/>
  <c r="AM25" i="10"/>
  <c r="AN23" i="10" s="1"/>
  <c r="AN24" i="10" s="1"/>
  <c r="T31" i="9" s="1"/>
  <c r="R41" i="10"/>
  <c r="R75" i="10" s="1"/>
  <c r="R39" i="10"/>
  <c r="R74" i="10" s="1"/>
  <c r="R37" i="10"/>
  <c r="AS17" i="10" l="1"/>
  <c r="AT14" i="10" s="1"/>
  <c r="AN25" i="10"/>
  <c r="AO23" i="10" s="1"/>
  <c r="AO24" i="10" s="1"/>
  <c r="T49" i="10"/>
  <c r="T65" i="10" s="1"/>
  <c r="R42" i="10"/>
  <c r="R76" i="10" s="1"/>
  <c r="S32" i="10"/>
  <c r="S63" i="10" l="1"/>
  <c r="C10" i="40" s="1"/>
  <c r="S64" i="10"/>
  <c r="T50" i="10"/>
  <c r="AT16" i="10"/>
  <c r="AO25" i="10"/>
  <c r="AP23" i="10" s="1"/>
  <c r="AP24" i="10" s="1"/>
  <c r="S33" i="10"/>
  <c r="S67" i="10" s="1"/>
  <c r="S68" i="10" s="1"/>
  <c r="C12" i="40" l="1"/>
  <c r="S15" i="10"/>
  <c r="S69" i="10"/>
  <c r="T53" i="10"/>
  <c r="AT17" i="10"/>
  <c r="AU14" i="10" s="1"/>
  <c r="AP25" i="10"/>
  <c r="AQ23" i="10" s="1"/>
  <c r="AQ24" i="10" s="1"/>
  <c r="S36" i="10"/>
  <c r="S71" i="10" s="1"/>
  <c r="S72" i="10" s="1"/>
  <c r="T54" i="10" l="1"/>
  <c r="T58" i="10"/>
  <c r="T56" i="10"/>
  <c r="T59" i="10" s="1"/>
  <c r="AU16" i="10"/>
  <c r="AQ25" i="10"/>
  <c r="AR23" i="10" s="1"/>
  <c r="AR24" i="10" s="1"/>
  <c r="S41" i="10"/>
  <c r="S75" i="10" s="1"/>
  <c r="S37" i="10"/>
  <c r="S39" i="10"/>
  <c r="S74" i="10" s="1"/>
  <c r="C11" i="40" s="1"/>
  <c r="E20" i="44" s="1"/>
  <c r="F12" i="36" l="1"/>
  <c r="G12" i="36" s="1"/>
  <c r="E12" i="30"/>
  <c r="AU17" i="10"/>
  <c r="AV14" i="10" s="1"/>
  <c r="AR25" i="10"/>
  <c r="AS23" i="10" s="1"/>
  <c r="AS24" i="10" s="1"/>
  <c r="U49" i="10"/>
  <c r="U65" i="10" s="1"/>
  <c r="S42" i="10"/>
  <c r="S76" i="10" s="1"/>
  <c r="T32" i="10"/>
  <c r="T64" i="10" l="1"/>
  <c r="T63" i="10"/>
  <c r="T15" i="10" s="1"/>
  <c r="U50" i="10"/>
  <c r="AV16" i="10"/>
  <c r="AS25" i="10"/>
  <c r="AT23" i="10" s="1"/>
  <c r="AT24" i="10" s="1"/>
  <c r="T33" i="10"/>
  <c r="T67" i="10" s="1"/>
  <c r="T68" i="10" s="1"/>
  <c r="T69" i="10" l="1"/>
  <c r="U53" i="10"/>
  <c r="AV17" i="10"/>
  <c r="AW14" i="10" s="1"/>
  <c r="AT25" i="10"/>
  <c r="AU23" i="10" s="1"/>
  <c r="AU24" i="10" s="1"/>
  <c r="T36" i="10"/>
  <c r="T71" i="10" s="1"/>
  <c r="T72" i="10" s="1"/>
  <c r="U54" i="10" l="1"/>
  <c r="U58" i="10"/>
  <c r="U56" i="10"/>
  <c r="U59" i="10" s="1"/>
  <c r="AW16" i="10"/>
  <c r="AU25" i="10"/>
  <c r="AV23" i="10" s="1"/>
  <c r="AV24" i="10" s="1"/>
  <c r="T41" i="10"/>
  <c r="T75" i="10" s="1"/>
  <c r="T37" i="10"/>
  <c r="T39" i="10"/>
  <c r="T74" i="10" s="1"/>
  <c r="AW17" i="10" l="1"/>
  <c r="AX14" i="10" s="1"/>
  <c r="AV25" i="10"/>
  <c r="V49" i="10"/>
  <c r="V65" i="10" s="1"/>
  <c r="U32" i="10"/>
  <c r="T42" i="10"/>
  <c r="T76" i="10" s="1"/>
  <c r="U63" i="10" l="1"/>
  <c r="U15" i="10" s="1"/>
  <c r="U64" i="10"/>
  <c r="V50" i="10"/>
  <c r="AX16" i="10"/>
  <c r="AW23" i="10"/>
  <c r="AW24" i="10" s="1"/>
  <c r="U33" i="10"/>
  <c r="U67" i="10" s="1"/>
  <c r="U68" i="10" s="1"/>
  <c r="U69" i="10" l="1"/>
  <c r="V53" i="10"/>
  <c r="AX17" i="10"/>
  <c r="AY14" i="10" s="1"/>
  <c r="AW25" i="10"/>
  <c r="U36" i="10"/>
  <c r="U71" i="10" s="1"/>
  <c r="U72" i="10" s="1"/>
  <c r="V54" i="10" l="1"/>
  <c r="V58" i="10"/>
  <c r="V56" i="10"/>
  <c r="V59" i="10" s="1"/>
  <c r="AY16" i="10"/>
  <c r="AX23" i="10"/>
  <c r="AX24" i="10" s="1"/>
  <c r="U41" i="10"/>
  <c r="U75" i="10" s="1"/>
  <c r="U39" i="10"/>
  <c r="U74" i="10" s="1"/>
  <c r="U37" i="10"/>
  <c r="AY17" i="10" l="1"/>
  <c r="AZ14" i="10" s="1"/>
  <c r="AX25" i="10"/>
  <c r="AY23" i="10" s="1"/>
  <c r="AY24" i="10" s="1"/>
  <c r="W49" i="10"/>
  <c r="W65" i="10" s="1"/>
  <c r="U42" i="10"/>
  <c r="U76" i="10" s="1"/>
  <c r="V32" i="10"/>
  <c r="V63" i="10" l="1"/>
  <c r="V15" i="10" s="1"/>
  <c r="V64" i="10"/>
  <c r="W50" i="10"/>
  <c r="AZ16" i="10"/>
  <c r="AY25" i="10"/>
  <c r="AZ23" i="10" s="1"/>
  <c r="AZ24" i="10" s="1"/>
  <c r="V33" i="10"/>
  <c r="V67" i="10" s="1"/>
  <c r="V68" i="10" s="1"/>
  <c r="V69" i="10" l="1"/>
  <c r="W53" i="10"/>
  <c r="AZ17" i="10"/>
  <c r="BA14" i="10" s="1"/>
  <c r="AZ25" i="10"/>
  <c r="BA23" i="10" s="1"/>
  <c r="V36" i="10"/>
  <c r="V71" i="10" s="1"/>
  <c r="V72" i="10" s="1"/>
  <c r="W54" i="10" l="1"/>
  <c r="W58" i="10"/>
  <c r="W56" i="10"/>
  <c r="W59" i="10" s="1"/>
  <c r="BA16" i="10"/>
  <c r="BA17" i="10" s="1"/>
  <c r="BB14" i="10" s="1"/>
  <c r="BB16" i="10" s="1"/>
  <c r="BB17" i="10" s="1"/>
  <c r="BC14" i="10" s="1"/>
  <c r="BA24" i="10"/>
  <c r="BA25" i="10"/>
  <c r="V41" i="10"/>
  <c r="V75" i="10" s="1"/>
  <c r="V37" i="10"/>
  <c r="V39" i="10"/>
  <c r="V74" i="10" s="1"/>
  <c r="BC16" i="10" l="1"/>
  <c r="BC17" i="10" s="1"/>
  <c r="BD14" i="10" s="1"/>
  <c r="BD16" i="10" s="1"/>
  <c r="BD17" i="10" s="1"/>
  <c r="BE14" i="10" s="1"/>
  <c r="BE16" i="10" s="1"/>
  <c r="BE17" i="10" s="1"/>
  <c r="BF14" i="10" s="1"/>
  <c r="BF16" i="10" s="1"/>
  <c r="BF17" i="10" s="1"/>
  <c r="BG14" i="10" s="1"/>
  <c r="BB23" i="10"/>
  <c r="BB24" i="10" s="1"/>
  <c r="X49" i="10"/>
  <c r="X65" i="10" s="1"/>
  <c r="W32" i="10"/>
  <c r="V42" i="10"/>
  <c r="V76" i="10" s="1"/>
  <c r="BG16" i="10" l="1"/>
  <c r="BG17" i="10" s="1"/>
  <c r="BH14" i="10" s="1"/>
  <c r="BH16" i="10" s="1"/>
  <c r="BH17" i="10" s="1"/>
  <c r="BI14" i="10" s="1"/>
  <c r="BI16" i="10" s="1"/>
  <c r="BI17" i="10" s="1"/>
  <c r="BJ14" i="10" s="1"/>
  <c r="BJ16" i="10" s="1"/>
  <c r="BJ17" i="10" s="1"/>
  <c r="BK14" i="10" s="1"/>
  <c r="BB25" i="10"/>
  <c r="W63" i="10"/>
  <c r="W15" i="10" s="1"/>
  <c r="W64" i="10"/>
  <c r="X50" i="10"/>
  <c r="W33" i="10"/>
  <c r="W67" i="10" s="1"/>
  <c r="W68" i="10" s="1"/>
  <c r="BK16" i="10" l="1"/>
  <c r="BK17" i="10" s="1"/>
  <c r="BL14" i="10" s="1"/>
  <c r="BL16" i="10" s="1"/>
  <c r="BL17" i="10" s="1"/>
  <c r="BM14" i="10" s="1"/>
  <c r="BM16" i="10" s="1"/>
  <c r="BM17" i="10" s="1"/>
  <c r="BN14" i="10" s="1"/>
  <c r="BN16" i="10" s="1"/>
  <c r="BN17" i="10" s="1"/>
  <c r="BO14" i="10" s="1"/>
  <c r="BC23" i="10"/>
  <c r="BC24" i="10" s="1"/>
  <c r="W69" i="10"/>
  <c r="X53" i="10"/>
  <c r="W36" i="10"/>
  <c r="W71" i="10" s="1"/>
  <c r="W72" i="10" s="1"/>
  <c r="BO16" i="10" l="1"/>
  <c r="BO17" i="10" s="1"/>
  <c r="BP14" i="10" s="1"/>
  <c r="BP16" i="10" s="1"/>
  <c r="BP17" i="10" s="1"/>
  <c r="BQ14" i="10" s="1"/>
  <c r="BQ16" i="10" s="1"/>
  <c r="BQ17" i="10" s="1"/>
  <c r="BR14" i="10" s="1"/>
  <c r="BR16" i="10" s="1"/>
  <c r="BR17" i="10" s="1"/>
  <c r="BS14" i="10" s="1"/>
  <c r="BC25" i="10"/>
  <c r="BD23" i="10" s="1"/>
  <c r="X54" i="10"/>
  <c r="X58" i="10"/>
  <c r="X56" i="10"/>
  <c r="X59" i="10" s="1"/>
  <c r="W41" i="10"/>
  <c r="W75" i="10" s="1"/>
  <c r="W37" i="10"/>
  <c r="W39" i="10"/>
  <c r="W74" i="10" s="1"/>
  <c r="BS16" i="10" l="1"/>
  <c r="BS17" i="10" s="1"/>
  <c r="BT14" i="10" s="1"/>
  <c r="BD24" i="10"/>
  <c r="BD25" i="10"/>
  <c r="BE23" i="10" s="1"/>
  <c r="BE24" i="10" s="1"/>
  <c r="Y49" i="10"/>
  <c r="Y65" i="10" s="1"/>
  <c r="X32" i="10"/>
  <c r="W42" i="10"/>
  <c r="W76" i="10" s="1"/>
  <c r="BT16" i="10" l="1"/>
  <c r="BT17" i="10" s="1"/>
  <c r="BU14" i="10" s="1"/>
  <c r="BU16" i="10" s="1"/>
  <c r="BU17" i="10" s="1"/>
  <c r="BV14" i="10" s="1"/>
  <c r="BV16" i="10" s="1"/>
  <c r="BV17" i="10" s="1"/>
  <c r="BW14" i="10" s="1"/>
  <c r="BW16" i="10" s="1"/>
  <c r="BW17" i="10" s="1"/>
  <c r="BX14" i="10" s="1"/>
  <c r="BX16" i="10" s="1"/>
  <c r="BX17" i="10" s="1"/>
  <c r="BY14" i="10" s="1"/>
  <c r="BY16" i="10" s="1"/>
  <c r="BY17" i="10" s="1"/>
  <c r="BZ14" i="10" s="1"/>
  <c r="BZ16" i="10" s="1"/>
  <c r="BZ17" i="10" s="1"/>
  <c r="CA14" i="10" s="1"/>
  <c r="CA16" i="10" s="1"/>
  <c r="CA17" i="10" s="1"/>
  <c r="CB14" i="10" s="1"/>
  <c r="CB16" i="10" s="1"/>
  <c r="CB17" i="10" s="1"/>
  <c r="CC14" i="10" s="1"/>
  <c r="CC16" i="10" s="1"/>
  <c r="CC17" i="10" s="1"/>
  <c r="CD14" i="10" s="1"/>
  <c r="CD16" i="10" s="1"/>
  <c r="CD17" i="10" s="1"/>
  <c r="CE14" i="10" s="1"/>
  <c r="CE16" i="10" s="1"/>
  <c r="CE17" i="10" s="1"/>
  <c r="CF14" i="10" s="1"/>
  <c r="CF16" i="10" s="1"/>
  <c r="CF17" i="10" s="1"/>
  <c r="CG14" i="10" s="1"/>
  <c r="CG16" i="10" s="1"/>
  <c r="CG17" i="10" s="1"/>
  <c r="CH14" i="10" s="1"/>
  <c r="CH16" i="10" s="1"/>
  <c r="CH17" i="10" s="1"/>
  <c r="T15" i="9"/>
  <c r="T16" i="9" s="1"/>
  <c r="BE25" i="10"/>
  <c r="BF23" i="10" s="1"/>
  <c r="BF24" i="10" s="1"/>
  <c r="X64" i="10"/>
  <c r="X63" i="10"/>
  <c r="X15" i="10" s="1"/>
  <c r="Y50" i="10"/>
  <c r="X33" i="10"/>
  <c r="X67" i="10" s="1"/>
  <c r="X68" i="10" s="1"/>
  <c r="BF25" i="10" l="1"/>
  <c r="BG23" i="10" s="1"/>
  <c r="BG24" i="10" s="1"/>
  <c r="X69" i="10"/>
  <c r="Y53" i="10"/>
  <c r="X36" i="10"/>
  <c r="X71" i="10" s="1"/>
  <c r="X72" i="10" s="1"/>
  <c r="BG25" i="10" l="1"/>
  <c r="BH23" i="10" s="1"/>
  <c r="BH24" i="10" s="1"/>
  <c r="Y54" i="10"/>
  <c r="Y58" i="10"/>
  <c r="Y56" i="10"/>
  <c r="Y59" i="10" s="1"/>
  <c r="X41" i="10"/>
  <c r="X75" i="10" s="1"/>
  <c r="X39" i="10"/>
  <c r="X74" i="10" s="1"/>
  <c r="X37" i="10"/>
  <c r="BH25" i="10" l="1"/>
  <c r="BI23" i="10" s="1"/>
  <c r="BI24" i="10" s="1"/>
  <c r="Z49" i="10"/>
  <c r="Z65" i="10" s="1"/>
  <c r="X42" i="10"/>
  <c r="X76" i="10" s="1"/>
  <c r="Y32" i="10"/>
  <c r="BI25" i="10" l="1"/>
  <c r="BJ23" i="10" s="1"/>
  <c r="BJ24" i="10" s="1"/>
  <c r="Y63" i="10"/>
  <c r="Y15" i="10" s="1"/>
  <c r="Y64" i="10"/>
  <c r="Z50" i="10"/>
  <c r="Y33" i="10"/>
  <c r="Y67" i="10" s="1"/>
  <c r="Y68" i="10" s="1"/>
  <c r="BJ25" i="10" l="1"/>
  <c r="BK23" i="10" s="1"/>
  <c r="BK24" i="10" s="1"/>
  <c r="Y69" i="10"/>
  <c r="Z53" i="10"/>
  <c r="Y36" i="10"/>
  <c r="Y71" i="10" s="1"/>
  <c r="Y72" i="10" s="1"/>
  <c r="BK25" i="10" l="1"/>
  <c r="Z54" i="10"/>
  <c r="Z58" i="10"/>
  <c r="Z56" i="10"/>
  <c r="Z59" i="10" s="1"/>
  <c r="Y41" i="10"/>
  <c r="Y75" i="10" s="1"/>
  <c r="Y37" i="10"/>
  <c r="Y39" i="10"/>
  <c r="Y74" i="10" s="1"/>
  <c r="BL23" i="10" l="1"/>
  <c r="BL24" i="10" s="1"/>
  <c r="AA49" i="10"/>
  <c r="AA65" i="10" s="1"/>
  <c r="Y42" i="10"/>
  <c r="Y76" i="10" s="1"/>
  <c r="Z32" i="10"/>
  <c r="BL25" i="10" l="1"/>
  <c r="Z63" i="10"/>
  <c r="Z15" i="10" s="1"/>
  <c r="Z64" i="10"/>
  <c r="AA50" i="10"/>
  <c r="Z33" i="10"/>
  <c r="Z67" i="10" s="1"/>
  <c r="Z68" i="10" s="1"/>
  <c r="BM23" i="10" l="1"/>
  <c r="BM24" i="10" s="1"/>
  <c r="Z69" i="10"/>
  <c r="AA53" i="10"/>
  <c r="Z36" i="10"/>
  <c r="Z71" i="10" s="1"/>
  <c r="Z72" i="10" s="1"/>
  <c r="BM25" i="10" l="1"/>
  <c r="AA54" i="10"/>
  <c r="AA58" i="10"/>
  <c r="AA56" i="10"/>
  <c r="AA59" i="10" s="1"/>
  <c r="Z41" i="10"/>
  <c r="Z37" i="10"/>
  <c r="Z39" i="10"/>
  <c r="Z74" i="10" s="1"/>
  <c r="BN23" i="10" l="1"/>
  <c r="BN24" i="10" s="1"/>
  <c r="Z75" i="10"/>
  <c r="AB49" i="10"/>
  <c r="AB65" i="10" s="1"/>
  <c r="Z42" i="10"/>
  <c r="Z76" i="10" s="1"/>
  <c r="AA32" i="10"/>
  <c r="BN25" i="10" l="1"/>
  <c r="AA63" i="10"/>
  <c r="AA15" i="10" s="1"/>
  <c r="AA64" i="10"/>
  <c r="AB50" i="10"/>
  <c r="AA33" i="10"/>
  <c r="AA67" i="10" s="1"/>
  <c r="AA68" i="10" s="1"/>
  <c r="BO23" i="10" l="1"/>
  <c r="BO24" i="10" s="1"/>
  <c r="AA69" i="10"/>
  <c r="AB53" i="10"/>
  <c r="AA36" i="10"/>
  <c r="AA71" i="10" s="1"/>
  <c r="AA72" i="10" s="1"/>
  <c r="BO25" i="10" l="1"/>
  <c r="AB54" i="10"/>
  <c r="AB58" i="10"/>
  <c r="AB56" i="10"/>
  <c r="AB59" i="10" s="1"/>
  <c r="AA41" i="10"/>
  <c r="AA75" i="10" s="1"/>
  <c r="AA37" i="10"/>
  <c r="AA39" i="10"/>
  <c r="AA74" i="10" s="1"/>
  <c r="BP23" i="10" l="1"/>
  <c r="BP24" i="10" s="1"/>
  <c r="AC49" i="10"/>
  <c r="AC65" i="10" s="1"/>
  <c r="AB32" i="10"/>
  <c r="AA42" i="10"/>
  <c r="AA76" i="10" s="1"/>
  <c r="BP25" i="10" l="1"/>
  <c r="AB64" i="10"/>
  <c r="AB63" i="10"/>
  <c r="AC50" i="10"/>
  <c r="AB33" i="10"/>
  <c r="AB67" i="10" s="1"/>
  <c r="AB68" i="10" s="1"/>
  <c r="BQ23" i="10" l="1"/>
  <c r="BQ24" i="10" s="1"/>
  <c r="AB69" i="10"/>
  <c r="AB15" i="10"/>
  <c r="AC53" i="10"/>
  <c r="AB36" i="10"/>
  <c r="AB71" i="10" s="1"/>
  <c r="AB72" i="10" s="1"/>
  <c r="BQ25" i="10" l="1"/>
  <c r="AC54" i="10"/>
  <c r="AC58" i="10"/>
  <c r="AC56" i="10"/>
  <c r="AC59" i="10" s="1"/>
  <c r="AB41" i="10"/>
  <c r="AB75" i="10" s="1"/>
  <c r="AB37" i="10"/>
  <c r="AB39" i="10"/>
  <c r="AB74" i="10" s="1"/>
  <c r="BR23" i="10" l="1"/>
  <c r="BR24" i="10" s="1"/>
  <c r="AD49" i="10"/>
  <c r="AD65" i="10" s="1"/>
  <c r="AC32" i="10"/>
  <c r="AB42" i="10"/>
  <c r="AB76" i="10" s="1"/>
  <c r="BR25" i="10" l="1"/>
  <c r="AC63" i="10"/>
  <c r="AC15" i="10" s="1"/>
  <c r="AC64" i="10"/>
  <c r="AD54" i="10"/>
  <c r="AD50" i="10"/>
  <c r="AD53" i="10" s="1"/>
  <c r="AD58" i="10" s="1"/>
  <c r="AC33" i="10"/>
  <c r="AC67" i="10" s="1"/>
  <c r="AC68" i="10" s="1"/>
  <c r="BS23" i="10" l="1"/>
  <c r="BS24" i="10" s="1"/>
  <c r="AC69" i="10"/>
  <c r="AD56" i="10"/>
  <c r="AD59" i="10" s="1"/>
  <c r="AC36" i="10"/>
  <c r="AC71" i="10" s="1"/>
  <c r="AC72" i="10" s="1"/>
  <c r="BS25" i="10" l="1"/>
  <c r="BT23" i="10" s="1"/>
  <c r="BT24" i="10" s="1"/>
  <c r="AC41" i="10"/>
  <c r="AC75" i="10" s="1"/>
  <c r="AC37" i="10"/>
  <c r="AC39" i="10"/>
  <c r="AC74" i="10" s="1"/>
  <c r="BT25" i="10" l="1"/>
  <c r="AE49" i="10"/>
  <c r="AE65" i="10" s="1"/>
  <c r="AD32" i="10"/>
  <c r="AC42" i="10"/>
  <c r="AC76" i="10" s="1"/>
  <c r="BU23" i="10" l="1"/>
  <c r="BU24" i="10" s="1"/>
  <c r="AD63" i="10"/>
  <c r="AD15" i="10" s="1"/>
  <c r="AD64" i="10"/>
  <c r="AE54" i="10"/>
  <c r="AE50" i="10"/>
  <c r="AD33" i="10"/>
  <c r="AD67" i="10" s="1"/>
  <c r="AD68" i="10" s="1"/>
  <c r="BU25" i="10" l="1"/>
  <c r="AD69" i="10"/>
  <c r="AE53" i="10"/>
  <c r="AD36" i="10"/>
  <c r="AD71" i="10" s="1"/>
  <c r="AD72" i="10" s="1"/>
  <c r="BV23" i="10" l="1"/>
  <c r="BV24" i="10" s="1"/>
  <c r="AE56" i="10"/>
  <c r="AE59" i="10" s="1"/>
  <c r="AE58" i="10"/>
  <c r="AD41" i="10"/>
  <c r="AD75" i="10" s="1"/>
  <c r="AD37" i="10"/>
  <c r="AD39" i="10"/>
  <c r="AD74" i="10" s="1"/>
  <c r="BV25" i="10" l="1"/>
  <c r="BW23" i="10" s="1"/>
  <c r="BW24" i="10" s="1"/>
  <c r="AF49" i="10"/>
  <c r="AF65" i="10" s="1"/>
  <c r="AE32" i="10"/>
  <c r="AD42" i="10"/>
  <c r="AD76" i="10" s="1"/>
  <c r="BW25" i="10" l="1"/>
  <c r="BX23" i="10" s="1"/>
  <c r="BX24" i="10" s="1"/>
  <c r="AE63" i="10"/>
  <c r="AE15" i="10" s="1"/>
  <c r="AE64" i="10"/>
  <c r="AF54" i="10"/>
  <c r="AF50" i="10"/>
  <c r="AE33" i="10"/>
  <c r="AE67" i="10" s="1"/>
  <c r="AE68" i="10" s="1"/>
  <c r="BX25" i="10" l="1"/>
  <c r="BY23" i="10" s="1"/>
  <c r="BY24" i="10" s="1"/>
  <c r="AE69" i="10"/>
  <c r="AF53" i="10"/>
  <c r="AE36" i="10"/>
  <c r="AE71" i="10" s="1"/>
  <c r="AE72" i="10" s="1"/>
  <c r="BY25" i="10" l="1"/>
  <c r="BZ23" i="10" s="1"/>
  <c r="BZ24" i="10" s="1"/>
  <c r="AF56" i="10"/>
  <c r="AF59" i="10" s="1"/>
  <c r="AF58" i="10"/>
  <c r="AE41" i="10"/>
  <c r="AE75" i="10" s="1"/>
  <c r="AE37" i="10"/>
  <c r="AE39" i="10"/>
  <c r="AE74" i="10" s="1"/>
  <c r="BZ25" i="10" l="1"/>
  <c r="CA23" i="10" s="1"/>
  <c r="CA24" i="10" s="1"/>
  <c r="AG49" i="10"/>
  <c r="AG65" i="10" s="1"/>
  <c r="AF32" i="10"/>
  <c r="AE42" i="10"/>
  <c r="AE76" i="10" s="1"/>
  <c r="CA25" i="10" l="1"/>
  <c r="CB23" i="10" s="1"/>
  <c r="CB24" i="10" s="1"/>
  <c r="AF64" i="10"/>
  <c r="AF63" i="10"/>
  <c r="AG54" i="10"/>
  <c r="AG50" i="10"/>
  <c r="AF33" i="10"/>
  <c r="AF67" i="10" s="1"/>
  <c r="AF68" i="10" s="1"/>
  <c r="CB25" i="10" l="1"/>
  <c r="CC23" i="10" s="1"/>
  <c r="CC24" i="10" s="1"/>
  <c r="AF69" i="10"/>
  <c r="AF15" i="10"/>
  <c r="AG53" i="10"/>
  <c r="AF36" i="10"/>
  <c r="AF71" i="10" s="1"/>
  <c r="AF72" i="10" s="1"/>
  <c r="CC25" i="10" l="1"/>
  <c r="CD23" i="10" s="1"/>
  <c r="CD24" i="10" s="1"/>
  <c r="AG56" i="10"/>
  <c r="AG59" i="10" s="1"/>
  <c r="AG58" i="10"/>
  <c r="AF41" i="10"/>
  <c r="AF75" i="10" s="1"/>
  <c r="AF37" i="10"/>
  <c r="AF39" i="10"/>
  <c r="AF74" i="10" s="1"/>
  <c r="CD25" i="10" l="1"/>
  <c r="CE23" i="10" s="1"/>
  <c r="CE24" i="10" s="1"/>
  <c r="AH49" i="10"/>
  <c r="AH65" i="10" s="1"/>
  <c r="AF42" i="10"/>
  <c r="AF76" i="10" s="1"/>
  <c r="AG32" i="10"/>
  <c r="CE25" i="10" l="1"/>
  <c r="CF23" i="10" s="1"/>
  <c r="CF24" i="10" s="1"/>
  <c r="AG63" i="10"/>
  <c r="AG15" i="10" s="1"/>
  <c r="AG64" i="10"/>
  <c r="AH54" i="10"/>
  <c r="AH50" i="10"/>
  <c r="AH53" i="10" s="1"/>
  <c r="AH58" i="10" s="1"/>
  <c r="AG33" i="10"/>
  <c r="AG67" i="10" s="1"/>
  <c r="AG68" i="10" s="1"/>
  <c r="CF25" i="10" l="1"/>
  <c r="CG23" i="10" s="1"/>
  <c r="CG24" i="10" s="1"/>
  <c r="AG69" i="10"/>
  <c r="AH56" i="10"/>
  <c r="AH59" i="10" s="1"/>
  <c r="AG36" i="10"/>
  <c r="AG71" i="10" s="1"/>
  <c r="AG72" i="10" s="1"/>
  <c r="CG25" i="10" l="1"/>
  <c r="CH23" i="10" s="1"/>
  <c r="CH24" i="10" s="1"/>
  <c r="AG41" i="10"/>
  <c r="AG75" i="10" s="1"/>
  <c r="AG37" i="10"/>
  <c r="AG39" i="10"/>
  <c r="AG74" i="10" s="1"/>
  <c r="CH25" i="10" l="1"/>
  <c r="AI49" i="10"/>
  <c r="AI65" i="10" s="1"/>
  <c r="AH32" i="10"/>
  <c r="AG42" i="10"/>
  <c r="AG76" i="10" s="1"/>
  <c r="AH63" i="10" l="1"/>
  <c r="AH15" i="10" s="1"/>
  <c r="AH64" i="10"/>
  <c r="AI54" i="10"/>
  <c r="AI50" i="10"/>
  <c r="AH33" i="10"/>
  <c r="AH67" i="10" s="1"/>
  <c r="AH68" i="10" s="1"/>
  <c r="AH69" i="10" l="1"/>
  <c r="AI53" i="10"/>
  <c r="AH36" i="10"/>
  <c r="AH71" i="10" s="1"/>
  <c r="AH72" i="10" s="1"/>
  <c r="AI56" i="10" l="1"/>
  <c r="AI59" i="10" s="1"/>
  <c r="AI58" i="10"/>
  <c r="AH41" i="10"/>
  <c r="AH75" i="10" s="1"/>
  <c r="AH37" i="10"/>
  <c r="AH39" i="10"/>
  <c r="AH74" i="10" s="1"/>
  <c r="AJ49" i="10" l="1"/>
  <c r="AJ65" i="10" s="1"/>
  <c r="AI32" i="10"/>
  <c r="AH42" i="10"/>
  <c r="AH76" i="10" s="1"/>
  <c r="AI63" i="10" l="1"/>
  <c r="AI15" i="10" s="1"/>
  <c r="AI64" i="10"/>
  <c r="AJ54" i="10"/>
  <c r="AJ50" i="10"/>
  <c r="AI33" i="10"/>
  <c r="AI67" i="10" s="1"/>
  <c r="AI68" i="10" s="1"/>
  <c r="AI69" i="10" l="1"/>
  <c r="AJ53" i="10"/>
  <c r="AI36" i="10"/>
  <c r="AI71" i="10" s="1"/>
  <c r="AI72" i="10" s="1"/>
  <c r="AJ56" i="10" l="1"/>
  <c r="AJ59" i="10" s="1"/>
  <c r="AJ58" i="10"/>
  <c r="AI41" i="10"/>
  <c r="AI75" i="10" s="1"/>
  <c r="AI37" i="10"/>
  <c r="AI39" i="10"/>
  <c r="AI74" i="10" s="1"/>
  <c r="AK49" i="10" l="1"/>
  <c r="AK65" i="10" s="1"/>
  <c r="AI42" i="10"/>
  <c r="AI76" i="10" s="1"/>
  <c r="AJ32" i="10"/>
  <c r="AJ64" i="10" l="1"/>
  <c r="AJ63" i="10"/>
  <c r="AJ15" i="10" s="1"/>
  <c r="AK54" i="10"/>
  <c r="AK50" i="10"/>
  <c r="AJ33" i="10"/>
  <c r="AJ67" i="10" s="1"/>
  <c r="AJ68" i="10" s="1"/>
  <c r="AJ69" i="10" l="1"/>
  <c r="AK53" i="10"/>
  <c r="AJ36" i="10"/>
  <c r="AJ71" i="10" s="1"/>
  <c r="AJ72" i="10" s="1"/>
  <c r="AK56" i="10" l="1"/>
  <c r="AK59" i="10" s="1"/>
  <c r="AK58" i="10"/>
  <c r="AJ41" i="10"/>
  <c r="AJ75" i="10" s="1"/>
  <c r="AJ37" i="10"/>
  <c r="AJ39" i="10"/>
  <c r="AJ74" i="10" s="1"/>
  <c r="AL49" i="10" l="1"/>
  <c r="AL65" i="10" s="1"/>
  <c r="AJ42" i="10"/>
  <c r="AJ76" i="10" s="1"/>
  <c r="AK32" i="10"/>
  <c r="AK63" i="10" l="1"/>
  <c r="AK15" i="10" s="1"/>
  <c r="AK64" i="10"/>
  <c r="AL54" i="10"/>
  <c r="AL50" i="10"/>
  <c r="AK33" i="10"/>
  <c r="AK67" i="10" s="1"/>
  <c r="AK68" i="10" s="1"/>
  <c r="AK69" i="10" l="1"/>
  <c r="AL53" i="10"/>
  <c r="AK36" i="10"/>
  <c r="AK37" i="10" l="1"/>
  <c r="AK71" i="10"/>
  <c r="AK72" i="10" s="1"/>
  <c r="AL56" i="10"/>
  <c r="AL59" i="10" s="1"/>
  <c r="AL58" i="10"/>
  <c r="AK41" i="10"/>
  <c r="AK75" i="10" s="1"/>
  <c r="AK39" i="10"/>
  <c r="AK74" i="10" s="1"/>
  <c r="AM49" i="10" l="1"/>
  <c r="AM65" i="10" s="1"/>
  <c r="AL32" i="10"/>
  <c r="AK42" i="10"/>
  <c r="AK76" i="10" s="1"/>
  <c r="AL63" i="10" l="1"/>
  <c r="AL15" i="10" s="1"/>
  <c r="AL64" i="10"/>
  <c r="AM54" i="10"/>
  <c r="AM50" i="10"/>
  <c r="AL33" i="10"/>
  <c r="AL67" i="10" s="1"/>
  <c r="AL68" i="10" s="1"/>
  <c r="AL69" i="10" l="1"/>
  <c r="AM53" i="10"/>
  <c r="AL36" i="10"/>
  <c r="AL71" i="10" s="1"/>
  <c r="AL72" i="10" s="1"/>
  <c r="AM56" i="10" l="1"/>
  <c r="AM59" i="10" s="1"/>
  <c r="AM58" i="10"/>
  <c r="AL41" i="10"/>
  <c r="AL75" i="10" s="1"/>
  <c r="AL37" i="10"/>
  <c r="AL39" i="10"/>
  <c r="AL74" i="10" s="1"/>
  <c r="AN49" i="10" l="1"/>
  <c r="AN65" i="10" s="1"/>
  <c r="AM32" i="10"/>
  <c r="AL42" i="10"/>
  <c r="AL76" i="10" s="1"/>
  <c r="AM63" i="10" l="1"/>
  <c r="AM64" i="10"/>
  <c r="AN54" i="10"/>
  <c r="AN50" i="10"/>
  <c r="AM33" i="10"/>
  <c r="AM67" i="10" s="1"/>
  <c r="AM68" i="10" s="1"/>
  <c r="AM15" i="10" l="1"/>
  <c r="AM69" i="10"/>
  <c r="AN53" i="10"/>
  <c r="AM36" i="10"/>
  <c r="AM37" i="10" l="1"/>
  <c r="AM71" i="10"/>
  <c r="AM72" i="10" s="1"/>
  <c r="AN56" i="10"/>
  <c r="AN59" i="10" s="1"/>
  <c r="AN58" i="10"/>
  <c r="AM41" i="10"/>
  <c r="AM75" i="10" s="1"/>
  <c r="AM39" i="10"/>
  <c r="AM74" i="10" s="1"/>
  <c r="AO49" i="10" l="1"/>
  <c r="AO65" i="10" s="1"/>
  <c r="AM42" i="10"/>
  <c r="AM76" i="10" s="1"/>
  <c r="AN32" i="10"/>
  <c r="AN64" i="10" l="1"/>
  <c r="AN63" i="10"/>
  <c r="AN15" i="10" s="1"/>
  <c r="AO54" i="10"/>
  <c r="AO50" i="10"/>
  <c r="AN33" i="10"/>
  <c r="AN67" i="10" s="1"/>
  <c r="AN68" i="10" l="1"/>
  <c r="T21" i="9"/>
  <c r="T30" i="9" s="1"/>
  <c r="T32" i="9" s="1"/>
  <c r="T34" i="9" s="1"/>
  <c r="T24" i="9" s="1"/>
  <c r="AN69" i="10"/>
  <c r="AO53" i="10"/>
  <c r="AN36" i="10"/>
  <c r="AN37" i="10" l="1"/>
  <c r="AN71" i="10"/>
  <c r="AO56" i="10"/>
  <c r="AO59" i="10" s="1"/>
  <c r="AO58" i="10"/>
  <c r="AN41" i="10"/>
  <c r="AN75" i="10" s="1"/>
  <c r="AN39" i="10"/>
  <c r="AN74" i="10" s="1"/>
  <c r="AN72" i="10" l="1"/>
  <c r="T22" i="9"/>
  <c r="T23" i="9" s="1"/>
  <c r="T25" i="9" s="1"/>
  <c r="T37" i="9" s="1"/>
  <c r="T38" i="9" s="1"/>
  <c r="AP49" i="10"/>
  <c r="AP65" i="10" s="1"/>
  <c r="AN42" i="10"/>
  <c r="AN76" i="10" s="1"/>
  <c r="AO32" i="10"/>
  <c r="AO63" i="10" l="1"/>
  <c r="AO15" i="10" s="1"/>
  <c r="AO64" i="10"/>
  <c r="AP54" i="10"/>
  <c r="AP50" i="10"/>
  <c r="AO33" i="10"/>
  <c r="AO67" i="10" s="1"/>
  <c r="AO68" i="10" s="1"/>
  <c r="AO69" i="10" l="1"/>
  <c r="AP53" i="10"/>
  <c r="AO36" i="10"/>
  <c r="AO71" i="10" s="1"/>
  <c r="AO72" i="10" s="1"/>
  <c r="AP56" i="10" l="1"/>
  <c r="AP59" i="10" s="1"/>
  <c r="AP58" i="10"/>
  <c r="AO41" i="10"/>
  <c r="AO75" i="10" s="1"/>
  <c r="AO37" i="10"/>
  <c r="AO39" i="10"/>
  <c r="AO74" i="10" s="1"/>
  <c r="AQ49" i="10" l="1"/>
  <c r="AQ65" i="10" s="1"/>
  <c r="AO42" i="10"/>
  <c r="AO76" i="10" s="1"/>
  <c r="AP32" i="10"/>
  <c r="AP63" i="10" l="1"/>
  <c r="AP15" i="10" s="1"/>
  <c r="AP64" i="10"/>
  <c r="AQ54" i="10"/>
  <c r="AQ50" i="10"/>
  <c r="AP33" i="10"/>
  <c r="AP67" i="10" s="1"/>
  <c r="AP68" i="10" s="1"/>
  <c r="AP69" i="10" l="1"/>
  <c r="AQ53" i="10"/>
  <c r="AP36" i="10"/>
  <c r="AP37" i="10" l="1"/>
  <c r="AP71" i="10"/>
  <c r="AP72" i="10" s="1"/>
  <c r="AQ56" i="10"/>
  <c r="AQ59" i="10" s="1"/>
  <c r="AQ58" i="10"/>
  <c r="AP41" i="10"/>
  <c r="AP75" i="10" s="1"/>
  <c r="AP39" i="10"/>
  <c r="AP74" i="10" s="1"/>
  <c r="AR49" i="10" l="1"/>
  <c r="AR65" i="10" s="1"/>
  <c r="AQ32" i="10"/>
  <c r="AP42" i="10"/>
  <c r="AP76" i="10" s="1"/>
  <c r="AQ63" i="10" l="1"/>
  <c r="AQ15" i="10" s="1"/>
  <c r="AQ64" i="10"/>
  <c r="AR54" i="10"/>
  <c r="AR50" i="10"/>
  <c r="AQ33" i="10"/>
  <c r="AQ67" i="10" s="1"/>
  <c r="AQ68" i="10" s="1"/>
  <c r="AQ69" i="10" l="1"/>
  <c r="AR53" i="10"/>
  <c r="AQ36" i="10"/>
  <c r="AQ37" i="10" l="1"/>
  <c r="AQ71" i="10"/>
  <c r="AQ72" i="10" s="1"/>
  <c r="AR56" i="10"/>
  <c r="AR59" i="10" s="1"/>
  <c r="AR58" i="10"/>
  <c r="AQ41" i="10"/>
  <c r="AQ75" i="10" s="1"/>
  <c r="AQ39" i="10"/>
  <c r="AQ74" i="10" s="1"/>
  <c r="AS49" i="10" l="1"/>
  <c r="AS65" i="10" s="1"/>
  <c r="AR32" i="10"/>
  <c r="AQ42" i="10"/>
  <c r="AQ76" i="10" s="1"/>
  <c r="AR64" i="10" l="1"/>
  <c r="AR63" i="10"/>
  <c r="AS54" i="10"/>
  <c r="AS50" i="10"/>
  <c r="AR33" i="10"/>
  <c r="AR67" i="10" s="1"/>
  <c r="AR68" i="10" s="1"/>
  <c r="AR69" i="10" l="1"/>
  <c r="AR15" i="10"/>
  <c r="AS53" i="10"/>
  <c r="AR36" i="10"/>
  <c r="AR71" i="10" s="1"/>
  <c r="AR72" i="10" s="1"/>
  <c r="AS56" i="10" l="1"/>
  <c r="AS59" i="10" s="1"/>
  <c r="AS58" i="10"/>
  <c r="AR41" i="10"/>
  <c r="AR75" i="10" s="1"/>
  <c r="AR37" i="10"/>
  <c r="AR39" i="10"/>
  <c r="AR74" i="10" s="1"/>
  <c r="AT49" i="10" l="1"/>
  <c r="AT65" i="10" s="1"/>
  <c r="AS32" i="10"/>
  <c r="AR42" i="10"/>
  <c r="AR76" i="10" s="1"/>
  <c r="AS63" i="10" l="1"/>
  <c r="AS15" i="10" s="1"/>
  <c r="AS64" i="10"/>
  <c r="AT54" i="10"/>
  <c r="AT50" i="10"/>
  <c r="AS33" i="10"/>
  <c r="AS67" i="10" s="1"/>
  <c r="AS68" i="10" s="1"/>
  <c r="AS69" i="10" l="1"/>
  <c r="AT53" i="10"/>
  <c r="AS36" i="10"/>
  <c r="AS37" i="10" l="1"/>
  <c r="AS71" i="10"/>
  <c r="AS72" i="10" s="1"/>
  <c r="AT56" i="10"/>
  <c r="AT59" i="10" s="1"/>
  <c r="AT58" i="10"/>
  <c r="AS41" i="10"/>
  <c r="AS75" i="10" s="1"/>
  <c r="AS39" i="10"/>
  <c r="AS74" i="10" s="1"/>
  <c r="AU49" i="10" l="1"/>
  <c r="AU65" i="10" s="1"/>
  <c r="AS42" i="10"/>
  <c r="AS76" i="10" s="1"/>
  <c r="AT32" i="10"/>
  <c r="AT63" i="10" l="1"/>
  <c r="AT15" i="10" s="1"/>
  <c r="AT64" i="10"/>
  <c r="AU54" i="10"/>
  <c r="AU50" i="10"/>
  <c r="AT33" i="10"/>
  <c r="AT67" i="10" s="1"/>
  <c r="AT68" i="10" s="1"/>
  <c r="AT69" i="10" l="1"/>
  <c r="AU53" i="10"/>
  <c r="AT36" i="10"/>
  <c r="AT37" i="10" l="1"/>
  <c r="AT71" i="10"/>
  <c r="AT72" i="10" s="1"/>
  <c r="AU56" i="10"/>
  <c r="AU59" i="10" s="1"/>
  <c r="AU58" i="10"/>
  <c r="AT41" i="10"/>
  <c r="AT75" i="10" s="1"/>
  <c r="AT39" i="10"/>
  <c r="AT74" i="10" s="1"/>
  <c r="AV49" i="10" l="1"/>
  <c r="AV65" i="10" s="1"/>
  <c r="AT42" i="10"/>
  <c r="AT76" i="10" s="1"/>
  <c r="AU32" i="10"/>
  <c r="AU63" i="10" l="1"/>
  <c r="AU15" i="10" s="1"/>
  <c r="AU64" i="10"/>
  <c r="AV54" i="10"/>
  <c r="AV50" i="10"/>
  <c r="AU33" i="10"/>
  <c r="AU67" i="10" s="1"/>
  <c r="AU68" i="10" s="1"/>
  <c r="AU69" i="10" l="1"/>
  <c r="AV53" i="10"/>
  <c r="AU36" i="10"/>
  <c r="AU71" i="10" s="1"/>
  <c r="AU72" i="10" s="1"/>
  <c r="AV56" i="10" l="1"/>
  <c r="AV59" i="10" s="1"/>
  <c r="AV58" i="10"/>
  <c r="AU41" i="10"/>
  <c r="AU75" i="10" s="1"/>
  <c r="AU39" i="10"/>
  <c r="AU74" i="10" s="1"/>
  <c r="AU37" i="10"/>
  <c r="AW49" i="10" l="1"/>
  <c r="AW65" i="10" s="1"/>
  <c r="AU42" i="10"/>
  <c r="AU76" i="10" s="1"/>
  <c r="AV32" i="10"/>
  <c r="AV64" i="10" l="1"/>
  <c r="AV63" i="10"/>
  <c r="AW54" i="10"/>
  <c r="AW50" i="10"/>
  <c r="AV33" i="10"/>
  <c r="AV67" i="10" s="1"/>
  <c r="AV68" i="10" s="1"/>
  <c r="AV69" i="10" l="1"/>
  <c r="AV15" i="10"/>
  <c r="AW53" i="10"/>
  <c r="AV36" i="10"/>
  <c r="AV37" i="10" l="1"/>
  <c r="AV71" i="10"/>
  <c r="AV72" i="10" s="1"/>
  <c r="AW56" i="10"/>
  <c r="AW59" i="10" s="1"/>
  <c r="AW58" i="10"/>
  <c r="AV41" i="10"/>
  <c r="AV75" i="10" s="1"/>
  <c r="AV39" i="10"/>
  <c r="AV74" i="10" s="1"/>
  <c r="AX49" i="10" l="1"/>
  <c r="AX65" i="10" s="1"/>
  <c r="AV42" i="10"/>
  <c r="AV76" i="10" s="1"/>
  <c r="AW32" i="10"/>
  <c r="AW63" i="10" l="1"/>
  <c r="AW15" i="10" s="1"/>
  <c r="AW64" i="10"/>
  <c r="AX54" i="10"/>
  <c r="AX50" i="10"/>
  <c r="AW33" i="10"/>
  <c r="AW67" i="10" s="1"/>
  <c r="AW68" i="10" s="1"/>
  <c r="AW69" i="10" l="1"/>
  <c r="AX53" i="10"/>
  <c r="AW36" i="10"/>
  <c r="AW37" i="10" l="1"/>
  <c r="AW71" i="10"/>
  <c r="AW72" i="10" s="1"/>
  <c r="AX56" i="10"/>
  <c r="AX59" i="10" s="1"/>
  <c r="AX58" i="10"/>
  <c r="AW41" i="10"/>
  <c r="AW75" i="10" s="1"/>
  <c r="AW39" i="10"/>
  <c r="AW74" i="10" s="1"/>
  <c r="AY49" i="10" l="1"/>
  <c r="AY65" i="10" s="1"/>
  <c r="AW42" i="10"/>
  <c r="AW76" i="10" s="1"/>
  <c r="AX32" i="10"/>
  <c r="AX63" i="10" l="1"/>
  <c r="AX15" i="10" s="1"/>
  <c r="AX64" i="10"/>
  <c r="AY54" i="10"/>
  <c r="AY50" i="10"/>
  <c r="AX33" i="10"/>
  <c r="AX67" i="10" s="1"/>
  <c r="AX68" i="10" s="1"/>
  <c r="AX69" i="10" l="1"/>
  <c r="AY53" i="10"/>
  <c r="AX36" i="10"/>
  <c r="AX37" i="10" l="1"/>
  <c r="AX71" i="10"/>
  <c r="AX72" i="10" s="1"/>
  <c r="AY56" i="10"/>
  <c r="AY59" i="10" s="1"/>
  <c r="AY58" i="10"/>
  <c r="AX41" i="10"/>
  <c r="AX75" i="10" s="1"/>
  <c r="AX39" i="10"/>
  <c r="AX74" i="10" s="1"/>
  <c r="AZ49" i="10" l="1"/>
  <c r="AZ65" i="10" s="1"/>
  <c r="AX42" i="10"/>
  <c r="AX76" i="10" s="1"/>
  <c r="AY32" i="10"/>
  <c r="AY63" i="10" l="1"/>
  <c r="AY64" i="10"/>
  <c r="AZ54" i="10"/>
  <c r="AZ50" i="10"/>
  <c r="AY15" i="10"/>
  <c r="AY33" i="10"/>
  <c r="AY67" i="10" s="1"/>
  <c r="AY68" i="10" s="1"/>
  <c r="AY69" i="10" l="1"/>
  <c r="AZ53" i="10"/>
  <c r="AY36" i="10"/>
  <c r="AY37" i="10" l="1"/>
  <c r="AY71" i="10"/>
  <c r="AY72" i="10" s="1"/>
  <c r="AZ56" i="10"/>
  <c r="AZ59" i="10" s="1"/>
  <c r="AZ58" i="10"/>
  <c r="AY41" i="10"/>
  <c r="AY75" i="10" s="1"/>
  <c r="AY39" i="10"/>
  <c r="AY74" i="10" s="1"/>
  <c r="BA49" i="10" l="1"/>
  <c r="BA65" i="10" s="1"/>
  <c r="AZ32" i="10"/>
  <c r="AY42" i="10"/>
  <c r="AY76" i="10" s="1"/>
  <c r="AZ64" i="10" l="1"/>
  <c r="AZ63" i="10"/>
  <c r="BA54" i="10"/>
  <c r="BA50" i="10"/>
  <c r="AZ33" i="10"/>
  <c r="AZ67" i="10" s="1"/>
  <c r="AZ68" i="10" s="1"/>
  <c r="AZ69" i="10" l="1"/>
  <c r="AZ15" i="10"/>
  <c r="BA53" i="10"/>
  <c r="AZ36" i="10"/>
  <c r="AZ37" i="10" l="1"/>
  <c r="AZ71" i="10"/>
  <c r="AZ72" i="10" s="1"/>
  <c r="BA56" i="10"/>
  <c r="BA59" i="10" s="1"/>
  <c r="BA58" i="10"/>
  <c r="BB49" i="10" s="1"/>
  <c r="AZ41" i="10"/>
  <c r="AZ75" i="10" s="1"/>
  <c r="AZ39" i="10"/>
  <c r="AZ74" i="10" s="1"/>
  <c r="BB54" i="10" l="1"/>
  <c r="BB65" i="10"/>
  <c r="BB50" i="10"/>
  <c r="N28" i="9"/>
  <c r="BA32" i="10"/>
  <c r="AZ42" i="10"/>
  <c r="AZ76" i="10" s="1"/>
  <c r="BB53" i="10" l="1"/>
  <c r="BB58" i="10" s="1"/>
  <c r="BC49" i="10" s="1"/>
  <c r="BA63" i="10"/>
  <c r="BA15" i="10" s="1"/>
  <c r="BA64" i="10"/>
  <c r="BA33" i="10"/>
  <c r="BA67" i="10" s="1"/>
  <c r="BA68" i="10" s="1"/>
  <c r="BB56" i="10" l="1"/>
  <c r="BC65" i="10"/>
  <c r="BC54" i="10"/>
  <c r="BC50" i="10"/>
  <c r="BA69" i="10"/>
  <c r="BA36" i="10"/>
  <c r="BC53" i="10" l="1"/>
  <c r="BC58" i="10" s="1"/>
  <c r="BD49" i="10" s="1"/>
  <c r="BB59" i="10"/>
  <c r="BA71" i="10"/>
  <c r="BA72" i="10" s="1"/>
  <c r="BA37" i="10"/>
  <c r="BA41" i="10"/>
  <c r="BB32" i="10" s="1"/>
  <c r="BA39" i="10"/>
  <c r="BA74" i="10" s="1"/>
  <c r="BD65" i="10" l="1"/>
  <c r="BD54" i="10"/>
  <c r="BD50" i="10"/>
  <c r="BC56" i="10"/>
  <c r="BB63" i="10"/>
  <c r="BB64" i="10"/>
  <c r="BB33" i="10"/>
  <c r="BA75" i="10"/>
  <c r="N21" i="9"/>
  <c r="BA42" i="10"/>
  <c r="BA76" i="10" s="1"/>
  <c r="J34" i="15"/>
  <c r="J37" i="15" s="1"/>
  <c r="J44" i="15"/>
  <c r="BD53" i="10" l="1"/>
  <c r="BD58" i="10" s="1"/>
  <c r="BE49" i="10" s="1"/>
  <c r="BC59" i="10"/>
  <c r="BB36" i="10"/>
  <c r="BB39" i="10" s="1"/>
  <c r="BB67" i="10"/>
  <c r="BB68" i="10" s="1"/>
  <c r="BB15" i="10"/>
  <c r="BB69" i="10" l="1"/>
  <c r="BD56" i="10"/>
  <c r="BD59" i="10" s="1"/>
  <c r="BE65" i="10"/>
  <c r="BE54" i="10"/>
  <c r="BE50" i="10"/>
  <c r="BB74" i="10"/>
  <c r="BB42" i="10"/>
  <c r="BB76" i="10" s="1"/>
  <c r="BB71" i="10"/>
  <c r="BB72" i="10" s="1"/>
  <c r="BB41" i="10"/>
  <c r="BB37" i="10"/>
  <c r="BE53" i="10" l="1"/>
  <c r="BE58" i="10" s="1"/>
  <c r="BF49" i="10" s="1"/>
  <c r="BC32" i="10"/>
  <c r="BB75" i="10"/>
  <c r="BE56" i="10" l="1"/>
  <c r="BE59" i="10" s="1"/>
  <c r="BF65" i="10"/>
  <c r="BF54" i="10"/>
  <c r="BF50" i="10"/>
  <c r="BC63" i="10"/>
  <c r="BC64" i="10"/>
  <c r="BC33" i="10"/>
  <c r="BF53" i="10" l="1"/>
  <c r="BF58" i="10" s="1"/>
  <c r="BG49" i="10" s="1"/>
  <c r="BC15" i="10"/>
  <c r="BC67" i="10"/>
  <c r="BC68" i="10" s="1"/>
  <c r="BC36" i="10"/>
  <c r="BC39" i="10" s="1"/>
  <c r="BF56" i="10" l="1"/>
  <c r="BF59" i="10" s="1"/>
  <c r="BG65" i="10"/>
  <c r="BG54" i="10"/>
  <c r="BG50" i="10"/>
  <c r="BC69" i="10"/>
  <c r="BC74" i="10"/>
  <c r="BC42" i="10"/>
  <c r="BC76" i="10" s="1"/>
  <c r="BC41" i="10"/>
  <c r="BC71" i="10"/>
  <c r="BC72" i="10" s="1"/>
  <c r="BC37" i="10"/>
  <c r="BG53" i="10" l="1"/>
  <c r="BG58" i="10" s="1"/>
  <c r="BH49" i="10" s="1"/>
  <c r="BD32" i="10"/>
  <c r="BC75" i="10"/>
  <c r="BH65" i="10" l="1"/>
  <c r="BH54" i="10"/>
  <c r="BH50" i="10"/>
  <c r="BG56" i="10"/>
  <c r="BD64" i="10"/>
  <c r="BD63" i="10"/>
  <c r="BD33" i="10"/>
  <c r="BH53" i="10" l="1"/>
  <c r="BH58" i="10" s="1"/>
  <c r="BI49" i="10" s="1"/>
  <c r="BG59" i="10"/>
  <c r="BD67" i="10"/>
  <c r="BD68" i="10" s="1"/>
  <c r="BD36" i="10"/>
  <c r="BD15" i="10"/>
  <c r="BH56" i="10" l="1"/>
  <c r="BH59" i="10" s="1"/>
  <c r="BI65" i="10"/>
  <c r="BI54" i="10"/>
  <c r="BI50" i="10"/>
  <c r="BD69" i="10"/>
  <c r="BD41" i="10"/>
  <c r="BD71" i="10"/>
  <c r="BD72" i="10" s="1"/>
  <c r="BD37" i="10"/>
  <c r="BD39" i="10"/>
  <c r="BI53" i="10" l="1"/>
  <c r="BI58" i="10" s="1"/>
  <c r="BJ49" i="10" s="1"/>
  <c r="BE32" i="10"/>
  <c r="BD75" i="10"/>
  <c r="BD74" i="10"/>
  <c r="BD42" i="10"/>
  <c r="BD76" i="10" s="1"/>
  <c r="BJ65" i="10" l="1"/>
  <c r="BJ54" i="10"/>
  <c r="BJ50" i="10"/>
  <c r="BI56" i="10"/>
  <c r="BE63" i="10"/>
  <c r="BE64" i="10"/>
  <c r="BE33" i="10"/>
  <c r="BJ53" i="10" l="1"/>
  <c r="BJ58" i="10" s="1"/>
  <c r="BK49" i="10" s="1"/>
  <c r="BI59" i="10"/>
  <c r="BE15" i="10"/>
  <c r="BE67" i="10"/>
  <c r="BE68" i="10" s="1"/>
  <c r="BE36" i="10"/>
  <c r="BE39" i="10" s="1"/>
  <c r="BK65" i="10" l="1"/>
  <c r="BK54" i="10"/>
  <c r="BK50" i="10"/>
  <c r="BJ56" i="10"/>
  <c r="BE74" i="10"/>
  <c r="BE42" i="10"/>
  <c r="BE76" i="10" s="1"/>
  <c r="BE41" i="10"/>
  <c r="BE71" i="10"/>
  <c r="BE72" i="10" s="1"/>
  <c r="BE37" i="10"/>
  <c r="BE69" i="10"/>
  <c r="BJ59" i="10" l="1"/>
  <c r="BK53" i="10"/>
  <c r="BK58" i="10" s="1"/>
  <c r="BL49" i="10" s="1"/>
  <c r="BF32" i="10"/>
  <c r="BE75" i="10"/>
  <c r="BK56" i="10" l="1"/>
  <c r="BK59" i="10" s="1"/>
  <c r="BL65" i="10"/>
  <c r="BL54" i="10"/>
  <c r="BL50" i="10"/>
  <c r="BF63" i="10"/>
  <c r="BF64" i="10"/>
  <c r="BF33" i="10"/>
  <c r="BL53" i="10" l="1"/>
  <c r="BL58" i="10" s="1"/>
  <c r="BM49" i="10" s="1"/>
  <c r="BF67" i="10"/>
  <c r="BF68" i="10" s="1"/>
  <c r="BF36" i="10"/>
  <c r="BF15" i="10"/>
  <c r="BF69" i="10" l="1"/>
  <c r="BL56" i="10"/>
  <c r="BL59" i="10" s="1"/>
  <c r="BM65" i="10"/>
  <c r="BM54" i="10"/>
  <c r="BM50" i="10"/>
  <c r="BF41" i="10"/>
  <c r="BF71" i="10"/>
  <c r="BF72" i="10" s="1"/>
  <c r="BF37" i="10"/>
  <c r="BF39" i="10"/>
  <c r="BM53" i="10" l="1"/>
  <c r="BM58" i="10" s="1"/>
  <c r="BN49" i="10" s="1"/>
  <c r="BF74" i="10"/>
  <c r="BF42" i="10"/>
  <c r="BF76" i="10" s="1"/>
  <c r="BG32" i="10"/>
  <c r="BF75" i="10"/>
  <c r="BM56" i="10" l="1"/>
  <c r="BM59" i="10" s="1"/>
  <c r="BN65" i="10"/>
  <c r="BN54" i="10"/>
  <c r="BN50" i="10"/>
  <c r="BG63" i="10"/>
  <c r="BG64" i="10"/>
  <c r="BG33" i="10"/>
  <c r="BN53" i="10" l="1"/>
  <c r="BN58" i="10" s="1"/>
  <c r="BO49" i="10" s="1"/>
  <c r="BG67" i="10"/>
  <c r="BG68" i="10" s="1"/>
  <c r="BG36" i="10"/>
  <c r="BG15" i="10"/>
  <c r="BN56" i="10" l="1"/>
  <c r="BN59" i="10" s="1"/>
  <c r="BO65" i="10"/>
  <c r="BO54" i="10"/>
  <c r="BO50" i="10"/>
  <c r="BG69" i="10"/>
  <c r="BG41" i="10"/>
  <c r="BG71" i="10"/>
  <c r="BG72" i="10" s="1"/>
  <c r="BG37" i="10"/>
  <c r="BG39" i="10"/>
  <c r="BO53" i="10" l="1"/>
  <c r="BO58" i="10" s="1"/>
  <c r="BP49" i="10" s="1"/>
  <c r="BP65" i="10" s="1"/>
  <c r="BH32" i="10"/>
  <c r="BG75" i="10"/>
  <c r="BG74" i="10"/>
  <c r="BG42" i="10"/>
  <c r="BG76" i="10" s="1"/>
  <c r="BO56" i="10" l="1"/>
  <c r="BO59" i="10" s="1"/>
  <c r="BP50" i="10"/>
  <c r="BP54" i="10"/>
  <c r="BH64" i="10"/>
  <c r="BH63" i="10"/>
  <c r="BH33" i="10"/>
  <c r="BP53" i="10" l="1"/>
  <c r="BP58" i="10" s="1"/>
  <c r="BQ49" i="10" s="1"/>
  <c r="BQ65" i="10" s="1"/>
  <c r="BH67" i="10"/>
  <c r="BH68" i="10" s="1"/>
  <c r="BH36" i="10"/>
  <c r="BH37" i="10" s="1"/>
  <c r="BH15" i="10"/>
  <c r="BH69" i="10" l="1"/>
  <c r="BP56" i="10"/>
  <c r="BP59" i="10" s="1"/>
  <c r="BQ50" i="10"/>
  <c r="BQ53" i="10" s="1"/>
  <c r="BQ58" i="10" s="1"/>
  <c r="BR49" i="10" s="1"/>
  <c r="BQ54" i="10"/>
  <c r="BH41" i="10"/>
  <c r="BH71" i="10"/>
  <c r="BH72" i="10" s="1"/>
  <c r="BH39" i="10"/>
  <c r="BQ56" i="10" l="1"/>
  <c r="BR65" i="10"/>
  <c r="BR50" i="10"/>
  <c r="BR54" i="10"/>
  <c r="BH74" i="10"/>
  <c r="BH42" i="10"/>
  <c r="BH76" i="10" s="1"/>
  <c r="BI32" i="10"/>
  <c r="BH75" i="10"/>
  <c r="BR53" i="10" l="1"/>
  <c r="BR58" i="10" s="1"/>
  <c r="BS49" i="10" s="1"/>
  <c r="BS54" i="10" s="1"/>
  <c r="BQ59" i="10"/>
  <c r="BI63" i="10"/>
  <c r="BI64" i="10"/>
  <c r="BI33" i="10"/>
  <c r="BR56" i="10" l="1"/>
  <c r="BR59" i="10" s="1"/>
  <c r="BS50" i="10"/>
  <c r="BS65" i="10"/>
  <c r="BI15" i="10"/>
  <c r="BI67" i="10"/>
  <c r="BI68" i="10" s="1"/>
  <c r="BI36" i="10"/>
  <c r="BI69" i="10" l="1"/>
  <c r="BI39" i="10"/>
  <c r="BI74" i="10" s="1"/>
  <c r="BI37" i="10"/>
  <c r="BS53" i="10"/>
  <c r="BS58" i="10" s="1"/>
  <c r="BT49" i="10" s="1"/>
  <c r="BT65" i="10" s="1"/>
  <c r="BI41" i="10"/>
  <c r="BI71" i="10"/>
  <c r="BI72" i="10" s="1"/>
  <c r="BI42" i="10" l="1"/>
  <c r="BI76" i="10" s="1"/>
  <c r="BT50" i="10"/>
  <c r="BT54" i="10"/>
  <c r="BS56" i="10"/>
  <c r="BS59" i="10" s="1"/>
  <c r="BJ32" i="10"/>
  <c r="BI75" i="10"/>
  <c r="BT53" i="10" l="1"/>
  <c r="BT58" i="10" s="1"/>
  <c r="BU49" i="10" s="1"/>
  <c r="BU65" i="10" s="1"/>
  <c r="BJ63" i="10"/>
  <c r="BJ64" i="10"/>
  <c r="BJ33" i="10"/>
  <c r="BU54" i="10" l="1"/>
  <c r="BU50" i="10"/>
  <c r="BT56" i="10"/>
  <c r="BT59" i="10" s="1"/>
  <c r="BJ15" i="10"/>
  <c r="BJ67" i="10"/>
  <c r="BJ68" i="10" s="1"/>
  <c r="BJ36" i="10"/>
  <c r="BU53" i="10" l="1"/>
  <c r="BU58" i="10" s="1"/>
  <c r="BV49" i="10" s="1"/>
  <c r="BV65" i="10" s="1"/>
  <c r="BJ69" i="10"/>
  <c r="BJ39" i="10"/>
  <c r="BJ74" i="10" s="1"/>
  <c r="BJ37" i="10"/>
  <c r="BU56" i="10"/>
  <c r="BU59" i="10" s="1"/>
  <c r="BJ41" i="10"/>
  <c r="BJ71" i="10"/>
  <c r="BJ72" i="10" s="1"/>
  <c r="BV54" i="10" l="1"/>
  <c r="BV50" i="10"/>
  <c r="BV53" i="10"/>
  <c r="BV58" i="10" s="1"/>
  <c r="BW49" i="10" s="1"/>
  <c r="BW50" i="10" s="1"/>
  <c r="BJ42" i="10"/>
  <c r="BJ76" i="10" s="1"/>
  <c r="BK32" i="10"/>
  <c r="BJ75" i="10"/>
  <c r="BW54" i="10" l="1"/>
  <c r="BW65" i="10"/>
  <c r="BV56" i="10"/>
  <c r="BW53" i="10" s="1"/>
  <c r="BW58" i="10" s="1"/>
  <c r="BX49" i="10" s="1"/>
  <c r="BK63" i="10"/>
  <c r="BK64" i="10"/>
  <c r="BK33" i="10"/>
  <c r="BV59" i="10" l="1"/>
  <c r="BW56" i="10"/>
  <c r="BX65" i="10"/>
  <c r="BX54" i="10"/>
  <c r="BX50" i="10"/>
  <c r="BK15" i="10"/>
  <c r="BK67" i="10"/>
  <c r="BK68" i="10" s="1"/>
  <c r="BK36" i="10"/>
  <c r="BK39" i="10" l="1"/>
  <c r="BK74" i="10" s="1"/>
  <c r="BK37" i="10"/>
  <c r="BK69" i="10"/>
  <c r="BX53" i="10"/>
  <c r="BX58" i="10" s="1"/>
  <c r="BY49" i="10" s="1"/>
  <c r="BW59" i="10"/>
  <c r="BK41" i="10"/>
  <c r="BK71" i="10"/>
  <c r="BK72" i="10" s="1"/>
  <c r="BK42" i="10" l="1"/>
  <c r="BK76" i="10" s="1"/>
  <c r="BX56" i="10"/>
  <c r="BX59" i="10" s="1"/>
  <c r="BY65" i="10"/>
  <c r="BY50" i="10"/>
  <c r="BY54" i="10"/>
  <c r="BL32" i="10"/>
  <c r="BK75" i="10"/>
  <c r="BY53" i="10" l="1"/>
  <c r="BY58" i="10" s="1"/>
  <c r="BZ49" i="10" s="1"/>
  <c r="BL64" i="10"/>
  <c r="BL63" i="10"/>
  <c r="BL33" i="10"/>
  <c r="BY56" i="10" l="1"/>
  <c r="BY59" i="10" s="1"/>
  <c r="BZ65" i="10"/>
  <c r="BZ54" i="10"/>
  <c r="BZ50" i="10"/>
  <c r="BL67" i="10"/>
  <c r="BL68" i="10" s="1"/>
  <c r="BL36" i="10"/>
  <c r="BL37" i="10" s="1"/>
  <c r="BL69" i="10"/>
  <c r="BL15" i="10"/>
  <c r="BZ53" i="10" l="1"/>
  <c r="BZ58" i="10" s="1"/>
  <c r="CA49" i="10" s="1"/>
  <c r="BL41" i="10"/>
  <c r="BL71" i="10"/>
  <c r="BL72" i="10" s="1"/>
  <c r="BL39" i="10"/>
  <c r="BZ56" i="10" l="1"/>
  <c r="BZ59" i="10" s="1"/>
  <c r="CA65" i="10"/>
  <c r="CA54" i="10"/>
  <c r="CA50" i="10"/>
  <c r="BL74" i="10"/>
  <c r="BL42" i="10"/>
  <c r="BL76" i="10" s="1"/>
  <c r="BM32" i="10"/>
  <c r="BL75" i="10"/>
  <c r="CA53" i="10" l="1"/>
  <c r="CA58" i="10" s="1"/>
  <c r="CB49" i="10" s="1"/>
  <c r="BM63" i="10"/>
  <c r="BM64" i="10"/>
  <c r="BM33" i="10"/>
  <c r="CB65" i="10" l="1"/>
  <c r="CB54" i="10"/>
  <c r="CB50" i="10"/>
  <c r="CA56" i="10"/>
  <c r="BM15" i="10"/>
  <c r="BM67" i="10"/>
  <c r="BM68" i="10" s="1"/>
  <c r="BM36" i="10"/>
  <c r="BM69" i="10" l="1"/>
  <c r="BM39" i="10"/>
  <c r="BM42" i="10" s="1"/>
  <c r="BM76" i="10" s="1"/>
  <c r="BM37" i="10"/>
  <c r="CA59" i="10"/>
  <c r="CB53" i="10"/>
  <c r="CB58" i="10" s="1"/>
  <c r="CC49" i="10" s="1"/>
  <c r="BM41" i="10"/>
  <c r="BM71" i="10"/>
  <c r="BM72" i="10" s="1"/>
  <c r="BM74" i="10" l="1"/>
  <c r="CB56" i="10"/>
  <c r="CB59" i="10" s="1"/>
  <c r="CC65" i="10"/>
  <c r="CC54" i="10"/>
  <c r="CC50" i="10"/>
  <c r="BN32" i="10"/>
  <c r="BM75" i="10"/>
  <c r="CC53" i="10" l="1"/>
  <c r="CC58" i="10" s="1"/>
  <c r="CD49" i="10" s="1"/>
  <c r="CD65" i="10" s="1"/>
  <c r="BN63" i="10"/>
  <c r="BN64" i="10"/>
  <c r="BN33" i="10"/>
  <c r="CD50" i="10" l="1"/>
  <c r="CC56" i="10"/>
  <c r="CC59" i="10" s="1"/>
  <c r="CD54" i="10"/>
  <c r="BN67" i="10"/>
  <c r="BN68" i="10" s="1"/>
  <c r="BN36" i="10"/>
  <c r="BN37" i="10" s="1"/>
  <c r="BN15" i="10"/>
  <c r="BN69" i="10" l="1"/>
  <c r="CD53" i="10"/>
  <c r="CD58" i="10" s="1"/>
  <c r="CE49" i="10" s="1"/>
  <c r="CE65" i="10" s="1"/>
  <c r="BN41" i="10"/>
  <c r="BN71" i="10"/>
  <c r="BN72" i="10" s="1"/>
  <c r="BN39" i="10"/>
  <c r="CD56" i="10" l="1"/>
  <c r="CD59" i="10" s="1"/>
  <c r="CE50" i="10"/>
  <c r="CE54" i="10"/>
  <c r="BN74" i="10"/>
  <c r="BN42" i="10"/>
  <c r="BN76" i="10" s="1"/>
  <c r="BO32" i="10"/>
  <c r="BN75" i="10"/>
  <c r="CE53" i="10" l="1"/>
  <c r="CE58" i="10" s="1"/>
  <c r="CF49" i="10" s="1"/>
  <c r="CF54" i="10" s="1"/>
  <c r="BO63" i="10"/>
  <c r="BO64" i="10"/>
  <c r="BO33" i="10"/>
  <c r="CF50" i="10" l="1"/>
  <c r="CF65" i="10"/>
  <c r="CE56" i="10"/>
  <c r="CE59" i="10" s="1"/>
  <c r="BO67" i="10"/>
  <c r="BO68" i="10" s="1"/>
  <c r="BO36" i="10"/>
  <c r="BO37" i="10" s="1"/>
  <c r="BO15" i="10"/>
  <c r="CF53" i="10" l="1"/>
  <c r="CF58" i="10" s="1"/>
  <c r="CG49" i="10" s="1"/>
  <c r="CG50" i="10" s="1"/>
  <c r="BO69" i="10"/>
  <c r="BO41" i="10"/>
  <c r="BO71" i="10"/>
  <c r="BO72" i="10" s="1"/>
  <c r="BO39" i="10"/>
  <c r="CG65" i="10" l="1"/>
  <c r="CG54" i="10"/>
  <c r="CF56" i="10"/>
  <c r="CF59" i="10" s="1"/>
  <c r="BO74" i="10"/>
  <c r="BO42" i="10"/>
  <c r="BO76" i="10" s="1"/>
  <c r="BP32" i="10"/>
  <c r="BO75" i="10"/>
  <c r="CG53" i="10" l="1"/>
  <c r="CG58" i="10" s="1"/>
  <c r="CH49" i="10" s="1"/>
  <c r="CH65" i="10" s="1"/>
  <c r="BP64" i="10"/>
  <c r="BP63" i="10"/>
  <c r="BP33" i="10"/>
  <c r="CH50" i="10" l="1"/>
  <c r="CG56" i="10"/>
  <c r="CG59" i="10" s="1"/>
  <c r="CH54" i="10"/>
  <c r="CH53" i="10"/>
  <c r="CH58" i="10" s="1"/>
  <c r="BP67" i="10"/>
  <c r="BP68" i="10" s="1"/>
  <c r="BP36" i="10"/>
  <c r="BP37" i="10" s="1"/>
  <c r="BP15" i="10"/>
  <c r="BP69" i="10" l="1"/>
  <c r="CH56" i="10"/>
  <c r="CH59" i="10" s="1"/>
  <c r="BP41" i="10"/>
  <c r="BP71" i="10"/>
  <c r="BP72" i="10" s="1"/>
  <c r="BP39" i="10"/>
  <c r="BP74" i="10" l="1"/>
  <c r="BP42" i="10"/>
  <c r="BP76" i="10" s="1"/>
  <c r="BQ32" i="10"/>
  <c r="BP75" i="10"/>
  <c r="BQ63" i="10" l="1"/>
  <c r="BQ64" i="10"/>
  <c r="BQ33" i="10"/>
  <c r="BQ15" i="10" l="1"/>
  <c r="BQ67" i="10"/>
  <c r="BQ68" i="10" s="1"/>
  <c r="BQ36" i="10"/>
  <c r="BQ39" i="10" l="1"/>
  <c r="BQ74" i="10" s="1"/>
  <c r="BQ37" i="10"/>
  <c r="BQ69" i="10"/>
  <c r="BQ41" i="10"/>
  <c r="BQ71" i="10"/>
  <c r="BQ72" i="10" s="1"/>
  <c r="BQ42" i="10" l="1"/>
  <c r="BQ76" i="10" s="1"/>
  <c r="BR32" i="10"/>
  <c r="BQ75" i="10"/>
  <c r="BR63" i="10" l="1"/>
  <c r="BR64" i="10"/>
  <c r="BR33" i="10"/>
  <c r="BR67" i="10" l="1"/>
  <c r="BR68" i="10" s="1"/>
  <c r="BR36" i="10"/>
  <c r="BR37" i="10" s="1"/>
  <c r="BR15" i="10"/>
  <c r="BR69" i="10" l="1"/>
  <c r="BR41" i="10"/>
  <c r="BR71" i="10"/>
  <c r="BR72" i="10" s="1"/>
  <c r="BR39" i="10"/>
  <c r="BR74" i="10" l="1"/>
  <c r="BR42" i="10"/>
  <c r="BR76" i="10" s="1"/>
  <c r="BS32" i="10"/>
  <c r="BR75" i="10"/>
  <c r="BS63" i="10" l="1"/>
  <c r="BS64" i="10"/>
  <c r="BS33" i="10"/>
  <c r="BS15" i="10" l="1"/>
  <c r="BS67" i="10"/>
  <c r="BS68" i="10" s="1"/>
  <c r="BS36" i="10"/>
  <c r="BS69" i="10" l="1"/>
  <c r="BS39" i="10"/>
  <c r="BS74" i="10" s="1"/>
  <c r="BS37" i="10"/>
  <c r="BS41" i="10"/>
  <c r="BS71" i="10"/>
  <c r="BS72" i="10" s="1"/>
  <c r="BS42" i="10" l="1"/>
  <c r="BS76" i="10" s="1"/>
  <c r="BT32" i="10"/>
  <c r="BS75" i="10"/>
  <c r="BT64" i="10" l="1"/>
  <c r="BT63" i="10"/>
  <c r="BT33" i="10"/>
  <c r="BT67" i="10" l="1"/>
  <c r="BT68" i="10" s="1"/>
  <c r="BT36" i="10"/>
  <c r="BT37" i="10" s="1"/>
  <c r="BT69" i="10"/>
  <c r="BT15" i="10"/>
  <c r="BT41" i="10" l="1"/>
  <c r="BT71" i="10"/>
  <c r="BT72" i="10" s="1"/>
  <c r="BT39" i="10"/>
  <c r="BT74" i="10" l="1"/>
  <c r="BT42" i="10"/>
  <c r="BT76" i="10" s="1"/>
  <c r="BU32" i="10"/>
  <c r="BT75" i="10"/>
  <c r="BU63" i="10" l="1"/>
  <c r="BU64" i="10"/>
  <c r="BU33" i="10"/>
  <c r="BU15" i="10" l="1"/>
  <c r="BU67" i="10"/>
  <c r="BU68" i="10" s="1"/>
  <c r="BU36" i="10"/>
  <c r="BU39" i="10" l="1"/>
  <c r="BU74" i="10" s="1"/>
  <c r="BU37" i="10"/>
  <c r="BU69" i="10"/>
  <c r="BU41" i="10"/>
  <c r="BU71" i="10"/>
  <c r="BU72" i="10" s="1"/>
  <c r="BU42" i="10" l="1"/>
  <c r="BU76" i="10" s="1"/>
  <c r="BV32" i="10"/>
  <c r="BU75" i="10"/>
  <c r="BV63" i="10" l="1"/>
  <c r="BV64" i="10"/>
  <c r="BV33" i="10"/>
  <c r="BV15" i="10" l="1"/>
  <c r="BV67" i="10"/>
  <c r="BV68" i="10" s="1"/>
  <c r="BV36" i="10"/>
  <c r="BV39" i="10" l="1"/>
  <c r="BV74" i="10" s="1"/>
  <c r="BV37" i="10"/>
  <c r="BV69" i="10"/>
  <c r="BV41" i="10"/>
  <c r="BV71" i="10"/>
  <c r="BV72" i="10" s="1"/>
  <c r="BV42" i="10" l="1"/>
  <c r="BV76" i="10" s="1"/>
  <c r="BW32" i="10"/>
  <c r="BV75" i="10"/>
  <c r="BW63" i="10" l="1"/>
  <c r="BW64" i="10"/>
  <c r="BW33" i="10"/>
  <c r="BW67" i="10" l="1"/>
  <c r="BW68" i="10" s="1"/>
  <c r="BW36" i="10"/>
  <c r="BW37" i="10" s="1"/>
  <c r="BW69" i="10"/>
  <c r="BW15" i="10"/>
  <c r="BW41" i="10" l="1"/>
  <c r="BW71" i="10"/>
  <c r="BW72" i="10" s="1"/>
  <c r="BW39" i="10"/>
  <c r="BW74" i="10" l="1"/>
  <c r="BW42" i="10"/>
  <c r="BW76" i="10" s="1"/>
  <c r="BX32" i="10"/>
  <c r="BW75" i="10"/>
  <c r="BX64" i="10" l="1"/>
  <c r="BX63" i="10"/>
  <c r="BX33" i="10"/>
  <c r="BX67" i="10" l="1"/>
  <c r="BX68" i="10" s="1"/>
  <c r="BX36" i="10"/>
  <c r="BX37" i="10" s="1"/>
  <c r="BX15" i="10"/>
  <c r="BX69" i="10" l="1"/>
  <c r="BX41" i="10"/>
  <c r="BX71" i="10"/>
  <c r="BX72" i="10" s="1"/>
  <c r="BX39" i="10"/>
  <c r="BX74" i="10" l="1"/>
  <c r="BX42" i="10"/>
  <c r="BX76" i="10" s="1"/>
  <c r="BY32" i="10"/>
  <c r="BX75" i="10"/>
  <c r="BY63" i="10" l="1"/>
  <c r="BY64" i="10"/>
  <c r="BY33" i="10"/>
  <c r="BY67" i="10" l="1"/>
  <c r="BY68" i="10" s="1"/>
  <c r="BY36" i="10"/>
  <c r="BY37" i="10" s="1"/>
  <c r="BY15" i="10"/>
  <c r="BY69" i="10" l="1"/>
  <c r="BY41" i="10"/>
  <c r="BY71" i="10"/>
  <c r="BY72" i="10" s="1"/>
  <c r="BY39" i="10"/>
  <c r="BY74" i="10" l="1"/>
  <c r="BY42" i="10"/>
  <c r="BY76" i="10" s="1"/>
  <c r="BZ32" i="10"/>
  <c r="BY75" i="10"/>
  <c r="BZ63" i="10" l="1"/>
  <c r="BZ64" i="10"/>
  <c r="BZ33" i="10"/>
  <c r="BZ67" i="10" l="1"/>
  <c r="BZ68" i="10" s="1"/>
  <c r="BZ36" i="10"/>
  <c r="BZ37" i="10" s="1"/>
  <c r="BZ15" i="10"/>
  <c r="BZ69" i="10" l="1"/>
  <c r="BZ41" i="10"/>
  <c r="BZ71" i="10"/>
  <c r="BZ72" i="10" s="1"/>
  <c r="BZ39" i="10"/>
  <c r="BZ74" i="10" l="1"/>
  <c r="BZ42" i="10"/>
  <c r="BZ76" i="10" s="1"/>
  <c r="CA32" i="10"/>
  <c r="BZ75" i="10"/>
  <c r="CA63" i="10" l="1"/>
  <c r="CA64" i="10"/>
  <c r="CA33" i="10"/>
  <c r="CA67" i="10" l="1"/>
  <c r="CA68" i="10" s="1"/>
  <c r="CA36" i="10"/>
  <c r="CA37" i="10" s="1"/>
  <c r="CA15" i="10"/>
  <c r="CA69" i="10" l="1"/>
  <c r="CA41" i="10"/>
  <c r="CA71" i="10"/>
  <c r="CA72" i="10" s="1"/>
  <c r="CA39" i="10"/>
  <c r="CA74" i="10" l="1"/>
  <c r="CA42" i="10"/>
  <c r="CA76" i="10" s="1"/>
  <c r="CB32" i="10"/>
  <c r="CA75" i="10"/>
  <c r="CB64" i="10" l="1"/>
  <c r="CB63" i="10"/>
  <c r="CB33" i="10"/>
  <c r="CB67" i="10" l="1"/>
  <c r="CB68" i="10" s="1"/>
  <c r="CB36" i="10"/>
  <c r="CB37" i="10" s="1"/>
  <c r="CB69" i="10"/>
  <c r="CB15" i="10"/>
  <c r="CB41" i="10" l="1"/>
  <c r="CB71" i="10"/>
  <c r="CB72" i="10" s="1"/>
  <c r="CB39" i="10"/>
  <c r="CB74" i="10" l="1"/>
  <c r="CB42" i="10"/>
  <c r="CB76" i="10" s="1"/>
  <c r="CC32" i="10"/>
  <c r="CB75" i="10"/>
  <c r="CC63" i="10" l="1"/>
  <c r="CC64" i="10"/>
  <c r="CC33" i="10"/>
  <c r="CC67" i="10" l="1"/>
  <c r="CC68" i="10" s="1"/>
  <c r="CC36" i="10"/>
  <c r="CC37" i="10" s="1"/>
  <c r="CC69" i="10"/>
  <c r="CC15" i="10"/>
  <c r="CC41" i="10" l="1"/>
  <c r="CC71" i="10"/>
  <c r="CC72" i="10" s="1"/>
  <c r="CC39" i="10"/>
  <c r="CC74" i="10" l="1"/>
  <c r="CC42" i="10"/>
  <c r="CC76" i="10" s="1"/>
  <c r="CD32" i="10"/>
  <c r="CC75" i="10"/>
  <c r="CD63" i="10" l="1"/>
  <c r="CD64" i="10"/>
  <c r="CD33" i="10"/>
  <c r="CD67" i="10" l="1"/>
  <c r="CD68" i="10" s="1"/>
  <c r="CD36" i="10"/>
  <c r="CD37" i="10" s="1"/>
  <c r="CD15" i="10"/>
  <c r="CD69" i="10" l="1"/>
  <c r="CD41" i="10"/>
  <c r="CD71" i="10"/>
  <c r="CD72" i="10" s="1"/>
  <c r="CD39" i="10"/>
  <c r="CD74" i="10" l="1"/>
  <c r="CD42" i="10"/>
  <c r="CD76" i="10" s="1"/>
  <c r="CE32" i="10"/>
  <c r="CD75" i="10"/>
  <c r="CE63" i="10" l="1"/>
  <c r="CE64" i="10"/>
  <c r="CE33" i="10"/>
  <c r="CE67" i="10" l="1"/>
  <c r="CE68" i="10" s="1"/>
  <c r="CE36" i="10"/>
  <c r="CE37" i="10" s="1"/>
  <c r="CE15" i="10"/>
  <c r="CE69" i="10" l="1"/>
  <c r="CE41" i="10"/>
  <c r="CE71" i="10"/>
  <c r="CE72" i="10" s="1"/>
  <c r="CE39" i="10"/>
  <c r="CE74" i="10" l="1"/>
  <c r="CE42" i="10"/>
  <c r="CE76" i="10" s="1"/>
  <c r="CF32" i="10"/>
  <c r="CE75" i="10"/>
  <c r="CF64" i="10" l="1"/>
  <c r="CF63" i="10"/>
  <c r="CF33" i="10"/>
  <c r="CF67" i="10" l="1"/>
  <c r="CF68" i="10" s="1"/>
  <c r="CF36" i="10"/>
  <c r="CF37" i="10" s="1"/>
  <c r="CF69" i="10"/>
  <c r="CF15" i="10"/>
  <c r="CF41" i="10" l="1"/>
  <c r="CF71" i="10"/>
  <c r="CF72" i="10" s="1"/>
  <c r="CF39" i="10"/>
  <c r="CF74" i="10" l="1"/>
  <c r="CF42" i="10"/>
  <c r="CF76" i="10" s="1"/>
  <c r="CG32" i="10"/>
  <c r="CF75" i="10"/>
  <c r="CG63" i="10" l="1"/>
  <c r="CG64" i="10"/>
  <c r="CG33" i="10"/>
  <c r="CG67" i="10" l="1"/>
  <c r="CG68" i="10" s="1"/>
  <c r="CG36" i="10"/>
  <c r="CG37" i="10" s="1"/>
  <c r="CG15" i="10"/>
  <c r="CG69" i="10" l="1"/>
  <c r="CG41" i="10"/>
  <c r="CG71" i="10"/>
  <c r="CG72" i="10" s="1"/>
  <c r="CG39" i="10"/>
  <c r="CG74" i="10" l="1"/>
  <c r="CG42" i="10"/>
  <c r="CG76" i="10" s="1"/>
  <c r="CH32" i="10"/>
  <c r="CG75" i="10"/>
  <c r="CH63" i="10" l="1"/>
  <c r="CH64" i="10"/>
  <c r="CH33" i="10"/>
  <c r="CH15" i="10" l="1"/>
  <c r="CH67" i="10"/>
  <c r="CH68" i="10" s="1"/>
  <c r="CH36" i="10"/>
  <c r="CH69" i="10" l="1"/>
  <c r="CH39" i="10"/>
  <c r="CH42" i="10" s="1"/>
  <c r="CH76" i="10" s="1"/>
  <c r="C5" i="40" s="1"/>
  <c r="CH37" i="10"/>
  <c r="CH41" i="10"/>
  <c r="CH75" i="10" s="1"/>
  <c r="CH71" i="10"/>
  <c r="CH72" i="10" s="1"/>
  <c r="F5" i="40" l="1"/>
  <c r="F6" i="40" s="1"/>
  <c r="F19" i="40" s="1"/>
  <c r="C6" i="40"/>
  <c r="C7" i="40" s="1"/>
  <c r="CH74" i="10"/>
  <c r="E10" i="26" l="1"/>
  <c r="F12" i="40"/>
  <c r="F11" i="40"/>
  <c r="F20" i="40" s="1"/>
  <c r="F9" i="40"/>
  <c r="F18" i="40" s="1"/>
  <c r="F21" i="40"/>
  <c r="F8" i="36" l="1"/>
  <c r="G8" i="36" s="1"/>
  <c r="F10" i="40"/>
  <c r="F13" i="40" s="1"/>
  <c r="F22" i="40"/>
  <c r="F24" i="40" s="1"/>
  <c r="F14" i="40" s="1"/>
  <c r="F15" i="40" l="1"/>
  <c r="F11" i="36" l="1"/>
  <c r="G11" i="36" s="1"/>
</calcChain>
</file>

<file path=xl/sharedStrings.xml><?xml version="1.0" encoding="utf-8"?>
<sst xmlns="http://schemas.openxmlformats.org/spreadsheetml/2006/main" count="725" uniqueCount="423">
  <si>
    <t>Investition</t>
  </si>
  <si>
    <t>Kaufpreis</t>
  </si>
  <si>
    <t>pro qm</t>
  </si>
  <si>
    <t>Kaufnebenkosten</t>
  </si>
  <si>
    <t>Makler</t>
  </si>
  <si>
    <t>Notar</t>
  </si>
  <si>
    <t>Grunderwerbssteuer</t>
  </si>
  <si>
    <t>Summe</t>
  </si>
  <si>
    <t>Sonstige</t>
  </si>
  <si>
    <t>Gesamtinvestitionskosten</t>
  </si>
  <si>
    <t>Sonstiges</t>
  </si>
  <si>
    <t>Wohnfläche</t>
  </si>
  <si>
    <t>Anfängliche Investitionen</t>
  </si>
  <si>
    <t>Warmmiete</t>
  </si>
  <si>
    <t>Kaufpreis pro qm</t>
  </si>
  <si>
    <t>Nettokaltmiete pro Jahr</t>
  </si>
  <si>
    <t>Soll-Miete pro Monat</t>
  </si>
  <si>
    <t>Bruttomietrendite</t>
  </si>
  <si>
    <t>Nettomietrendite</t>
  </si>
  <si>
    <t>Bewirtschaftungskosten pro Monat</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</si>
  <si>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</si>
  <si>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</si>
  <si>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</si>
  <si>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</si>
  <si>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</si>
  <si>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</si>
  <si>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</si>
  <si>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</si>
  <si>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</si>
  <si>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</si>
  <si>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</si>
  <si>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</si>
  <si>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</si>
  <si>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</si>
  <si>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</si>
  <si>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</si>
  <si>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</si>
  <si>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</si>
  <si>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</si>
  <si>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</si>
  <si>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</si>
  <si>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</si>
  <si>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</si>
  <si>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</si>
  <si>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</si>
  <si>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</si>
  <si>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</si>
  <si>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</si>
  <si>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</si>
  <si>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</si>
  <si>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</si>
  <si>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</si>
  <si>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</si>
  <si>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</si>
  <si>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</si>
  <si>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</si>
  <si>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</si>
  <si>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</si>
  <si>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</si>
  <si>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</si>
  <si>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</si>
  <si>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</si>
  <si>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</si>
  <si>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</si>
  <si>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</si>
  <si>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</si>
  <si>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Warmmiete</t>
  </si>
  <si>
    <t>Grün</t>
  </si>
  <si>
    <t>Rot</t>
  </si>
  <si>
    <t>Gelb</t>
  </si>
  <si>
    <t>Schwellwerte für Kennzahlen-Farben</t>
  </si>
  <si>
    <t>Eigenkapitalrendite</t>
  </si>
  <si>
    <t>Cashflow nach Steuern</t>
  </si>
  <si>
    <t>Kennzahl</t>
  </si>
  <si>
    <t>Aktivieren</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</si>
  <si>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</si>
  <si>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</si>
  <si>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</si>
  <si>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</si>
  <si>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</si>
  <si>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</si>
  <si>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</si>
  <si>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</si>
  <si>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</si>
  <si>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</si>
  <si>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</si>
  <si>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</si>
  <si>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</si>
  <si>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</si>
  <si>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</si>
  <si>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Umlagefähig</t>
  </si>
  <si>
    <t>Grundsteuer</t>
  </si>
  <si>
    <t>Hausgeld insgesamt</t>
  </si>
  <si>
    <t>Cashflow pro Monat (Überschuss)</t>
  </si>
  <si>
    <t>Wertentwicklung im Jahr</t>
  </si>
  <si>
    <t>ohne Wertsteigerung</t>
  </si>
  <si>
    <t>Nicht umlagefähig</t>
  </si>
  <si>
    <t>Insgesamt</t>
  </si>
  <si>
    <t>+ Umlagefähige Kosten</t>
  </si>
  <si>
    <t>Hochrechnung für das Jahr</t>
  </si>
  <si>
    <t>Kennzahlen in der Zukunft</t>
  </si>
  <si>
    <t>entspricht Jahre nach dem Kauf</t>
  </si>
  <si>
    <t>Jahr der Volltilgung</t>
  </si>
  <si>
    <t>Rücklagen</t>
  </si>
  <si>
    <t>Steuern</t>
  </si>
  <si>
    <t>Kostensteigerung p.a.</t>
  </si>
  <si>
    <t>Mietsteigerung p.a.</t>
  </si>
  <si>
    <t>Wertsteigerung p.a.</t>
  </si>
  <si>
    <t>Anteil Gebäude an Kaufpreis</t>
  </si>
  <si>
    <t>Was</t>
  </si>
  <si>
    <t>Kosten</t>
  </si>
  <si>
    <t>Steuerlich</t>
  </si>
  <si>
    <t>Wertsteig.</t>
  </si>
  <si>
    <t>Adresse</t>
  </si>
  <si>
    <t>15% Grenze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</si>
  <si>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</si>
  <si>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</si>
  <si>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</si>
  <si>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</si>
  <si>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</si>
  <si>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</si>
  <si>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</si>
  <si>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</si>
  <si>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</si>
  <si>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</si>
  <si>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</si>
  <si>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</si>
  <si>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</si>
  <si>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</si>
  <si>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</si>
  <si>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</si>
  <si>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Hausgeld</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</si>
  <si>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</si>
  <si>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</si>
  <si>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</si>
  <si>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</si>
  <si>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</si>
  <si>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</si>
  <si>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</si>
  <si>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</si>
  <si>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</si>
  <si>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</si>
  <si>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</si>
  <si>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</si>
  <si>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</si>
  <si>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</si>
  <si>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</si>
  <si>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</si>
  <si>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</si>
  <si>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</si>
  <si>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</si>
  <si>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</si>
  <si>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</si>
  <si>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</si>
  <si>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</si>
  <si>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</si>
  <si>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</si>
  <si>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</si>
  <si>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</si>
  <si>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</si>
  <si>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</si>
  <si>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</si>
  <si>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</si>
  <si>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</si>
  <si>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</si>
  <si>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</si>
  <si>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</si>
  <si>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</si>
  <si>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</si>
  <si>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</si>
  <si>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</si>
  <si>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</si>
  <si>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</si>
  <si>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</si>
  <si>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</si>
  <si>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Riester</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</si>
  <si>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</si>
  <si>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</si>
  <si>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</si>
  <si>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</si>
  <si>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</si>
  <si>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</si>
  <si>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</si>
  <si>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</si>
  <si>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</si>
  <si>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</si>
  <si>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</si>
  <si>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</si>
  <si>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</si>
  <si>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</si>
  <si>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</si>
  <si>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</si>
  <si>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</si>
  <si>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</si>
  <si>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</si>
  <si>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</si>
  <si>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</si>
  <si>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</si>
  <si>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</si>
  <si>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</si>
  <si>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</si>
  <si>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</si>
  <si>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</si>
  <si>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</si>
  <si>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</si>
  <si>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</si>
  <si>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</si>
  <si>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</si>
  <si>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</si>
  <si>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</si>
  <si>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</si>
  <si>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</si>
  <si>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</si>
  <si>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</si>
  <si>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</si>
  <si>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</si>
  <si>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</si>
  <si>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</si>
  <si>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Weitere Darlehen</t>
  </si>
  <si>
    <t>Haupt-Darlehen</t>
  </si>
  <si>
    <t>Summe der Darlehen</t>
  </si>
  <si>
    <t>davon Hauptdarlehen (I)</t>
  </si>
  <si>
    <t>+ umlagefähige Kosten</t>
  </si>
  <si>
    <t>Miete pro Monat</t>
  </si>
  <si>
    <t>Kumulierte Abschreibung Jahresende</t>
  </si>
  <si>
    <t>* Abschreibungssatz pro Jahr</t>
  </si>
  <si>
    <t>= Abschreibung pro Jahr</t>
  </si>
  <si>
    <t>= pro Monat</t>
  </si>
  <si>
    <t>Wert der Immobilie (Jahresende)</t>
  </si>
  <si>
    <t>- Abschreibung (AfA)</t>
  </si>
  <si>
    <t>* persönlicher Grenzsteuersatz</t>
  </si>
  <si>
    <t>= Nettokaltmiete (effektiv)</t>
  </si>
  <si>
    <t>davon WEG Rücklage</t>
  </si>
  <si>
    <t>Nicht umlagefähige Kosten</t>
  </si>
  <si>
    <t>Umlagefähige Kosten</t>
  </si>
  <si>
    <t>Hausgeld (nicht umlagefähiger Teil)</t>
  </si>
  <si>
    <t>Hausgeld (umlagefähiger Teil)</t>
  </si>
  <si>
    <t>+ Eigene Instandhaltungsrücklage</t>
  </si>
  <si>
    <t>+ Kalkulatorischer Mietausfall</t>
  </si>
  <si>
    <t>= Summe</t>
  </si>
  <si>
    <t>Empfohlene eigene Instandhalt.-Rückl.</t>
  </si>
  <si>
    <t>Eigene Instandhalt.-Rückl. (pro m² p.a.)</t>
  </si>
  <si>
    <t>Sonstige umlagefähige Kosten (Details)</t>
  </si>
  <si>
    <t>Sonstige nicht umlagefähige Kosten (Details)</t>
  </si>
  <si>
    <t>- Bewirt.-Kosten ohne eigene Rückl.</t>
  </si>
  <si>
    <t>Kostenposition I</t>
  </si>
  <si>
    <t>Kostenposition II</t>
  </si>
  <si>
    <t>Kostenposition III</t>
  </si>
  <si>
    <t>Kostenposition IV</t>
  </si>
  <si>
    <t>Grundbuch Amt</t>
  </si>
  <si>
    <t>Darlehenssumme % Kaufpreis</t>
  </si>
  <si>
    <t>Betrachtungszeitpunkt</t>
  </si>
  <si>
    <t>Bankgespräch</t>
  </si>
  <si>
    <t>Kennzahlen im Verlauf</t>
  </si>
  <si>
    <t>zurück zum Cockpit</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</si>
  <si>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</si>
  <si>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</si>
  <si>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</si>
  <si>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</si>
  <si>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</si>
  <si>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</si>
  <si>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Hauptdarlehen</t>
  </si>
  <si>
    <t>Bewirt.-Kosten (nicht umlagefähig)</t>
  </si>
  <si>
    <t>zurück zum Bankgespräch</t>
  </si>
  <si>
    <t>Vorlage: Haushaltsrechnung</t>
  </si>
  <si>
    <t>Vorlage: Vermögensaufstellung</t>
  </si>
  <si>
    <t>pro qm und Monat</t>
  </si>
  <si>
    <t>Nebenkosten</t>
  </si>
  <si>
    <t>Anfängl. Invest.</t>
  </si>
  <si>
    <t>Keine Gewähr für die Richtigkeit der Angaben. Dieses Tool ersetzt keine fundierte Rechts-, Steuer- oder Finanzberatung. Mehr Details hier.</t>
  </si>
  <si>
    <t>davon  Darlehen II</t>
  </si>
  <si>
    <t>Abschreibung</t>
  </si>
  <si>
    <t>Miete, Wert, Abschreibung und Darlehen im Verlauf</t>
  </si>
  <si>
    <t>Tabelle entsperren</t>
  </si>
  <si>
    <t>Profi Funktionen</t>
  </si>
  <si>
    <t>immocation</t>
  </si>
  <si>
    <t>www.immocation.de</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</si>
  <si>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</si>
  <si>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Roter Faden</t>
  </si>
  <si>
    <t>Weitere Werte</t>
  </si>
  <si>
    <t>Betrachtungszeitpunkt zusätzliche Rente</t>
  </si>
  <si>
    <t>Grunderwerbsteuer</t>
  </si>
  <si>
    <t>Deine Kaufnebenkosten</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</si>
  <si>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</si>
  <si>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</si>
  <si>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</si>
  <si>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</si>
  <si>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</si>
  <si>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</si>
  <si>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</si>
  <si>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</si>
  <si>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</si>
  <si>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</si>
  <si>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</si>
  <si>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</si>
  <si>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</si>
  <si>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</si>
  <si>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</si>
  <si>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</si>
  <si>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Bundesland</t>
  </si>
  <si>
    <t>Grunderwerbsteuer nach Bundesländern</t>
  </si>
  <si>
    <t>Maßnahmen sofort</t>
  </si>
  <si>
    <t>Maßnahmen bei Mieterwechsel</t>
  </si>
  <si>
    <t>+ Kaufpreis und Nebenkosten</t>
  </si>
  <si>
    <t>Geplante Sonderumlagen</t>
  </si>
  <si>
    <t>= Kapitalbedarf insgesamt</t>
  </si>
  <si>
    <t>Darlehenshöhe vom Kaufpreis</t>
  </si>
  <si>
    <t>Zinsen pro Jahr</t>
  </si>
  <si>
    <t>Deine Rate an die Bank</t>
  </si>
  <si>
    <t>Dann bist du schuldenfrei</t>
  </si>
  <si>
    <t>So viel Eigenkapitel brauchst du</t>
  </si>
  <si>
    <t>Nicht umlagefähiges Hausgeld</t>
  </si>
  <si>
    <t>Rücklage für Mietausfall</t>
  </si>
  <si>
    <t>Eigene Instandhaltungsrücklage</t>
  </si>
  <si>
    <t>Jedes % mehr kostet</t>
  </si>
  <si>
    <t xml:space="preserve">
</t>
  </si>
  <si>
    <t>Wie viel Grund und Boden gehört zu deiner Wohnung?</t>
  </si>
  <si>
    <t>Kaltmiete</t>
  </si>
  <si>
    <t>Kauf-Datum</t>
  </si>
  <si>
    <t>Gebäudeanteil am Kaufpreis</t>
  </si>
  <si>
    <t>Faktor Wohnraum Grundstück</t>
  </si>
  <si>
    <t>1961-1970</t>
  </si>
  <si>
    <t>Abschreibungssatz</t>
  </si>
  <si>
    <t>Konfigurationsdaten für roten Faden</t>
  </si>
  <si>
    <t>1925-1950</t>
  </si>
  <si>
    <t>vor 1925</t>
  </si>
  <si>
    <t>1951-1960</t>
  </si>
  <si>
    <t>ab 2010</t>
  </si>
  <si>
    <t>2001-2010</t>
  </si>
  <si>
    <t>1991-2000</t>
  </si>
  <si>
    <t>1981-1990</t>
  </si>
  <si>
    <t>1971-1980</t>
  </si>
  <si>
    <t>Kalk. Bodenwert pro m² Grundstück</t>
  </si>
  <si>
    <t>Kalk. Bodenwert</t>
  </si>
  <si>
    <t>Kalk. Gebäudekosten pro m²</t>
  </si>
  <si>
    <t>Kalk. Gebäudekosten</t>
  </si>
  <si>
    <t>Kalk. Grundstücksteil</t>
  </si>
  <si>
    <t>Abschreibung pro Monat</t>
  </si>
  <si>
    <t>Alter</t>
  </si>
  <si>
    <t>Gebäudekosten pro m² Wohnfläche</t>
  </si>
  <si>
    <t>Euro</t>
  </si>
  <si>
    <t>Bodenwert pro m²</t>
  </si>
  <si>
    <t>Kaufpreis / m² Wohnfläche</t>
  </si>
  <si>
    <t>Deine monatliche Steuer</t>
  </si>
  <si>
    <t>Zu versteuerndes Einkommen</t>
  </si>
  <si>
    <t>Veranlagung</t>
  </si>
  <si>
    <t>Kirchensteuer</t>
  </si>
  <si>
    <t>Grenzsteuersatz circa</t>
  </si>
  <si>
    <t>Sonderumlagen</t>
  </si>
  <si>
    <t>Sofort</t>
  </si>
  <si>
    <t>Sofort n. Kauf</t>
  </si>
  <si>
    <t>Garage im Kaufpreis enthalten?</t>
  </si>
  <si>
    <t>Kalk. Geb. Kosten Garage</t>
  </si>
  <si>
    <t>BWK ohne umlagef.</t>
  </si>
  <si>
    <t>Einzeln</t>
  </si>
  <si>
    <t>Kennzahlen anzeigen</t>
  </si>
  <si>
    <t>bitte wählen</t>
  </si>
  <si>
    <t>Schuldenfrei</t>
  </si>
  <si>
    <t>CF vor Steuern</t>
  </si>
  <si>
    <t>Gleiche Rate</t>
  </si>
  <si>
    <t>Wert</t>
  </si>
  <si>
    <t>Darlehen</t>
  </si>
  <si>
    <t>Mietausfall</t>
  </si>
  <si>
    <t>IHR</t>
  </si>
  <si>
    <t>Festschreibung</t>
  </si>
  <si>
    <t>Gebäudetyp</t>
  </si>
  <si>
    <t>Baujahr</t>
  </si>
  <si>
    <t>Garage</t>
  </si>
  <si>
    <t>Anzeigen</t>
  </si>
  <si>
    <t>CF nach Steuern</t>
  </si>
  <si>
    <t>Zusätzliche Rente</t>
  </si>
  <si>
    <t>Gefüllt? -&gt;</t>
  </si>
  <si>
    <t>Einkommen</t>
  </si>
  <si>
    <t>Kirche</t>
  </si>
  <si>
    <t>Wert anzeigen</t>
  </si>
  <si>
    <t>Ermittlung Grenzsteuersatz für roten Faden</t>
  </si>
  <si>
    <t>Grenzsteuersatz für das erhöhte Einkommen</t>
  </si>
  <si>
    <t>Einkommensteuer unter Berücksichtigung der Erhöhung</t>
  </si>
  <si>
    <t>Einkommensteuer vor Erhöhung</t>
  </si>
  <si>
    <t>z-Wert</t>
  </si>
  <si>
    <t>y-Wert</t>
  </si>
  <si>
    <t>x-Wert</t>
  </si>
  <si>
    <t>abgerundetes zvE (mit Erhöhung)</t>
  </si>
  <si>
    <t>zvE (vor Abrundung) mit Erhöhung</t>
  </si>
  <si>
    <t xml:space="preserve">x-Wert </t>
  </si>
  <si>
    <t>Angenommene Erhöhung des zvE</t>
  </si>
  <si>
    <t>Splittingtabelle
2017</t>
  </si>
  <si>
    <t>Grundtabelle
2017</t>
  </si>
  <si>
    <t>zvE abgerundet</t>
  </si>
  <si>
    <t>Grenzsteuersatz inkl. Solidaritätszuschlag</t>
  </si>
  <si>
    <t>Kirchensteuer durchschnittl. 8,5%</t>
  </si>
  <si>
    <t>Position</t>
  </si>
  <si>
    <t>Gemeinsam (verheiratet)</t>
  </si>
  <si>
    <t>Veranlagungsklassen</t>
  </si>
  <si>
    <t>Laut Auswahl roter Faden</t>
  </si>
  <si>
    <t>Nebenrechnung für roten Faden</t>
  </si>
  <si>
    <t xml:space="preserve"> </t>
  </si>
  <si>
    <t>Adresse der Wohnung:</t>
  </si>
  <si>
    <t>Baujahr des Hauses</t>
  </si>
  <si>
    <t>entsprechendes Label</t>
  </si>
  <si>
    <t>Cashflow Farbcode</t>
  </si>
  <si>
    <t>Hinweis EK Mieterwechsel</t>
  </si>
  <si>
    <t>Dynamische Textdaten für roten Faden</t>
  </si>
  <si>
    <t>Wo</t>
  </si>
  <si>
    <t>Cashflow vor Steuern</t>
  </si>
  <si>
    <t>Typ</t>
  </si>
  <si>
    <t>Anzeige</t>
  </si>
  <si>
    <t>Text</t>
  </si>
  <si>
    <t>Herzlichen Glückwunsch!</t>
  </si>
  <si>
    <t>Ergebnis Box Header</t>
  </si>
  <si>
    <t>Ergebnis Box Mitte</t>
  </si>
  <si>
    <t>Ergebnis Box Unten</t>
  </si>
  <si>
    <t>Interpretationshilfe</t>
  </si>
  <si>
    <t>Text / Formel</t>
  </si>
  <si>
    <t>Zinsrisiko</t>
  </si>
  <si>
    <t>Restschulden Erklärung</t>
  </si>
  <si>
    <t>Hevorheben</t>
  </si>
  <si>
    <t>Farbcodes für verlinkte Bilder</t>
  </si>
  <si>
    <t>Kennzahlen hevorheben</t>
  </si>
  <si>
    <t>↓</t>
  </si>
  <si>
    <t>Hevorgehobene Markierung - 240px - rumherum keine Formatierungen</t>
  </si>
  <si>
    <t>Zinsen festschreiben für Jahre</t>
  </si>
  <si>
    <t>Copyright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</si>
</sst>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0.00\ &quot;€&quot;_-;\-* #,##0.00\ &quot;€&quot;_-;_-* &quot;-&quot;??\ &quot;€&quot;_-;_-@_-"/>
    <numFmt numFmtId="164" formatCode="_-* #,##0.00\ _€_-;\-* #,##0.00\ _€_-;_-* &quot;-&quot;??\ _€_-;_-@_-"/>
    <numFmt numFmtId="165" formatCode="0.0%"/>
    <numFmt numFmtId="166" formatCode="_-* #,##0.00\ [$€-1]_-;\-* #,##0.00\ [$€-1]_-;_-* &quot;-&quot;??\ [$€-1]_-"/>
    <numFmt numFmtId="167" formatCode="#,##0\ &quot;€&quot;"/>
    <numFmt numFmtId="168" formatCode="#,##0.0\ &quot;€&quot;"/>
    <numFmt numFmtId="169" formatCode="0.0"/>
    <numFmt numFmtId="170" formatCode="#,##0\ &quot;m²&quot;"/>
    <numFmt numFmtId="171" formatCode="#,##0.0\ &quot;m²&quot;"/>
    <numFmt numFmtId="172" formatCode="#,##0\ &quot;€/m²&quot;"/>
    <numFmt numFmtId="173" formatCode="0\ &quot; Jahre&quot;"/>
    <numFmt numFmtId="174" formatCode="0.0\ &quot;m²&quot;"/>
    <numFmt numFmtId="175" formatCode="0\ &quot;m²&quot;"/>
    <numFmt numFmtId="176" formatCode="0.000000"/>
    <numFmt numFmtId="177" formatCode="0.0000"/>
    <numFmt numFmtId="178" formatCode="0%;;\-;@"/>
    <numFmt numFmtId="179" formatCode="#,##0\ &quot;€&quot;;;\-"/>
  </numFmts>
  <fonts count="48">
    <font>
      <sz val="11"/>
      <color theme="1"/>
      <name val="Calibri"/>
      <family val="2"/>
      <scheme val="minor"/>
    </font>
    <font>
      <sz val="11"/>
      <color theme="1"/>
      <name val="Calibri"/>
      <family val="2"/>
      <scheme val="minor"/>
    </font>
    <font>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sz val="16"/>
      <name val="Century Gothic"/>
      <family val="2"/>
    </font>
    <font>
      <u/>
      <sz val="10"/>
      <color theme="10"/>
      <name val="Calibri"/>
      <family val="2"/>
      <scheme val="minor"/>
    </font>
    <font>
      <sz val="10"/>
      <color theme="0" tint="-0.499984740745262"/>
      <name val="Calibri"/>
      <family val="2"/>
      <scheme val="minor"/>
    </font>
    <font>
      <sz val="12"/>
      <color theme="3"/>
      <name val="Century Gothic"/>
      <family val="2"/>
    </font>
    <font>
      <sz val="26"/>
      <color theme="4"/>
      <name val="Century Gothic"/>
      <family val="2"/>
    </font>
    <font>
      <sz val="11"/>
      <color theme="3"/>
      <name val="Calibri"/>
      <family val="2"/>
      <scheme val="minor"/>
    </font>
    <font>
      <sz val="10"/>
      <color theme="3"/>
      <name val="Century Gothic"/>
      <family val="2"/>
    </font>
    <font>
      <u/>
      <sz val="11"/>
      <color theme="3"/>
      <name val="Century Gothic"/>
      <family val="2"/>
    </font>
    <font>
      <sz val="14"/>
      <color theme="3"/>
      <name val="Century Gothic"/>
      <family val="2"/>
    </font>
    <font>
      <sz val="11"/>
      <color theme="0"/>
      <name val="Calibri"/>
      <family val="2"/>
      <scheme val="minor"/>
    </font>
    <font>
      <sz val="10.5"/>
      <color theme="3"/>
      <name val="Century Gothic"/>
      <family val="2"/>
    </font>
    <font>
      <sz val="11"/>
      <color rgb="FFFBFFFD"/>
      <name val="Calibri"/>
      <family val="2"/>
      <scheme val="minor"/>
    </font>
    <font>
      <sz val="12"/>
      <color rgb="FF19323C"/>
      <name val="Century Gothic"/>
      <family val="2"/>
    </font>
    <font>
      <b/>
      <sz val="11"/>
      <color theme="0"/>
      <name val="Calibri"/>
      <family val="2"/>
      <scheme val="minor"/>
    </font>
    <font>
      <b/>
      <sz val="11"/>
      <color theme="1"/>
      <name val="Calibri"/>
      <family val="2"/>
      <scheme val="minor"/>
    </font>
    <font>
      <b/>
      <sz val="10"/>
      <name val="Arial"/>
      <family val="2"/>
    </font>
    <font>
      <b/>
      <sz val="10"/>
      <color theme="0"/>
      <name val="Arial"/>
      <family val="2"/>
    </font>
    <font>
      <sz val="18"/>
      <color theme="3"/>
      <name val="Century Gothic"/>
      <family val="2"/>
    </font>
    <font>
      <sz val="11"/>
      <color theme="1"/>
      <name val="Calibri"/>
      <family val="2"/>
    </font>
    <font>
      <sz val="14"/>
      <color theme="0"/>
      <name val="Century Gothic"/>
      <family val="2"/>
    </font>
    <font>
      <sz val="11"/>
      <color theme="1"/>
      <name val="Calibri"/>
      <family val="2"/>
      <scheme val="minor"/>
    </font>
    <font>
      <sz val="10.5"/>
      <color theme="3"/>
      <name val="Century Gothic"/>
      <family val="2"/>
    </font>
    <font>
      <sz val="14"/>
      <color theme="3"/>
      <name val="Century Gothic"/>
      <family val="2"/>
    </font>
    <font>
      <sz val="10"/>
      <color theme="1"/>
      <name val="Calibri"/>
      <family val="2"/>
      <scheme val="minor"/>
    </font>
    <font>
      <sz val="12"/>
      <color theme="3"/>
      <name val="Century Gothic"/>
      <family val="2"/>
    </font>
    <font>
      <sz val="10"/>
      <color theme="0" tint="-0.499984740745262"/>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FBFFFD"/>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8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medium">
        <color theme="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right style="medium">
        <color theme="3"/>
      </right>
      <top style="thin">
        <color theme="0" tint="-0.249977111117893"/>
      </top>
      <bottom style="thin">
        <color theme="0" tint="-0.249977111117893"/>
      </bottom>
      <diagonal/>
    </border>
    <border>
      <left style="medium">
        <color theme="3"/>
      </left>
      <right style="thin">
        <color theme="0" tint="-0.249977111117893"/>
      </right>
      <top style="thin">
        <color theme="0" tint="-0.249977111117893"/>
      </top>
      <bottom style="medium">
        <color theme="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style="medium">
        <color theme="3"/>
      </left>
      <right/>
      <top style="medium">
        <color theme="3"/>
      </top>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right style="medium">
        <color theme="3"/>
      </right>
      <top style="dotted">
        <color theme="3"/>
      </top>
      <bottom/>
      <diagonal/>
    </border>
    <border>
      <left style="thin">
        <color theme="0" tint="-0.249977111117893"/>
      </left>
      <right style="thin">
        <color theme="0" tint="-0.249977111117893"/>
      </right>
      <top style="thin">
        <color theme="0" tint="-0.249977111117893"/>
      </top>
      <bottom/>
      <diagonal/>
    </border>
    <border>
      <left/>
      <right/>
      <top style="medium">
        <color theme="3"/>
      </top>
      <bottom style="thin">
        <color indexed="64"/>
      </bottom>
      <diagonal/>
    </border>
    <border>
      <left/>
      <right style="medium">
        <color theme="3"/>
      </right>
      <top style="medium">
        <color theme="3"/>
      </top>
      <bottom style="thin">
        <color indexed="64"/>
      </bottom>
      <diagonal/>
    </border>
    <border>
      <left style="medium">
        <color theme="3"/>
      </left>
      <right style="medium">
        <color theme="3"/>
      </right>
      <top style="thin">
        <color theme="0" tint="-0.249977111117893"/>
      </top>
      <bottom style="medium">
        <color theme="3"/>
      </bottom>
      <diagonal/>
    </border>
    <border>
      <left style="medium">
        <color theme="3"/>
      </left>
      <right style="medium">
        <color theme="3"/>
      </right>
      <top style="medium">
        <color theme="3"/>
      </top>
      <bottom style="thin">
        <color theme="0" tint="-0.249977111117893"/>
      </bottom>
      <diagonal/>
    </border>
  </borders>
  <cellStyleXfs count="20">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0" fontId="3" fillId="0" borderId="0"/>
    <xf numFmtId="0" fontId="3" fillId="0" borderId="0"/>
    <xf numFmtId="0" fontId="3" fillId="0" borderId="0"/>
    <xf numFmtId="0" fontId="4" fillId="0" borderId="0"/>
    <xf numFmtId="44" fontId="3" fillId="0" borderId="0" applyFont="0" applyFill="0" applyBorder="0" applyAlignment="0" applyProtection="0"/>
    <xf numFmtId="44" fontId="3" fillId="0" borderId="0" applyFont="0" applyFill="0" applyBorder="0" applyAlignment="0" applyProtection="0"/>
    <xf numFmtId="0" fontId="5" fillId="0" borderId="0"/>
    <xf numFmtId="44" fontId="5" fillId="0" borderId="0" applyFont="0" applyFill="0" applyBorder="0" applyAlignment="0" applyProtection="0"/>
    <xf numFmtId="0" fontId="10" fillId="0" borderId="0" applyNumberFormat="0" applyFill="0" applyBorder="0" applyAlignment="0" applyProtection="0"/>
    <xf numFmtId="0" fontId="23" fillId="0" borderId="0" applyNumberFormat="0" applyFill="0" applyBorder="0" applyAlignment="0" applyProtection="0"/>
  </cellStyleXfs>
  <cellXfs count="520">
    <xf numFmtId="0" fontId="0" fillId="0" borderId="0" xfId="0"/>
    <xf numFmtId="0" fontId="6" fillId="0" borderId="0" xfId="0" applyFont="1"/>
    <xf numFmtId="167" fontId="0" fillId="0" borderId="6" xfId="0" applyNumberFormat="1" applyBorder="1"/>
    <xf numFmtId="3" fontId="2" fillId="3" borderId="1" xfId="0" applyNumberFormat="1" applyFont="1" applyFill="1" applyBorder="1" applyAlignment="1">
      <alignment horizontal="center"/>
    </xf>
    <xf numFmtId="0" fontId="2" fillId="8" borderId="0" xfId="0" applyFont="1" applyFill="1"/>
    <xf numFmtId="0" fontId="0" fillId="8" borderId="0" xfId="0" applyFill="1"/>
    <xf numFmtId="167" fontId="0" fillId="8" borderId="0" xfId="0" applyNumberFormat="1" applyFill="1"/>
    <xf numFmtId="1" fontId="0" fillId="8" borderId="0" xfId="0" applyNumberFormat="1" applyFill="1"/>
    <xf numFmtId="0" fontId="6" fillId="8" borderId="0" xfId="0" applyFont="1" applyFill="1"/>
    <xf numFmtId="0" fontId="13" fillId="0" borderId="0" xfId="0" applyFont="1" applyAlignment="1">
      <alignment horizontal="left"/>
    </xf>
    <xf numFmtId="0" fontId="21" fillId="0" borderId="0" xfId="0" applyFont="1"/>
    <xf numFmtId="0" fontId="22" fillId="8" borderId="0" xfId="0" applyFont="1" applyFill="1"/>
    <xf numFmtId="0" fontId="12" fillId="8" borderId="0" xfId="0" applyFont="1" applyFill="1" applyAlignment="1">
      <alignment vertical="top" wrapText="1"/>
    </xf>
    <xf numFmtId="0" fontId="0" fillId="8" borderId="0" xfId="0" applyFill="1" applyAlignment="1">
      <alignment vertical="center"/>
    </xf>
    <xf numFmtId="0" fontId="2" fillId="8" borderId="0" xfId="0" applyFont="1" applyFill="1" applyAlignment="1">
      <alignment vertical="center"/>
    </xf>
    <xf numFmtId="0" fontId="2" fillId="0" borderId="1" xfId="0" applyFont="1" applyBorder="1"/>
    <xf numFmtId="167" fontId="2" fillId="8" borderId="0" xfId="1" applyNumberFormat="1" applyFont="1" applyFill="1" applyBorder="1" applyProtection="1"/>
    <xf numFmtId="167" fontId="2" fillId="8" borderId="0" xfId="0" applyNumberFormat="1" applyFont="1" applyFill="1"/>
    <xf numFmtId="10" fontId="2" fillId="3" borderId="0" xfId="1" applyNumberFormat="1" applyFont="1" applyFill="1" applyBorder="1" applyProtection="1"/>
    <xf numFmtId="167" fontId="2" fillId="3" borderId="0" xfId="1" applyNumberFormat="1" applyFont="1" applyFill="1" applyBorder="1" applyProtection="1"/>
    <xf numFmtId="1" fontId="2" fillId="8" borderId="0" xfId="0" applyNumberFormat="1" applyFont="1" applyFill="1"/>
    <xf numFmtId="167" fontId="2" fillId="3" borderId="1" xfId="1" applyNumberFormat="1" applyFont="1" applyFill="1" applyBorder="1" applyProtection="1"/>
    <xf numFmtId="0" fontId="2" fillId="0" borderId="0" xfId="0" applyFont="1"/>
    <xf numFmtId="1" fontId="2" fillId="8" borderId="0" xfId="0" applyNumberFormat="1" applyFont="1" applyFill="1" applyAlignment="1">
      <alignment horizontal="right"/>
    </xf>
    <xf numFmtId="0" fontId="0" fillId="8" borderId="0" xfId="0" applyFill="1" applyProtection="1">
      <protection locked="0"/>
    </xf>
    <xf numFmtId="0" fontId="16" fillId="3" borderId="0" xfId="0" applyFont="1" applyFill="1" applyAlignment="1">
      <alignment horizontal="left"/>
    </xf>
    <xf numFmtId="0" fontId="2" fillId="8" borderId="5" xfId="0" applyFont="1" applyFill="1" applyBorder="1" applyAlignment="1">
      <alignment horizontal="left"/>
    </xf>
    <xf numFmtId="167" fontId="2" fillId="3" borderId="1" xfId="0" applyNumberFormat="1" applyFont="1" applyFill="1" applyBorder="1" applyAlignment="1">
      <alignment horizontal="center"/>
    </xf>
    <xf numFmtId="0" fontId="0" fillId="8" borderId="0" xfId="0" applyFill="1" applyAlignment="1">
      <alignment horizontal="center"/>
    </xf>
    <xf numFmtId="165" fontId="2" fillId="3" borderId="1" xfId="1" applyNumberFormat="1" applyFont="1" applyFill="1" applyBorder="1" applyAlignment="1" applyProtection="1">
      <alignment horizontal="center"/>
    </xf>
    <xf numFmtId="168" fontId="2" fillId="3" borderId="1" xfId="0" applyNumberFormat="1" applyFont="1" applyFill="1" applyBorder="1" applyAlignment="1">
      <alignment horizontal="center"/>
    </xf>
    <xf numFmtId="10" fontId="7" fillId="3" borderId="1" xfId="1" applyNumberFormat="1" applyFont="1" applyFill="1" applyBorder="1" applyAlignment="1" applyProtection="1">
      <alignment horizontal="center"/>
    </xf>
    <xf numFmtId="0" fontId="16" fillId="8" borderId="0" xfId="0" applyFont="1" applyFill="1" applyAlignment="1">
      <alignment horizontal="left"/>
    </xf>
    <xf numFmtId="0" fontId="11" fillId="8"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8" fillId="8" borderId="0" xfId="18" applyFont="1" applyFill="1" applyAlignment="1" applyProtection="1">
      <alignment horizontal="right"/>
    </xf>
    <xf numFmtId="0" fontId="10" fillId="8" borderId="0" xfId="18" applyFill="1" applyAlignment="1" applyProtection="1">
      <alignment horizontal="right"/>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0" fillId="0" borderId="0" xfId="0" applyFont="1" applyProtection="1">
      <protection locked="0"/>
    </xf>
    <xf numFmtId="0" fontId="17" fillId="0" borderId="0" xfId="0" applyFont="1" applyProtection="1">
      <protection locked="0"/>
    </xf>
    <xf numFmtId="0" fontId="0" fillId="0" borderId="0" xfId="0" applyProtection="1">
      <protection locked="0"/>
    </xf>
    <xf numFmtId="0" fontId="20" fillId="0" borderId="0" xfId="0" applyFont="1" applyAlignment="1" applyProtection="1">
      <alignment horizontal="right"/>
      <protection locked="0"/>
    </xf>
    <xf numFmtId="0" fontId="21" fillId="2" borderId="9" xfId="0" applyFont="1" applyFill="1" applyBorder="1" applyProtection="1">
      <protection locked="0"/>
    </xf>
    <xf numFmtId="0" fontId="21" fillId="2" borderId="10" xfId="0" applyFont="1" applyFill="1" applyBorder="1" applyProtection="1">
      <protection locked="0"/>
    </xf>
    <xf numFmtId="0" fontId="21" fillId="2" borderId="11" xfId="0" applyFont="1" applyFill="1" applyBorder="1" applyProtection="1">
      <protection locked="0"/>
    </xf>
    <xf numFmtId="0" fontId="21" fillId="0" borderId="12" xfId="0" applyFont="1" applyBorder="1" applyProtection="1">
      <protection locked="0"/>
    </xf>
    <xf numFmtId="0" fontId="21" fillId="0" borderId="0" xfId="0" applyFont="1" applyProtection="1">
      <protection locked="0"/>
    </xf>
    <xf numFmtId="0" fontId="21" fillId="0" borderId="13" xfId="0" applyFont="1" applyBorder="1" applyProtection="1">
      <protection locked="0"/>
    </xf>
    <xf numFmtId="0" fontId="21" fillId="0" borderId="14" xfId="0" applyFont="1" applyBorder="1" applyProtection="1">
      <protection locked="0"/>
    </xf>
    <xf numFmtId="0" fontId="21" fillId="0" borderId="5" xfId="0" applyFont="1" applyBorder="1" applyProtection="1">
      <protection locked="0"/>
    </xf>
    <xf numFmtId="0" fontId="21" fillId="0" borderId="8" xfId="0" applyFont="1" applyBorder="1" applyProtection="1">
      <protection locked="0"/>
    </xf>
    <xf numFmtId="0" fontId="21" fillId="2" borderId="2" xfId="0" applyFont="1" applyFill="1" applyBorder="1" applyProtection="1">
      <protection locked="0"/>
    </xf>
    <xf numFmtId="0" fontId="21" fillId="2" borderId="3" xfId="0" applyFont="1" applyFill="1" applyBorder="1" applyProtection="1">
      <protection locked="0"/>
    </xf>
    <xf numFmtId="0" fontId="21" fillId="2" borderId="4" xfId="0" applyFont="1" applyFill="1" applyBorder="1" applyProtection="1">
      <protection locked="0"/>
    </xf>
    <xf numFmtId="0" fontId="21" fillId="4" borderId="2" xfId="0" applyFont="1" applyFill="1" applyBorder="1" applyProtection="1">
      <protection locked="0"/>
    </xf>
    <xf numFmtId="0" fontId="21" fillId="4" borderId="3" xfId="0" applyFont="1" applyFill="1" applyBorder="1" applyProtection="1">
      <protection locked="0"/>
    </xf>
    <xf numFmtId="0" fontId="21" fillId="4" borderId="3" xfId="0" applyFont="1" applyFill="1" applyBorder="1" applyAlignment="1" applyProtection="1">
      <alignment horizontal="right"/>
      <protection locked="0"/>
    </xf>
    <xf numFmtId="0" fontId="21" fillId="4" borderId="4" xfId="0" applyFont="1" applyFill="1" applyBorder="1" applyProtection="1">
      <protection locked="0"/>
    </xf>
    <xf numFmtId="0" fontId="21" fillId="0" borderId="15" xfId="0" applyFont="1" applyBorder="1" applyProtection="1">
      <protection locked="0"/>
    </xf>
    <xf numFmtId="0" fontId="21" fillId="0" borderId="16" xfId="0" applyFont="1" applyBorder="1" applyProtection="1">
      <protection locked="0"/>
    </xf>
    <xf numFmtId="167" fontId="21" fillId="0" borderId="16" xfId="0" applyNumberFormat="1" applyFont="1" applyBorder="1" applyAlignment="1" applyProtection="1">
      <alignment horizontal="right"/>
      <protection locked="0"/>
    </xf>
    <xf numFmtId="0" fontId="21" fillId="0" borderId="17" xfId="0" applyFont="1" applyBorder="1" applyProtection="1">
      <protection locked="0"/>
    </xf>
    <xf numFmtId="0" fontId="21" fillId="0" borderId="18" xfId="0" applyFont="1" applyBorder="1" applyProtection="1">
      <protection locked="0"/>
    </xf>
    <xf numFmtId="0" fontId="21" fillId="0" borderId="19" xfId="0" applyFont="1" applyBorder="1" applyProtection="1">
      <protection locked="0"/>
    </xf>
    <xf numFmtId="167" fontId="21" fillId="0" borderId="19" xfId="0" applyNumberFormat="1" applyFont="1" applyBorder="1" applyAlignment="1" applyProtection="1">
      <alignment horizontal="right"/>
      <protection locked="0"/>
    </xf>
    <xf numFmtId="0" fontId="21" fillId="0" borderId="20" xfId="0" applyFont="1" applyBorder="1" applyProtection="1">
      <protection locked="0"/>
    </xf>
    <xf numFmtId="0" fontId="21" fillId="0" borderId="21" xfId="0" applyFont="1" applyBorder="1" applyProtection="1">
      <protection locked="0"/>
    </xf>
    <xf numFmtId="0" fontId="21" fillId="0" borderId="22" xfId="0" applyFont="1" applyBorder="1" applyProtection="1">
      <protection locked="0"/>
    </xf>
    <xf numFmtId="167" fontId="21" fillId="0" borderId="22" xfId="0" applyNumberFormat="1" applyFont="1" applyBorder="1" applyAlignment="1" applyProtection="1">
      <alignment horizontal="right"/>
      <protection locked="0"/>
    </xf>
    <xf numFmtId="0" fontId="21" fillId="0" borderId="23" xfId="0" applyFont="1" applyBorder="1" applyProtection="1">
      <protection locked="0"/>
    </xf>
    <xf numFmtId="0" fontId="21" fillId="4" borderId="9" xfId="0" applyFont="1" applyFill="1" applyBorder="1" applyProtection="1">
      <protection locked="0"/>
    </xf>
    <xf numFmtId="0" fontId="21" fillId="4" borderId="10" xfId="0" applyFont="1" applyFill="1" applyBorder="1" applyProtection="1">
      <protection locked="0"/>
    </xf>
    <xf numFmtId="0" fontId="21" fillId="4" borderId="10" xfId="0" applyFont="1" applyFill="1" applyBorder="1" applyAlignment="1" applyProtection="1">
      <alignment horizontal="right"/>
      <protection locked="0"/>
    </xf>
    <xf numFmtId="0" fontId="21" fillId="4" borderId="11" xfId="0" applyFont="1" applyFill="1" applyBorder="1" applyProtection="1">
      <protection locked="0"/>
    </xf>
    <xf numFmtId="167" fontId="21" fillId="0" borderId="16" xfId="0" applyNumberFormat="1" applyFont="1" applyBorder="1" applyProtection="1">
      <protection locked="0"/>
    </xf>
    <xf numFmtId="167" fontId="21" fillId="0" borderId="19" xfId="0" applyNumberFormat="1" applyFont="1" applyBorder="1" applyProtection="1">
      <protection locked="0"/>
    </xf>
    <xf numFmtId="167" fontId="21" fillId="0" borderId="0" xfId="0" applyNumberFormat="1" applyFont="1" applyProtection="1">
      <protection locked="0"/>
    </xf>
    <xf numFmtId="167" fontId="21" fillId="0" borderId="22" xfId="0" applyNumberFormat="1" applyFont="1" applyBorder="1" applyProtection="1">
      <protection locked="0"/>
    </xf>
    <xf numFmtId="0" fontId="21" fillId="0" borderId="24" xfId="0" applyFont="1" applyBorder="1" applyProtection="1">
      <protection locked="0"/>
    </xf>
    <xf numFmtId="0" fontId="21" fillId="0" borderId="25" xfId="0" applyFont="1" applyBorder="1" applyProtection="1">
      <protection locked="0"/>
    </xf>
    <xf numFmtId="167" fontId="21" fillId="0" borderId="25" xfId="0" applyNumberFormat="1" applyFont="1" applyBorder="1" applyProtection="1">
      <protection locked="0"/>
    </xf>
    <xf numFmtId="0" fontId="21"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7" fontId="0" fillId="0" borderId="5" xfId="0" applyNumberFormat="1" applyBorder="1" applyProtection="1">
      <protection locked="0"/>
    </xf>
    <xf numFmtId="0" fontId="0" fillId="0" borderId="8" xfId="0" applyBorder="1" applyProtection="1">
      <protection locked="0"/>
    </xf>
    <xf numFmtId="0" fontId="10" fillId="8" borderId="0" xfId="18" applyFill="1" applyAlignment="1" applyProtection="1">
      <alignment horizontal="right"/>
      <protection locked="0"/>
    </xf>
    <xf numFmtId="0" fontId="12" fillId="0" borderId="9" xfId="0" applyFont="1" applyBorder="1" applyProtection="1">
      <protection locked="0"/>
    </xf>
    <xf numFmtId="0" fontId="12" fillId="0" borderId="10" xfId="0" applyFont="1" applyBorder="1" applyProtection="1">
      <protection locked="0"/>
    </xf>
    <xf numFmtId="0" fontId="12" fillId="0" borderId="11" xfId="0" applyFont="1" applyBorder="1" applyProtection="1">
      <protection locked="0"/>
    </xf>
    <xf numFmtId="0" fontId="12" fillId="0" borderId="12" xfId="0" applyFont="1" applyBorder="1" applyProtection="1">
      <protection locked="0"/>
    </xf>
    <xf numFmtId="0" fontId="12" fillId="0" borderId="13" xfId="0" applyFont="1" applyBorder="1" applyProtection="1">
      <protection locked="0"/>
    </xf>
    <xf numFmtId="0" fontId="19" fillId="0" borderId="0" xfId="0" applyFont="1" applyProtection="1">
      <protection locked="0"/>
    </xf>
    <xf numFmtId="0" fontId="12" fillId="0" borderId="0" xfId="0" applyFont="1" applyProtection="1">
      <protection locked="0"/>
    </xf>
    <xf numFmtId="0" fontId="21" fillId="4" borderId="3" xfId="0" applyFont="1" applyFill="1" applyBorder="1" applyAlignment="1" applyProtection="1">
      <alignment horizontal="left"/>
      <protection locked="0"/>
    </xf>
    <xf numFmtId="0" fontId="21" fillId="0" borderId="16" xfId="0" applyFont="1" applyBorder="1" applyAlignment="1" applyProtection="1">
      <alignment horizontal="left"/>
      <protection locked="0"/>
    </xf>
    <xf numFmtId="0" fontId="21" fillId="0" borderId="22" xfId="0" quotePrefix="1" applyFont="1" applyBorder="1" applyProtection="1">
      <protection locked="0"/>
    </xf>
    <xf numFmtId="0" fontId="12" fillId="0" borderId="14" xfId="0" applyFont="1" applyBorder="1" applyProtection="1">
      <protection locked="0"/>
    </xf>
    <xf numFmtId="0" fontId="12" fillId="0" borderId="5" xfId="0" applyFont="1" applyBorder="1" applyProtection="1">
      <protection locked="0"/>
    </xf>
    <xf numFmtId="167" fontId="12" fillId="0" borderId="5" xfId="0" applyNumberFormat="1" applyFont="1" applyBorder="1" applyProtection="1">
      <protection locked="0"/>
    </xf>
    <xf numFmtId="0" fontId="12" fillId="0" borderId="8" xfId="0" applyFont="1" applyBorder="1" applyProtection="1">
      <protection locked="0"/>
    </xf>
    <xf numFmtId="0" fontId="24" fillId="8" borderId="0" xfId="18" applyFont="1" applyFill="1" applyProtection="1"/>
    <xf numFmtId="0" fontId="2" fillId="0" borderId="8" xfId="0" applyFont="1" applyBorder="1"/>
    <xf numFmtId="0" fontId="10" fillId="9" borderId="0" xfId="0" applyFont="1" applyFill="1"/>
    <xf numFmtId="0" fontId="10" fillId="9" borderId="0" xfId="18" applyFill="1" applyAlignment="1" applyProtection="1">
      <alignment vertical="center"/>
    </xf>
    <xf numFmtId="0" fontId="10" fillId="9" borderId="0" xfId="0" applyFont="1" applyFill="1" applyAlignment="1">
      <alignment vertical="center" wrapText="1"/>
    </xf>
    <xf numFmtId="0" fontId="10" fillId="9" borderId="0" xfId="0" applyFont="1" applyFill="1" applyAlignment="1">
      <alignment vertical="center"/>
    </xf>
    <xf numFmtId="0" fontId="0" fillId="9" borderId="0" xfId="0" applyFill="1"/>
    <xf numFmtId="0" fontId="2" fillId="0" borderId="34" xfId="0" applyFont="1" applyBorder="1"/>
    <xf numFmtId="0" fontId="2" fillId="0" borderId="37" xfId="0" applyFont="1" applyBorder="1"/>
    <xf numFmtId="0" fontId="2" fillId="0" borderId="39" xfId="0" applyFont="1" applyBorder="1"/>
    <xf numFmtId="10" fontId="2" fillId="3" borderId="41" xfId="1" applyNumberFormat="1" applyFont="1" applyFill="1" applyBorder="1" applyProtection="1"/>
    <xf numFmtId="167" fontId="2" fillId="3" borderId="49" xfId="1" applyNumberFormat="1" applyFont="1" applyFill="1" applyBorder="1" applyProtection="1"/>
    <xf numFmtId="0" fontId="2" fillId="0" borderId="50" xfId="0" applyFont="1" applyBorder="1"/>
    <xf numFmtId="0" fontId="2" fillId="0" borderId="48" xfId="0" applyFont="1" applyBorder="1"/>
    <xf numFmtId="0" fontId="2" fillId="3" borderId="34" xfId="0" applyFont="1" applyFill="1" applyBorder="1" applyAlignment="1">
      <alignment horizontal="left"/>
    </xf>
    <xf numFmtId="0" fontId="2" fillId="3" borderId="52" xfId="0" applyFont="1" applyFill="1" applyBorder="1" applyAlignment="1">
      <alignment horizontal="left"/>
    </xf>
    <xf numFmtId="0" fontId="2" fillId="3" borderId="51" xfId="0" applyFont="1" applyFill="1" applyBorder="1" applyAlignment="1">
      <alignment horizontal="left"/>
    </xf>
    <xf numFmtId="167" fontId="2" fillId="3" borderId="47" xfId="1" applyNumberFormat="1" applyFont="1" applyFill="1" applyBorder="1" applyProtection="1"/>
    <xf numFmtId="167" fontId="2" fillId="3" borderId="41" xfId="1" applyNumberFormat="1" applyFont="1" applyFill="1" applyBorder="1" applyProtection="1"/>
    <xf numFmtId="0" fontId="2" fillId="0" borderId="41" xfId="0" applyFont="1" applyBorder="1"/>
    <xf numFmtId="167" fontId="2" fillId="3" borderId="33" xfId="1" applyNumberFormat="1" applyFont="1" applyFill="1" applyBorder="1" applyProtection="1"/>
    <xf numFmtId="0" fontId="2" fillId="0" borderId="34" xfId="0" applyFont="1" applyBorder="1" applyAlignment="1">
      <alignment horizontal="left"/>
    </xf>
    <xf numFmtId="0" fontId="2" fillId="0" borderId="37" xfId="0" quotePrefix="1" applyFont="1" applyBorder="1" applyAlignment="1">
      <alignment horizontal="left"/>
    </xf>
    <xf numFmtId="0" fontId="2" fillId="0" borderId="37" xfId="0" quotePrefix="1" applyFont="1" applyBorder="1"/>
    <xf numFmtId="167" fontId="2" fillId="3" borderId="47" xfId="0" applyNumberFormat="1" applyFont="1" applyFill="1" applyBorder="1" applyAlignment="1">
      <alignment horizontal="right"/>
    </xf>
    <xf numFmtId="0" fontId="2" fillId="0" borderId="53" xfId="0" quotePrefix="1" applyFont="1" applyBorder="1"/>
    <xf numFmtId="0" fontId="2" fillId="0" borderId="39" xfId="0" quotePrefix="1" applyFont="1" applyBorder="1"/>
    <xf numFmtId="0" fontId="2" fillId="0" borderId="54" xfId="0" applyFont="1" applyBorder="1"/>
    <xf numFmtId="167" fontId="2" fillId="3" borderId="51" xfId="1" applyNumberFormat="1" applyFont="1" applyFill="1" applyBorder="1" applyProtection="1"/>
    <xf numFmtId="0" fontId="2" fillId="0" borderId="37" xfId="0" applyFont="1" applyBorder="1" applyAlignment="1">
      <alignment horizontal="left" indent="1"/>
    </xf>
    <xf numFmtId="9" fontId="2" fillId="3" borderId="47" xfId="1" applyFont="1" applyFill="1" applyBorder="1" applyProtection="1"/>
    <xf numFmtId="0" fontId="2" fillId="0" borderId="56" xfId="0" applyFont="1" applyBorder="1"/>
    <xf numFmtId="167" fontId="2" fillId="3" borderId="57" xfId="1" applyNumberFormat="1" applyFont="1" applyFill="1" applyBorder="1" applyProtection="1"/>
    <xf numFmtId="0" fontId="2" fillId="0" borderId="31" xfId="0" applyFont="1" applyBorder="1" applyAlignment="1">
      <alignment horizontal="left"/>
    </xf>
    <xf numFmtId="0" fontId="2" fillId="0" borderId="58" xfId="0" applyFont="1" applyBorder="1" applyAlignment="1">
      <alignment horizontal="left"/>
    </xf>
    <xf numFmtId="0" fontId="2" fillId="0" borderId="37" xfId="0" applyFont="1" applyBorder="1" applyAlignment="1">
      <alignment horizontal="left"/>
    </xf>
    <xf numFmtId="0" fontId="2" fillId="0" borderId="39" xfId="0" applyFont="1" applyBorder="1" applyAlignment="1">
      <alignment horizontal="left"/>
    </xf>
    <xf numFmtId="167" fontId="2" fillId="0" borderId="49" xfId="0" applyNumberFormat="1" applyFont="1" applyBorder="1"/>
    <xf numFmtId="0" fontId="2" fillId="0" borderId="58" xfId="0" applyFont="1" applyBorder="1" applyAlignment="1">
      <alignment horizontal="left" indent="1"/>
    </xf>
    <xf numFmtId="0" fontId="2" fillId="0" borderId="58" xfId="0" quotePrefix="1" applyFont="1" applyBorder="1" applyAlignment="1">
      <alignment horizontal="left"/>
    </xf>
    <xf numFmtId="167" fontId="2" fillId="0" borderId="59" xfId="1" applyNumberFormat="1" applyFont="1" applyFill="1" applyBorder="1" applyProtection="1"/>
    <xf numFmtId="0" fontId="2" fillId="0" borderId="56" xfId="0" quotePrefix="1" applyFont="1" applyBorder="1" applyAlignment="1">
      <alignment horizontal="left"/>
    </xf>
    <xf numFmtId="167" fontId="2" fillId="0" borderId="57" xfId="0" applyNumberFormat="1" applyFont="1" applyBorder="1"/>
    <xf numFmtId="167" fontId="2" fillId="0" borderId="47" xfId="0" applyNumberFormat="1" applyFont="1" applyBorder="1"/>
    <xf numFmtId="1" fontId="2" fillId="0" borderId="49" xfId="0" applyNumberFormat="1" applyFont="1" applyBorder="1"/>
    <xf numFmtId="1" fontId="2" fillId="0" borderId="49" xfId="0" applyNumberFormat="1" applyFont="1" applyBorder="1" applyAlignment="1">
      <alignment horizontal="right"/>
    </xf>
    <xf numFmtId="167" fontId="2" fillId="0" borderId="51" xfId="0" applyNumberFormat="1" applyFont="1" applyBorder="1"/>
    <xf numFmtId="10" fontId="2" fillId="0" borderId="47" xfId="1" applyNumberFormat="1" applyFont="1" applyBorder="1" applyAlignment="1" applyProtection="1">
      <alignment horizontal="right"/>
    </xf>
    <xf numFmtId="165" fontId="2" fillId="0" borderId="51" xfId="1" applyNumberFormat="1" applyFont="1" applyBorder="1" applyAlignment="1" applyProtection="1">
      <alignment horizontal="right"/>
    </xf>
    <xf numFmtId="0" fontId="2" fillId="0" borderId="39" xfId="0" applyFont="1" applyBorder="1" applyAlignment="1">
      <alignment horizontal="left" indent="1"/>
    </xf>
    <xf numFmtId="0" fontId="2" fillId="0" borderId="58" xfId="0" applyFont="1" applyBorder="1"/>
    <xf numFmtId="1" fontId="2" fillId="3" borderId="49" xfId="0" applyNumberFormat="1" applyFont="1" applyFill="1" applyBorder="1"/>
    <xf numFmtId="0" fontId="2" fillId="0" borderId="56" xfId="0" applyFont="1" applyBorder="1" applyAlignment="1">
      <alignment horizontal="left" indent="1"/>
    </xf>
    <xf numFmtId="10" fontId="2" fillId="0" borderId="49" xfId="1" applyNumberFormat="1" applyFont="1" applyBorder="1" applyAlignment="1" applyProtection="1">
      <alignment horizontal="right"/>
    </xf>
    <xf numFmtId="49" fontId="2" fillId="11" borderId="38" xfId="0" applyNumberFormat="1" applyFont="1" applyFill="1" applyBorder="1" applyAlignment="1" applyProtection="1">
      <alignment horizontal="right"/>
      <protection locked="0"/>
    </xf>
    <xf numFmtId="167" fontId="2" fillId="11" borderId="47" xfId="1" applyNumberFormat="1" applyFont="1" applyFill="1" applyBorder="1" applyProtection="1">
      <protection locked="0"/>
    </xf>
    <xf numFmtId="0" fontId="2" fillId="11" borderId="37" xfId="0" applyFont="1" applyFill="1" applyBorder="1" applyProtection="1">
      <protection locked="0"/>
    </xf>
    <xf numFmtId="167" fontId="2" fillId="11" borderId="1" xfId="1" applyNumberFormat="1" applyFont="1" applyFill="1" applyBorder="1" applyAlignment="1" applyProtection="1">
      <alignment horizontal="right"/>
      <protection locked="0"/>
    </xf>
    <xf numFmtId="0" fontId="2" fillId="11" borderId="1" xfId="0" quotePrefix="1" applyFont="1" applyFill="1" applyBorder="1" applyAlignment="1" applyProtection="1">
      <alignment horizontal="right"/>
      <protection locked="0"/>
    </xf>
    <xf numFmtId="167" fontId="2" fillId="11" borderId="47" xfId="1" applyNumberFormat="1" applyFont="1" applyFill="1" applyBorder="1" applyAlignment="1" applyProtection="1">
      <alignment horizontal="right"/>
      <protection locked="0"/>
    </xf>
    <xf numFmtId="165" fontId="2" fillId="11" borderId="51" xfId="1" applyNumberFormat="1" applyFont="1" applyFill="1" applyBorder="1" applyProtection="1">
      <protection locked="0"/>
    </xf>
    <xf numFmtId="165" fontId="2" fillId="11" borderId="47" xfId="1" applyNumberFormat="1" applyFont="1" applyFill="1" applyBorder="1" applyProtection="1">
      <protection locked="0"/>
    </xf>
    <xf numFmtId="165" fontId="2" fillId="11" borderId="49" xfId="1" applyNumberFormat="1" applyFont="1" applyFill="1" applyBorder="1" applyProtection="1">
      <protection locked="0"/>
    </xf>
    <xf numFmtId="167" fontId="2" fillId="11" borderId="51" xfId="1" applyNumberFormat="1" applyFont="1" applyFill="1" applyBorder="1" applyProtection="1">
      <protection locked="0"/>
    </xf>
    <xf numFmtId="167" fontId="2" fillId="11" borderId="59" xfId="1" applyNumberFormat="1" applyFont="1" applyFill="1" applyBorder="1" applyProtection="1">
      <protection locked="0"/>
    </xf>
    <xf numFmtId="167" fontId="2" fillId="11" borderId="51" xfId="0" applyNumberFormat="1" applyFont="1" applyFill="1" applyBorder="1" applyProtection="1">
      <protection locked="0"/>
    </xf>
    <xf numFmtId="0" fontId="2" fillId="11" borderId="34" xfId="0" applyFont="1" applyFill="1" applyBorder="1" applyAlignment="1" applyProtection="1">
      <alignment horizontal="left"/>
      <protection locked="0"/>
    </xf>
    <xf numFmtId="0" fontId="2" fillId="11" borderId="58" xfId="0" applyFont="1" applyFill="1" applyBorder="1" applyAlignment="1" applyProtection="1">
      <alignment horizontal="left"/>
      <protection locked="0"/>
    </xf>
    <xf numFmtId="10" fontId="2" fillId="11" borderId="47" xfId="0" applyNumberFormat="1" applyFont="1" applyFill="1" applyBorder="1" applyProtection="1">
      <protection locked="0"/>
    </xf>
    <xf numFmtId="9" fontId="2" fillId="11" borderId="47" xfId="1" applyFont="1" applyFill="1" applyBorder="1" applyProtection="1">
      <protection locked="0"/>
    </xf>
    <xf numFmtId="0" fontId="2" fillId="9" borderId="0" xfId="0" applyFont="1" applyFill="1"/>
    <xf numFmtId="0" fontId="0" fillId="0" borderId="43"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10" fillId="9" borderId="0" xfId="18" applyFill="1" applyAlignment="1">
      <alignment vertical="center"/>
    </xf>
    <xf numFmtId="14" fontId="6" fillId="3" borderId="63" xfId="0" applyNumberFormat="1" applyFont="1" applyFill="1" applyBorder="1"/>
    <xf numFmtId="9" fontId="0" fillId="0" borderId="63" xfId="1" applyFont="1" applyBorder="1"/>
    <xf numFmtId="0" fontId="21" fillId="0" borderId="62" xfId="0" applyFont="1" applyBorder="1"/>
    <xf numFmtId="0" fontId="21" fillId="0" borderId="63" xfId="0" applyFont="1" applyBorder="1"/>
    <xf numFmtId="0" fontId="21" fillId="0" borderId="37" xfId="0" applyFont="1" applyBorder="1"/>
    <xf numFmtId="0" fontId="21" fillId="0" borderId="67" xfId="0" applyFont="1" applyBorder="1"/>
    <xf numFmtId="0" fontId="10" fillId="9" borderId="0" xfId="18" applyFill="1" applyBorder="1" applyAlignment="1">
      <alignment vertical="center"/>
    </xf>
    <xf numFmtId="0" fontId="21" fillId="0" borderId="34" xfId="0" applyFont="1" applyBorder="1"/>
    <xf numFmtId="170" fontId="21" fillId="0" borderId="36" xfId="0" applyNumberFormat="1" applyFont="1" applyBorder="1"/>
    <xf numFmtId="0" fontId="21" fillId="0" borderId="56" xfId="0" applyFont="1" applyBorder="1"/>
    <xf numFmtId="167" fontId="21" fillId="0" borderId="66" xfId="0" applyNumberFormat="1" applyFont="1" applyBorder="1"/>
    <xf numFmtId="167" fontId="21" fillId="0" borderId="36" xfId="0" applyNumberFormat="1" applyFont="1" applyBorder="1"/>
    <xf numFmtId="167" fontId="21" fillId="0" borderId="38" xfId="0" applyNumberFormat="1" applyFont="1" applyBorder="1"/>
    <xf numFmtId="167" fontId="21" fillId="0" borderId="68" xfId="0" applyNumberFormat="1" applyFont="1" applyBorder="1"/>
    <xf numFmtId="10" fontId="21" fillId="0" borderId="38" xfId="1" applyNumberFormat="1" applyFont="1" applyBorder="1"/>
    <xf numFmtId="10" fontId="21" fillId="0" borderId="66" xfId="0" applyNumberFormat="1" applyFont="1" applyBorder="1"/>
    <xf numFmtId="0" fontId="21" fillId="0" borderId="28" xfId="0" applyFont="1" applyBorder="1"/>
    <xf numFmtId="167" fontId="21" fillId="0" borderId="33" xfId="0" applyNumberFormat="1" applyFont="1" applyBorder="1"/>
    <xf numFmtId="0" fontId="21" fillId="0" borderId="58" xfId="0" applyFont="1" applyBorder="1"/>
    <xf numFmtId="165" fontId="21" fillId="0" borderId="69" xfId="1" applyNumberFormat="1" applyFont="1" applyBorder="1"/>
    <xf numFmtId="1" fontId="21" fillId="0" borderId="66" xfId="0" applyNumberFormat="1" applyFont="1" applyBorder="1"/>
    <xf numFmtId="0" fontId="21" fillId="0" borderId="37" xfId="0" quotePrefix="1" applyFont="1" applyBorder="1"/>
    <xf numFmtId="0" fontId="21" fillId="0" borderId="67" xfId="0" quotePrefix="1" applyFont="1" applyBorder="1"/>
    <xf numFmtId="0" fontId="21" fillId="0" borderId="56" xfId="0" quotePrefix="1" applyFont="1" applyBorder="1"/>
    <xf numFmtId="0" fontId="25" fillId="3" borderId="27" xfId="0" applyFont="1" applyFill="1" applyBorder="1" applyAlignment="1">
      <alignment horizontal="left"/>
    </xf>
    <xf numFmtId="0" fontId="25" fillId="3" borderId="70" xfId="0" applyFont="1" applyFill="1" applyBorder="1" applyAlignment="1">
      <alignment horizontal="left"/>
    </xf>
    <xf numFmtId="0" fontId="2" fillId="8" borderId="0" xfId="0" applyFont="1" applyFill="1" applyAlignment="1">
      <alignment horizontal="left"/>
    </xf>
    <xf numFmtId="0" fontId="11" fillId="9" borderId="28" xfId="0" applyFont="1" applyFill="1" applyBorder="1" applyAlignment="1">
      <alignment horizontal="right" indent="1"/>
    </xf>
    <xf numFmtId="0" fontId="11" fillId="9" borderId="29" xfId="0" applyFont="1" applyFill="1" applyBorder="1" applyAlignment="1">
      <alignment horizontal="right" indent="1"/>
    </xf>
    <xf numFmtId="0" fontId="11" fillId="9" borderId="71" xfId="0" applyFont="1" applyFill="1" applyBorder="1" applyAlignment="1">
      <alignment horizontal="center"/>
    </xf>
    <xf numFmtId="1" fontId="11" fillId="9" borderId="72" xfId="0" applyNumberFormat="1" applyFont="1" applyFill="1" applyBorder="1" applyAlignment="1">
      <alignment horizontal="center"/>
    </xf>
    <xf numFmtId="1" fontId="11" fillId="9" borderId="73" xfId="0" applyNumberFormat="1" applyFont="1" applyFill="1" applyBorder="1" applyAlignment="1">
      <alignment horizontal="center"/>
    </xf>
    <xf numFmtId="167" fontId="2" fillId="3" borderId="52" xfId="0" applyNumberFormat="1" applyFont="1" applyFill="1" applyBorder="1" applyAlignment="1">
      <alignment horizontal="center"/>
    </xf>
    <xf numFmtId="167" fontId="2" fillId="3" borderId="51" xfId="0" applyNumberFormat="1" applyFont="1" applyFill="1" applyBorder="1" applyAlignment="1">
      <alignment horizontal="center"/>
    </xf>
    <xf numFmtId="167" fontId="2" fillId="3" borderId="47" xfId="0" applyNumberFormat="1" applyFont="1" applyFill="1" applyBorder="1" applyAlignment="1">
      <alignment horizontal="center"/>
    </xf>
    <xf numFmtId="167" fontId="2" fillId="3" borderId="41" xfId="0" applyNumberFormat="1" applyFont="1" applyFill="1" applyBorder="1" applyAlignment="1">
      <alignment horizontal="center"/>
    </xf>
    <xf numFmtId="167" fontId="2" fillId="3" borderId="49" xfId="0" applyNumberFormat="1" applyFont="1" applyFill="1" applyBorder="1" applyAlignment="1">
      <alignment horizontal="center"/>
    </xf>
    <xf numFmtId="3" fontId="2" fillId="3" borderId="52" xfId="0" applyNumberFormat="1" applyFont="1" applyFill="1" applyBorder="1" applyAlignment="1">
      <alignment horizontal="center"/>
    </xf>
    <xf numFmtId="3" fontId="2" fillId="3" borderId="51"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76" xfId="0" applyNumberFormat="1" applyFont="1" applyFill="1" applyBorder="1" applyAlignment="1">
      <alignment horizontal="center"/>
    </xf>
    <xf numFmtId="3" fontId="2" fillId="3" borderId="57" xfId="0" applyNumberFormat="1" applyFont="1" applyFill="1" applyBorder="1" applyAlignment="1">
      <alignment horizontal="center"/>
    </xf>
    <xf numFmtId="165" fontId="2" fillId="3" borderId="47" xfId="1" applyNumberFormat="1" applyFont="1" applyFill="1" applyBorder="1" applyAlignment="1" applyProtection="1">
      <alignment horizontal="center"/>
    </xf>
    <xf numFmtId="10" fontId="2" fillId="3" borderId="52" xfId="1" applyNumberFormat="1" applyFont="1" applyFill="1" applyBorder="1" applyAlignment="1" applyProtection="1">
      <alignment horizontal="center"/>
    </xf>
    <xf numFmtId="10" fontId="7" fillId="3" borderId="47" xfId="1" applyNumberFormat="1" applyFont="1" applyFill="1" applyBorder="1" applyAlignment="1" applyProtection="1">
      <alignment horizontal="center"/>
    </xf>
    <xf numFmtId="0" fontId="0" fillId="8" borderId="63" xfId="0" applyFill="1" applyBorder="1"/>
    <xf numFmtId="3" fontId="2" fillId="3" borderId="41" xfId="0" applyNumberFormat="1" applyFont="1" applyFill="1" applyBorder="1" applyAlignment="1">
      <alignment horizontal="center"/>
    </xf>
    <xf numFmtId="3" fontId="2" fillId="3" borderId="49" xfId="0" applyNumberFormat="1" applyFont="1" applyFill="1" applyBorder="1" applyAlignment="1">
      <alignment horizontal="center"/>
    </xf>
    <xf numFmtId="3" fontId="2" fillId="3" borderId="59" xfId="0" applyNumberFormat="1" applyFont="1" applyFill="1" applyBorder="1" applyAlignment="1">
      <alignment horizontal="center"/>
    </xf>
    <xf numFmtId="0" fontId="2" fillId="0" borderId="77" xfId="0" applyFont="1" applyBorder="1" applyAlignment="1">
      <alignment horizontal="right"/>
    </xf>
    <xf numFmtId="10" fontId="2" fillId="3" borderId="47" xfId="1" applyNumberFormat="1" applyFont="1" applyFill="1" applyBorder="1" applyAlignment="1" applyProtection="1">
      <alignment horizontal="center"/>
    </xf>
    <xf numFmtId="3" fontId="2" fillId="11" borderId="1" xfId="0" applyNumberFormat="1" applyFont="1" applyFill="1" applyBorder="1" applyAlignment="1" applyProtection="1">
      <alignment horizontal="center"/>
      <protection locked="0"/>
    </xf>
    <xf numFmtId="3" fontId="2" fillId="11" borderId="47" xfId="0" applyNumberFormat="1" applyFont="1" applyFill="1" applyBorder="1" applyAlignment="1" applyProtection="1">
      <alignment horizontal="center"/>
      <protection locked="0"/>
    </xf>
    <xf numFmtId="10" fontId="2" fillId="11" borderId="52" xfId="1" applyNumberFormat="1" applyFont="1" applyFill="1" applyBorder="1" applyAlignment="1" applyProtection="1">
      <alignment horizontal="center"/>
      <protection locked="0"/>
    </xf>
    <xf numFmtId="10" fontId="2" fillId="11" borderId="74" xfId="1" applyNumberFormat="1" applyFont="1" applyFill="1" applyBorder="1" applyAlignment="1" applyProtection="1">
      <alignment horizontal="center"/>
      <protection locked="0"/>
    </xf>
    <xf numFmtId="10" fontId="2" fillId="11" borderId="36" xfId="1" applyNumberFormat="1" applyFont="1" applyFill="1" applyBorder="1" applyAlignment="1" applyProtection="1">
      <alignment horizontal="center"/>
      <protection locked="0"/>
    </xf>
    <xf numFmtId="0" fontId="10" fillId="9" borderId="0" xfId="18" applyFill="1" applyAlignment="1" applyProtection="1">
      <alignment horizontal="center" vertical="center"/>
    </xf>
    <xf numFmtId="0" fontId="2" fillId="3" borderId="34" xfId="0" applyFont="1" applyFill="1" applyBorder="1"/>
    <xf numFmtId="0" fontId="2" fillId="7" borderId="52" xfId="0" applyFont="1" applyFill="1" applyBorder="1" applyAlignment="1">
      <alignment horizontal="center"/>
    </xf>
    <xf numFmtId="0" fontId="2" fillId="6" borderId="52" xfId="0" applyFont="1" applyFill="1" applyBorder="1" applyAlignment="1">
      <alignment horizontal="center"/>
    </xf>
    <xf numFmtId="0" fontId="2" fillId="5" borderId="51" xfId="0" applyFont="1" applyFill="1" applyBorder="1" applyAlignment="1">
      <alignment horizontal="center"/>
    </xf>
    <xf numFmtId="9" fontId="2" fillId="11" borderId="1" xfId="1" applyFont="1" applyFill="1" applyBorder="1" applyAlignment="1" applyProtection="1">
      <alignment horizontal="center"/>
      <protection locked="0"/>
    </xf>
    <xf numFmtId="9" fontId="2" fillId="11" borderId="47" xfId="1" applyFont="1" applyFill="1" applyBorder="1" applyAlignment="1" applyProtection="1">
      <alignment horizontal="center"/>
      <protection locked="0"/>
    </xf>
    <xf numFmtId="167" fontId="2" fillId="11" borderId="1" xfId="0" applyNumberFormat="1" applyFont="1" applyFill="1" applyBorder="1" applyAlignment="1" applyProtection="1">
      <alignment horizontal="center"/>
      <protection locked="0"/>
    </xf>
    <xf numFmtId="167" fontId="2" fillId="11" borderId="47" xfId="0" applyNumberFormat="1" applyFont="1" applyFill="1" applyBorder="1" applyAlignment="1" applyProtection="1">
      <alignment horizontal="center"/>
      <protection locked="0"/>
    </xf>
    <xf numFmtId="167" fontId="2" fillId="11" borderId="41" xfId="0" applyNumberFormat="1" applyFont="1" applyFill="1" applyBorder="1" applyAlignment="1" applyProtection="1">
      <alignment horizontal="center"/>
      <protection locked="0"/>
    </xf>
    <xf numFmtId="167" fontId="2" fillId="11" borderId="49" xfId="0" applyNumberFormat="1" applyFont="1" applyFill="1" applyBorder="1" applyAlignment="1" applyProtection="1">
      <alignment horizontal="center"/>
      <protection locked="0"/>
    </xf>
    <xf numFmtId="0" fontId="14" fillId="9" borderId="0" xfId="0" applyFont="1" applyFill="1" applyAlignment="1">
      <alignment vertical="center"/>
    </xf>
    <xf numFmtId="0" fontId="2" fillId="11" borderId="51" xfId="0" applyFont="1" applyFill="1" applyBorder="1" applyProtection="1">
      <protection locked="0"/>
    </xf>
    <xf numFmtId="0" fontId="0" fillId="0" borderId="78" xfId="0" applyBorder="1"/>
    <xf numFmtId="0" fontId="0" fillId="0" borderId="79" xfId="0" applyBorder="1"/>
    <xf numFmtId="9" fontId="0" fillId="0" borderId="80" xfId="1" applyFont="1" applyBorder="1"/>
    <xf numFmtId="0" fontId="21" fillId="0" borderId="78" xfId="0" applyFont="1" applyBorder="1"/>
    <xf numFmtId="0" fontId="21" fillId="0" borderId="79" xfId="0" applyFont="1" applyBorder="1"/>
    <xf numFmtId="9" fontId="21" fillId="0" borderId="63" xfId="1" applyFont="1" applyBorder="1"/>
    <xf numFmtId="0" fontId="0" fillId="0" borderId="81" xfId="0" applyBorder="1"/>
    <xf numFmtId="0" fontId="31" fillId="8" borderId="0" xfId="0" applyFont="1" applyFill="1" applyAlignment="1">
      <alignment horizontal="center"/>
    </xf>
    <xf numFmtId="0" fontId="2" fillId="8" borderId="0" xfId="0" quotePrefix="1" applyFont="1" applyFill="1"/>
    <xf numFmtId="0" fontId="25" fillId="8" borderId="0" xfId="0" applyFont="1" applyFill="1" applyAlignment="1">
      <alignment vertical="center"/>
    </xf>
    <xf numFmtId="0" fontId="5" fillId="8" borderId="0" xfId="0" applyFont="1" applyFill="1" applyAlignment="1">
      <alignment vertical="center"/>
    </xf>
    <xf numFmtId="0" fontId="5" fillId="8" borderId="13" xfId="0" applyFont="1" applyFill="1" applyBorder="1" applyAlignment="1">
      <alignment vertical="center"/>
    </xf>
    <xf numFmtId="0" fontId="5" fillId="8" borderId="0" xfId="0" applyFont="1" applyFill="1"/>
    <xf numFmtId="0" fontId="13" fillId="8" borderId="10" xfId="0" applyFont="1" applyFill="1" applyBorder="1"/>
    <xf numFmtId="0" fontId="13" fillId="8" borderId="0" xfId="0" applyFont="1" applyFill="1"/>
    <xf numFmtId="0" fontId="32" fillId="11" borderId="0" xfId="0" applyFont="1" applyFill="1"/>
    <xf numFmtId="167" fontId="32" fillId="11" borderId="0" xfId="0" applyNumberFormat="1" applyFont="1" applyFill="1"/>
    <xf numFmtId="0" fontId="32" fillId="11" borderId="0" xfId="0" applyFont="1" applyFill="1" applyAlignment="1">
      <alignment horizontal="center"/>
    </xf>
    <xf numFmtId="0" fontId="30" fillId="11" borderId="0" xfId="0" applyFont="1" applyFill="1"/>
    <xf numFmtId="0" fontId="0" fillId="8" borderId="46" xfId="0" applyFill="1" applyBorder="1"/>
    <xf numFmtId="165" fontId="33" fillId="8" borderId="0" xfId="0" applyNumberFormat="1" applyFont="1" applyFill="1" applyAlignment="1">
      <alignment vertical="center"/>
    </xf>
    <xf numFmtId="165" fontId="25" fillId="0" borderId="0" xfId="1" applyNumberFormat="1" applyFont="1" applyBorder="1" applyAlignment="1" applyProtection="1">
      <alignment horizontal="center" vertical="center"/>
    </xf>
    <xf numFmtId="167" fontId="13" fillId="8" borderId="0" xfId="0" applyNumberFormat="1" applyFont="1" applyFill="1" applyAlignment="1" applyProtection="1">
      <alignment horizontal="center" vertical="center"/>
      <protection locked="0"/>
    </xf>
    <xf numFmtId="165" fontId="32" fillId="11" borderId="0" xfId="1" applyNumberFormat="1" applyFont="1" applyFill="1" applyProtection="1"/>
    <xf numFmtId="1" fontId="2" fillId="3" borderId="51" xfId="0" applyNumberFormat="1" applyFont="1" applyFill="1" applyBorder="1"/>
    <xf numFmtId="0" fontId="13" fillId="8" borderId="0" xfId="0" applyFont="1" applyFill="1" applyAlignment="1">
      <alignment vertical="center"/>
    </xf>
    <xf numFmtId="10" fontId="2" fillId="3" borderId="1" xfId="1" applyNumberFormat="1" applyFont="1" applyFill="1" applyBorder="1" applyProtection="1"/>
    <xf numFmtId="0" fontId="2" fillId="8" borderId="34" xfId="0" applyFont="1" applyFill="1" applyBorder="1"/>
    <xf numFmtId="0" fontId="2" fillId="8" borderId="37" xfId="0" applyFont="1" applyFill="1" applyBorder="1"/>
    <xf numFmtId="0" fontId="2" fillId="8" borderId="39" xfId="0" applyFont="1" applyFill="1" applyBorder="1"/>
    <xf numFmtId="10" fontId="2" fillId="11" borderId="47" xfId="0" applyNumberFormat="1" applyFont="1" applyFill="1" applyBorder="1" applyAlignment="1" applyProtection="1">
      <alignment horizontal="center"/>
      <protection locked="0"/>
    </xf>
    <xf numFmtId="10" fontId="2" fillId="11" borderId="49" xfId="0" applyNumberFormat="1" applyFont="1" applyFill="1" applyBorder="1" applyAlignment="1" applyProtection="1">
      <alignment horizontal="center"/>
      <protection locked="0"/>
    </xf>
    <xf numFmtId="0" fontId="25" fillId="8" borderId="0" xfId="0" quotePrefix="1" applyFont="1" applyFill="1" applyAlignment="1">
      <alignment vertical="center"/>
    </xf>
    <xf numFmtId="167" fontId="2" fillId="3" borderId="47" xfId="0" applyNumberFormat="1" applyFont="1" applyFill="1" applyBorder="1"/>
    <xf numFmtId="9" fontId="2" fillId="3" borderId="51" xfId="0" applyNumberFormat="1" applyFont="1" applyFill="1" applyBorder="1"/>
    <xf numFmtId="10" fontId="2" fillId="3" borderId="47" xfId="0" applyNumberFormat="1" applyFont="1" applyFill="1" applyBorder="1"/>
    <xf numFmtId="9" fontId="2" fillId="3" borderId="51" xfId="1" applyFont="1" applyFill="1" applyBorder="1" applyProtection="1"/>
    <xf numFmtId="0" fontId="25" fillId="8" borderId="0" xfId="0" applyFont="1" applyFill="1" applyAlignment="1">
      <alignment vertical="top"/>
    </xf>
    <xf numFmtId="167" fontId="2" fillId="3" borderId="51" xfId="0" applyNumberFormat="1" applyFont="1" applyFill="1" applyBorder="1"/>
    <xf numFmtId="173" fontId="13" fillId="3" borderId="0" xfId="1" applyNumberFormat="1" applyFont="1" applyFill="1" applyBorder="1" applyAlignment="1" applyProtection="1">
      <alignment vertical="center"/>
    </xf>
    <xf numFmtId="0" fontId="2" fillId="0" borderId="54" xfId="0" applyFont="1" applyBorder="1" applyAlignment="1">
      <alignment horizontal="left"/>
    </xf>
    <xf numFmtId="1" fontId="2" fillId="0" borderId="55" xfId="0" applyNumberFormat="1" applyFont="1" applyBorder="1" applyAlignment="1">
      <alignment horizontal="right"/>
    </xf>
    <xf numFmtId="0" fontId="0" fillId="8" borderId="0" xfId="0" applyFill="1" applyAlignment="1">
      <alignment wrapText="1"/>
    </xf>
    <xf numFmtId="171" fontId="2" fillId="3" borderId="40" xfId="0" applyNumberFormat="1" applyFont="1" applyFill="1" applyBorder="1"/>
    <xf numFmtId="0" fontId="2" fillId="3" borderId="37" xfId="0" applyFont="1" applyFill="1" applyBorder="1"/>
    <xf numFmtId="9" fontId="13" fillId="3" borderId="0" xfId="1" applyFont="1" applyFill="1" applyBorder="1" applyAlignment="1" applyProtection="1">
      <alignment horizontal="center" vertical="center"/>
    </xf>
    <xf numFmtId="165" fontId="2" fillId="3" borderId="51" xfId="1" applyNumberFormat="1" applyFont="1" applyFill="1" applyBorder="1" applyProtection="1"/>
    <xf numFmtId="0" fontId="11" fillId="9" borderId="62" xfId="0" applyFont="1" applyFill="1" applyBorder="1" applyAlignment="1">
      <alignment horizontal="center" vertical="center"/>
    </xf>
    <xf numFmtId="0" fontId="11" fillId="9" borderId="63" xfId="0" applyFont="1" applyFill="1" applyBorder="1" applyAlignment="1">
      <alignment horizontal="center" vertical="center"/>
    </xf>
    <xf numFmtId="0" fontId="0" fillId="0" borderId="37" xfId="0" applyBorder="1" applyAlignment="1">
      <alignment horizontal="center"/>
    </xf>
    <xf numFmtId="0" fontId="0" fillId="0" borderId="39" xfId="0" applyBorder="1" applyAlignment="1">
      <alignment horizontal="center"/>
    </xf>
    <xf numFmtId="3" fontId="0" fillId="0" borderId="47" xfId="0" applyNumberFormat="1" applyBorder="1" applyAlignment="1">
      <alignment horizontal="center"/>
    </xf>
    <xf numFmtId="3" fontId="0" fillId="0" borderId="49" xfId="0" applyNumberFormat="1" applyBorder="1" applyAlignment="1">
      <alignment horizontal="center"/>
    </xf>
    <xf numFmtId="3" fontId="0" fillId="0" borderId="37" xfId="0" applyNumberFormat="1" applyBorder="1" applyAlignment="1">
      <alignment horizontal="center"/>
    </xf>
    <xf numFmtId="3" fontId="0" fillId="0" borderId="39" xfId="0" applyNumberFormat="1" applyBorder="1" applyAlignment="1">
      <alignment horizontal="center"/>
    </xf>
    <xf numFmtId="0" fontId="13" fillId="0" borderId="0" xfId="0" applyFont="1"/>
    <xf numFmtId="0" fontId="34" fillId="0" borderId="0" xfId="0" applyFont="1" applyAlignment="1">
      <alignment horizontal="left" vertical="center"/>
    </xf>
    <xf numFmtId="10" fontId="25" fillId="11" borderId="1" xfId="1" applyNumberFormat="1" applyFont="1" applyFill="1" applyBorder="1" applyAlignment="1" applyProtection="1">
      <alignment horizontal="center" vertical="center"/>
      <protection locked="0"/>
    </xf>
    <xf numFmtId="174" fontId="25" fillId="11" borderId="1" xfId="0" applyNumberFormat="1" applyFont="1" applyFill="1" applyBorder="1" applyAlignment="1" applyProtection="1">
      <alignment horizontal="center" vertical="center"/>
      <protection locked="0"/>
    </xf>
    <xf numFmtId="14" fontId="25" fillId="11" borderId="1" xfId="0" applyNumberFormat="1" applyFont="1" applyFill="1" applyBorder="1" applyAlignment="1" applyProtection="1">
      <alignment horizontal="center" vertical="center"/>
      <protection locked="0"/>
    </xf>
    <xf numFmtId="167" fontId="25" fillId="11" borderId="1" xfId="0" applyNumberFormat="1" applyFont="1" applyFill="1" applyBorder="1" applyAlignment="1" applyProtection="1">
      <alignment horizontal="center" vertical="center"/>
      <protection locked="0"/>
    </xf>
    <xf numFmtId="167" fontId="25" fillId="11" borderId="1" xfId="1" applyNumberFormat="1" applyFont="1" applyFill="1" applyBorder="1" applyAlignment="1" applyProtection="1">
      <alignment horizontal="center" vertical="center"/>
      <protection locked="0"/>
    </xf>
    <xf numFmtId="9" fontId="25" fillId="11" borderId="1" xfId="1" applyFont="1" applyFill="1" applyBorder="1" applyAlignment="1" applyProtection="1">
      <alignment horizontal="center" vertical="center"/>
      <protection locked="0"/>
    </xf>
    <xf numFmtId="172" fontId="25" fillId="11" borderId="1" xfId="1" applyNumberFormat="1" applyFont="1" applyFill="1" applyBorder="1" applyAlignment="1" applyProtection="1">
      <alignment horizontal="center" vertical="center"/>
      <protection locked="0"/>
    </xf>
    <xf numFmtId="167" fontId="2" fillId="3" borderId="1" xfId="1" applyNumberFormat="1" applyFont="1" applyFill="1" applyBorder="1" applyAlignment="1" applyProtection="1">
      <alignment horizontal="right"/>
    </xf>
    <xf numFmtId="0" fontId="2" fillId="8" borderId="58" xfId="0" applyFont="1" applyFill="1" applyBorder="1"/>
    <xf numFmtId="10" fontId="2" fillId="11" borderId="59" xfId="0" applyNumberFormat="1" applyFont="1" applyFill="1" applyBorder="1" applyAlignment="1" applyProtection="1">
      <alignment horizontal="center"/>
      <protection locked="0"/>
    </xf>
    <xf numFmtId="0" fontId="11" fillId="9" borderId="62" xfId="0" applyFont="1" applyFill="1" applyBorder="1" applyAlignment="1">
      <alignment horizontal="left" vertical="center"/>
    </xf>
    <xf numFmtId="167" fontId="2" fillId="0" borderId="1" xfId="0" applyNumberFormat="1" applyFont="1" applyBorder="1" applyAlignment="1">
      <alignment horizontal="center"/>
    </xf>
    <xf numFmtId="0" fontId="2" fillId="0" borderId="1" xfId="0" applyFont="1" applyBorder="1" applyAlignment="1">
      <alignment horizontal="center"/>
    </xf>
    <xf numFmtId="165" fontId="2" fillId="0" borderId="1" xfId="1" applyNumberFormat="1" applyFont="1" applyBorder="1" applyAlignment="1">
      <alignment horizontal="center"/>
    </xf>
    <xf numFmtId="166" fontId="0" fillId="0" borderId="0" xfId="5" applyFont="1" applyBorder="1" applyAlignment="1">
      <alignment horizontal="center" vertical="center"/>
    </xf>
    <xf numFmtId="0" fontId="0" fillId="0" borderId="0" xfId="0" applyAlignment="1">
      <alignment horizontal="center" vertical="center"/>
    </xf>
    <xf numFmtId="177" fontId="0" fillId="0" borderId="0" xfId="0" applyNumberFormat="1"/>
    <xf numFmtId="0" fontId="37" fillId="0" borderId="0" xfId="0" applyFont="1"/>
    <xf numFmtId="9" fontId="0" fillId="0" borderId="0" xfId="1" applyFont="1"/>
    <xf numFmtId="10" fontId="0" fillId="0" borderId="0" xfId="1" applyNumberFormat="1" applyFont="1" applyBorder="1"/>
    <xf numFmtId="9" fontId="0" fillId="0" borderId="0" xfId="1" applyFont="1" applyBorder="1"/>
    <xf numFmtId="0" fontId="38" fillId="9" borderId="83" xfId="0" applyFont="1" applyFill="1" applyBorder="1" applyAlignment="1">
      <alignment horizontal="center" wrapText="1"/>
    </xf>
    <xf numFmtId="0" fontId="38" fillId="9" borderId="60" xfId="0" applyFont="1" applyFill="1" applyBorder="1" applyAlignment="1">
      <alignment horizontal="center"/>
    </xf>
    <xf numFmtId="0" fontId="38" fillId="9" borderId="84" xfId="0" applyFont="1" applyFill="1" applyBorder="1" applyAlignment="1">
      <alignment horizontal="center" wrapText="1"/>
    </xf>
    <xf numFmtId="44" fontId="0" fillId="0" borderId="0" xfId="0" applyNumberFormat="1"/>
    <xf numFmtId="44" fontId="0" fillId="0" borderId="63" xfId="0" applyNumberFormat="1" applyBorder="1"/>
    <xf numFmtId="0" fontId="0" fillId="0" borderId="62" xfId="0" applyBorder="1" applyAlignment="1">
      <alignment horizontal="center" wrapText="1"/>
    </xf>
    <xf numFmtId="0" fontId="0" fillId="0" borderId="63" xfId="0" applyBorder="1" applyAlignment="1">
      <alignment horizontal="center"/>
    </xf>
    <xf numFmtId="0" fontId="0" fillId="0" borderId="62" xfId="0" applyBorder="1" applyAlignment="1">
      <alignment horizontal="left" wrapText="1"/>
    </xf>
    <xf numFmtId="166" fontId="0" fillId="0" borderId="63" xfId="5" applyFont="1" applyBorder="1" applyAlignment="1">
      <alignment horizontal="center" vertical="center"/>
    </xf>
    <xf numFmtId="176" fontId="0" fillId="0" borderId="0" xfId="0" applyNumberFormat="1"/>
    <xf numFmtId="176" fontId="0" fillId="0" borderId="63" xfId="0" applyNumberFormat="1" applyBorder="1"/>
    <xf numFmtId="166" fontId="0" fillId="0" borderId="0" xfId="5" applyFont="1" applyBorder="1"/>
    <xf numFmtId="166" fontId="0" fillId="0" borderId="63" xfId="5" applyFont="1" applyBorder="1"/>
    <xf numFmtId="0" fontId="37" fillId="0" borderId="62" xfId="0" applyFont="1" applyBorder="1"/>
    <xf numFmtId="166" fontId="37" fillId="0" borderId="0" xfId="5" applyFont="1" applyBorder="1"/>
    <xf numFmtId="44" fontId="37" fillId="0" borderId="63" xfId="5" applyNumberFormat="1" applyFont="1" applyBorder="1"/>
    <xf numFmtId="0" fontId="37" fillId="0" borderId="62" xfId="0" applyFont="1" applyBorder="1" applyAlignment="1">
      <alignment wrapText="1"/>
    </xf>
    <xf numFmtId="10" fontId="0" fillId="0" borderId="63" xfId="1" applyNumberFormat="1" applyFont="1" applyBorder="1"/>
    <xf numFmtId="9" fontId="0" fillId="0" borderId="65" xfId="1" applyFont="1" applyBorder="1"/>
    <xf numFmtId="9" fontId="0" fillId="0" borderId="66" xfId="1" applyFont="1" applyBorder="1"/>
    <xf numFmtId="0" fontId="35" fillId="9" borderId="43" xfId="0" applyFont="1" applyFill="1" applyBorder="1"/>
    <xf numFmtId="0" fontId="11" fillId="9" borderId="70" xfId="0" applyFont="1" applyFill="1" applyBorder="1" applyAlignment="1">
      <alignment vertical="center"/>
    </xf>
    <xf numFmtId="0" fontId="36" fillId="0" borderId="0" xfId="0" applyFont="1"/>
    <xf numFmtId="10" fontId="2" fillId="3" borderId="51" xfId="0" applyNumberFormat="1" applyFont="1" applyFill="1" applyBorder="1" applyAlignment="1">
      <alignment horizontal="center"/>
    </xf>
    <xf numFmtId="0" fontId="2" fillId="0" borderId="41" xfId="0" applyFont="1" applyBorder="1" applyAlignment="1">
      <alignment horizontal="left"/>
    </xf>
    <xf numFmtId="1" fontId="2" fillId="3" borderId="42" xfId="0" applyNumberFormat="1" applyFont="1" applyFill="1" applyBorder="1" applyAlignment="1">
      <alignment horizontal="right"/>
    </xf>
    <xf numFmtId="3" fontId="2" fillId="0" borderId="86" xfId="0" applyNumberFormat="1" applyFont="1" applyBorder="1" applyAlignment="1">
      <alignment horizontal="center"/>
    </xf>
    <xf numFmtId="3" fontId="2" fillId="0" borderId="85" xfId="0" applyNumberFormat="1" applyFont="1" applyBorder="1" applyAlignment="1">
      <alignment horizontal="center" wrapText="1"/>
    </xf>
    <xf numFmtId="0" fontId="2" fillId="0" borderId="51" xfId="0" applyFont="1" applyBorder="1" applyAlignment="1">
      <alignment horizontal="right"/>
    </xf>
    <xf numFmtId="167" fontId="2" fillId="0" borderId="47" xfId="0" applyNumberFormat="1" applyFont="1" applyBorder="1" applyAlignment="1">
      <alignment horizontal="right"/>
    </xf>
    <xf numFmtId="165" fontId="2" fillId="0" borderId="47" xfId="1" applyNumberFormat="1" applyFont="1" applyBorder="1" applyAlignment="1" applyProtection="1">
      <alignment horizontal="right"/>
    </xf>
    <xf numFmtId="167" fontId="2" fillId="0" borderId="47" xfId="1" applyNumberFormat="1" applyFont="1" applyBorder="1" applyAlignment="1" applyProtection="1">
      <alignment horizontal="right"/>
    </xf>
    <xf numFmtId="0" fontId="2" fillId="3" borderId="47" xfId="0" applyFont="1" applyFill="1" applyBorder="1" applyAlignment="1">
      <alignment horizontal="right"/>
    </xf>
    <xf numFmtId="175" fontId="2" fillId="0" borderId="47" xfId="1" applyNumberFormat="1" applyFont="1" applyBorder="1" applyAlignment="1" applyProtection="1">
      <alignment horizontal="right"/>
    </xf>
    <xf numFmtId="167" fontId="2" fillId="0" borderId="55" xfId="1" applyNumberFormat="1" applyFont="1" applyBorder="1" applyAlignment="1" applyProtection="1">
      <alignment horizontal="right"/>
    </xf>
    <xf numFmtId="9" fontId="2" fillId="0" borderId="49" xfId="1" applyFont="1" applyBorder="1" applyAlignment="1" applyProtection="1">
      <alignment horizontal="right"/>
    </xf>
    <xf numFmtId="165" fontId="2" fillId="11" borderId="1" xfId="1" applyNumberFormat="1" applyFont="1" applyFill="1" applyBorder="1" applyAlignment="1" applyProtection="1">
      <alignment horizontal="center"/>
      <protection locked="0"/>
    </xf>
    <xf numFmtId="165" fontId="2" fillId="11" borderId="47" xfId="1" applyNumberFormat="1" applyFont="1" applyFill="1" applyBorder="1" applyAlignment="1" applyProtection="1">
      <alignment horizontal="center"/>
      <protection locked="0"/>
    </xf>
    <xf numFmtId="165" fontId="25" fillId="8" borderId="0" xfId="1" applyNumberFormat="1" applyFont="1" applyFill="1" applyBorder="1" applyAlignment="1" applyProtection="1">
      <alignment horizontal="center" vertical="center"/>
    </xf>
    <xf numFmtId="0" fontId="2" fillId="0" borderId="59" xfId="0" applyFont="1" applyBorder="1" applyAlignment="1">
      <alignment horizontal="right"/>
    </xf>
    <xf numFmtId="0" fontId="2" fillId="0" borderId="58" xfId="0" applyFont="1" applyBorder="1" applyAlignment="1">
      <alignment horizontal="right"/>
    </xf>
    <xf numFmtId="0" fontId="39" fillId="8" borderId="0" xfId="0" applyFont="1" applyFill="1" applyAlignment="1">
      <alignment vertical="center"/>
    </xf>
    <xf numFmtId="0" fontId="36" fillId="8" borderId="0" xfId="0" applyFont="1" applyFill="1"/>
    <xf numFmtId="0" fontId="25" fillId="11" borderId="1" xfId="0" applyFont="1" applyFill="1" applyBorder="1" applyAlignment="1" applyProtection="1">
      <alignment horizontal="center" vertical="center"/>
      <protection locked="0"/>
    </xf>
    <xf numFmtId="0" fontId="0" fillId="0" borderId="1" xfId="0" applyBorder="1"/>
    <xf numFmtId="0" fontId="0" fillId="8" borderId="1" xfId="0" applyFill="1" applyBorder="1"/>
    <xf numFmtId="0" fontId="31" fillId="9" borderId="1" xfId="0" applyFont="1" applyFill="1" applyBorder="1"/>
    <xf numFmtId="9" fontId="2" fillId="3" borderId="55" xfId="1" applyFont="1" applyFill="1" applyBorder="1" applyAlignment="1" applyProtection="1">
      <alignment horizontal="right"/>
    </xf>
    <xf numFmtId="167" fontId="2" fillId="3" borderId="49" xfId="1" applyNumberFormat="1" applyFont="1" applyFill="1" applyBorder="1" applyAlignment="1" applyProtection="1">
      <alignment horizontal="right"/>
    </xf>
    <xf numFmtId="9" fontId="2" fillId="3" borderId="47" xfId="1" applyFont="1" applyFill="1" applyBorder="1" applyAlignment="1" applyProtection="1">
      <alignment horizontal="right"/>
    </xf>
    <xf numFmtId="167" fontId="2" fillId="3" borderId="49" xfId="0" applyNumberFormat="1" applyFont="1" applyFill="1" applyBorder="1" applyAlignment="1">
      <alignment horizontal="right"/>
    </xf>
    <xf numFmtId="165" fontId="2" fillId="0" borderId="59" xfId="1" applyNumberFormat="1" applyFont="1" applyBorder="1" applyAlignment="1" applyProtection="1">
      <alignment horizontal="right"/>
    </xf>
    <xf numFmtId="169" fontId="2" fillId="0" borderId="47" xfId="1" applyNumberFormat="1" applyFont="1" applyBorder="1" applyAlignment="1" applyProtection="1">
      <alignment horizontal="right"/>
    </xf>
    <xf numFmtId="165" fontId="2" fillId="0" borderId="49" xfId="1" applyNumberFormat="1" applyFont="1" applyBorder="1" applyAlignment="1" applyProtection="1">
      <alignment horizontal="right"/>
    </xf>
    <xf numFmtId="168" fontId="2" fillId="0" borderId="47" xfId="0" applyNumberFormat="1" applyFont="1" applyBorder="1" applyAlignment="1">
      <alignment horizontal="right"/>
    </xf>
    <xf numFmtId="167" fontId="2" fillId="0" borderId="57" xfId="0" applyNumberFormat="1" applyFont="1" applyBorder="1" applyAlignment="1">
      <alignment horizontal="right"/>
    </xf>
    <xf numFmtId="165" fontId="2" fillId="3" borderId="49" xfId="1" applyNumberFormat="1" applyFont="1" applyFill="1" applyBorder="1" applyAlignment="1" applyProtection="1">
      <alignment horizontal="right"/>
    </xf>
    <xf numFmtId="14" fontId="2" fillId="3" borderId="2" xfId="0" applyNumberFormat="1" applyFont="1" applyFill="1" applyBorder="1" applyAlignment="1">
      <alignment horizontal="right"/>
    </xf>
    <xf numFmtId="10" fontId="21" fillId="0" borderId="38" xfId="1" applyNumberFormat="1" applyFont="1" applyBorder="1" applyAlignment="1">
      <alignment horizontal="right"/>
    </xf>
    <xf numFmtId="10" fontId="21" fillId="0" borderId="66" xfId="0" applyNumberFormat="1" applyFont="1" applyBorder="1" applyAlignment="1">
      <alignment horizontal="right"/>
    </xf>
    <xf numFmtId="167" fontId="21" fillId="0" borderId="66" xfId="0" applyNumberFormat="1" applyFont="1" applyBorder="1" applyAlignment="1">
      <alignment horizontal="right"/>
    </xf>
    <xf numFmtId="10" fontId="25" fillId="3" borderId="0" xfId="1" applyNumberFormat="1" applyFont="1" applyFill="1" applyBorder="1" applyAlignment="1" applyProtection="1">
      <alignment horizontal="center" vertical="center"/>
    </xf>
    <xf numFmtId="167" fontId="25" fillId="0" borderId="0" xfId="1" applyNumberFormat="1" applyFont="1" applyBorder="1" applyAlignment="1" applyProtection="1">
      <alignment horizontal="center" vertical="center"/>
    </xf>
    <xf numFmtId="167" fontId="25" fillId="3" borderId="0" xfId="1" applyNumberFormat="1" applyFont="1" applyFill="1" applyBorder="1" applyAlignment="1" applyProtection="1">
      <alignment horizontal="center" vertical="center"/>
    </xf>
    <xf numFmtId="0" fontId="25" fillId="3" borderId="0" xfId="1" applyNumberFormat="1" applyFont="1" applyFill="1" applyBorder="1" applyAlignment="1" applyProtection="1">
      <alignment horizontal="center" vertical="center"/>
    </xf>
    <xf numFmtId="165" fontId="25" fillId="3" borderId="0" xfId="1" applyNumberFormat="1" applyFont="1" applyFill="1" applyBorder="1" applyAlignment="1" applyProtection="1">
      <alignment horizontal="center" vertical="center"/>
    </xf>
    <xf numFmtId="178" fontId="25" fillId="3" borderId="0" xfId="1" applyNumberFormat="1" applyFont="1" applyFill="1" applyBorder="1" applyAlignment="1" applyProtection="1">
      <alignment horizontal="center" vertical="center"/>
    </xf>
    <xf numFmtId="179" fontId="25" fillId="3" borderId="0" xfId="1" applyNumberFormat="1" applyFont="1" applyFill="1" applyBorder="1" applyAlignment="1" applyProtection="1">
      <alignment horizontal="center" vertical="center"/>
    </xf>
    <xf numFmtId="9" fontId="25" fillId="3" borderId="0" xfId="1" applyFont="1" applyFill="1" applyBorder="1" applyAlignment="1" applyProtection="1">
      <alignment horizontal="center" vertical="center"/>
    </xf>
    <xf numFmtId="167" fontId="2" fillId="8" borderId="0" xfId="0" applyNumberFormat="1" applyFont="1" applyFill="1" applyAlignment="1">
      <alignment horizontal="center" vertical="center"/>
    </xf>
    <xf numFmtId="167" fontId="2" fillId="0" borderId="2" xfId="0" applyNumberFormat="1" applyFont="1" applyBorder="1"/>
    <xf numFmtId="167" fontId="2" fillId="0" borderId="3" xfId="0" applyNumberFormat="1" applyFont="1" applyBorder="1" applyAlignment="1">
      <alignment horizontal="center"/>
    </xf>
    <xf numFmtId="0" fontId="2" fillId="0" borderId="2" xfId="0" applyFont="1" applyBorder="1" applyAlignment="1">
      <alignment horizontal="center"/>
    </xf>
    <xf numFmtId="0" fontId="2" fillId="0" borderId="0" xfId="0" applyFont="1" applyAlignment="1">
      <alignment horizontal="center"/>
    </xf>
    <xf numFmtId="0" fontId="2" fillId="0" borderId="60" xfId="0" applyFont="1" applyBorder="1"/>
    <xf numFmtId="0" fontId="40" fillId="0" borderId="0" xfId="0" applyFont="1" applyAlignment="1">
      <alignment horizontal="center" vertical="center"/>
    </xf>
    <xf numFmtId="1" fontId="25" fillId="11" borderId="1" xfId="1" applyNumberFormat="1" applyFont="1" applyFill="1" applyBorder="1" applyAlignment="1" applyProtection="1">
      <alignment horizontal="center" vertical="center"/>
      <protection locked="0"/>
    </xf>
    <xf numFmtId="0" fontId="41" fillId="9" borderId="0" xfId="0" applyFont="1" applyFill="1"/>
    <xf numFmtId="0" fontId="42" fillId="9" borderId="0" xfId="0" applyFont="1" applyFill="1"/>
    <xf numFmtId="0" fontId="41" fillId="9" borderId="0" xfId="0" applyFont="1" applyFill="1" applyAlignment="1">
      <alignment vertical="center" wrapText="1"/>
    </xf>
    <xf numFmtId="0" fontId="41" fillId="9" borderId="0" xfId="0" applyFont="1" applyFill="1" applyAlignment="1">
      <alignment vertical="center"/>
    </xf>
    <xf numFmtId="0" fontId="43" fillId="11" borderId="0" xfId="0" applyFont="1" applyFill="1"/>
    <xf numFmtId="165" fontId="43" fillId="11" borderId="0" xfId="1" applyNumberFormat="1" applyFont="1" applyFill="1" applyProtection="1"/>
    <xf numFmtId="167" fontId="43" fillId="11" borderId="0" xfId="0" applyNumberFormat="1" applyFont="1" applyFill="1"/>
    <xf numFmtId="0" fontId="43" fillId="11" borderId="0" xfId="0" applyFont="1" applyFill="1" applyAlignment="1">
      <alignment horizontal="center"/>
    </xf>
    <xf numFmtId="0" fontId="44" fillId="11" borderId="0" xfId="0" applyFont="1" applyFill="1"/>
    <xf numFmtId="0" fontId="42" fillId="8" borderId="0" xfId="0" applyFont="1" applyFill="1"/>
    <xf numFmtId="0" fontId="45" fillId="8" borderId="0" xfId="0" applyFont="1" applyFill="1"/>
    <xf numFmtId="0" fontId="46" fillId="8" borderId="0" xfId="0" applyFont="1" applyFill="1" applyAlignment="1">
      <alignment vertical="center"/>
    </xf>
    <xf numFmtId="0" fontId="42" fillId="0" borderId="0" xfId="0" applyFont="1"/>
    <xf numFmtId="167" fontId="42" fillId="8" borderId="0" xfId="0" applyNumberFormat="1" applyFont="1" applyFill="1"/>
    <xf numFmtId="0" fontId="10" fillId="9" borderId="0" xfId="18" applyFill="1" applyAlignment="1" applyProtection="1">
      <alignment horizontal="center" vertical="center"/>
    </xf>
    <xf numFmtId="0" fontId="14" fillId="9" borderId="0" xfId="0" applyFont="1" applyFill="1" applyAlignment="1">
      <alignment horizontal="center" vertical="center"/>
    </xf>
    <xf numFmtId="0" fontId="26" fillId="0" borderId="0" xfId="0" applyFont="1" applyAlignment="1">
      <alignment horizontal="center"/>
    </xf>
    <xf numFmtId="0" fontId="27" fillId="0" borderId="0" xfId="0" applyFont="1"/>
    <xf numFmtId="0" fontId="28" fillId="0" borderId="0" xfId="0" applyFont="1" applyAlignment="1">
      <alignment horizontal="right"/>
    </xf>
    <xf numFmtId="0" fontId="28" fillId="0" borderId="0" xfId="18" applyFont="1" applyBorder="1" applyAlignment="1" applyProtection="1">
      <alignment horizontal="right"/>
      <protection locked="0"/>
    </xf>
    <xf numFmtId="0" fontId="28" fillId="0" borderId="0" xfId="0" applyFont="1" applyAlignment="1">
      <alignment horizontal="left" vertical="top" wrapText="1"/>
    </xf>
    <xf numFmtId="0" fontId="41" fillId="9" borderId="0" xfId="18" applyFont="1" applyFill="1" applyAlignment="1" applyProtection="1">
      <alignment horizontal="center" vertical="center"/>
    </xf>
    <xf numFmtId="0" fontId="41" fillId="9" borderId="0" xfId="18" applyFont="1" applyFill="1" applyAlignment="1" applyProtection="1">
      <alignment horizontal="right" vertical="center"/>
    </xf>
    <xf numFmtId="0" fontId="47" fillId="8" borderId="0" xfId="18" applyFont="1" applyFill="1" applyAlignment="1" applyProtection="1">
      <alignment horizontal="left"/>
    </xf>
    <xf numFmtId="0" fontId="41" fillId="10" borderId="0" xfId="18" applyFont="1" applyFill="1" applyAlignment="1" applyProtection="1">
      <alignment horizontal="center" vertical="center"/>
    </xf>
    <xf numFmtId="0" fontId="41" fillId="9" borderId="0" xfId="18" applyFont="1" applyFill="1" applyAlignment="1" applyProtection="1">
      <alignment horizontal="center" vertical="center" wrapText="1"/>
    </xf>
    <xf numFmtId="0" fontId="10" fillId="9" borderId="0" xfId="18" applyFill="1" applyAlignment="1" applyProtection="1">
      <alignment horizontal="right" vertical="center"/>
    </xf>
    <xf numFmtId="167" fontId="25" fillId="11" borderId="2" xfId="0" applyNumberFormat="1" applyFont="1" applyFill="1" applyBorder="1" applyAlignment="1" applyProtection="1">
      <alignment horizontal="right" vertical="center" indent="1"/>
      <protection locked="0"/>
    </xf>
    <xf numFmtId="167" fontId="25" fillId="11" borderId="3" xfId="0" applyNumberFormat="1" applyFont="1" applyFill="1" applyBorder="1" applyAlignment="1" applyProtection="1">
      <alignment horizontal="right" vertical="center" indent="1"/>
      <protection locked="0"/>
    </xf>
    <xf numFmtId="167" fontId="25" fillId="11" borderId="4" xfId="0" applyNumberFormat="1" applyFont="1" applyFill="1" applyBorder="1" applyAlignment="1" applyProtection="1">
      <alignment horizontal="right" vertical="center" indent="1"/>
      <protection locked="0"/>
    </xf>
    <xf numFmtId="0" fontId="24" fillId="8" borderId="0" xfId="18" applyFont="1" applyFill="1" applyAlignment="1" applyProtection="1">
      <alignment horizontal="left"/>
    </xf>
    <xf numFmtId="0" fontId="10" fillId="10" borderId="0" xfId="18" applyFill="1" applyAlignment="1" applyProtection="1">
      <alignment horizontal="center" vertical="center"/>
    </xf>
    <xf numFmtId="0" fontId="10" fillId="9" borderId="0" xfId="18" applyFill="1" applyAlignment="1" applyProtection="1">
      <alignment horizontal="center" vertical="center" wrapText="1"/>
    </xf>
    <xf numFmtId="0" fontId="25" fillId="8" borderId="0" xfId="0" applyFont="1" applyFill="1" applyAlignment="1">
      <alignment horizontal="left" wrapText="1"/>
    </xf>
    <xf numFmtId="10" fontId="25" fillId="11" borderId="2" xfId="1" applyNumberFormat="1" applyFont="1" applyFill="1" applyBorder="1" applyAlignment="1" applyProtection="1">
      <alignment horizontal="center" vertical="center"/>
      <protection locked="0"/>
    </xf>
    <xf numFmtId="10" fontId="25" fillId="11" borderId="4" xfId="1" applyNumberFormat="1" applyFont="1" applyFill="1" applyBorder="1" applyAlignment="1" applyProtection="1">
      <alignment horizontal="center" vertical="center"/>
      <protection locked="0"/>
    </xf>
    <xf numFmtId="173" fontId="25" fillId="11" borderId="2" xfId="1" applyNumberFormat="1" applyFont="1" applyFill="1" applyBorder="1" applyAlignment="1" applyProtection="1">
      <alignment horizontal="center" vertical="center"/>
      <protection locked="0"/>
    </xf>
    <xf numFmtId="173" fontId="25" fillId="11" borderId="4" xfId="1" applyNumberFormat="1" applyFont="1" applyFill="1" applyBorder="1" applyAlignment="1" applyProtection="1">
      <alignment horizontal="center" vertical="center"/>
      <protection locked="0"/>
    </xf>
    <xf numFmtId="49" fontId="25" fillId="11" borderId="2" xfId="1" applyNumberFormat="1" applyFont="1" applyFill="1" applyBorder="1" applyAlignment="1" applyProtection="1">
      <alignment horizontal="center" vertical="center"/>
      <protection locked="0"/>
    </xf>
    <xf numFmtId="49" fontId="25" fillId="11" borderId="4" xfId="1" applyNumberFormat="1" applyFont="1" applyFill="1" applyBorder="1" applyAlignment="1" applyProtection="1">
      <alignment horizontal="center" vertical="center"/>
      <protection locked="0"/>
    </xf>
    <xf numFmtId="0" fontId="25" fillId="3" borderId="28" xfId="0" applyFont="1" applyFill="1" applyBorder="1" applyAlignment="1">
      <alignment horizontal="center" vertical="center"/>
    </xf>
    <xf numFmtId="0" fontId="25" fillId="3" borderId="30" xfId="0" applyFont="1" applyFill="1" applyBorder="1" applyAlignment="1">
      <alignment horizontal="center" vertical="center"/>
    </xf>
    <xf numFmtId="0" fontId="11" fillId="9" borderId="28" xfId="0" applyFont="1" applyFill="1" applyBorder="1" applyAlignment="1">
      <alignment horizontal="left"/>
    </xf>
    <xf numFmtId="0" fontId="11" fillId="9" borderId="30" xfId="0" applyFont="1" applyFill="1" applyBorder="1" applyAlignment="1">
      <alignment horizontal="left"/>
    </xf>
    <xf numFmtId="0" fontId="25" fillId="3" borderId="29" xfId="0" applyFont="1" applyFill="1" applyBorder="1" applyAlignment="1">
      <alignment horizontal="center" vertical="center"/>
    </xf>
    <xf numFmtId="0" fontId="11" fillId="9" borderId="31" xfId="0" applyFont="1" applyFill="1" applyBorder="1" applyAlignment="1">
      <alignment horizontal="left"/>
    </xf>
    <xf numFmtId="0" fontId="11" fillId="9" borderId="32" xfId="0" applyFont="1" applyFill="1" applyBorder="1" applyAlignment="1">
      <alignment horizontal="left"/>
    </xf>
    <xf numFmtId="0" fontId="11" fillId="9" borderId="33" xfId="0" applyFont="1" applyFill="1" applyBorder="1" applyAlignment="1">
      <alignment horizontal="left"/>
    </xf>
    <xf numFmtId="167" fontId="2" fillId="0" borderId="45" xfId="1" applyNumberFormat="1" applyFont="1" applyFill="1" applyBorder="1" applyAlignment="1" applyProtection="1">
      <alignment horizontal="center"/>
    </xf>
    <xf numFmtId="167" fontId="2" fillId="0" borderId="36" xfId="1" applyNumberFormat="1" applyFont="1" applyFill="1" applyBorder="1" applyAlignment="1" applyProtection="1">
      <alignment horizontal="center"/>
    </xf>
    <xf numFmtId="0" fontId="2" fillId="0" borderId="43" xfId="0" applyFont="1" applyBorder="1"/>
    <xf numFmtId="0" fontId="2" fillId="0" borderId="44" xfId="0" applyFont="1" applyBorder="1"/>
    <xf numFmtId="0" fontId="2" fillId="3" borderId="35" xfId="0" applyFont="1" applyFill="1" applyBorder="1" applyAlignment="1">
      <alignment horizontal="center"/>
    </xf>
    <xf numFmtId="0" fontId="2" fillId="3" borderId="36" xfId="0" applyFont="1" applyFill="1" applyBorder="1" applyAlignment="1">
      <alignment horizontal="center"/>
    </xf>
    <xf numFmtId="0" fontId="2" fillId="0" borderId="46" xfId="0" applyFont="1" applyBorder="1"/>
    <xf numFmtId="0" fontId="2" fillId="0" borderId="4" xfId="0" applyFont="1" applyBorder="1"/>
    <xf numFmtId="167" fontId="2" fillId="0" borderId="2" xfId="0" applyNumberFormat="1" applyFont="1" applyBorder="1" applyAlignment="1">
      <alignment horizontal="center"/>
    </xf>
    <xf numFmtId="167" fontId="2" fillId="0" borderId="38" xfId="0" applyNumberFormat="1" applyFont="1" applyBorder="1" applyAlignment="1">
      <alignment horizontal="center"/>
    </xf>
    <xf numFmtId="0" fontId="2" fillId="0" borderId="46" xfId="0" applyFont="1" applyBorder="1" applyAlignment="1">
      <alignment horizontal="left" indent="1"/>
    </xf>
    <xf numFmtId="0" fontId="2" fillId="0" borderId="4" xfId="0" applyFont="1" applyBorder="1" applyAlignment="1">
      <alignment horizontal="left" indent="1"/>
    </xf>
    <xf numFmtId="0" fontId="2" fillId="0" borderId="31" xfId="0" applyFont="1" applyBorder="1" applyAlignment="1">
      <alignment horizontal="left"/>
    </xf>
    <xf numFmtId="0" fontId="2" fillId="0" borderId="32" xfId="0" applyFont="1" applyBorder="1" applyAlignment="1">
      <alignment horizontal="left"/>
    </xf>
    <xf numFmtId="0" fontId="2" fillId="0" borderId="48" xfId="0" applyFont="1" applyBorder="1"/>
    <xf numFmtId="0" fontId="2" fillId="0" borderId="40" xfId="0" applyFont="1" applyBorder="1"/>
    <xf numFmtId="0" fontId="15" fillId="9" borderId="31" xfId="0" applyFont="1" applyFill="1" applyBorder="1" applyAlignment="1">
      <alignment horizontal="center"/>
    </xf>
    <xf numFmtId="0" fontId="15" fillId="9" borderId="33" xfId="0" applyFont="1" applyFill="1" applyBorder="1" applyAlignment="1">
      <alignment horizontal="center"/>
    </xf>
    <xf numFmtId="14" fontId="13" fillId="3" borderId="0" xfId="0" applyNumberFormat="1" applyFont="1" applyFill="1" applyAlignment="1">
      <alignment horizontal="right"/>
    </xf>
    <xf numFmtId="0" fontId="10" fillId="9" borderId="0" xfId="18" applyFill="1" applyAlignment="1">
      <alignment horizontal="center" vertical="center"/>
    </xf>
    <xf numFmtId="0" fontId="10" fillId="10" borderId="0" xfId="18" applyFill="1" applyAlignment="1">
      <alignment horizontal="center" vertical="center"/>
    </xf>
    <xf numFmtId="0" fontId="10" fillId="9" borderId="0" xfId="18" applyFill="1" applyBorder="1" applyAlignment="1">
      <alignment horizontal="center" vertical="center"/>
    </xf>
    <xf numFmtId="0" fontId="29" fillId="8" borderId="0" xfId="18" quotePrefix="1" applyFont="1" applyFill="1" applyAlignment="1">
      <alignment vertical="top" wrapText="1"/>
    </xf>
    <xf numFmtId="0" fontId="29" fillId="8" borderId="0" xfId="18" applyFont="1" applyFill="1" applyAlignment="1">
      <alignment vertical="top" wrapText="1"/>
    </xf>
    <xf numFmtId="0" fontId="12" fillId="8" borderId="0" xfId="0" applyFont="1" applyFill="1" applyAlignment="1">
      <alignment horizontal="left" vertical="top" wrapText="1"/>
    </xf>
    <xf numFmtId="0" fontId="9" fillId="9" borderId="28" xfId="0" applyFont="1" applyFill="1" applyBorder="1" applyAlignment="1">
      <alignment horizontal="center" vertical="center"/>
    </xf>
    <xf numFmtId="0" fontId="9" fillId="9" borderId="29" xfId="0" applyFont="1" applyFill="1" applyBorder="1" applyAlignment="1">
      <alignment horizontal="center" vertical="center"/>
    </xf>
    <xf numFmtId="0" fontId="9" fillId="9" borderId="30" xfId="0" applyFont="1" applyFill="1" applyBorder="1" applyAlignment="1">
      <alignment horizontal="center" vertical="center"/>
    </xf>
    <xf numFmtId="0" fontId="2" fillId="0" borderId="64" xfId="0" applyFont="1" applyBorder="1"/>
    <xf numFmtId="0" fontId="2" fillId="0" borderId="75" xfId="0" applyFont="1" applyBorder="1"/>
    <xf numFmtId="0" fontId="10" fillId="10" borderId="0" xfId="0" applyFont="1" applyFill="1" applyAlignment="1">
      <alignment horizontal="center" vertical="center"/>
    </xf>
    <xf numFmtId="0" fontId="2" fillId="0" borderId="46" xfId="0" quotePrefix="1" applyFont="1" applyBorder="1" applyAlignment="1">
      <alignment horizontal="right"/>
    </xf>
    <xf numFmtId="0" fontId="2" fillId="0" borderId="4" xfId="0" quotePrefix="1" applyFont="1" applyBorder="1" applyAlignment="1">
      <alignment horizontal="right"/>
    </xf>
    <xf numFmtId="0" fontId="2" fillId="0" borderId="48" xfId="0" quotePrefix="1" applyFont="1" applyBorder="1"/>
    <xf numFmtId="0" fontId="2" fillId="0" borderId="40" xfId="0" quotePrefix="1" applyFont="1" applyBorder="1"/>
    <xf numFmtId="0" fontId="2" fillId="0" borderId="46" xfId="0" quotePrefix="1" applyFont="1" applyBorder="1"/>
    <xf numFmtId="0" fontId="2" fillId="0" borderId="4" xfId="0" quotePrefix="1" applyFont="1" applyBorder="1"/>
    <xf numFmtId="0" fontId="2" fillId="0" borderId="50" xfId="0" applyFont="1" applyBorder="1"/>
    <xf numFmtId="0" fontId="2" fillId="0" borderId="74" xfId="0" applyFont="1" applyBorder="1"/>
    <xf numFmtId="0" fontId="2" fillId="0" borderId="50" xfId="0" quotePrefix="1" applyFont="1" applyBorder="1"/>
    <xf numFmtId="0" fontId="2" fillId="0" borderId="74" xfId="0" quotePrefix="1" applyFont="1" applyBorder="1"/>
    <xf numFmtId="0" fontId="2" fillId="0" borderId="46" xfId="0" applyFont="1" applyBorder="1" applyAlignment="1">
      <alignment horizontal="right"/>
    </xf>
    <xf numFmtId="0" fontId="2" fillId="0" borderId="4" xfId="0" applyFont="1" applyBorder="1" applyAlignment="1">
      <alignment horizontal="right"/>
    </xf>
    <xf numFmtId="0" fontId="0" fillId="8" borderId="46" xfId="0" applyFill="1" applyBorder="1"/>
    <xf numFmtId="0" fontId="0" fillId="8" borderId="3" xfId="0" applyFill="1" applyBorder="1"/>
    <xf numFmtId="0" fontId="18" fillId="8" borderId="0" xfId="0" applyFont="1" applyFill="1" applyAlignment="1">
      <alignment horizontal="center" vertical="center"/>
    </xf>
    <xf numFmtId="0" fontId="10" fillId="9" borderId="0" xfId="18" applyFill="1" applyAlignment="1">
      <alignment horizontal="left" vertical="center"/>
    </xf>
    <xf numFmtId="0" fontId="11" fillId="9" borderId="43" xfId="0" applyFont="1" applyFill="1" applyBorder="1" applyAlignment="1">
      <alignment horizontal="center" vertical="center"/>
    </xf>
    <xf numFmtId="0" fontId="11" fillId="9" borderId="61" xfId="0" applyFont="1" applyFill="1" applyBorder="1" applyAlignment="1">
      <alignment horizontal="center" vertical="center"/>
    </xf>
    <xf numFmtId="0" fontId="18" fillId="0" borderId="0" xfId="0" applyFont="1" applyAlignment="1" applyProtection="1">
      <alignment horizontal="center"/>
      <protection locked="0"/>
    </xf>
    <xf numFmtId="0" fontId="10" fillId="9" borderId="0" xfId="18" applyFill="1" applyAlignment="1" applyProtection="1">
      <alignment horizontal="left" vertical="center"/>
    </xf>
    <xf numFmtId="0" fontId="2" fillId="0" borderId="0" xfId="0" applyFont="1" applyAlignment="1">
      <alignment horizontal="center"/>
    </xf>
    <xf numFmtId="0" fontId="40" fillId="0" borderId="0" xfId="0" applyFont="1" applyAlignment="1">
      <alignment horizontal="center" vertical="center"/>
    </xf>
    <xf numFmtId="167" fontId="2" fillId="0" borderId="82" xfId="0" applyNumberFormat="1" applyFont="1" applyBorder="1" applyAlignment="1">
      <alignment horizontal="center" wrapText="1"/>
    </xf>
    <xf numFmtId="167" fontId="2" fillId="0" borderId="7" xfId="0" applyNumberFormat="1" applyFont="1" applyBorder="1" applyAlignment="1">
      <alignment horizont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67" fontId="2" fillId="0" borderId="3" xfId="0" applyNumberFormat="1" applyFont="1" applyBorder="1" applyAlignment="1">
      <alignment horizontal="center"/>
    </xf>
    <xf numFmtId="0" fontId="11" fillId="9" borderId="77" xfId="0" applyFont="1" applyFill="1" applyBorder="1" applyAlignment="1">
      <alignment horizontal="center" vertical="center"/>
    </xf>
    <xf numFmtId="0" fontId="11" fillId="9" borderId="5" xfId="0" applyFont="1" applyFill="1" applyBorder="1" applyAlignment="1">
      <alignment horizontal="center" vertical="center"/>
    </xf>
  </cellXfs>
  <cellStyles count="20">
    <cellStyle name="Currency 2" xfId="17" xr:uid="{00000000-0005-0000-0000-000000000000}"/>
    <cellStyle name="Euro" xfId="5" xr:uid="{00000000-0005-0000-0000-000001000000}"/>
    <cellStyle name="Hyperlink" xfId="18" builtinId="8" customBuiltin="1"/>
    <cellStyle name="Hyperlink 2" xfId="19" xr:uid="{00000000-0005-0000-0000-000003000000}"/>
    <cellStyle name="Komma 2" xfId="6" xr:uid="{00000000-0005-0000-0000-000004000000}"/>
    <cellStyle name="Komma 2 2" xfId="4" xr:uid="{00000000-0005-0000-0000-000005000000}"/>
    <cellStyle name="Normal" xfId="0" builtinId="0"/>
    <cellStyle name="Normal 2" xfId="16" xr:uid="{00000000-0005-0000-0000-000007000000}"/>
    <cellStyle name="Perc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10">
    <dxf>
      <fill>
        <patternFill patternType="solid">
          <bgColor theme="0"/>
        </patternFill>
      </fill>
      <border>
        <left style="thin">
          <color theme="4"/>
        </left>
        <right style="thin">
          <color theme="4"/>
        </right>
        <top style="thin">
          <color theme="4"/>
        </top>
        <bottom style="thin">
          <color theme="4"/>
        </bottom>
      </border>
    </dxf>
    <dxf>
      <fill>
        <patternFill patternType="solid">
          <bgColor theme="0"/>
        </patternFill>
      </fill>
      <border>
        <left style="thin">
          <color theme="4"/>
        </left>
        <right style="thin">
          <color theme="4"/>
        </right>
        <top style="thin">
          <color theme="4"/>
        </top>
        <bottom style="thin">
          <color theme="4"/>
        </bottom>
      </border>
    </dxf>
    <dxf>
      <fill>
        <patternFill patternType="solid">
          <bgColor theme="0"/>
        </patternFill>
      </fill>
      <border>
        <left style="thin">
          <color theme="4"/>
        </left>
        <right style="thin">
          <color theme="4"/>
        </right>
        <top style="thin">
          <color theme="4"/>
        </top>
        <bottom style="thin">
          <color theme="4"/>
        </bottom>
      </border>
    </dxf>
    <dxf>
      <fill>
        <patternFill patternType="solid">
          <bgColor theme="0"/>
        </patternFill>
      </fill>
      <border>
        <left style="thin">
          <color theme="4"/>
        </left>
        <right style="thin">
          <color theme="4"/>
        </right>
        <top style="thin">
          <color theme="4"/>
        </top>
        <bottom style="thin">
          <color theme="4"/>
        </bottom>
      </border>
    </dxf>
    <dxf>
      <fill>
        <patternFill patternType="solid">
          <bgColor theme="0"/>
        </patternFill>
      </fill>
      <border>
        <left style="thin">
          <color theme="4"/>
        </left>
        <right style="thin">
          <color theme="4"/>
        </right>
        <top style="thin">
          <color theme="4"/>
        </top>
        <bottom style="thin">
          <color theme="4"/>
        </bottom>
      </border>
    </dxf>
    <dxf>
      <fill>
        <patternFill patternType="solid">
          <bgColor theme="0"/>
        </patternFill>
      </fill>
      <border>
        <left style="thin">
          <color theme="4"/>
        </left>
        <right style="thin">
          <color theme="4"/>
        </right>
        <top style="thin">
          <color theme="4"/>
        </top>
        <bottom style="thin">
          <color theme="4"/>
        </bottom>
      </border>
    </dxf>
    <dxf>
      <font>
        <color theme="3"/>
      </font>
      <fill>
        <patternFill>
          <bgColor theme="3"/>
        </patternFill>
      </fill>
    </dxf>
    <dxf>
      <fill>
        <patternFill>
          <bgColor rgb="FFFFFF00"/>
        </patternFill>
      </fill>
    </dxf>
    <dxf>
      <fill>
        <patternFill>
          <bgColor theme="7"/>
        </patternFill>
      </fill>
    </dxf>
    <dxf>
      <fill>
        <patternFill>
          <bgColor theme="4"/>
        </patternFill>
      </fill>
    </dxf>
  </dxfs>
  <tableStyles count="0" defaultTableStyle="TableStyleMedium2" defaultPivotStyle="PivotStyleMedium9"/>
  <colors>
    <mruColors>
      <color rgb="FFFBFFFD"/>
      <color rgb="FF009900"/>
      <color rgb="FFE5FFE5"/>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0D1F-4DB7-8E31-BDAB17185E5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0D1F-4DB7-8E31-BDAB17185E5D}"/>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0D1F-4DB7-8E31-BDAB17185E5D}"/>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0D1F-4DB7-8E31-BDAB17185E5D}"/>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0D1F-4DB7-8E31-BDAB17185E5D}"/>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0D1F-4DB7-8E31-BDAB17185E5D}"/>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0B31-4707-8D56-4D831010E6E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0B31-4707-8D56-4D831010E6E3}"/>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0B31-4707-8D56-4D831010E6E3}"/>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0B31-4707-8D56-4D831010E6E3}"/>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0B31-4707-8D56-4D831010E6E3}"/>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0B31-4707-8D56-4D831010E6E3}"/>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5-EDE4-4361-94CA-BC8EBB977F2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4-EDE4-4361-94CA-BC8EBB977F2A}"/>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0-EDE4-4361-94CA-BC8EBB977F2A}"/>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1-EDE4-4361-94CA-BC8EBB977F2A}"/>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2-EDE4-4361-94CA-BC8EBB977F2A}"/>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3-EDE4-4361-94CA-BC8EBB977F2A}"/>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28D7-4E48-9A36-13D73C921D3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28D7-4E48-9A36-13D73C921D3B}"/>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28D7-4E48-9A36-13D73C921D3B}"/>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28D7-4E48-9A36-13D73C921D3B}"/>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28D7-4E48-9A36-13D73C921D3B}"/>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28D7-4E48-9A36-13D73C921D3B}"/>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5E33-44FA-B9A4-A3541DD4D99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5E33-44FA-B9A4-A3541DD4D999}"/>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5E33-44FA-B9A4-A3541DD4D999}"/>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5E33-44FA-B9A4-A3541DD4D999}"/>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5E33-44FA-B9A4-A3541DD4D999}"/>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5E33-44FA-B9A4-A3541DD4D999}"/>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C322-4243-81D7-CCF932441F8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C322-4243-81D7-CCF932441F8A}"/>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C322-4243-81D7-CCF932441F8A}"/>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C322-4243-81D7-CCF932441F8A}"/>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C322-4243-81D7-CCF932441F8A}"/>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C322-4243-81D7-CCF932441F8A}"/>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87EA-4BCF-8AE6-BE90BFCE85A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87EA-4BCF-8AE6-BE90BFCE85AB}"/>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87EA-4BCF-8AE6-BE90BFCE85AB}"/>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87EA-4BCF-8AE6-BE90BFCE85AB}"/>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87EA-4BCF-8AE6-BE90BFCE85AB}"/>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87EA-4BCF-8AE6-BE90BFCE85AB}"/>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0D04-4827-BFA7-C5C1211C3A6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0D04-4827-BFA7-C5C1211C3A6B}"/>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0D04-4827-BFA7-C5C1211C3A6B}"/>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0D04-4827-BFA7-C5C1211C3A6B}"/>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0D04-4827-BFA7-C5C1211C3A6B}"/>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0D04-4827-BFA7-C5C1211C3A6B}"/>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4935-4BE1-A18C-D567A3B56D3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4935-4BE1-A18C-D567A3B56D34}"/>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4935-4BE1-A18C-D567A3B56D34}"/>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4935-4BE1-A18C-D567A3B56D34}"/>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4935-4BE1-A18C-D567A3B56D34}"/>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4935-4BE1-A18C-D567A3B56D34}"/>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72DF-4BB5-84F2-31DF93C380F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72DF-4BB5-84F2-31DF93C380F8}"/>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72DF-4BB5-84F2-31DF93C380F8}"/>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72DF-4BB5-84F2-31DF93C380F8}"/>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72DF-4BB5-84F2-31DF93C380F8}"/>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72DF-4BB5-84F2-31DF93C380F8}"/>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48D3-429F-BA4E-AEB8494EB32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48D3-429F-BA4E-AEB8494EB323}"/>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48D3-429F-BA4E-AEB8494EB323}"/>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48D3-429F-BA4E-AEB8494EB323}"/>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48D3-429F-BA4E-AEB8494EB323}"/>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48D3-429F-BA4E-AEB8494EB323}"/>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98DD-479E-80BB-E5DBB856851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98DD-479E-80BB-E5DBB8568510}"/>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98DD-479E-80BB-E5DBB8568510}"/>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98DD-479E-80BB-E5DBB8568510}"/>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98DD-479E-80BB-E5DBB8568510}"/>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98DD-479E-80BB-E5DBB8568510}"/>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6A9F-4DFE-8ACD-9944F8CE5B6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6A9F-4DFE-8ACD-9944F8CE5B62}"/>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6A9F-4DFE-8ACD-9944F8CE5B62}"/>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6A9F-4DFE-8ACD-9944F8CE5B62}"/>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6A9F-4DFE-8ACD-9944F8CE5B62}"/>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6A9F-4DFE-8ACD-9944F8CE5B62}"/>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320C-416F-B951-5D9098406D6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320C-416F-B951-5D9098406D67}"/>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320C-416F-B951-5D9098406D67}"/>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320C-416F-B951-5D9098406D67}"/>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320C-416F-B951-5D9098406D67}"/>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320C-416F-B951-5D9098406D67}"/>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95EC-4ABC-A905-69319F305D2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95EC-4ABC-A905-69319F305D26}"/>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95EC-4ABC-A905-69319F305D26}"/>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95EC-4ABC-A905-69319F305D26}"/>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95EC-4ABC-A905-69319F305D26}"/>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95EC-4ABC-A905-69319F305D26}"/>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D8B9-47FA-856A-133AD423C05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D8B9-47FA-856A-133AD423C05E}"/>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D8B9-47FA-856A-133AD423C05E}"/>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D8B9-47FA-856A-133AD423C05E}"/>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D8B9-47FA-856A-133AD423C05E}"/>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D8B9-47FA-856A-133AD423C05E}"/>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95923223880154E-2"/>
          <c:y val="0.17892865664519203"/>
          <c:w val="0.59756589646284552"/>
          <c:h val="0.68029945120496305"/>
        </c:manualLayout>
      </c:layout>
      <c:barChart>
        <c:barDir val="bar"/>
        <c:grouping val="stacked"/>
        <c:varyColors val="0"/>
        <c:ser>
          <c:idx val="0"/>
          <c:order val="0"/>
          <c:tx>
            <c:v>Miete</c:v>
          </c:tx>
          <c:spPr>
            <a:solidFill>
              <a:schemeClr val="accent1"/>
            </a:solidFill>
            <a:ln>
              <a:noFill/>
            </a:ln>
            <a:effectLst/>
          </c:spPr>
          <c:invertIfNegative val="0"/>
          <c:dLbls>
            <c:dLbl>
              <c:idx val="0"/>
              <c:numFmt formatCode="#,##0\ &quo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Unit"/>
                      <a:ea typeface="+mn-ea"/>
                      <a:cs typeface="+mn-cs"/>
                    </a:defRPr>
                  </a:pPr>
                  <a:endParaRPr lang="de-DE"/>
                </a:p>
              </c:txPr>
              <c:showLegendKey val="0"/>
              <c:showVal val="1"/>
              <c:showCatName val="0"/>
              <c:showSerName val="0"/>
              <c:showPercent val="0"/>
              <c:showBubbleSize val="0"/>
              <c:extLst>
                <c:ext xmlns:c16="http://schemas.microsoft.com/office/drawing/2014/chart" uri="{C3380CC4-5D6E-409C-BE32-E72D297353CC}">
                  <c16:uniqueId val="{00000000-CF97-4AD1-A8A6-90596A9B0EF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Uni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Diagramme!$M$9:$N$9</c:f>
              <c:strCache>
                <c:ptCount val="2"/>
                <c:pt idx="0">
                  <c:v>Einnahmen</c:v>
                </c:pt>
                <c:pt idx="1">
                  <c:v>Ausgaben</c:v>
                </c:pt>
              </c:strCache>
            </c:strRef>
          </c:cat>
          <c:val>
            <c:numRef>
              <c:f>Diagramme!$M$11:$N$11</c:f>
              <c:numCache>
                <c:formatCode>General</c:formatCode>
                <c:ptCount val="2"/>
                <c:pt idx="0">
                  <c:v>0</c:v>
                </c:pt>
              </c:numCache>
            </c:numRef>
          </c:val>
          <c:extLst>
            <c:ext xmlns:c16="http://schemas.microsoft.com/office/drawing/2014/chart" uri="{C3380CC4-5D6E-409C-BE32-E72D297353CC}">
              <c16:uniqueId val="{00000001-CF97-4AD1-A8A6-90596A9B0EF0}"/>
            </c:ext>
          </c:extLst>
        </c:ser>
        <c:ser>
          <c:idx val="1"/>
          <c:order val="1"/>
          <c:tx>
            <c:v>Kosten</c:v>
          </c:tx>
          <c:spPr>
            <a:solidFill>
              <a:schemeClr val="tx2"/>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0</c:v>
                </c:pt>
              </c:numCache>
            </c:numRef>
          </c:val>
          <c:extLst>
            <c:ext xmlns:c16="http://schemas.microsoft.com/office/drawing/2014/chart" uri="{C3380CC4-5D6E-409C-BE32-E72D297353CC}">
              <c16:uniqueId val="{00000002-CF97-4AD1-A8A6-90596A9B0EF0}"/>
            </c:ext>
          </c:extLst>
        </c:ser>
        <c:ser>
          <c:idx val="5"/>
          <c:order val="2"/>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3-CF97-4AD1-A8A6-90596A9B0EF0}"/>
            </c:ext>
          </c:extLst>
        </c:ser>
        <c:ser>
          <c:idx val="4"/>
          <c:order val="3"/>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4-CF97-4AD1-A8A6-90596A9B0EF0}"/>
            </c:ext>
          </c:extLst>
        </c:ser>
        <c:ser>
          <c:idx val="3"/>
          <c:order val="4"/>
          <c:tx>
            <c:strRef>
              <c:f>Diagramme!$L$15</c:f>
              <c:strCache>
                <c:ptCount val="1"/>
                <c:pt idx="0">
                  <c:v>Tilgung</c:v>
                </c:pt>
              </c:strCache>
            </c:strRef>
          </c:tx>
          <c:spPr>
            <a:solidFill>
              <a:schemeClr val="bg1"/>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5-CF97-4AD1-A8A6-90596A9B0EF0}"/>
            </c:ext>
          </c:extLst>
        </c:ser>
        <c:dLbls>
          <c:showLegendKey val="0"/>
          <c:showVal val="0"/>
          <c:showCatName val="0"/>
          <c:showSerName val="0"/>
          <c:showPercent val="0"/>
          <c:showBubbleSize val="0"/>
        </c:dLbls>
        <c:gapWidth val="50"/>
        <c:overlap val="100"/>
        <c:axId val="190957440"/>
        <c:axId val="190958976"/>
      </c:barChart>
      <c:catAx>
        <c:axId val="190957440"/>
        <c:scaling>
          <c:orientation val="maxMin"/>
        </c:scaling>
        <c:delete val="0"/>
        <c:axPos val="l"/>
        <c:numFmt formatCode="General" sourceLinked="0"/>
        <c:majorTickMark val="none"/>
        <c:minorTickMark val="none"/>
        <c:tickLblPos val="none"/>
        <c:spPr>
          <a:noFill/>
          <a:ln w="6350" cap="sq" cmpd="sng" algn="ctr">
            <a:solidFill>
              <a:schemeClr val="bg1">
                <a:lumMod val="75000"/>
              </a:schemeClr>
            </a:solidFill>
            <a:prstDash val="solid"/>
            <a:bevel/>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8976"/>
        <c:crosses val="autoZero"/>
        <c:auto val="1"/>
        <c:lblAlgn val="ctr"/>
        <c:lblOffset val="200"/>
        <c:noMultiLvlLbl val="0"/>
      </c:catAx>
      <c:valAx>
        <c:axId val="190958976"/>
        <c:scaling>
          <c:orientation val="minMax"/>
        </c:scaling>
        <c:delete val="0"/>
        <c:axPos val="t"/>
        <c:majorGridlines>
          <c:spPr>
            <a:ln w="6350" cap="flat" cmpd="sng" algn="ctr">
              <a:noFill/>
              <a:prstDash val="solid"/>
              <a:round/>
            </a:ln>
            <a:effectLst/>
          </c:spPr>
        </c:majorGridlines>
        <c:numFmt formatCode="#,##0\ &quot;€&quot;" sourceLinked="0"/>
        <c:majorTickMark val="none"/>
        <c:minorTickMark val="none"/>
        <c:tickLblPos val="none"/>
        <c:spPr>
          <a:noFill/>
          <a:ln w="6350" cap="flat" cmpd="sng" algn="ctr">
            <a:noFill/>
            <a:prstDash val="solid"/>
            <a:round/>
          </a:ln>
          <a:effectLst/>
        </c:spPr>
        <c:txPr>
          <a:bodyPr rot="-6000000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crossAx val="190957440"/>
        <c:crosses val="autoZero"/>
        <c:crossBetween val="between"/>
      </c:valAx>
      <c:spPr>
        <a:noFill/>
        <a:ln w="25400">
          <a:noFill/>
        </a:ln>
        <a:effectLst/>
      </c:spPr>
    </c:plotArea>
    <c:legend>
      <c:legendPos val="r"/>
      <c:layout>
        <c:manualLayout>
          <c:xMode val="edge"/>
          <c:yMode val="edge"/>
          <c:x val="0.59015822786488081"/>
          <c:y val="0.22670245764733954"/>
          <c:w val="0.37280475473646985"/>
          <c:h val="0.576896921975662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Unit"/>
              <a:ea typeface="+mn-ea"/>
              <a:cs typeface="+mn-cs"/>
            </a:defRPr>
          </a:pPr>
          <a:endParaRPr lang="de-DE"/>
        </a:p>
      </c:txPr>
    </c:legend>
    <c:plotVisOnly val="1"/>
    <c:dispBlanksAs val="gap"/>
    <c:showDLblsOverMax val="0"/>
  </c:chart>
  <c:spPr>
    <a:solidFill>
      <a:schemeClr val="tx2">
        <a:lumMod val="10000"/>
        <a:lumOff val="90000"/>
      </a:schemeClr>
    </a:solidFill>
    <a:ln w="19050" cap="flat" cmpd="sng" algn="ctr">
      <a:noFill/>
      <a:prstDash val="solid"/>
      <a:round/>
    </a:ln>
    <a:effectLst/>
  </c:spPr>
  <c:txPr>
    <a:bodyPr/>
    <a:lstStyle/>
    <a:p>
      <a:pPr>
        <a:defRPr sz="1050">
          <a:solidFill>
            <a:schemeClr val="tx2"/>
          </a:solidFill>
          <a:latin typeface="Unit"/>
        </a:defRPr>
      </a:pPr>
      <a:endParaRPr lang="de-DE"/>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#N/A</c:v>
                </c:pt>
                <c:pt idx="1">
                  <c:v>#N/A</c:v>
                </c:pt>
                <c:pt idx="2">
                  <c:v>0</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#,##0\ "€"</c:formatCode>
                <c:ptCount val="2"/>
                <c:pt idx="1">
                  <c:v>0</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#,##0\ "€"</c:formatCode>
                <c:ptCount val="2"/>
                <c:pt idx="1">
                  <c:v>0</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#,##0\ "€"</c:formatCode>
                <c:ptCount val="2"/>
                <c:pt idx="1">
                  <c:v>0</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#,##0\ "€"</c:formatCode>
                <c:ptCount val="2"/>
                <c:pt idx="0">
                  <c:v>0</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'Kennzahlen im Verlauf'!$D$28:$BA$28</c:f>
              <c:numCache>
                <c:formatCode>0</c:formatCode>
                <c:ptCount val="50"/>
                <c:pt idx="0" formatCode="General">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pt idx="38">
                  <c:v>2061</c:v>
                </c:pt>
                <c:pt idx="39">
                  <c:v>2062</c:v>
                </c:pt>
                <c:pt idx="40">
                  <c:v>2063</c:v>
                </c:pt>
                <c:pt idx="41">
                  <c:v>2064</c:v>
                </c:pt>
                <c:pt idx="42">
                  <c:v>2065</c:v>
                </c:pt>
                <c:pt idx="43">
                  <c:v>2066</c:v>
                </c:pt>
                <c:pt idx="44">
                  <c:v>2067</c:v>
                </c:pt>
                <c:pt idx="45">
                  <c:v>2068</c:v>
                </c:pt>
                <c:pt idx="46">
                  <c:v>2069</c:v>
                </c:pt>
                <c:pt idx="47">
                  <c:v>2070</c:v>
                </c:pt>
                <c:pt idx="48">
                  <c:v>2071</c:v>
                </c:pt>
                <c:pt idx="49">
                  <c:v>2072</c:v>
                </c:pt>
              </c:numCache>
            </c:numRef>
          </c:cat>
          <c:val>
            <c:numRef>
              <c:f>'Kennzahlen im Verlauf'!$D$32:$BA$32</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'Kennzahlen im Verlauf'!$D$28:$BA$28</c:f>
              <c:numCache>
                <c:formatCode>0</c:formatCode>
                <c:ptCount val="50"/>
                <c:pt idx="0" formatCode="General">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pt idx="38">
                  <c:v>2061</c:v>
                </c:pt>
                <c:pt idx="39">
                  <c:v>2062</c:v>
                </c:pt>
                <c:pt idx="40">
                  <c:v>2063</c:v>
                </c:pt>
                <c:pt idx="41">
                  <c:v>2064</c:v>
                </c:pt>
                <c:pt idx="42">
                  <c:v>2065</c:v>
                </c:pt>
                <c:pt idx="43">
                  <c:v>2066</c:v>
                </c:pt>
                <c:pt idx="44">
                  <c:v>2067</c:v>
                </c:pt>
                <c:pt idx="45">
                  <c:v>2068</c:v>
                </c:pt>
                <c:pt idx="46">
                  <c:v>2069</c:v>
                </c:pt>
                <c:pt idx="47">
                  <c:v>2070</c:v>
                </c:pt>
                <c:pt idx="48">
                  <c:v>2071</c:v>
                </c:pt>
                <c:pt idx="49">
                  <c:v>2072</c:v>
                </c:pt>
              </c:numCache>
            </c:numRef>
          </c:cat>
          <c:val>
            <c:numRef>
              <c:f>'Kennzahlen im Verlauf'!$D$65:$BA$65</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'Kennzahlen im Verlauf'!$D$62:$BA$62</c:f>
              <c:numCache>
                <c:formatCode>0</c:formatCode>
                <c:ptCount val="50"/>
                <c:pt idx="0" formatCode="General">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pt idx="38">
                  <c:v>2061</c:v>
                </c:pt>
                <c:pt idx="39">
                  <c:v>2062</c:v>
                </c:pt>
                <c:pt idx="40">
                  <c:v>2063</c:v>
                </c:pt>
                <c:pt idx="41">
                  <c:v>2064</c:v>
                </c:pt>
                <c:pt idx="42">
                  <c:v>2065</c:v>
                </c:pt>
                <c:pt idx="43">
                  <c:v>2066</c:v>
                </c:pt>
                <c:pt idx="44">
                  <c:v>2067</c:v>
                </c:pt>
                <c:pt idx="45">
                  <c:v>2068</c:v>
                </c:pt>
                <c:pt idx="46">
                  <c:v>2069</c:v>
                </c:pt>
                <c:pt idx="47">
                  <c:v>2070</c:v>
                </c:pt>
                <c:pt idx="48">
                  <c:v>2071</c:v>
                </c:pt>
                <c:pt idx="49">
                  <c:v>2072</c:v>
                </c:pt>
              </c:numCache>
            </c:numRef>
          </c:cat>
          <c:val>
            <c:numRef>
              <c:f>'Kennzahlen im Verlauf'!$D$68:$BA$68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'Kennzahlen im Verlauf'!$D$13:$BA$13</c:f>
              <c:numCache>
                <c:formatCode>0</c:formatCode>
                <c:ptCount val="50"/>
                <c:pt idx="0" formatCode="General">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pt idx="38">
                  <c:v>2061</c:v>
                </c:pt>
                <c:pt idx="39">
                  <c:v>2062</c:v>
                </c:pt>
                <c:pt idx="40">
                  <c:v>2063</c:v>
                </c:pt>
                <c:pt idx="41">
                  <c:v>2064</c:v>
                </c:pt>
                <c:pt idx="42">
                  <c:v>2065</c:v>
                </c:pt>
                <c:pt idx="43">
                  <c:v>2066</c:v>
                </c:pt>
                <c:pt idx="44">
                  <c:v>2067</c:v>
                </c:pt>
                <c:pt idx="45">
                  <c:v>2068</c:v>
                </c:pt>
                <c:pt idx="46">
                  <c:v>2069</c:v>
                </c:pt>
                <c:pt idx="47">
                  <c:v>2070</c:v>
                </c:pt>
                <c:pt idx="48">
                  <c:v>2071</c:v>
                </c:pt>
                <c:pt idx="49">
                  <c:v>2072</c:v>
                </c:pt>
              </c:numCache>
            </c:numRef>
          </c:cat>
          <c:val>
            <c:numRef>
              <c:f>'Kennzahlen im Verlauf'!$D$15:$BA$15</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'Kennzahlen im Verlauf'!$D$13:$BA$13</c:f>
              <c:numCache>
                <c:formatCode>0</c:formatCode>
                <c:ptCount val="50"/>
                <c:pt idx="0" formatCode="General">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pt idx="28">
                  <c:v>2051</c:v>
                </c:pt>
                <c:pt idx="29">
                  <c:v>2052</c:v>
                </c:pt>
                <c:pt idx="30">
                  <c:v>2053</c:v>
                </c:pt>
                <c:pt idx="31">
                  <c:v>2054</c:v>
                </c:pt>
                <c:pt idx="32">
                  <c:v>2055</c:v>
                </c:pt>
                <c:pt idx="33">
                  <c:v>2056</c:v>
                </c:pt>
                <c:pt idx="34">
                  <c:v>2057</c:v>
                </c:pt>
                <c:pt idx="35">
                  <c:v>2058</c:v>
                </c:pt>
                <c:pt idx="36">
                  <c:v>2059</c:v>
                </c:pt>
                <c:pt idx="37">
                  <c:v>2060</c:v>
                </c:pt>
                <c:pt idx="38">
                  <c:v>2061</c:v>
                </c:pt>
                <c:pt idx="39">
                  <c:v>2062</c:v>
                </c:pt>
                <c:pt idx="40">
                  <c:v>2063</c:v>
                </c:pt>
                <c:pt idx="41">
                  <c:v>2064</c:v>
                </c:pt>
                <c:pt idx="42">
                  <c:v>2065</c:v>
                </c:pt>
                <c:pt idx="43">
                  <c:v>2066</c:v>
                </c:pt>
                <c:pt idx="44">
                  <c:v>2067</c:v>
                </c:pt>
                <c:pt idx="45">
                  <c:v>2068</c:v>
                </c:pt>
                <c:pt idx="46">
                  <c:v>2069</c:v>
                </c:pt>
                <c:pt idx="47">
                  <c:v>2070</c:v>
                </c:pt>
                <c:pt idx="48">
                  <c:v>2071</c:v>
                </c:pt>
                <c:pt idx="49">
                  <c:v>2072</c:v>
                </c:pt>
              </c:numCache>
            </c:numRef>
          </c:cat>
          <c:val>
            <c:numRef>
              <c:f>'Kennzahlen im Verlauf'!$D$14:$BA$14</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de-DE"/>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spPr>
            <a:ln>
              <a:solidFill>
                <a:schemeClr val="tx2">
                  <a:lumMod val="90000"/>
                  <a:lumOff val="10000"/>
                </a:schemeClr>
              </a:solidFill>
            </a:ln>
          </c:spPr>
          <c:explosion val="15"/>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solidFill>
              <a:ln w="19050">
                <a:solidFill>
                  <a:schemeClr val="tx2">
                    <a:lumMod val="90000"/>
                    <a:lumOff val="10000"/>
                  </a:schemeClr>
                </a:solidFill>
              </a:ln>
              <a:effectLst>
                <a:innerShdw blurRad="114300">
                  <a:schemeClr val="accent2">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schemeClr>
              </a:solidFill>
              <a:ln w="19050">
                <a:solidFill>
                  <a:schemeClr val="tx2">
                    <a:lumMod val="50000"/>
                    <a:lumOff val="5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0E6B-44FB-8016-D60CA38A1E64}"/>
                </c:ext>
              </c:extLst>
            </c:dLbl>
            <c:spPr>
              <a:ln>
                <a:solidFill>
                  <a:schemeClr val="tx2"/>
                </a:solidFill>
              </a:ln>
              <a:effectLst>
                <a:outerShdw blurRad="50800" dist="38100" dir="2700000" algn="tl" rotWithShape="0">
                  <a:schemeClr val="tx2">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Lst>
          </c:dLbls>
          <c:cat>
            <c:strRef>
              <c:f>Diagramme!$C$10:$C$12</c:f>
              <c:strCache>
                <c:ptCount val="3"/>
                <c:pt idx="0">
                  <c:v>Kaufpreis</c:v>
                </c:pt>
                <c:pt idx="1">
                  <c:v>Nebenkosten</c:v>
                </c:pt>
                <c:pt idx="2">
                  <c:v>Anfängl. Invest.</c:v>
                </c:pt>
              </c:strCache>
            </c:strRef>
          </c:cat>
          <c:val>
            <c:numRef>
              <c:f>Diagramme!$D$10:$D$12</c:f>
              <c:numCache>
                <c:formatCode>#,##0\ "€"</c:formatCode>
                <c:ptCount val="3"/>
                <c:pt idx="0">
                  <c:v>0</c:v>
                </c:pt>
                <c:pt idx="1">
                  <c:v>#N/A</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solidFill>
              <a:ln w="19050">
                <a:solidFill>
                  <a:schemeClr val="tx2">
                    <a:lumMod val="90000"/>
                    <a:lumOff val="10000"/>
                  </a:schemeClr>
                </a:solidFill>
              </a:ln>
              <a:effectLst>
                <a:innerShdw blurRad="114300">
                  <a:schemeClr val="accent2">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schemeClr>
              </a:solidFill>
              <a:ln w="19050">
                <a:solidFill>
                  <a:schemeClr val="tx2">
                    <a:lumMod val="50000"/>
                    <a:lumOff val="5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F3DD-4548-9A17-DB7CEA3856BE}"/>
                </c:ext>
              </c:extLst>
            </c:dLbl>
            <c:spPr>
              <a:ln>
                <a:solidFill>
                  <a:schemeClr val="tx2"/>
                </a:solidFill>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1"/>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#,##0\ "€"</c:formatCode>
                <c:ptCount val="3"/>
                <c:pt idx="0">
                  <c:v>#N/A</c:v>
                </c:pt>
                <c:pt idx="1">
                  <c:v>#N/A</c:v>
                </c:pt>
                <c:pt idx="2">
                  <c:v>0</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Diagramme!$L$13</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0</c:v>
                </c:pt>
              </c:numCache>
            </c:numRef>
          </c:val>
          <c:extLst>
            <c:ext xmlns:c16="http://schemas.microsoft.com/office/drawing/2014/chart" uri="{C3380CC4-5D6E-409C-BE32-E72D297353CC}">
              <c16:uniqueId val="{00000007-D5E1-42F8-A469-89C362C3B0DF}"/>
            </c:ext>
          </c:extLst>
        </c:ser>
        <c:ser>
          <c:idx val="5"/>
          <c:order val="1"/>
          <c:tx>
            <c:strRef>
              <c:f>Diagramme!$L$14</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0</c:v>
                </c:pt>
              </c:numCache>
            </c:numRef>
          </c:val>
          <c:extLst>
            <c:ext xmlns:c16="http://schemas.microsoft.com/office/drawing/2014/chart" uri="{C3380CC4-5D6E-409C-BE32-E72D297353CC}">
              <c16:uniqueId val="{00000005-D5E1-42F8-A469-89C362C3B0DF}"/>
            </c:ext>
          </c:extLst>
        </c:ser>
        <c:ser>
          <c:idx val="4"/>
          <c:order val="2"/>
          <c:tx>
            <c:strRef>
              <c:f>Diagramme!$L$16</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Diagramme!$M$16:$N$16</c:f>
              <c:numCache>
                <c:formatCode>0</c:formatCode>
                <c:ptCount val="2"/>
                <c:pt idx="1">
                  <c:v>0</c:v>
                </c:pt>
              </c:numCache>
            </c:numRef>
          </c:val>
          <c:extLst>
            <c:ext xmlns:c16="http://schemas.microsoft.com/office/drawing/2014/chart" uri="{C3380CC4-5D6E-409C-BE32-E72D297353CC}">
              <c16:uniqueId val="{00000003-D5E1-42F8-A469-89C362C3B0DF}"/>
            </c:ext>
          </c:extLst>
        </c:ser>
        <c:ser>
          <c:idx val="3"/>
          <c:order val="3"/>
          <c:tx>
            <c:strRef>
              <c:f>Diagramme!$L$15</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Diagramme!$M$15:$N$15</c:f>
              <c:numCache>
                <c:formatCode>0</c:formatCode>
                <c:ptCount val="2"/>
                <c:pt idx="1">
                  <c:v>0</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Warmmiete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0</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tx1">
                  <a:tint val="75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7440"/>
        <c:crosses val="autoZero"/>
        <c:crossBetween val="between"/>
      </c:valAx>
      <c:spPr>
        <a:solidFill>
          <a:schemeClr val="bg1"/>
        </a:solidFill>
        <a:ln>
          <a:no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withinLinear" id="16">
  <a:schemeClr val="accent3"/>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9'!A1"/><Relationship Id="rId3" Type="http://schemas.openxmlformats.org/officeDocument/2006/relationships/hyperlink" Target="#'2'!A1"/><Relationship Id="rId7" Type="http://schemas.openxmlformats.org/officeDocument/2006/relationships/hyperlink" Target="#'8'!A1"/><Relationship Id="rId12" Type="http://schemas.openxmlformats.org/officeDocument/2006/relationships/hyperlink" Target="#'0'!A1"/><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hyperlink" Target="#'6'!A1"/><Relationship Id="rId11" Type="http://schemas.openxmlformats.org/officeDocument/2006/relationships/hyperlink" Target="#'Roter Faden'!A1"/><Relationship Id="rId5" Type="http://schemas.openxmlformats.org/officeDocument/2006/relationships/hyperlink" Target="#'4'!A1"/><Relationship Id="rId10" Type="http://schemas.openxmlformats.org/officeDocument/2006/relationships/hyperlink" Target="#'1'!A1"/><Relationship Id="rId4" Type="http://schemas.openxmlformats.org/officeDocument/2006/relationships/hyperlink" Target="#'3'!A1"/><Relationship Id="rId9" Type="http://schemas.openxmlformats.org/officeDocument/2006/relationships/hyperlink" Target="#'13'!A1"/></Relationships>
</file>

<file path=xl/drawings/_rels/drawing3.xml.rels><?xml version="1.0" encoding="UTF-8" standalone="yes"?>
<Relationships xmlns="http://schemas.openxmlformats.org/package/2006/relationships"><Relationship Id="rId8" Type="http://schemas.openxmlformats.org/officeDocument/2006/relationships/hyperlink" Target="#'9'!A1"/><Relationship Id="rId3" Type="http://schemas.openxmlformats.org/officeDocument/2006/relationships/hyperlink" Target="#'2'!A1"/><Relationship Id="rId7" Type="http://schemas.openxmlformats.org/officeDocument/2006/relationships/hyperlink" Target="#'8'!A1"/><Relationship Id="rId2" Type="http://schemas.openxmlformats.org/officeDocument/2006/relationships/chart" Target="../charts/chart2.xml"/><Relationship Id="rId1" Type="http://schemas.openxmlformats.org/officeDocument/2006/relationships/image" Target="../media/image2.png"/><Relationship Id="rId6" Type="http://schemas.openxmlformats.org/officeDocument/2006/relationships/hyperlink" Target="#'6'!A1"/><Relationship Id="rId11" Type="http://schemas.openxmlformats.org/officeDocument/2006/relationships/hyperlink" Target="#'Roter Faden'!A1"/><Relationship Id="rId5" Type="http://schemas.openxmlformats.org/officeDocument/2006/relationships/hyperlink" Target="#'4'!A1"/><Relationship Id="rId10" Type="http://schemas.openxmlformats.org/officeDocument/2006/relationships/hyperlink" Target="#'1'!A1"/><Relationship Id="rId4" Type="http://schemas.openxmlformats.org/officeDocument/2006/relationships/hyperlink" Target="#'3'!A1"/><Relationship Id="rId9" Type="http://schemas.openxmlformats.org/officeDocument/2006/relationships/hyperlink" Target="#'13'!A1"/></Relationships>
</file>

<file path=xl/drawings/_rels/drawing4.xml.rels><?xml version="1.0" encoding="UTF-8" standalone="yes"?>
<Relationships xmlns="http://schemas.openxmlformats.org/package/2006/relationships"><Relationship Id="rId8" Type="http://schemas.openxmlformats.org/officeDocument/2006/relationships/hyperlink" Target="#'6'!A1"/><Relationship Id="rId13" Type="http://schemas.openxmlformats.org/officeDocument/2006/relationships/hyperlink" Target="#'Roter Faden'!A1"/><Relationship Id="rId3" Type="http://schemas.openxmlformats.org/officeDocument/2006/relationships/image" Target="../media/image3.png"/><Relationship Id="rId7" Type="http://schemas.openxmlformats.org/officeDocument/2006/relationships/hyperlink" Target="#'4'!A1"/><Relationship Id="rId12" Type="http://schemas.openxmlformats.org/officeDocument/2006/relationships/hyperlink" Target="#'1'!A1"/><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hyperlink" Target="#'3'!A1"/><Relationship Id="rId11" Type="http://schemas.openxmlformats.org/officeDocument/2006/relationships/hyperlink" Target="#'13'!A1"/><Relationship Id="rId5" Type="http://schemas.openxmlformats.org/officeDocument/2006/relationships/hyperlink" Target="#'0'!A1"/><Relationship Id="rId10" Type="http://schemas.openxmlformats.org/officeDocument/2006/relationships/hyperlink" Target="#'9'!A1"/><Relationship Id="rId4" Type="http://schemas.openxmlformats.org/officeDocument/2006/relationships/hyperlink" Target="#'2'!A1"/><Relationship Id="rId9" Type="http://schemas.openxmlformats.org/officeDocument/2006/relationships/hyperlink" Target="#'8'!A1"/></Relationships>
</file>

<file path=xl/drawings/_rels/drawing5.xml.rels><?xml version="1.0" encoding="UTF-8" standalone="yes"?>
<Relationships xmlns="http://schemas.openxmlformats.org/package/2006/relationships"><Relationship Id="rId8" Type="http://schemas.openxmlformats.org/officeDocument/2006/relationships/hyperlink" Target="#'8'!A1"/><Relationship Id="rId3" Type="http://schemas.openxmlformats.org/officeDocument/2006/relationships/hyperlink" Target="#'3'!A1"/><Relationship Id="rId7" Type="http://schemas.openxmlformats.org/officeDocument/2006/relationships/hyperlink" Target="#'6'!A1"/><Relationship Id="rId2"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hyperlink" Target="#'4'!A1"/><Relationship Id="rId11" Type="http://schemas.openxmlformats.org/officeDocument/2006/relationships/hyperlink" Target="#'Roter Faden'!A1"/><Relationship Id="rId5" Type="http://schemas.openxmlformats.org/officeDocument/2006/relationships/hyperlink" Target="#'2'!A1"/><Relationship Id="rId10" Type="http://schemas.openxmlformats.org/officeDocument/2006/relationships/hyperlink" Target="#'13'!A1"/><Relationship Id="rId4" Type="http://schemas.openxmlformats.org/officeDocument/2006/relationships/hyperlink" Target="#'1'!A1"/><Relationship Id="rId9" Type="http://schemas.openxmlformats.org/officeDocument/2006/relationships/hyperlink" Target="#'9'!A1"/></Relationships>
</file>

<file path=xl/drawings/_rels/drawing6.xml.rels><?xml version="1.0" encoding="UTF-8" standalone="yes"?>
<Relationships xmlns="http://schemas.openxmlformats.org/package/2006/relationships"><Relationship Id="rId8" Type="http://schemas.openxmlformats.org/officeDocument/2006/relationships/hyperlink" Target="#'9'!A1"/><Relationship Id="rId3" Type="http://schemas.openxmlformats.org/officeDocument/2006/relationships/hyperlink" Target="#'4'!A1"/><Relationship Id="rId7" Type="http://schemas.openxmlformats.org/officeDocument/2006/relationships/hyperlink" Target="#'8'!A1"/><Relationship Id="rId2"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hyperlink" Target="#'6'!A1"/><Relationship Id="rId11" Type="http://schemas.openxmlformats.org/officeDocument/2006/relationships/hyperlink" Target="#'Roter Faden'!A1"/><Relationship Id="rId5" Type="http://schemas.openxmlformats.org/officeDocument/2006/relationships/hyperlink" Target="#'3'!A1"/><Relationship Id="rId10" Type="http://schemas.openxmlformats.org/officeDocument/2006/relationships/hyperlink" Target="#'1'!A1"/><Relationship Id="rId4" Type="http://schemas.openxmlformats.org/officeDocument/2006/relationships/hyperlink" Target="#'2'!A1"/><Relationship Id="rId9" Type="http://schemas.openxmlformats.org/officeDocument/2006/relationships/hyperlink" Target="#'13'!A1"/></Relationships>
</file>

<file path=xl/drawings/_rels/drawing7.xml.rels><?xml version="1.0" encoding="UTF-8" standalone="yes"?>
<Relationships xmlns="http://schemas.openxmlformats.org/package/2006/relationships"><Relationship Id="rId8" Type="http://schemas.openxmlformats.org/officeDocument/2006/relationships/hyperlink" Target="#'8'!A1"/><Relationship Id="rId13" Type="http://schemas.openxmlformats.org/officeDocument/2006/relationships/hyperlink" Target="https://www.immocation.de/ebook-gebrauchsanleitung-wohnungskauf?utm_source=tools&amp;utm_campaign=kalkulation&amp;utm_term=ebook" TargetMode="External"/><Relationship Id="rId3" Type="http://schemas.openxmlformats.org/officeDocument/2006/relationships/hyperlink" Target="#'5'!A1"/><Relationship Id="rId7" Type="http://schemas.openxmlformats.org/officeDocument/2006/relationships/hyperlink" Target="#'6'!A1"/><Relationship Id="rId12" Type="http://schemas.openxmlformats.org/officeDocument/2006/relationships/hyperlink" Target="#'Roter Faden'!A1"/><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hyperlink" Target="#'4'!A1"/><Relationship Id="rId11" Type="http://schemas.openxmlformats.org/officeDocument/2006/relationships/hyperlink" Target="#'1'!A1"/><Relationship Id="rId5" Type="http://schemas.openxmlformats.org/officeDocument/2006/relationships/hyperlink" Target="#'2'!A1"/><Relationship Id="rId10" Type="http://schemas.openxmlformats.org/officeDocument/2006/relationships/hyperlink" Target="#'13'!A1"/><Relationship Id="rId4" Type="http://schemas.openxmlformats.org/officeDocument/2006/relationships/hyperlink" Target="#'3'!A1"/><Relationship Id="rId9" Type="http://schemas.openxmlformats.org/officeDocument/2006/relationships/hyperlink" Target="#'9'!A1"/></Relationships>
</file>

<file path=xl/drawings/_rels/drawing8.xml.rels><?xml version="1.0" encoding="UTF-8" standalone="yes"?>
<Relationships xmlns="http://schemas.openxmlformats.org/package/2006/relationships"><Relationship Id="rId8" Type="http://schemas.openxmlformats.org/officeDocument/2006/relationships/hyperlink" Target="#'8'!A1"/><Relationship Id="rId13" Type="http://schemas.openxmlformats.org/officeDocument/2006/relationships/image" Target="../media/image4.emf"/><Relationship Id="rId3" Type="http://schemas.openxmlformats.org/officeDocument/2006/relationships/hyperlink" Target="#'6'!A1"/><Relationship Id="rId7" Type="http://schemas.openxmlformats.org/officeDocument/2006/relationships/hyperlink" Target="#'3'!A1"/><Relationship Id="rId12" Type="http://schemas.openxmlformats.org/officeDocument/2006/relationships/hyperlink" Target="#'Roter Faden'!A1"/><Relationship Id="rId2"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hyperlink" Target="#'2'!A1"/><Relationship Id="rId11" Type="http://schemas.openxmlformats.org/officeDocument/2006/relationships/hyperlink" Target="#'1'!A1"/><Relationship Id="rId5" Type="http://schemas.openxmlformats.org/officeDocument/2006/relationships/image" Target="../media/image3.png"/><Relationship Id="rId10" Type="http://schemas.openxmlformats.org/officeDocument/2006/relationships/hyperlink" Target="#'13'!A1"/><Relationship Id="rId4" Type="http://schemas.openxmlformats.org/officeDocument/2006/relationships/hyperlink" Target="#'4'!A1"/><Relationship Id="rId9" Type="http://schemas.openxmlformats.org/officeDocument/2006/relationships/hyperlink" Target="#'9'!A1"/></Relationships>
</file>

<file path=xl/drawings/_rels/drawing9.xml.rels><?xml version="1.0" encoding="UTF-8" standalone="yes"?>
<Relationships xmlns="http://schemas.openxmlformats.org/package/2006/relationships"><Relationship Id="rId8" Type="http://schemas.openxmlformats.org/officeDocument/2006/relationships/hyperlink" Target="#'6'!A1"/><Relationship Id="rId13" Type="http://schemas.openxmlformats.org/officeDocument/2006/relationships/hyperlink" Target="#'Roter Faden'!A1"/><Relationship Id="rId3" Type="http://schemas.openxmlformats.org/officeDocument/2006/relationships/hyperlink" Target="#'7'!A1"/><Relationship Id="rId7" Type="http://schemas.openxmlformats.org/officeDocument/2006/relationships/hyperlink" Target="#'4'!A1"/><Relationship Id="rId12" Type="http://schemas.openxmlformats.org/officeDocument/2006/relationships/hyperlink" Target="#'1'!A1"/><Relationship Id="rId2" Type="http://schemas.openxmlformats.org/officeDocument/2006/relationships/chart" Target="../charts/chart8.xml"/><Relationship Id="rId1" Type="http://schemas.openxmlformats.org/officeDocument/2006/relationships/image" Target="../media/image2.png"/><Relationship Id="rId6" Type="http://schemas.openxmlformats.org/officeDocument/2006/relationships/hyperlink" Target="#'3'!A1"/><Relationship Id="rId11" Type="http://schemas.openxmlformats.org/officeDocument/2006/relationships/hyperlink" Target="#'13'!A1"/><Relationship Id="rId5" Type="http://schemas.openxmlformats.org/officeDocument/2006/relationships/hyperlink" Target="#'2'!A1"/><Relationship Id="rId10" Type="http://schemas.openxmlformats.org/officeDocument/2006/relationships/hyperlink" Target="#'9'!A1"/><Relationship Id="rId4" Type="http://schemas.openxmlformats.org/officeDocument/2006/relationships/hyperlink" Target="#'5'!A1"/><Relationship Id="rId9" Type="http://schemas.openxmlformats.org/officeDocument/2006/relationships/hyperlink" Target="#'8'!A1"/><Relationship Id="rId14" Type="http://schemas.openxmlformats.org/officeDocument/2006/relationships/hyperlink" Target="https://www.immocation.de/ebook-gebrauchsanleitung-wohnungskauf?utm_source=tools&amp;utm_campaign=kalkulation&amp;utm_term=ebook" TargetMode="External"/></Relationships>
</file>

<file path=xl/drawings/_rels/drawing10.xml.rels><?xml version="1.0" encoding="UTF-8" standalone="yes"?>
<Relationships xmlns="http://schemas.openxmlformats.org/package/2006/relationships"><Relationship Id="rId8" Type="http://schemas.openxmlformats.org/officeDocument/2006/relationships/hyperlink" Target="#'4'!A1"/><Relationship Id="rId3" Type="http://schemas.openxmlformats.org/officeDocument/2006/relationships/chart" Target="../charts/chart9.xml"/><Relationship Id="rId7" Type="http://schemas.openxmlformats.org/officeDocument/2006/relationships/hyperlink" Target="#'3'!A1"/><Relationship Id="rId12" Type="http://schemas.openxmlformats.org/officeDocument/2006/relationships/hyperlink" Target="#'Roter Faden'!A1"/><Relationship Id="rId2" Type="http://schemas.openxmlformats.org/officeDocument/2006/relationships/image" Target="../media/image2.png"/><Relationship Id="rId1" Type="http://schemas.openxmlformats.org/officeDocument/2006/relationships/image" Target="../media/image4.emf"/><Relationship Id="rId6" Type="http://schemas.openxmlformats.org/officeDocument/2006/relationships/hyperlink" Target="#'2'!A1"/><Relationship Id="rId11" Type="http://schemas.openxmlformats.org/officeDocument/2006/relationships/hyperlink" Target="#'1'!A1"/><Relationship Id="rId5" Type="http://schemas.openxmlformats.org/officeDocument/2006/relationships/hyperlink" Target="#'6'!A1"/><Relationship Id="rId10" Type="http://schemas.openxmlformats.org/officeDocument/2006/relationships/hyperlink" Target="#'13'!A1"/><Relationship Id="rId4" Type="http://schemas.openxmlformats.org/officeDocument/2006/relationships/hyperlink" Target="#'8'!A1"/><Relationship Id="rId9" Type="http://schemas.openxmlformats.org/officeDocument/2006/relationships/hyperlink" Target="#'9'!A1"/></Relationships>
</file>

<file path=xl/drawings/_rels/drawing11.xml.rels><?xml version="1.0" encoding="UTF-8" standalone="yes"?>
<Relationships xmlns="http://schemas.openxmlformats.org/package/2006/relationships"><Relationship Id="rId8" Type="http://schemas.openxmlformats.org/officeDocument/2006/relationships/hyperlink" Target="#'3'!A1"/><Relationship Id="rId13" Type="http://schemas.openxmlformats.org/officeDocument/2006/relationships/hyperlink" Target="#'1'!A1"/><Relationship Id="rId3" Type="http://schemas.openxmlformats.org/officeDocument/2006/relationships/chart" Target="../charts/chart10.xml"/><Relationship Id="rId7" Type="http://schemas.openxmlformats.org/officeDocument/2006/relationships/hyperlink" Target="#'2'!A1"/><Relationship Id="rId12" Type="http://schemas.openxmlformats.org/officeDocument/2006/relationships/hyperlink" Target="#'13'!A1"/><Relationship Id="rId2" Type="http://schemas.openxmlformats.org/officeDocument/2006/relationships/image" Target="../media/image2.png"/><Relationship Id="rId1" Type="http://schemas.openxmlformats.org/officeDocument/2006/relationships/image" Target="../media/image4.emf"/><Relationship Id="rId6" Type="http://schemas.openxmlformats.org/officeDocument/2006/relationships/hyperlink" Target="#'7'!A1"/><Relationship Id="rId11" Type="http://schemas.openxmlformats.org/officeDocument/2006/relationships/hyperlink" Target="#'8'!A1"/><Relationship Id="rId5" Type="http://schemas.openxmlformats.org/officeDocument/2006/relationships/hyperlink" Target="#'9'!A1"/><Relationship Id="rId15" Type="http://schemas.openxmlformats.org/officeDocument/2006/relationships/image" Target="../media/image6.png"/><Relationship Id="rId10" Type="http://schemas.openxmlformats.org/officeDocument/2006/relationships/hyperlink" Target="#'6'!A1"/><Relationship Id="rId4" Type="http://schemas.openxmlformats.org/officeDocument/2006/relationships/image" Target="../media/image3.png"/><Relationship Id="rId9" Type="http://schemas.openxmlformats.org/officeDocument/2006/relationships/hyperlink" Target="#'4'!A1"/><Relationship Id="rId14" Type="http://schemas.openxmlformats.org/officeDocument/2006/relationships/hyperlink" Target="#'Roter Faden'!A1"/></Relationships>
</file>

<file path=xl/drawings/_rels/drawing12.xml.rels><?xml version="1.0" encoding="UTF-8" standalone="yes"?>
<Relationships xmlns="http://schemas.openxmlformats.org/package/2006/relationships"><Relationship Id="rId8" Type="http://schemas.openxmlformats.org/officeDocument/2006/relationships/hyperlink" Target="#'6'!A1"/><Relationship Id="rId13" Type="http://schemas.openxmlformats.org/officeDocument/2006/relationships/image" Target="../media/image6.png"/><Relationship Id="rId3" Type="http://schemas.openxmlformats.org/officeDocument/2006/relationships/hyperlink" Target="#'10'!A1"/><Relationship Id="rId7" Type="http://schemas.openxmlformats.org/officeDocument/2006/relationships/hyperlink" Target="#'4'!A1"/><Relationship Id="rId12" Type="http://schemas.openxmlformats.org/officeDocument/2006/relationships/hyperlink" Target="#'Roter Faden'!A1"/><Relationship Id="rId2" Type="http://schemas.openxmlformats.org/officeDocument/2006/relationships/chart" Target="../charts/chart11.xml"/><Relationship Id="rId1" Type="http://schemas.openxmlformats.org/officeDocument/2006/relationships/image" Target="../media/image2.png"/><Relationship Id="rId6" Type="http://schemas.openxmlformats.org/officeDocument/2006/relationships/hyperlink" Target="#'3'!A1"/><Relationship Id="rId11" Type="http://schemas.openxmlformats.org/officeDocument/2006/relationships/hyperlink" Target="#'1'!A1"/><Relationship Id="rId5" Type="http://schemas.openxmlformats.org/officeDocument/2006/relationships/hyperlink" Target="#'2'!A1"/><Relationship Id="rId10" Type="http://schemas.openxmlformats.org/officeDocument/2006/relationships/hyperlink" Target="#'13'!A1"/><Relationship Id="rId4" Type="http://schemas.openxmlformats.org/officeDocument/2006/relationships/hyperlink" Target="#'8'!A1"/><Relationship Id="rId9" Type="http://schemas.openxmlformats.org/officeDocument/2006/relationships/hyperlink" Target="#'9'!A1"/><Relationship Id="rId14" Type="http://schemas.openxmlformats.org/officeDocument/2006/relationships/hyperlink" Target="https://www.immocation.de/ebook-gebrauchsanleitung-wohnungskauf?utm_source=tools&amp;utm_campaign=kalkulation&amp;utm_term=ebook" TargetMode="External"/></Relationships>
</file>

<file path=xl/drawings/_rels/drawing13.xml.rels><?xml version="1.0" encoding="UTF-8" standalone="yes"?>
<Relationships xmlns="http://schemas.openxmlformats.org/package/2006/relationships"><Relationship Id="rId8" Type="http://schemas.openxmlformats.org/officeDocument/2006/relationships/hyperlink" Target="#'2'!A1"/><Relationship Id="rId13" Type="http://schemas.openxmlformats.org/officeDocument/2006/relationships/hyperlink" Target="#'13'!A1"/><Relationship Id="rId3" Type="http://schemas.openxmlformats.org/officeDocument/2006/relationships/hyperlink" Target="#'11'!A1"/><Relationship Id="rId7" Type="http://schemas.openxmlformats.org/officeDocument/2006/relationships/image" Target="../media/image9.jpeg"/><Relationship Id="rId12" Type="http://schemas.openxmlformats.org/officeDocument/2006/relationships/hyperlink" Target="#'8'!A1"/><Relationship Id="rId2" Type="http://schemas.openxmlformats.org/officeDocument/2006/relationships/chart" Target="../charts/chart12.xml"/><Relationship Id="rId1" Type="http://schemas.openxmlformats.org/officeDocument/2006/relationships/image" Target="../media/image2.png"/><Relationship Id="rId6" Type="http://schemas.openxmlformats.org/officeDocument/2006/relationships/image" Target="../media/image8.jpeg"/><Relationship Id="rId11" Type="http://schemas.openxmlformats.org/officeDocument/2006/relationships/hyperlink" Target="#'6'!A1"/><Relationship Id="rId5" Type="http://schemas.openxmlformats.org/officeDocument/2006/relationships/image" Target="../media/image7.png"/><Relationship Id="rId15" Type="http://schemas.openxmlformats.org/officeDocument/2006/relationships/hyperlink" Target="#'Roter Faden'!A1"/><Relationship Id="rId10" Type="http://schemas.openxmlformats.org/officeDocument/2006/relationships/hyperlink" Target="#'4'!A1"/><Relationship Id="rId4" Type="http://schemas.openxmlformats.org/officeDocument/2006/relationships/hyperlink" Target="#'9'!A1"/><Relationship Id="rId9" Type="http://schemas.openxmlformats.org/officeDocument/2006/relationships/hyperlink" Target="#'3'!A1"/><Relationship Id="rId14" Type="http://schemas.openxmlformats.org/officeDocument/2006/relationships/hyperlink" Target="#'1'!A1"/></Relationships>
</file>

<file path=xl/drawings/_rels/drawing14.xml.rels><?xml version="1.0" encoding="UTF-8" standalone="yes"?>
<Relationships xmlns="http://schemas.openxmlformats.org/package/2006/relationships"><Relationship Id="rId8" Type="http://schemas.openxmlformats.org/officeDocument/2006/relationships/hyperlink" Target="#'4'!A1"/><Relationship Id="rId13" Type="http://schemas.openxmlformats.org/officeDocument/2006/relationships/hyperlink" Target="#'1'!A1"/><Relationship Id="rId3" Type="http://schemas.openxmlformats.org/officeDocument/2006/relationships/image" Target="../media/image3.png"/><Relationship Id="rId7" Type="http://schemas.openxmlformats.org/officeDocument/2006/relationships/hyperlink" Target="#'3'!A1"/><Relationship Id="rId12" Type="http://schemas.openxmlformats.org/officeDocument/2006/relationships/hyperlink" Target="#'13'!A1"/><Relationship Id="rId2" Type="http://schemas.openxmlformats.org/officeDocument/2006/relationships/chart" Target="../charts/chart13.xml"/><Relationship Id="rId1" Type="http://schemas.openxmlformats.org/officeDocument/2006/relationships/image" Target="../media/image2.png"/><Relationship Id="rId6" Type="http://schemas.openxmlformats.org/officeDocument/2006/relationships/hyperlink" Target="#'2'!A1"/><Relationship Id="rId11" Type="http://schemas.openxmlformats.org/officeDocument/2006/relationships/hyperlink" Target="#'9'!A1"/><Relationship Id="rId5" Type="http://schemas.openxmlformats.org/officeDocument/2006/relationships/hyperlink" Target="#'10'!A1"/><Relationship Id="rId10" Type="http://schemas.openxmlformats.org/officeDocument/2006/relationships/hyperlink" Target="#'8'!A1"/><Relationship Id="rId4" Type="http://schemas.openxmlformats.org/officeDocument/2006/relationships/hyperlink" Target="#'12'!A1"/><Relationship Id="rId9" Type="http://schemas.openxmlformats.org/officeDocument/2006/relationships/hyperlink" Target="#'6'!A1"/><Relationship Id="rId14" Type="http://schemas.openxmlformats.org/officeDocument/2006/relationships/hyperlink" Target="#'Roter Faden'!A1"/></Relationships>
</file>

<file path=xl/drawings/_rels/drawing15.xml.rels><?xml version="1.0" encoding="UTF-8" standalone="yes"?>
<Relationships xmlns="http://schemas.openxmlformats.org/package/2006/relationships"><Relationship Id="rId8" Type="http://schemas.openxmlformats.org/officeDocument/2006/relationships/hyperlink" Target="#'4'!A1"/><Relationship Id="rId13" Type="http://schemas.openxmlformats.org/officeDocument/2006/relationships/hyperlink" Target="#'Roter Faden'!A1"/><Relationship Id="rId3" Type="http://schemas.openxmlformats.org/officeDocument/2006/relationships/image" Target="../media/image3.png"/><Relationship Id="rId7" Type="http://schemas.openxmlformats.org/officeDocument/2006/relationships/hyperlink" Target="#'3'!A1"/><Relationship Id="rId12" Type="http://schemas.openxmlformats.org/officeDocument/2006/relationships/hyperlink" Target="#'1'!A1"/><Relationship Id="rId2" Type="http://schemas.openxmlformats.org/officeDocument/2006/relationships/chart" Target="../charts/chart14.xml"/><Relationship Id="rId1" Type="http://schemas.openxmlformats.org/officeDocument/2006/relationships/image" Target="../media/image2.png"/><Relationship Id="rId6" Type="http://schemas.openxmlformats.org/officeDocument/2006/relationships/hyperlink" Target="#'2'!A1"/><Relationship Id="rId11" Type="http://schemas.openxmlformats.org/officeDocument/2006/relationships/hyperlink" Target="#'9'!A1"/><Relationship Id="rId5" Type="http://schemas.openxmlformats.org/officeDocument/2006/relationships/hyperlink" Target="#'11'!A1"/><Relationship Id="rId10" Type="http://schemas.openxmlformats.org/officeDocument/2006/relationships/hyperlink" Target="#'8'!A1"/><Relationship Id="rId4" Type="http://schemas.openxmlformats.org/officeDocument/2006/relationships/hyperlink" Target="#'13'!A1"/><Relationship Id="rId9" Type="http://schemas.openxmlformats.org/officeDocument/2006/relationships/hyperlink" Target="#'6'!A1"/></Relationships>
</file>

<file path=xl/drawings/_rels/drawing16.xml.rels><?xml version="1.0" encoding="UTF-8" standalone="yes"?>
<Relationships xmlns="http://schemas.openxmlformats.org/package/2006/relationships"><Relationship Id="rId8" Type="http://schemas.openxmlformats.org/officeDocument/2006/relationships/hyperlink" Target="#'4'!A1"/><Relationship Id="rId13" Type="http://schemas.openxmlformats.org/officeDocument/2006/relationships/hyperlink" Target="#'1'!A1"/><Relationship Id="rId18" Type="http://schemas.openxmlformats.org/officeDocument/2006/relationships/image" Target="../media/image12.emf"/><Relationship Id="rId3" Type="http://schemas.openxmlformats.org/officeDocument/2006/relationships/chart" Target="../charts/chart15.xml"/><Relationship Id="rId21" Type="http://schemas.openxmlformats.org/officeDocument/2006/relationships/image" Target="../media/image13.png"/><Relationship Id="rId7" Type="http://schemas.openxmlformats.org/officeDocument/2006/relationships/hyperlink" Target="#'3'!A1"/><Relationship Id="rId12" Type="http://schemas.openxmlformats.org/officeDocument/2006/relationships/hyperlink" Target="#'13'!A1"/><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0.png"/><Relationship Id="rId20" Type="http://schemas.openxmlformats.org/officeDocument/2006/relationships/hyperlink" Target="https://www.facebook.com/dialog/feed?app_id=118494052219028&amp;display=page&amp;amp;&amp;link=https://www.immocation.de/kalkulation-teilen&amp;redirect_uri=https://www.immocation.de/kalkulation" TargetMode="External"/><Relationship Id="rId1" Type="http://schemas.openxmlformats.org/officeDocument/2006/relationships/image" Target="../media/image4.emf"/><Relationship Id="rId6" Type="http://schemas.openxmlformats.org/officeDocument/2006/relationships/hyperlink" Target="#'2'!A1"/><Relationship Id="rId11" Type="http://schemas.openxmlformats.org/officeDocument/2006/relationships/hyperlink" Target="#'9'!A1"/><Relationship Id="rId5" Type="http://schemas.openxmlformats.org/officeDocument/2006/relationships/hyperlink" Target="#'12'!A1"/><Relationship Id="rId15" Type="http://schemas.openxmlformats.org/officeDocument/2006/relationships/hyperlink" Target="https://www.immocation.de/ebook-gebrauchsanleitung-wohnungskauf?utm_source=tools&amp;utm_campaign=kalkulation&amp;utm_term=ebook" TargetMode="External"/><Relationship Id="rId10" Type="http://schemas.openxmlformats.org/officeDocument/2006/relationships/hyperlink" Target="#'8'!A1"/><Relationship Id="rId19" Type="http://schemas.openxmlformats.org/officeDocument/2006/relationships/image" Target="../media/image6.png"/><Relationship Id="rId4" Type="http://schemas.openxmlformats.org/officeDocument/2006/relationships/hyperlink" Target="#'14'!A1"/><Relationship Id="rId9" Type="http://schemas.openxmlformats.org/officeDocument/2006/relationships/hyperlink" Target="#'6'!A1"/><Relationship Id="rId14" Type="http://schemas.openxmlformats.org/officeDocument/2006/relationships/hyperlink" Target="#'Roter Faden'!A1"/></Relationships>
</file>

<file path=xl/drawings/_rels/drawing17.xml.rels><?xml version="1.0" encoding="UTF-8" standalone="yes"?>
<Relationships xmlns="http://schemas.openxmlformats.org/package/2006/relationships"><Relationship Id="rId8" Type="http://schemas.openxmlformats.org/officeDocument/2006/relationships/hyperlink" Target="#'6'!A1"/><Relationship Id="rId13" Type="http://schemas.openxmlformats.org/officeDocument/2006/relationships/image" Target="../media/image3.png"/><Relationship Id="rId3" Type="http://schemas.openxmlformats.org/officeDocument/2006/relationships/hyperlink" Target="#'15'!A1"/><Relationship Id="rId7" Type="http://schemas.openxmlformats.org/officeDocument/2006/relationships/hyperlink" Target="#'4'!A1"/><Relationship Id="rId12" Type="http://schemas.openxmlformats.org/officeDocument/2006/relationships/hyperlink" Target="#'Roter Faden'!A1"/><Relationship Id="rId2" Type="http://schemas.openxmlformats.org/officeDocument/2006/relationships/chart" Target="../charts/chart16.xml"/><Relationship Id="rId1" Type="http://schemas.openxmlformats.org/officeDocument/2006/relationships/image" Target="../media/image2.png"/><Relationship Id="rId6" Type="http://schemas.openxmlformats.org/officeDocument/2006/relationships/hyperlink" Target="#'3'!A1"/><Relationship Id="rId11" Type="http://schemas.openxmlformats.org/officeDocument/2006/relationships/hyperlink" Target="#'1'!A1"/><Relationship Id="rId5" Type="http://schemas.openxmlformats.org/officeDocument/2006/relationships/hyperlink" Target="#'2'!A1"/><Relationship Id="rId10" Type="http://schemas.openxmlformats.org/officeDocument/2006/relationships/hyperlink" Target="#'9'!A1"/><Relationship Id="rId4" Type="http://schemas.openxmlformats.org/officeDocument/2006/relationships/hyperlink" Target="#'13'!A1"/><Relationship Id="rId9" Type="http://schemas.openxmlformats.org/officeDocument/2006/relationships/hyperlink" Target="#'8'!A1"/></Relationships>
</file>

<file path=xl/drawings/_rels/drawing18.xml.rels><?xml version="1.0" encoding="UTF-8" standalone="yes"?>
<Relationships xmlns="http://schemas.openxmlformats.org/package/2006/relationships"><Relationship Id="rId8" Type="http://schemas.openxmlformats.org/officeDocument/2006/relationships/hyperlink" Target="#'4'!A1"/><Relationship Id="rId13" Type="http://schemas.openxmlformats.org/officeDocument/2006/relationships/hyperlink" Target="#'1'!A1"/><Relationship Id="rId3" Type="http://schemas.openxmlformats.org/officeDocument/2006/relationships/hyperlink" Target="#Cockpit!A1"/><Relationship Id="rId7" Type="http://schemas.openxmlformats.org/officeDocument/2006/relationships/hyperlink" Target="#'3'!A1"/><Relationship Id="rId12" Type="http://schemas.openxmlformats.org/officeDocument/2006/relationships/hyperlink" Target="#'13'!A1"/><Relationship Id="rId17" Type="http://schemas.openxmlformats.org/officeDocument/2006/relationships/image" Target="../media/image17.png"/><Relationship Id="rId2" Type="http://schemas.openxmlformats.org/officeDocument/2006/relationships/chart" Target="../charts/chart17.xml"/><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hyperlink" Target="#'2'!A1"/><Relationship Id="rId11" Type="http://schemas.openxmlformats.org/officeDocument/2006/relationships/hyperlink" Target="#'9'!A1"/><Relationship Id="rId5" Type="http://schemas.openxmlformats.org/officeDocument/2006/relationships/image" Target="../media/image3.png"/><Relationship Id="rId15" Type="http://schemas.openxmlformats.org/officeDocument/2006/relationships/image" Target="../media/image15.png"/><Relationship Id="rId10" Type="http://schemas.openxmlformats.org/officeDocument/2006/relationships/hyperlink" Target="#'8'!A1"/><Relationship Id="rId4" Type="http://schemas.openxmlformats.org/officeDocument/2006/relationships/hyperlink" Target="#'14'!A1"/><Relationship Id="rId9" Type="http://schemas.openxmlformats.org/officeDocument/2006/relationships/hyperlink" Target="#'6'!A1"/><Relationship Id="rId14" Type="http://schemas.openxmlformats.org/officeDocument/2006/relationships/hyperlink" Target="#'Roter Faden'!A1"/></Relationships>
</file>

<file path=xl/drawings/_rels/drawing19.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image" Target="../media/image2.png"/><Relationship Id="rId4"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image" Target="../media/image2.png"/><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8E442CA3-E079-4AC0-8907-2CB8F3ECE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76200</xdr:colOff>
      <xdr:row>0</xdr:row>
      <xdr:rowOff>76200</xdr:rowOff>
    </xdr:from>
    <xdr:to>
      <xdr:col>0</xdr:col>
      <xdr:colOff>482067</xdr:colOff>
      <xdr:row>2</xdr:row>
      <xdr:rowOff>104775</xdr:rowOff>
    </xdr:to>
    <xdr:pic>
      <xdr:nvPicPr>
        <xdr:cNvPr id="6" name="Picture 5">
          <a:extLst>
            <a:ext uri="{FF2B5EF4-FFF2-40B4-BE49-F238E27FC236}">
              <a16:creationId xmlns:a16="http://schemas.microsoft.com/office/drawing/2014/main" id="{BD13EA3F-4965-4AEC-883D-7B958A57E3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B2BA22CF-BC76-4135-A636-1292FA069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244D525A-BCBA-4C9A-A825-3494BBB29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0</xdr:row>
      <xdr:rowOff>137737</xdr:rowOff>
    </xdr:from>
    <xdr:to>
      <xdr:col>17</xdr:col>
      <xdr:colOff>266700</xdr:colOff>
      <xdr:row>2</xdr:row>
      <xdr:rowOff>33712</xdr:rowOff>
    </xdr:to>
    <xdr:grpSp>
      <xdr:nvGrpSpPr>
        <xdr:cNvPr id="14" name="Group 13">
          <a:extLst>
            <a:ext uri="{FF2B5EF4-FFF2-40B4-BE49-F238E27FC236}">
              <a16:creationId xmlns:a16="http://schemas.microsoft.com/office/drawing/2014/main" id="{90CBD6C6-BF44-4B5C-986B-9FD2DB56DAD6}"/>
            </a:ext>
          </a:extLst>
        </xdr:cNvPr>
        <xdr:cNvGrpSpPr/>
      </xdr:nvGrpSpPr>
      <xdr:grpSpPr>
        <a:xfrm>
          <a:off x="3089275" y="137737"/>
          <a:ext cx="10004425" cy="245225"/>
          <a:chOff x="2952750" y="137737"/>
          <a:chExt cx="9563100" cy="248400"/>
        </a:xfrm>
      </xdr:grpSpPr>
      <xdr:sp macro="" textlink="">
        <xdr:nvSpPr>
          <xdr:cNvPr id="16" name="Rectangle 15">
            <a:hlinkClick xmlns:r="http://schemas.openxmlformats.org/officeDocument/2006/relationships" r:id="rId3"/>
            <a:extLst>
              <a:ext uri="{FF2B5EF4-FFF2-40B4-BE49-F238E27FC236}">
                <a16:creationId xmlns:a16="http://schemas.microsoft.com/office/drawing/2014/main" id="{C1D35D57-A412-44E1-83BE-62CF1B9345CD}"/>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Kaufnebenkosten</a:t>
            </a:r>
          </a:p>
        </xdr:txBody>
      </xdr:sp>
      <xdr:sp macro="" textlink="">
        <xdr:nvSpPr>
          <xdr:cNvPr id="17" name="Rectangle 16">
            <a:hlinkClick xmlns:r="http://schemas.openxmlformats.org/officeDocument/2006/relationships" r:id="rId4"/>
            <a:extLst>
              <a:ext uri="{FF2B5EF4-FFF2-40B4-BE49-F238E27FC236}">
                <a16:creationId xmlns:a16="http://schemas.microsoft.com/office/drawing/2014/main" id="{072B3BEE-30C8-415C-9F06-431C67F26D89}"/>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Maßnahmen</a:t>
            </a:r>
          </a:p>
        </xdr:txBody>
      </xdr:sp>
      <xdr:sp macro="" textlink="">
        <xdr:nvSpPr>
          <xdr:cNvPr id="18" name="Rectangle 17">
            <a:hlinkClick xmlns:r="http://schemas.openxmlformats.org/officeDocument/2006/relationships" r:id="rId5"/>
            <a:extLst>
              <a:ext uri="{FF2B5EF4-FFF2-40B4-BE49-F238E27FC236}">
                <a16:creationId xmlns:a16="http://schemas.microsoft.com/office/drawing/2014/main" id="{DF80DC72-E647-43B7-A1A3-3ABD796F4FBA}"/>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Finanzierung</a:t>
            </a:r>
          </a:p>
        </xdr:txBody>
      </xdr:sp>
      <xdr:sp macro="" textlink="">
        <xdr:nvSpPr>
          <xdr:cNvPr id="19" name="Rectangle 18">
            <a:hlinkClick xmlns:r="http://schemas.openxmlformats.org/officeDocument/2006/relationships" r:id="rId6"/>
            <a:extLst>
              <a:ext uri="{FF2B5EF4-FFF2-40B4-BE49-F238E27FC236}">
                <a16:creationId xmlns:a16="http://schemas.microsoft.com/office/drawing/2014/main" id="{772464C3-98BC-4B26-94A8-A141F361CC35}"/>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20" name="Rectangle 19">
            <a:hlinkClick xmlns:r="http://schemas.openxmlformats.org/officeDocument/2006/relationships" r:id="rId7"/>
            <a:extLst>
              <a:ext uri="{FF2B5EF4-FFF2-40B4-BE49-F238E27FC236}">
                <a16:creationId xmlns:a16="http://schemas.microsoft.com/office/drawing/2014/main" id="{599A191A-E8E4-47A5-B33F-7041E1D98A30}"/>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21" name="Rectangle 20">
            <a:hlinkClick xmlns:r="http://schemas.openxmlformats.org/officeDocument/2006/relationships" r:id="rId8"/>
            <a:extLst>
              <a:ext uri="{FF2B5EF4-FFF2-40B4-BE49-F238E27FC236}">
                <a16:creationId xmlns:a16="http://schemas.microsoft.com/office/drawing/2014/main" id="{EB6512EB-C480-4087-942D-19C1DD45D72F}"/>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22" name="Rectangle 21">
            <a:hlinkClick xmlns:r="http://schemas.openxmlformats.org/officeDocument/2006/relationships" r:id="rId9"/>
            <a:extLst>
              <a:ext uri="{FF2B5EF4-FFF2-40B4-BE49-F238E27FC236}">
                <a16:creationId xmlns:a16="http://schemas.microsoft.com/office/drawing/2014/main" id="{AA26B43C-CE7C-4CAF-9EBA-5B2FC79EEDC5}"/>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23" name="Rectangle 22">
            <a:extLst>
              <a:ext uri="{FF2B5EF4-FFF2-40B4-BE49-F238E27FC236}">
                <a16:creationId xmlns:a16="http://schemas.microsoft.com/office/drawing/2014/main" id="{2BE513E0-6A35-4D23-B714-105E9F022F69}"/>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4" name="Rectangle 23">
            <a:extLst>
              <a:ext uri="{FF2B5EF4-FFF2-40B4-BE49-F238E27FC236}">
                <a16:creationId xmlns:a16="http://schemas.microsoft.com/office/drawing/2014/main" id="{D495D8BC-C46C-4984-B7E6-2513B9048742}"/>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5" name="Rectangle 24">
            <a:extLst>
              <a:ext uri="{FF2B5EF4-FFF2-40B4-BE49-F238E27FC236}">
                <a16:creationId xmlns:a16="http://schemas.microsoft.com/office/drawing/2014/main" id="{203AFC01-3484-4E71-958D-366BA4A413BC}"/>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6" name="Rectangle 25">
            <a:extLst>
              <a:ext uri="{FF2B5EF4-FFF2-40B4-BE49-F238E27FC236}">
                <a16:creationId xmlns:a16="http://schemas.microsoft.com/office/drawing/2014/main" id="{DF3F93F4-C8D5-445C-924B-BEC4D8641597}"/>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7" name="Rectangle 26">
            <a:extLst>
              <a:ext uri="{FF2B5EF4-FFF2-40B4-BE49-F238E27FC236}">
                <a16:creationId xmlns:a16="http://schemas.microsoft.com/office/drawing/2014/main" id="{03B564BB-B302-4A30-AD68-50F914B2ACC1}"/>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8" name="Rectangle 27">
            <a:extLst>
              <a:ext uri="{FF2B5EF4-FFF2-40B4-BE49-F238E27FC236}">
                <a16:creationId xmlns:a16="http://schemas.microsoft.com/office/drawing/2014/main" id="{EF482631-8867-446C-BA86-795529159544}"/>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9" name="Rectangle 28">
            <a:extLst>
              <a:ext uri="{FF2B5EF4-FFF2-40B4-BE49-F238E27FC236}">
                <a16:creationId xmlns:a16="http://schemas.microsoft.com/office/drawing/2014/main" id="{F9AF239C-5BCC-4CF7-8240-731285BA3B2D}"/>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A623A8D9-646F-48EE-A667-87385DA16559}"/>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38" name="Rectangle 37">
            <a:extLst>
              <a:ext uri="{FF2B5EF4-FFF2-40B4-BE49-F238E27FC236}">
                <a16:creationId xmlns:a16="http://schemas.microsoft.com/office/drawing/2014/main" id="{FBF87B40-0E5F-4BD1-ABA3-E7335C7BD6F7}"/>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9" name="Rectangle: Rounded Corners 38">
            <a:hlinkClick xmlns:r="http://schemas.openxmlformats.org/officeDocument/2006/relationships" r:id="rId11"/>
            <a:extLst>
              <a:ext uri="{FF2B5EF4-FFF2-40B4-BE49-F238E27FC236}">
                <a16:creationId xmlns:a16="http://schemas.microsoft.com/office/drawing/2014/main" id="{98351EF2-E942-4229-B731-C7144E6249F1}"/>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40" name="Group 39">
          <a:extLst>
            <a:ext uri="{FF2B5EF4-FFF2-40B4-BE49-F238E27FC236}">
              <a16:creationId xmlns:a16="http://schemas.microsoft.com/office/drawing/2014/main" id="{691786F1-27EA-416D-A48C-01F8843E54D9}"/>
            </a:ext>
          </a:extLst>
        </xdr:cNvPr>
        <xdr:cNvGrpSpPr/>
      </xdr:nvGrpSpPr>
      <xdr:grpSpPr>
        <a:xfrm>
          <a:off x="4911725" y="650875"/>
          <a:ext cx="8152832" cy="573485"/>
          <a:chOff x="4705350" y="652463"/>
          <a:chExt cx="7771832" cy="579835"/>
        </a:xfrm>
      </xdr:grpSpPr>
      <xdr:grpSp>
        <xdr:nvGrpSpPr>
          <xdr:cNvPr id="43" name="Group 42">
            <a:extLst>
              <a:ext uri="{FF2B5EF4-FFF2-40B4-BE49-F238E27FC236}">
                <a16:creationId xmlns:a16="http://schemas.microsoft.com/office/drawing/2014/main" id="{1B94ABB5-7509-43D8-92B4-0CC640005BDE}"/>
              </a:ext>
            </a:extLst>
          </xdr:cNvPr>
          <xdr:cNvGrpSpPr/>
        </xdr:nvGrpSpPr>
        <xdr:grpSpPr>
          <a:xfrm>
            <a:off x="4705350" y="652463"/>
            <a:ext cx="7771832" cy="257175"/>
            <a:chOff x="4705350" y="642938"/>
            <a:chExt cx="7771832" cy="257175"/>
          </a:xfrm>
        </xdr:grpSpPr>
        <xdr:sp macro="" textlink="">
          <xdr:nvSpPr>
            <xdr:cNvPr id="51" name="Rectangle 50">
              <a:extLst>
                <a:ext uri="{FF2B5EF4-FFF2-40B4-BE49-F238E27FC236}">
                  <a16:creationId xmlns:a16="http://schemas.microsoft.com/office/drawing/2014/main" id="{314E5DD0-9195-4763-AB48-8C2BCCCF0C7C}"/>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52" name="Rectangle 51">
              <a:extLst>
                <a:ext uri="{FF2B5EF4-FFF2-40B4-BE49-F238E27FC236}">
                  <a16:creationId xmlns:a16="http://schemas.microsoft.com/office/drawing/2014/main" id="{7B35AA4B-58E4-4E38-B7C2-03DDE72B8D81}"/>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53" name="Rectangle 52">
              <a:extLst>
                <a:ext uri="{FF2B5EF4-FFF2-40B4-BE49-F238E27FC236}">
                  <a16:creationId xmlns:a16="http://schemas.microsoft.com/office/drawing/2014/main" id="{F3966733-F542-4510-BA9E-7294C85D70B5}"/>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54" name="Rectangle 53">
              <a:extLst>
                <a:ext uri="{FF2B5EF4-FFF2-40B4-BE49-F238E27FC236}">
                  <a16:creationId xmlns:a16="http://schemas.microsoft.com/office/drawing/2014/main" id="{512D7C69-A7F8-44F0-A468-3D2DD7B6CEED}"/>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F048CB8-2DC3-4A81-BC9E-19E4859D1ADE}"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55" name="Rectangle 54">
              <a:extLst>
                <a:ext uri="{FF2B5EF4-FFF2-40B4-BE49-F238E27FC236}">
                  <a16:creationId xmlns:a16="http://schemas.microsoft.com/office/drawing/2014/main" id="{296E8E6D-F9F2-4ED6-81DA-8036A4CC3169}"/>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80F9F45-8A90-41D0-AF5A-CA1C50FF838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56" name="Rectangle 55">
              <a:extLst>
                <a:ext uri="{FF2B5EF4-FFF2-40B4-BE49-F238E27FC236}">
                  <a16:creationId xmlns:a16="http://schemas.microsoft.com/office/drawing/2014/main" id="{9282C850-300A-4C16-88B9-44D765EAB99D}"/>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8401A23-1686-4341-91CD-6194D025D9E9}"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44" name="Group 43">
            <a:extLst>
              <a:ext uri="{FF2B5EF4-FFF2-40B4-BE49-F238E27FC236}">
                <a16:creationId xmlns:a16="http://schemas.microsoft.com/office/drawing/2014/main" id="{952DE948-92A4-4A0B-8F6F-96995825AF39}"/>
              </a:ext>
            </a:extLst>
          </xdr:cNvPr>
          <xdr:cNvGrpSpPr/>
        </xdr:nvGrpSpPr>
        <xdr:grpSpPr>
          <a:xfrm>
            <a:off x="4705350" y="975123"/>
            <a:ext cx="7771832" cy="257175"/>
            <a:chOff x="4705350" y="975123"/>
            <a:chExt cx="7771832" cy="257175"/>
          </a:xfrm>
        </xdr:grpSpPr>
        <xdr:sp macro="" textlink="">
          <xdr:nvSpPr>
            <xdr:cNvPr id="45" name="Rectangle 44">
              <a:extLst>
                <a:ext uri="{FF2B5EF4-FFF2-40B4-BE49-F238E27FC236}">
                  <a16:creationId xmlns:a16="http://schemas.microsoft.com/office/drawing/2014/main" id="{A5F0E746-8C54-4CF5-A263-09A144434EA9}"/>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46" name="Rectangle 45">
              <a:extLst>
                <a:ext uri="{FF2B5EF4-FFF2-40B4-BE49-F238E27FC236}">
                  <a16:creationId xmlns:a16="http://schemas.microsoft.com/office/drawing/2014/main" id="{B1F73BB8-EEEE-474D-82DA-89F3FD378119}"/>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47" name="Rectangle 46">
              <a:extLst>
                <a:ext uri="{FF2B5EF4-FFF2-40B4-BE49-F238E27FC236}">
                  <a16:creationId xmlns:a16="http://schemas.microsoft.com/office/drawing/2014/main" id="{F9031665-BBAB-43DC-9966-CEB6E02E58C1}"/>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48" name="Rectangle 47">
              <a:extLst>
                <a:ext uri="{FF2B5EF4-FFF2-40B4-BE49-F238E27FC236}">
                  <a16:creationId xmlns:a16="http://schemas.microsoft.com/office/drawing/2014/main" id="{774EC0A7-51B3-4EE8-8689-BE8AEBA4AE8F}"/>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7201318-4DE9-4CFE-96E7-76FA1AE48CF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49" name="Rectangle 48">
              <a:extLst>
                <a:ext uri="{FF2B5EF4-FFF2-40B4-BE49-F238E27FC236}">
                  <a16:creationId xmlns:a16="http://schemas.microsoft.com/office/drawing/2014/main" id="{4DD19CAD-8C96-4593-ABBC-B7A564FFCE3C}"/>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107BB7F-0935-4467-8453-20B554A8750A}"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50" name="Rectangle 49">
              <a:extLst>
                <a:ext uri="{FF2B5EF4-FFF2-40B4-BE49-F238E27FC236}">
                  <a16:creationId xmlns:a16="http://schemas.microsoft.com/office/drawing/2014/main" id="{95894DE3-807C-48B2-8D20-3E63FEDF6969}"/>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E9D69CC-3E82-426C-AF51-3DFD654DF28C}"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1</xdr:col>
      <xdr:colOff>9525</xdr:colOff>
      <xdr:row>7</xdr:row>
      <xdr:rowOff>19049</xdr:rowOff>
    </xdr:from>
    <xdr:to>
      <xdr:col>17</xdr:col>
      <xdr:colOff>200025</xdr:colOff>
      <xdr:row>17</xdr:row>
      <xdr:rowOff>161925</xdr:rowOff>
    </xdr:to>
    <xdr:sp macro="" textlink="">
      <xdr:nvSpPr>
        <xdr:cNvPr id="57" name="Rectangle: Rounded Corners 56">
          <a:extLst>
            <a:ext uri="{FF2B5EF4-FFF2-40B4-BE49-F238E27FC236}">
              <a16:creationId xmlns:a16="http://schemas.microsoft.com/office/drawing/2014/main" id="{7BA5478E-2E50-4454-8784-364EF521BEF5}"/>
            </a:ext>
          </a:extLst>
        </xdr:cNvPr>
        <xdr:cNvSpPr/>
      </xdr:nvSpPr>
      <xdr:spPr>
        <a:xfrm>
          <a:off x="228600" y="1666874"/>
          <a:ext cx="12220575" cy="2447926"/>
        </a:xfrm>
        <a:prstGeom prst="roundRect">
          <a:avLst>
            <a:gd name="adj" fmla="val 546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spcAft>
              <a:spcPts val="1200"/>
            </a:spcAft>
          </a:pPr>
          <a:r>
            <a:rPr lang="de-DE" sz="1200" b="1" baseline="0">
              <a:solidFill>
                <a:schemeClr val="tx2"/>
              </a:solidFill>
              <a:latin typeface="Century Gothic" panose="020B0502020202020204" pitchFamily="34" charset="0"/>
            </a:rPr>
            <a:t>Herzlich willkommen beim roten Faden</a:t>
          </a:r>
        </a:p>
        <a:p>
          <a:pPr algn="l">
            <a:lnSpc>
              <a:spcPct val="130000"/>
            </a:lnSpc>
            <a:spcAft>
              <a:spcPts val="1200"/>
            </a:spcAft>
          </a:pPr>
          <a:r>
            <a:rPr lang="de-DE" sz="1200" b="0" baseline="0">
              <a:solidFill>
                <a:schemeClr val="tx2"/>
              </a:solidFill>
              <a:latin typeface="Century Gothic" panose="020B0502020202020204" pitchFamily="34" charset="0"/>
            </a:rPr>
            <a:t>Dieses Tool führt dich Schritt für Schritt durch eine vollständige Kalkulation für eine vermietete Wohnung.</a:t>
          </a:r>
        </a:p>
        <a:p>
          <a:pPr algn="l">
            <a:lnSpc>
              <a:spcPct val="130000"/>
            </a:lnSpc>
            <a:spcAft>
              <a:spcPts val="1200"/>
            </a:spcAft>
          </a:pPr>
          <a:r>
            <a:rPr lang="de-DE" sz="1200" b="0" baseline="0">
              <a:solidFill>
                <a:schemeClr val="tx2"/>
              </a:solidFill>
              <a:latin typeface="Century Gothic" panose="020B0502020202020204" pitchFamily="34" charset="0"/>
            </a:rPr>
            <a:t>Das Ergebnis hilft dir, zu verstehen, ob der Wohnungskauf lohnenswert wäre oder nicht.</a:t>
          </a:r>
        </a:p>
        <a:p>
          <a:pPr algn="l">
            <a:lnSpc>
              <a:spcPct val="130000"/>
            </a:lnSpc>
            <a:spcAft>
              <a:spcPts val="1200"/>
            </a:spcAft>
          </a:pPr>
          <a:r>
            <a:rPr lang="de-DE" sz="1200" b="0" baseline="0">
              <a:solidFill>
                <a:schemeClr val="tx2"/>
              </a:solidFill>
              <a:latin typeface="Century Gothic" panose="020B0502020202020204" pitchFamily="34" charset="0"/>
            </a:rPr>
            <a:t>Am Ende aller Schritte erfährst du, wie viel jeden Monat wirklich übrig bleibt. Dabei wird die Steuer berücksichtigt und alle sonst noch wichtigen Kennzahlen berechnet.</a:t>
          </a:r>
        </a:p>
      </xdr:txBody>
    </xdr:sp>
    <xdr:clientData/>
  </xdr:twoCellAnchor>
  <xdr:twoCellAnchor>
    <xdr:from>
      <xdr:col>7</xdr:col>
      <xdr:colOff>723900</xdr:colOff>
      <xdr:row>14</xdr:row>
      <xdr:rowOff>171450</xdr:rowOff>
    </xdr:from>
    <xdr:to>
      <xdr:col>10</xdr:col>
      <xdr:colOff>247650</xdr:colOff>
      <xdr:row>16</xdr:row>
      <xdr:rowOff>171449</xdr:rowOff>
    </xdr:to>
    <xdr:sp macro="" textlink="">
      <xdr:nvSpPr>
        <xdr:cNvPr id="42" name="Rectangle: Rounded Corners 41">
          <a:hlinkClick xmlns:r="http://schemas.openxmlformats.org/officeDocument/2006/relationships" r:id="rId12"/>
          <a:extLst>
            <a:ext uri="{FF2B5EF4-FFF2-40B4-BE49-F238E27FC236}">
              <a16:creationId xmlns:a16="http://schemas.microsoft.com/office/drawing/2014/main" id="{5EEEC95E-D6EB-467C-9131-F203B179F861}"/>
            </a:ext>
          </a:extLst>
        </xdr:cNvPr>
        <xdr:cNvSpPr/>
      </xdr:nvSpPr>
      <xdr:spPr>
        <a:xfrm>
          <a:off x="5448300" y="3552825"/>
          <a:ext cx="1781175" cy="38099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200">
              <a:latin typeface="Century Gothic" panose="020B0502020202020204" pitchFamily="34" charset="0"/>
            </a:rPr>
            <a:t>Los geht's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73688A1A-2716-4E3B-8F79-324F378D86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3" name="Diagramm 7">
          <a:extLst>
            <a:ext uri="{FF2B5EF4-FFF2-40B4-BE49-F238E27FC236}">
              <a16:creationId xmlns:a16="http://schemas.microsoft.com/office/drawing/2014/main" id="{E2D8BCCB-9633-4DFF-B7A0-077F6D660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9526</xdr:rowOff>
    </xdr:from>
    <xdr:to>
      <xdr:col>17</xdr:col>
      <xdr:colOff>190500</xdr:colOff>
      <xdr:row>9</xdr:row>
      <xdr:rowOff>9525</xdr:rowOff>
    </xdr:to>
    <xdr:sp macro="" textlink="">
      <xdr:nvSpPr>
        <xdr:cNvPr id="4" name="Rectangle: Rounded Corners 3">
          <a:extLst>
            <a:ext uri="{FF2B5EF4-FFF2-40B4-BE49-F238E27FC236}">
              <a16:creationId xmlns:a16="http://schemas.microsoft.com/office/drawing/2014/main" id="{82F24B07-DC79-4321-9C81-AA844F1C6318}"/>
            </a:ext>
          </a:extLst>
        </xdr:cNvPr>
        <xdr:cNvSpPr/>
      </xdr:nvSpPr>
      <xdr:spPr>
        <a:xfrm>
          <a:off x="4733925" y="2628901"/>
          <a:ext cx="7705725" cy="371474"/>
        </a:xfrm>
        <a:prstGeom prst="roundRect">
          <a:avLst>
            <a:gd name="adj" fmla="val 1553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spcAft>
              <a:spcPts val="1200"/>
            </a:spcAft>
          </a:pPr>
          <a:r>
            <a:rPr lang="de-DE" sz="1200">
              <a:solidFill>
                <a:schemeClr val="tx2"/>
              </a:solidFill>
              <a:latin typeface="Century Gothic" panose="020B0502020202020204" pitchFamily="34" charset="0"/>
            </a:rPr>
            <a:t>Diese </a:t>
          </a:r>
          <a:r>
            <a:rPr lang="de-DE" sz="1200" b="1">
              <a:solidFill>
                <a:schemeClr val="tx2"/>
              </a:solidFill>
              <a:latin typeface="Century Gothic" panose="020B0502020202020204" pitchFamily="34" charset="0"/>
            </a:rPr>
            <a:t>Adresse</a:t>
          </a:r>
          <a:r>
            <a:rPr lang="de-DE" sz="1200" baseline="0">
              <a:solidFill>
                <a:schemeClr val="tx2"/>
              </a:solidFill>
              <a:latin typeface="Century Gothic" panose="020B0502020202020204" pitchFamily="34" charset="0"/>
            </a:rPr>
            <a:t> erscheint auf anderen Blättern und Ausdrucken - bspw. für die Bank.</a:t>
          </a:r>
        </a:p>
      </xdr:txBody>
    </xdr:sp>
    <xdr:clientData/>
  </xdr:twoCellAnchor>
  <xdr:twoCellAnchor>
    <xdr:from>
      <xdr:col>7</xdr:col>
      <xdr:colOff>9525</xdr:colOff>
      <xdr:row>11</xdr:row>
      <xdr:rowOff>9525</xdr:rowOff>
    </xdr:from>
    <xdr:to>
      <xdr:col>17</xdr:col>
      <xdr:colOff>190500</xdr:colOff>
      <xdr:row>18</xdr:row>
      <xdr:rowOff>19050</xdr:rowOff>
    </xdr:to>
    <xdr:sp macro="" textlink="">
      <xdr:nvSpPr>
        <xdr:cNvPr id="6" name="Rectangle: Rounded Corners 5">
          <a:extLst>
            <a:ext uri="{FF2B5EF4-FFF2-40B4-BE49-F238E27FC236}">
              <a16:creationId xmlns:a16="http://schemas.microsoft.com/office/drawing/2014/main" id="{F26FB121-1DAC-4F9D-BB0F-F74410814B78}"/>
            </a:ext>
          </a:extLst>
        </xdr:cNvPr>
        <xdr:cNvSpPr/>
      </xdr:nvSpPr>
      <xdr:spPr>
        <a:xfrm>
          <a:off x="4733925" y="3648075"/>
          <a:ext cx="7705725" cy="1743075"/>
        </a:xfrm>
        <a:prstGeom prst="roundRect">
          <a:avLst>
            <a:gd name="adj" fmla="val 4857"/>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spcAft>
              <a:spcPts val="1200"/>
            </a:spcAft>
          </a:pPr>
          <a:r>
            <a:rPr lang="de-DE" sz="1200" baseline="0">
              <a:solidFill>
                <a:schemeClr val="tx2"/>
              </a:solidFill>
              <a:latin typeface="Century Gothic" panose="020B0502020202020204" pitchFamily="34" charset="0"/>
            </a:rPr>
            <a:t>Wie viel </a:t>
          </a:r>
          <a:r>
            <a:rPr lang="de-DE" sz="1200" b="1" baseline="0">
              <a:solidFill>
                <a:schemeClr val="tx2"/>
              </a:solidFill>
              <a:latin typeface="Century Gothic" panose="020B0502020202020204" pitchFamily="34" charset="0"/>
            </a:rPr>
            <a:t>Wohnfläche</a:t>
          </a:r>
          <a:r>
            <a:rPr lang="de-DE" sz="1200" baseline="0">
              <a:solidFill>
                <a:schemeClr val="tx2"/>
              </a:solidFill>
              <a:latin typeface="Century Gothic" panose="020B0502020202020204" pitchFamily="34" charset="0"/>
            </a:rPr>
            <a:t> hat die Wohnung? Dieser Wert wird später für die richtige Berechnung von Rücklagen und der Steuer verwendet.</a:t>
          </a:r>
        </a:p>
        <a:p>
          <a:pPr algn="l">
            <a:lnSpc>
              <a:spcPct val="130000"/>
            </a:lnSpc>
            <a:spcAft>
              <a:spcPts val="1200"/>
            </a:spcAft>
          </a:pPr>
          <a:r>
            <a:rPr lang="de-DE" sz="1200" baseline="0">
              <a:solidFill>
                <a:schemeClr val="tx2"/>
              </a:solidFill>
              <a:latin typeface="Century Gothic" panose="020B0502020202020204" pitchFamily="34" charset="0"/>
            </a:rPr>
            <a:t>Das </a:t>
          </a:r>
          <a:r>
            <a:rPr lang="de-DE" sz="1200" b="1" baseline="0">
              <a:solidFill>
                <a:schemeClr val="tx2"/>
              </a:solidFill>
              <a:latin typeface="Century Gothic" panose="020B0502020202020204" pitchFamily="34" charset="0"/>
            </a:rPr>
            <a:t>Kauf-Datum</a:t>
          </a:r>
          <a:r>
            <a:rPr lang="de-DE" sz="1200" baseline="0">
              <a:solidFill>
                <a:schemeClr val="tx2"/>
              </a:solidFill>
              <a:latin typeface="Century Gothic" panose="020B0502020202020204" pitchFamily="34" charset="0"/>
            </a:rPr>
            <a:t> wird an vielen Stellen im Tool verwendet und bestimmt auch, mit welchem Jahr alle Zeitverläufe beginnen etc. Rechnerisch beginnen alle Darlehen, Wertentwicklungen usw. am 1. Januar des Jahres, das du hier eingibst. Für eine erste Berechnung kannst du auch einfach das </a:t>
          </a:r>
          <a:r>
            <a:rPr lang="de-DE" sz="1200" b="1" baseline="0">
              <a:solidFill>
                <a:schemeClr val="tx2"/>
              </a:solidFill>
              <a:latin typeface="Century Gothic" panose="020B0502020202020204" pitchFamily="34" charset="0"/>
            </a:rPr>
            <a:t>heutige Datum stehen lassen</a:t>
          </a:r>
          <a:r>
            <a:rPr lang="de-DE" sz="1200" baseline="0">
              <a:solidFill>
                <a:schemeClr val="tx2"/>
              </a:solidFill>
              <a:latin typeface="Century Gothic" panose="020B0502020202020204" pitchFamily="34" charset="0"/>
            </a:rPr>
            <a:t>.</a:t>
          </a:r>
        </a:p>
      </xdr:txBody>
    </xdr:sp>
    <xdr:clientData/>
  </xdr:twoCellAnchor>
  <xdr:twoCellAnchor>
    <xdr:from>
      <xdr:col>4</xdr:col>
      <xdr:colOff>85725</xdr:colOff>
      <xdr:row>0</xdr:row>
      <xdr:rowOff>137737</xdr:rowOff>
    </xdr:from>
    <xdr:to>
      <xdr:col>17</xdr:col>
      <xdr:colOff>266700</xdr:colOff>
      <xdr:row>2</xdr:row>
      <xdr:rowOff>33712</xdr:rowOff>
    </xdr:to>
    <xdr:grpSp>
      <xdr:nvGrpSpPr>
        <xdr:cNvPr id="7" name="Group 6">
          <a:extLst>
            <a:ext uri="{FF2B5EF4-FFF2-40B4-BE49-F238E27FC236}">
              <a16:creationId xmlns:a16="http://schemas.microsoft.com/office/drawing/2014/main" id="{4BAC72B2-850D-464A-A55A-92C502329DCA}"/>
            </a:ext>
          </a:extLst>
        </xdr:cNvPr>
        <xdr:cNvGrpSpPr/>
      </xdr:nvGrpSpPr>
      <xdr:grpSpPr>
        <a:xfrm>
          <a:off x="3089275" y="137737"/>
          <a:ext cx="10004425" cy="245225"/>
          <a:chOff x="2952750" y="137737"/>
          <a:chExt cx="9563100" cy="248400"/>
        </a:xfrm>
      </xdr:grpSpPr>
      <xdr:sp macro="" textlink="">
        <xdr:nvSpPr>
          <xdr:cNvPr id="8" name="Rectangle 7">
            <a:hlinkClick xmlns:r="http://schemas.openxmlformats.org/officeDocument/2006/relationships" r:id="rId3"/>
            <a:extLst>
              <a:ext uri="{FF2B5EF4-FFF2-40B4-BE49-F238E27FC236}">
                <a16:creationId xmlns:a16="http://schemas.microsoft.com/office/drawing/2014/main" id="{81C782E2-9B3D-45A8-9F01-54AAFC288625}"/>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Kaufnebenkosten</a:t>
            </a:r>
          </a:p>
        </xdr:txBody>
      </xdr:sp>
      <xdr:sp macro="" textlink="">
        <xdr:nvSpPr>
          <xdr:cNvPr id="9" name="Rectangle 8">
            <a:hlinkClick xmlns:r="http://schemas.openxmlformats.org/officeDocument/2006/relationships" r:id="rId4"/>
            <a:extLst>
              <a:ext uri="{FF2B5EF4-FFF2-40B4-BE49-F238E27FC236}">
                <a16:creationId xmlns:a16="http://schemas.microsoft.com/office/drawing/2014/main" id="{FEAFC8E3-01E7-472A-A13B-77FAEBBECED6}"/>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Maßnahmen</a:t>
            </a:r>
          </a:p>
        </xdr:txBody>
      </xdr:sp>
      <xdr:sp macro="" textlink="">
        <xdr:nvSpPr>
          <xdr:cNvPr id="10" name="Rectangle 9">
            <a:hlinkClick xmlns:r="http://schemas.openxmlformats.org/officeDocument/2006/relationships" r:id="rId5"/>
            <a:extLst>
              <a:ext uri="{FF2B5EF4-FFF2-40B4-BE49-F238E27FC236}">
                <a16:creationId xmlns:a16="http://schemas.microsoft.com/office/drawing/2014/main" id="{FC38344B-A0C5-4936-86B0-B836F860926B}"/>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Finanzierung</a:t>
            </a:r>
          </a:p>
        </xdr:txBody>
      </xdr:sp>
      <xdr:sp macro="" textlink="">
        <xdr:nvSpPr>
          <xdr:cNvPr id="11" name="Rectangle 10">
            <a:hlinkClick xmlns:r="http://schemas.openxmlformats.org/officeDocument/2006/relationships" r:id="rId6"/>
            <a:extLst>
              <a:ext uri="{FF2B5EF4-FFF2-40B4-BE49-F238E27FC236}">
                <a16:creationId xmlns:a16="http://schemas.microsoft.com/office/drawing/2014/main" id="{CE429C3C-E9DE-4CEE-A44C-7476D5B29822}"/>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12" name="Rectangle 11">
            <a:hlinkClick xmlns:r="http://schemas.openxmlformats.org/officeDocument/2006/relationships" r:id="rId7"/>
            <a:extLst>
              <a:ext uri="{FF2B5EF4-FFF2-40B4-BE49-F238E27FC236}">
                <a16:creationId xmlns:a16="http://schemas.microsoft.com/office/drawing/2014/main" id="{D23848E2-4DF2-4A48-818E-9DC99F57317D}"/>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13" name="Rectangle 12">
            <a:hlinkClick xmlns:r="http://schemas.openxmlformats.org/officeDocument/2006/relationships" r:id="rId8"/>
            <a:extLst>
              <a:ext uri="{FF2B5EF4-FFF2-40B4-BE49-F238E27FC236}">
                <a16:creationId xmlns:a16="http://schemas.microsoft.com/office/drawing/2014/main" id="{173CEE0D-9E88-4E24-B707-E66A04BC2C38}"/>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14" name="Rectangle 13">
            <a:hlinkClick xmlns:r="http://schemas.openxmlformats.org/officeDocument/2006/relationships" r:id="rId9"/>
            <a:extLst>
              <a:ext uri="{FF2B5EF4-FFF2-40B4-BE49-F238E27FC236}">
                <a16:creationId xmlns:a16="http://schemas.microsoft.com/office/drawing/2014/main" id="{A681AB99-1F8C-47AE-ABF7-BF5A33442D9E}"/>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15" name="Rectangle 14">
            <a:extLst>
              <a:ext uri="{FF2B5EF4-FFF2-40B4-BE49-F238E27FC236}">
                <a16:creationId xmlns:a16="http://schemas.microsoft.com/office/drawing/2014/main" id="{2A564467-DD95-48C6-B69C-2AB534D6F96E}"/>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16" name="Rectangle 15">
            <a:extLst>
              <a:ext uri="{FF2B5EF4-FFF2-40B4-BE49-F238E27FC236}">
                <a16:creationId xmlns:a16="http://schemas.microsoft.com/office/drawing/2014/main" id="{C282AD01-A78E-472C-BB70-EC5A103F98CE}"/>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17" name="Rectangle 16">
            <a:extLst>
              <a:ext uri="{FF2B5EF4-FFF2-40B4-BE49-F238E27FC236}">
                <a16:creationId xmlns:a16="http://schemas.microsoft.com/office/drawing/2014/main" id="{51CC87D9-4A37-4FCB-BF86-B7B2F99875FE}"/>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18" name="Rectangle 17">
            <a:extLst>
              <a:ext uri="{FF2B5EF4-FFF2-40B4-BE49-F238E27FC236}">
                <a16:creationId xmlns:a16="http://schemas.microsoft.com/office/drawing/2014/main" id="{AD4B2773-8AAB-475D-9AC1-489B66C81FE4}"/>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19" name="Rectangle 18">
            <a:extLst>
              <a:ext uri="{FF2B5EF4-FFF2-40B4-BE49-F238E27FC236}">
                <a16:creationId xmlns:a16="http://schemas.microsoft.com/office/drawing/2014/main" id="{5FD88174-52E3-468B-B55B-71AED606D8A7}"/>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0" name="Rectangle 19">
            <a:extLst>
              <a:ext uri="{FF2B5EF4-FFF2-40B4-BE49-F238E27FC236}">
                <a16:creationId xmlns:a16="http://schemas.microsoft.com/office/drawing/2014/main" id="{50286177-9391-48BC-9B9C-A3B933AEB39E}"/>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1" name="Rectangle 20">
            <a:extLst>
              <a:ext uri="{FF2B5EF4-FFF2-40B4-BE49-F238E27FC236}">
                <a16:creationId xmlns:a16="http://schemas.microsoft.com/office/drawing/2014/main" id="{A806D56E-E17E-4C8E-970D-16A79EED0BFA}"/>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868E992E-147F-4951-A1AE-3DC3C433F19F}"/>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23" name="Rectangle 22">
            <a:extLst>
              <a:ext uri="{FF2B5EF4-FFF2-40B4-BE49-F238E27FC236}">
                <a16:creationId xmlns:a16="http://schemas.microsoft.com/office/drawing/2014/main" id="{1D91A3D8-62A0-4B42-9916-6FDC3993C9CA}"/>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24" name="Rectangle: Rounded Corners 23">
            <a:hlinkClick xmlns:r="http://schemas.openxmlformats.org/officeDocument/2006/relationships" r:id="rId11"/>
            <a:extLst>
              <a:ext uri="{FF2B5EF4-FFF2-40B4-BE49-F238E27FC236}">
                <a16:creationId xmlns:a16="http://schemas.microsoft.com/office/drawing/2014/main" id="{68D0BD09-E1EE-46EF-8799-88F12D91A701}"/>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25" name="Group 24">
          <a:extLst>
            <a:ext uri="{FF2B5EF4-FFF2-40B4-BE49-F238E27FC236}">
              <a16:creationId xmlns:a16="http://schemas.microsoft.com/office/drawing/2014/main" id="{9F5A93D8-08DD-4C86-8AAD-67431FAF1B96}"/>
            </a:ext>
          </a:extLst>
        </xdr:cNvPr>
        <xdr:cNvGrpSpPr/>
      </xdr:nvGrpSpPr>
      <xdr:grpSpPr>
        <a:xfrm>
          <a:off x="4911725" y="650875"/>
          <a:ext cx="8152832" cy="573485"/>
          <a:chOff x="4705350" y="652463"/>
          <a:chExt cx="7771832" cy="579835"/>
        </a:xfrm>
      </xdr:grpSpPr>
      <xdr:grpSp>
        <xdr:nvGrpSpPr>
          <xdr:cNvPr id="26" name="Group 25">
            <a:extLst>
              <a:ext uri="{FF2B5EF4-FFF2-40B4-BE49-F238E27FC236}">
                <a16:creationId xmlns:a16="http://schemas.microsoft.com/office/drawing/2014/main" id="{DC3ADCDE-D5F3-4EA6-9465-E3C8FC67DA31}"/>
              </a:ext>
            </a:extLst>
          </xdr:cNvPr>
          <xdr:cNvGrpSpPr/>
        </xdr:nvGrpSpPr>
        <xdr:grpSpPr>
          <a:xfrm>
            <a:off x="4705350" y="652463"/>
            <a:ext cx="7771832" cy="257175"/>
            <a:chOff x="4705350" y="642938"/>
            <a:chExt cx="7771832" cy="257175"/>
          </a:xfrm>
        </xdr:grpSpPr>
        <xdr:sp macro="" textlink="">
          <xdr:nvSpPr>
            <xdr:cNvPr id="34" name="Rectangle 33">
              <a:extLst>
                <a:ext uri="{FF2B5EF4-FFF2-40B4-BE49-F238E27FC236}">
                  <a16:creationId xmlns:a16="http://schemas.microsoft.com/office/drawing/2014/main" id="{0CCCBED6-1BAF-4925-AEC5-95E681788312}"/>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35" name="Rectangle 34">
              <a:extLst>
                <a:ext uri="{FF2B5EF4-FFF2-40B4-BE49-F238E27FC236}">
                  <a16:creationId xmlns:a16="http://schemas.microsoft.com/office/drawing/2014/main" id="{4B12472A-E5D5-473F-AEC7-33D0AFBE7969}"/>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36" name="Rectangle 35">
              <a:extLst>
                <a:ext uri="{FF2B5EF4-FFF2-40B4-BE49-F238E27FC236}">
                  <a16:creationId xmlns:a16="http://schemas.microsoft.com/office/drawing/2014/main" id="{D6E5A491-E5CD-4386-8D9B-0A02D97EAB24}"/>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37" name="Rectangle 36">
              <a:extLst>
                <a:ext uri="{FF2B5EF4-FFF2-40B4-BE49-F238E27FC236}">
                  <a16:creationId xmlns:a16="http://schemas.microsoft.com/office/drawing/2014/main" id="{995E425D-99F2-454F-A039-4FD7691E866C}"/>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39114F5-BB6F-4BF2-9B7D-47D62EF0EC0B}"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38" name="Rectangle 37">
              <a:extLst>
                <a:ext uri="{FF2B5EF4-FFF2-40B4-BE49-F238E27FC236}">
                  <a16:creationId xmlns:a16="http://schemas.microsoft.com/office/drawing/2014/main" id="{9F992F14-B2B4-42A0-AE32-D29787852113}"/>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D52DF68-69F4-49D3-91D7-01C3855C5F9C}"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39" name="Rectangle 38">
              <a:extLst>
                <a:ext uri="{FF2B5EF4-FFF2-40B4-BE49-F238E27FC236}">
                  <a16:creationId xmlns:a16="http://schemas.microsoft.com/office/drawing/2014/main" id="{03075094-713E-4B04-8361-EBB407069245}"/>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2776E36-91B9-4C52-A860-2C006E4F3AC3}"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27" name="Group 26">
            <a:extLst>
              <a:ext uri="{FF2B5EF4-FFF2-40B4-BE49-F238E27FC236}">
                <a16:creationId xmlns:a16="http://schemas.microsoft.com/office/drawing/2014/main" id="{03281E03-9242-410D-924B-3AD056A881CE}"/>
              </a:ext>
            </a:extLst>
          </xdr:cNvPr>
          <xdr:cNvGrpSpPr/>
        </xdr:nvGrpSpPr>
        <xdr:grpSpPr>
          <a:xfrm>
            <a:off x="4705350" y="975123"/>
            <a:ext cx="7771832" cy="257175"/>
            <a:chOff x="4705350" y="975123"/>
            <a:chExt cx="7771832" cy="257175"/>
          </a:xfrm>
        </xdr:grpSpPr>
        <xdr:sp macro="" textlink="">
          <xdr:nvSpPr>
            <xdr:cNvPr id="28" name="Rectangle 27">
              <a:extLst>
                <a:ext uri="{FF2B5EF4-FFF2-40B4-BE49-F238E27FC236}">
                  <a16:creationId xmlns:a16="http://schemas.microsoft.com/office/drawing/2014/main" id="{7FB9B68F-E069-4103-BAB7-95D6090FB2CA}"/>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29" name="Rectangle 28">
              <a:extLst>
                <a:ext uri="{FF2B5EF4-FFF2-40B4-BE49-F238E27FC236}">
                  <a16:creationId xmlns:a16="http://schemas.microsoft.com/office/drawing/2014/main" id="{83D15A90-F2C5-4880-B37A-E9DC42DF9362}"/>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30" name="Rectangle 29">
              <a:extLst>
                <a:ext uri="{FF2B5EF4-FFF2-40B4-BE49-F238E27FC236}">
                  <a16:creationId xmlns:a16="http://schemas.microsoft.com/office/drawing/2014/main" id="{510A611A-F3C2-44E7-9985-FE27353EF9D5}"/>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31" name="Rectangle 30">
              <a:extLst>
                <a:ext uri="{FF2B5EF4-FFF2-40B4-BE49-F238E27FC236}">
                  <a16:creationId xmlns:a16="http://schemas.microsoft.com/office/drawing/2014/main" id="{FDE40253-23DE-4F07-BB70-6C2D45958D46}"/>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B91D424-B561-4009-AC20-AEB1E1418BED}"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32" name="Rectangle 31">
              <a:extLst>
                <a:ext uri="{FF2B5EF4-FFF2-40B4-BE49-F238E27FC236}">
                  <a16:creationId xmlns:a16="http://schemas.microsoft.com/office/drawing/2014/main" id="{B5380576-6197-4D5A-BB85-5BEB0D3D2DB8}"/>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1DEEF0F-88D7-4794-8389-8419D6A31776}"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33" name="Rectangle 32">
              <a:extLst>
                <a:ext uri="{FF2B5EF4-FFF2-40B4-BE49-F238E27FC236}">
                  <a16:creationId xmlns:a16="http://schemas.microsoft.com/office/drawing/2014/main" id="{ADA35FC0-EC71-4A7F-B686-608CCFC84E24}"/>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652FA06-7298-425B-80A4-2397A9E596ED}"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9</xdr:col>
      <xdr:colOff>342900</xdr:colOff>
      <xdr:row>19</xdr:row>
      <xdr:rowOff>47625</xdr:rowOff>
    </xdr:from>
    <xdr:to>
      <xdr:col>11</xdr:col>
      <xdr:colOff>533400</xdr:colOff>
      <xdr:row>21</xdr:row>
      <xdr:rowOff>47625</xdr:rowOff>
    </xdr:to>
    <xdr:sp macro="" textlink="">
      <xdr:nvSpPr>
        <xdr:cNvPr id="42" name="Arrow: Right 41">
          <a:hlinkClick xmlns:r="http://schemas.openxmlformats.org/officeDocument/2006/relationships" r:id="rId10"/>
          <a:extLst>
            <a:ext uri="{FF2B5EF4-FFF2-40B4-BE49-F238E27FC236}">
              <a16:creationId xmlns:a16="http://schemas.microsoft.com/office/drawing/2014/main" id="{A8B637EF-77AC-4139-8EAA-802320AD11A8}"/>
            </a:ext>
          </a:extLst>
        </xdr:cNvPr>
        <xdr:cNvSpPr/>
      </xdr:nvSpPr>
      <xdr:spPr>
        <a:xfrm>
          <a:off x="6572250" y="56102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7</xdr:col>
      <xdr:colOff>28575</xdr:colOff>
      <xdr:row>19</xdr:row>
      <xdr:rowOff>47625</xdr:rowOff>
    </xdr:from>
    <xdr:to>
      <xdr:col>9</xdr:col>
      <xdr:colOff>219075</xdr:colOff>
      <xdr:row>21</xdr:row>
      <xdr:rowOff>47625</xdr:rowOff>
    </xdr:to>
    <xdr:sp macro="" textlink="">
      <xdr:nvSpPr>
        <xdr:cNvPr id="43" name="Arrow: Right 42">
          <a:hlinkClick xmlns:r="http://schemas.openxmlformats.org/officeDocument/2006/relationships" r:id="rId11"/>
          <a:extLst>
            <a:ext uri="{FF2B5EF4-FFF2-40B4-BE49-F238E27FC236}">
              <a16:creationId xmlns:a16="http://schemas.microsoft.com/office/drawing/2014/main" id="{A2207780-7345-4CB5-9632-3CF2EDDA1971}"/>
            </a:ext>
          </a:extLst>
        </xdr:cNvPr>
        <xdr:cNvSpPr/>
      </xdr:nvSpPr>
      <xdr:spPr>
        <a:xfrm flipH="1">
          <a:off x="4752975" y="56102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3" name="Picture 2">
          <a:extLst>
            <a:ext uri="{FF2B5EF4-FFF2-40B4-BE49-F238E27FC236}">
              <a16:creationId xmlns:a16="http://schemas.microsoft.com/office/drawing/2014/main" id="{48CDC8F8-62AE-41B2-8104-E3F414F3B0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21" name="Diagramm 7">
          <a:extLst>
            <a:ext uri="{FF2B5EF4-FFF2-40B4-BE49-F238E27FC236}">
              <a16:creationId xmlns:a16="http://schemas.microsoft.com/office/drawing/2014/main" id="{C6A97A88-2601-4A1A-9D70-FE36EC04A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0</xdr:rowOff>
    </xdr:from>
    <xdr:to>
      <xdr:col>17</xdr:col>
      <xdr:colOff>190500</xdr:colOff>
      <xdr:row>10</xdr:row>
      <xdr:rowOff>76200</xdr:rowOff>
    </xdr:to>
    <xdr:sp macro="" textlink="">
      <xdr:nvSpPr>
        <xdr:cNvPr id="4" name="Rectangle: Rounded Corners 3">
          <a:extLst>
            <a:ext uri="{FF2B5EF4-FFF2-40B4-BE49-F238E27FC236}">
              <a16:creationId xmlns:a16="http://schemas.microsoft.com/office/drawing/2014/main" id="{970E5472-7158-461C-A9F4-BAB960AF2644}"/>
            </a:ext>
          </a:extLst>
        </xdr:cNvPr>
        <xdr:cNvSpPr/>
      </xdr:nvSpPr>
      <xdr:spPr>
        <a:xfrm>
          <a:off x="4733925" y="1647825"/>
          <a:ext cx="7705725" cy="942975"/>
        </a:xfrm>
        <a:prstGeom prst="roundRect">
          <a:avLst>
            <a:gd name="adj" fmla="val 7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spcAft>
              <a:spcPts val="600"/>
            </a:spcAft>
          </a:pPr>
          <a:r>
            <a:rPr lang="de-DE" sz="1200">
              <a:solidFill>
                <a:schemeClr val="tx2"/>
              </a:solidFill>
              <a:latin typeface="Century Gothic" panose="020B0502020202020204" pitchFamily="34" charset="0"/>
            </a:rPr>
            <a:t>Gib hier den </a:t>
          </a:r>
          <a:r>
            <a:rPr lang="de-DE" sz="1200" b="1">
              <a:solidFill>
                <a:schemeClr val="tx2"/>
              </a:solidFill>
              <a:latin typeface="Century Gothic" panose="020B0502020202020204" pitchFamily="34" charset="0"/>
            </a:rPr>
            <a:t>Kaufpreis</a:t>
          </a:r>
          <a:r>
            <a:rPr lang="de-DE" sz="1200">
              <a:solidFill>
                <a:schemeClr val="tx2"/>
              </a:solidFill>
              <a:latin typeface="Century Gothic" panose="020B0502020202020204" pitchFamily="34" charset="0"/>
            </a:rPr>
            <a:t> ein. Für die erste Berechnung kannst du am besten die Preisvorstellung des Verkäufers verwenden.</a:t>
          </a:r>
        </a:p>
        <a:p>
          <a:pPr algn="l">
            <a:lnSpc>
              <a:spcPct val="130000"/>
            </a:lnSpc>
            <a:spcAft>
              <a:spcPts val="600"/>
            </a:spcAft>
          </a:pPr>
          <a:r>
            <a:rPr lang="de-DE" sz="1200">
              <a:solidFill>
                <a:schemeClr val="tx2"/>
              </a:solidFill>
              <a:latin typeface="Century Gothic" panose="020B0502020202020204" pitchFamily="34" charset="0"/>
            </a:rPr>
            <a:t>Gib hier die </a:t>
          </a:r>
          <a:r>
            <a:rPr lang="de-DE" sz="1200" b="1" baseline="0">
              <a:solidFill>
                <a:schemeClr val="tx2"/>
              </a:solidFill>
              <a:latin typeface="Century Gothic" panose="020B0502020202020204" pitchFamily="34" charset="0"/>
            </a:rPr>
            <a:t>Kaltmiete </a:t>
          </a:r>
          <a:r>
            <a:rPr lang="de-DE" sz="1200" b="0" baseline="0">
              <a:solidFill>
                <a:schemeClr val="tx2"/>
              </a:solidFill>
              <a:latin typeface="Century Gothic" panose="020B0502020202020204" pitchFamily="34" charset="0"/>
            </a:rPr>
            <a:t>ein</a:t>
          </a:r>
          <a:r>
            <a:rPr lang="de-DE" sz="1200" baseline="0">
              <a:solidFill>
                <a:schemeClr val="tx2"/>
              </a:solidFill>
              <a:latin typeface="Century Gothic" panose="020B0502020202020204" pitchFamily="34" charset="0"/>
            </a:rPr>
            <a:t>, die du pro Monat insgesamt erwartest. </a:t>
          </a:r>
        </a:p>
      </xdr:txBody>
    </xdr:sp>
    <xdr:clientData/>
  </xdr:twoCellAnchor>
  <xdr:twoCellAnchor>
    <xdr:from>
      <xdr:col>7</xdr:col>
      <xdr:colOff>9525</xdr:colOff>
      <xdr:row>11</xdr:row>
      <xdr:rowOff>257176</xdr:rowOff>
    </xdr:from>
    <xdr:to>
      <xdr:col>17</xdr:col>
      <xdr:colOff>192375</xdr:colOff>
      <xdr:row>14</xdr:row>
      <xdr:rowOff>104775</xdr:rowOff>
    </xdr:to>
    <xdr:sp macro="" textlink="">
      <xdr:nvSpPr>
        <xdr:cNvPr id="33" name="Rectangle: Rounded Corners 32">
          <a:extLst>
            <a:ext uri="{FF2B5EF4-FFF2-40B4-BE49-F238E27FC236}">
              <a16:creationId xmlns:a16="http://schemas.microsoft.com/office/drawing/2014/main" id="{4D4E4D12-835C-4BA6-8172-7BBC2E2E21AA}"/>
            </a:ext>
          </a:extLst>
        </xdr:cNvPr>
        <xdr:cNvSpPr/>
      </xdr:nvSpPr>
      <xdr:spPr>
        <a:xfrm>
          <a:off x="4733925" y="2990851"/>
          <a:ext cx="7707600" cy="628649"/>
        </a:xfrm>
        <a:prstGeom prst="roundRect">
          <a:avLst>
            <a:gd name="adj" fmla="val 1218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pPr>
          <a:r>
            <a:rPr lang="de-DE" sz="1200" baseline="0">
              <a:solidFill>
                <a:schemeClr val="tx2"/>
              </a:solidFill>
              <a:latin typeface="Century Gothic" panose="020B0502020202020204" pitchFamily="34" charset="0"/>
            </a:rPr>
            <a:t>Die Bruttomietrendite gibt dir ein erstes Gefühl dafür, ob die Wohnung zu diesem Kaufpreis eine lohnenswerte Geldanlage ist.</a:t>
          </a:r>
        </a:p>
      </xdr:txBody>
    </xdr:sp>
    <xdr:clientData/>
  </xdr:twoCellAnchor>
  <xdr:twoCellAnchor editAs="oneCell">
    <xdr:from>
      <xdr:col>7</xdr:col>
      <xdr:colOff>123826</xdr:colOff>
      <xdr:row>12</xdr:row>
      <xdr:rowOff>133351</xdr:rowOff>
    </xdr:from>
    <xdr:to>
      <xdr:col>7</xdr:col>
      <xdr:colOff>466726</xdr:colOff>
      <xdr:row>13</xdr:row>
      <xdr:rowOff>152401</xdr:rowOff>
    </xdr:to>
    <xdr:pic>
      <xdr:nvPicPr>
        <xdr:cNvPr id="38" name="Picture 37" descr="http://de.seaicons.com/wp-content/uploads/2015/11/15-Light-Bulb-icon.png">
          <a:extLst>
            <a:ext uri="{FF2B5EF4-FFF2-40B4-BE49-F238E27FC236}">
              <a16:creationId xmlns:a16="http://schemas.microsoft.com/office/drawing/2014/main" id="{3ABAE906-18BD-4B99-934F-F72C216B60F2}"/>
            </a:ext>
          </a:extLst>
        </xdr:cNvPr>
        <xdr:cNvPicPr>
          <a:picLocks noChangeAspect="1" noChangeArrowheads="1"/>
        </xdr:cNvPicPr>
      </xdr:nvPicPr>
      <xdr:blipFill>
        <a:blip xmlns:r="http://schemas.openxmlformats.org/officeDocument/2006/relationships" r:embed="rId3"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48226" y="3133726"/>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323850</xdr:colOff>
      <xdr:row>16</xdr:row>
      <xdr:rowOff>0</xdr:rowOff>
    </xdr:from>
    <xdr:to>
      <xdr:col>11</xdr:col>
      <xdr:colOff>514350</xdr:colOff>
      <xdr:row>18</xdr:row>
      <xdr:rowOff>0</xdr:rowOff>
    </xdr:to>
    <xdr:sp macro="" textlink="">
      <xdr:nvSpPr>
        <xdr:cNvPr id="39" name="Arrow: Right 38">
          <a:hlinkClick xmlns:r="http://schemas.openxmlformats.org/officeDocument/2006/relationships" r:id="rId4"/>
          <a:extLst>
            <a:ext uri="{FF2B5EF4-FFF2-40B4-BE49-F238E27FC236}">
              <a16:creationId xmlns:a16="http://schemas.microsoft.com/office/drawing/2014/main" id="{14669D30-3331-4186-9FCF-155A7CDF280D}"/>
            </a:ext>
          </a:extLst>
        </xdr:cNvPr>
        <xdr:cNvSpPr/>
      </xdr:nvSpPr>
      <xdr:spPr>
        <a:xfrm>
          <a:off x="6553200" y="38957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7</xdr:col>
      <xdr:colOff>9525</xdr:colOff>
      <xdr:row>16</xdr:row>
      <xdr:rowOff>0</xdr:rowOff>
    </xdr:from>
    <xdr:to>
      <xdr:col>9</xdr:col>
      <xdr:colOff>200025</xdr:colOff>
      <xdr:row>18</xdr:row>
      <xdr:rowOff>0</xdr:rowOff>
    </xdr:to>
    <xdr:sp macro="" textlink="">
      <xdr:nvSpPr>
        <xdr:cNvPr id="41" name="Arrow: Right 40">
          <a:hlinkClick xmlns:r="http://schemas.openxmlformats.org/officeDocument/2006/relationships" r:id="rId5"/>
          <a:extLst>
            <a:ext uri="{FF2B5EF4-FFF2-40B4-BE49-F238E27FC236}">
              <a16:creationId xmlns:a16="http://schemas.microsoft.com/office/drawing/2014/main" id="{925922ED-EF4B-4609-92C9-1F722EFB3C80}"/>
            </a:ext>
          </a:extLst>
        </xdr:cNvPr>
        <xdr:cNvSpPr/>
      </xdr:nvSpPr>
      <xdr:spPr>
        <a:xfrm flipH="1">
          <a:off x="4733925" y="38957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85725</xdr:colOff>
      <xdr:row>0</xdr:row>
      <xdr:rowOff>133350</xdr:rowOff>
    </xdr:from>
    <xdr:to>
      <xdr:col>17</xdr:col>
      <xdr:colOff>266700</xdr:colOff>
      <xdr:row>2</xdr:row>
      <xdr:rowOff>29325</xdr:rowOff>
    </xdr:to>
    <xdr:grpSp>
      <xdr:nvGrpSpPr>
        <xdr:cNvPr id="75" name="Group 74">
          <a:extLst>
            <a:ext uri="{FF2B5EF4-FFF2-40B4-BE49-F238E27FC236}">
              <a16:creationId xmlns:a16="http://schemas.microsoft.com/office/drawing/2014/main" id="{9EDC5DCE-2EE1-4305-BEAF-CAB04A9032B9}"/>
            </a:ext>
          </a:extLst>
        </xdr:cNvPr>
        <xdr:cNvGrpSpPr/>
      </xdr:nvGrpSpPr>
      <xdr:grpSpPr>
        <a:xfrm>
          <a:off x="3089275" y="133350"/>
          <a:ext cx="10004425" cy="245225"/>
          <a:chOff x="2952750" y="137737"/>
          <a:chExt cx="9563100" cy="248400"/>
        </a:xfrm>
      </xdr:grpSpPr>
      <xdr:sp macro="" textlink="">
        <xdr:nvSpPr>
          <xdr:cNvPr id="76" name="Rectangle 75">
            <a:hlinkClick xmlns:r="http://schemas.openxmlformats.org/officeDocument/2006/relationships" r:id="rId4"/>
            <a:extLst>
              <a:ext uri="{FF2B5EF4-FFF2-40B4-BE49-F238E27FC236}">
                <a16:creationId xmlns:a16="http://schemas.microsoft.com/office/drawing/2014/main" id="{4833DB40-522A-43F6-BEB9-57A631959E7E}"/>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Kaufnebenkosten</a:t>
            </a:r>
          </a:p>
        </xdr:txBody>
      </xdr:sp>
      <xdr:sp macro="" textlink="">
        <xdr:nvSpPr>
          <xdr:cNvPr id="77" name="Rectangle 76">
            <a:hlinkClick xmlns:r="http://schemas.openxmlformats.org/officeDocument/2006/relationships" r:id="rId6"/>
            <a:extLst>
              <a:ext uri="{FF2B5EF4-FFF2-40B4-BE49-F238E27FC236}">
                <a16:creationId xmlns:a16="http://schemas.microsoft.com/office/drawing/2014/main" id="{C8A0949D-98E5-4D61-A13F-28C140E6EAD3}"/>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Maßnahmen</a:t>
            </a:r>
          </a:p>
        </xdr:txBody>
      </xdr:sp>
      <xdr:sp macro="" textlink="">
        <xdr:nvSpPr>
          <xdr:cNvPr id="78" name="Rectangle 77">
            <a:hlinkClick xmlns:r="http://schemas.openxmlformats.org/officeDocument/2006/relationships" r:id="rId7"/>
            <a:extLst>
              <a:ext uri="{FF2B5EF4-FFF2-40B4-BE49-F238E27FC236}">
                <a16:creationId xmlns:a16="http://schemas.microsoft.com/office/drawing/2014/main" id="{B463234A-A08A-49D2-9DFC-BA4A82A22840}"/>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Finanzierung</a:t>
            </a:r>
          </a:p>
        </xdr:txBody>
      </xdr:sp>
      <xdr:sp macro="" textlink="">
        <xdr:nvSpPr>
          <xdr:cNvPr id="79" name="Rectangle 78">
            <a:hlinkClick xmlns:r="http://schemas.openxmlformats.org/officeDocument/2006/relationships" r:id="rId8"/>
            <a:extLst>
              <a:ext uri="{FF2B5EF4-FFF2-40B4-BE49-F238E27FC236}">
                <a16:creationId xmlns:a16="http://schemas.microsoft.com/office/drawing/2014/main" id="{A5F49099-80BE-4422-9C65-CB6298015508}"/>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80" name="Rectangle 79">
            <a:hlinkClick xmlns:r="http://schemas.openxmlformats.org/officeDocument/2006/relationships" r:id="rId9"/>
            <a:extLst>
              <a:ext uri="{FF2B5EF4-FFF2-40B4-BE49-F238E27FC236}">
                <a16:creationId xmlns:a16="http://schemas.microsoft.com/office/drawing/2014/main" id="{1BA129F6-72EA-4550-9B74-4C83EC5C91F6}"/>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81" name="Rectangle 80">
            <a:hlinkClick xmlns:r="http://schemas.openxmlformats.org/officeDocument/2006/relationships" r:id="rId10"/>
            <a:extLst>
              <a:ext uri="{FF2B5EF4-FFF2-40B4-BE49-F238E27FC236}">
                <a16:creationId xmlns:a16="http://schemas.microsoft.com/office/drawing/2014/main" id="{5C86D1CD-8AA2-4AE5-AF08-B15E92A8EDF9}"/>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82" name="Rectangle 81">
            <a:hlinkClick xmlns:r="http://schemas.openxmlformats.org/officeDocument/2006/relationships" r:id="rId11"/>
            <a:extLst>
              <a:ext uri="{FF2B5EF4-FFF2-40B4-BE49-F238E27FC236}">
                <a16:creationId xmlns:a16="http://schemas.microsoft.com/office/drawing/2014/main" id="{0170A5D8-CB06-4A2A-B0C1-F4FFD3BF049B}"/>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83" name="Rectangle 82">
            <a:extLst>
              <a:ext uri="{FF2B5EF4-FFF2-40B4-BE49-F238E27FC236}">
                <a16:creationId xmlns:a16="http://schemas.microsoft.com/office/drawing/2014/main" id="{4065D5A3-597F-4A7A-8DC8-010558FC34B9}"/>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4" name="Rectangle 83">
            <a:extLst>
              <a:ext uri="{FF2B5EF4-FFF2-40B4-BE49-F238E27FC236}">
                <a16:creationId xmlns:a16="http://schemas.microsoft.com/office/drawing/2014/main" id="{441FC0E6-DFC1-4414-AFF5-204F0CFC6A5A}"/>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5" name="Rectangle 84">
            <a:extLst>
              <a:ext uri="{FF2B5EF4-FFF2-40B4-BE49-F238E27FC236}">
                <a16:creationId xmlns:a16="http://schemas.microsoft.com/office/drawing/2014/main" id="{186B71A7-3AAD-4F48-91EE-2B406D14E483}"/>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6" name="Rectangle 85">
            <a:extLst>
              <a:ext uri="{FF2B5EF4-FFF2-40B4-BE49-F238E27FC236}">
                <a16:creationId xmlns:a16="http://schemas.microsoft.com/office/drawing/2014/main" id="{C31A4C93-5CA4-4661-AEC0-6C74F46E14C7}"/>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7" name="Rectangle 86">
            <a:extLst>
              <a:ext uri="{FF2B5EF4-FFF2-40B4-BE49-F238E27FC236}">
                <a16:creationId xmlns:a16="http://schemas.microsoft.com/office/drawing/2014/main" id="{F5EC2961-9F8C-4D65-BBC9-3E464F1337EB}"/>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8" name="Rectangle 87">
            <a:extLst>
              <a:ext uri="{FF2B5EF4-FFF2-40B4-BE49-F238E27FC236}">
                <a16:creationId xmlns:a16="http://schemas.microsoft.com/office/drawing/2014/main" id="{7EE1F58E-4AC3-4CC2-AD59-AFECDF639061}"/>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89" name="Rectangle 88">
            <a:extLst>
              <a:ext uri="{FF2B5EF4-FFF2-40B4-BE49-F238E27FC236}">
                <a16:creationId xmlns:a16="http://schemas.microsoft.com/office/drawing/2014/main" id="{8117C896-1569-4F08-95C2-9DC59AD46D16}"/>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90" name="Rectangle: Rounded Corners 89">
            <a:hlinkClick xmlns:r="http://schemas.openxmlformats.org/officeDocument/2006/relationships" r:id="rId12"/>
            <a:extLst>
              <a:ext uri="{FF2B5EF4-FFF2-40B4-BE49-F238E27FC236}">
                <a16:creationId xmlns:a16="http://schemas.microsoft.com/office/drawing/2014/main" id="{6DE53561-4E72-467E-AC19-CD5B5E61F5B9}"/>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Kaufpreis und Miete</a:t>
            </a:r>
          </a:p>
        </xdr:txBody>
      </xdr:sp>
      <xdr:sp macro="" textlink="">
        <xdr:nvSpPr>
          <xdr:cNvPr id="91" name="Rectangle 90">
            <a:extLst>
              <a:ext uri="{FF2B5EF4-FFF2-40B4-BE49-F238E27FC236}">
                <a16:creationId xmlns:a16="http://schemas.microsoft.com/office/drawing/2014/main" id="{46A40AAA-7BC0-4E3B-94BC-5E245FC12466}"/>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92" name="Rectangle: Rounded Corners 91">
            <a:hlinkClick xmlns:r="http://schemas.openxmlformats.org/officeDocument/2006/relationships" r:id="rId13"/>
            <a:extLst>
              <a:ext uri="{FF2B5EF4-FFF2-40B4-BE49-F238E27FC236}">
                <a16:creationId xmlns:a16="http://schemas.microsoft.com/office/drawing/2014/main" id="{DF9222FB-A03D-48B8-90D4-C620152A71FD}"/>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590550</xdr:colOff>
      <xdr:row>3</xdr:row>
      <xdr:rowOff>142875</xdr:rowOff>
    </xdr:from>
    <xdr:to>
      <xdr:col>17</xdr:col>
      <xdr:colOff>228032</xdr:colOff>
      <xdr:row>5</xdr:row>
      <xdr:rowOff>246460</xdr:rowOff>
    </xdr:to>
    <xdr:grpSp>
      <xdr:nvGrpSpPr>
        <xdr:cNvPr id="42" name="Group 41">
          <a:extLst>
            <a:ext uri="{FF2B5EF4-FFF2-40B4-BE49-F238E27FC236}">
              <a16:creationId xmlns:a16="http://schemas.microsoft.com/office/drawing/2014/main" id="{4ED0F51D-ED11-41EF-8439-EFCAAE578D47}"/>
            </a:ext>
          </a:extLst>
        </xdr:cNvPr>
        <xdr:cNvGrpSpPr/>
      </xdr:nvGrpSpPr>
      <xdr:grpSpPr>
        <a:xfrm>
          <a:off x="4902200" y="650875"/>
          <a:ext cx="8152832" cy="573485"/>
          <a:chOff x="4705350" y="652463"/>
          <a:chExt cx="7771832" cy="579835"/>
        </a:xfrm>
      </xdr:grpSpPr>
      <xdr:grpSp>
        <xdr:nvGrpSpPr>
          <xdr:cNvPr id="43" name="Group 42">
            <a:extLst>
              <a:ext uri="{FF2B5EF4-FFF2-40B4-BE49-F238E27FC236}">
                <a16:creationId xmlns:a16="http://schemas.microsoft.com/office/drawing/2014/main" id="{94D4482A-A47E-4BD7-9846-3D7952E881C2}"/>
              </a:ext>
            </a:extLst>
          </xdr:cNvPr>
          <xdr:cNvGrpSpPr/>
        </xdr:nvGrpSpPr>
        <xdr:grpSpPr>
          <a:xfrm>
            <a:off x="4705350" y="652463"/>
            <a:ext cx="7771832" cy="257175"/>
            <a:chOff x="4705350" y="642938"/>
            <a:chExt cx="7771832" cy="257175"/>
          </a:xfrm>
        </xdr:grpSpPr>
        <xdr:sp macro="" textlink="">
          <xdr:nvSpPr>
            <xdr:cNvPr id="54" name="Rectangle 53">
              <a:extLst>
                <a:ext uri="{FF2B5EF4-FFF2-40B4-BE49-F238E27FC236}">
                  <a16:creationId xmlns:a16="http://schemas.microsoft.com/office/drawing/2014/main" id="{4ED8411E-0FD9-44AD-8EA0-BB4D2038DCE7}"/>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55" name="Rectangle 54">
              <a:extLst>
                <a:ext uri="{FF2B5EF4-FFF2-40B4-BE49-F238E27FC236}">
                  <a16:creationId xmlns:a16="http://schemas.microsoft.com/office/drawing/2014/main" id="{06C99CFB-257B-42F1-AE98-489C5D892DCA}"/>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56" name="Rectangle 55">
              <a:extLst>
                <a:ext uri="{FF2B5EF4-FFF2-40B4-BE49-F238E27FC236}">
                  <a16:creationId xmlns:a16="http://schemas.microsoft.com/office/drawing/2014/main" id="{CC01CB53-1861-45E6-886A-B69A1573B167}"/>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57" name="Rectangle 56">
              <a:extLst>
                <a:ext uri="{FF2B5EF4-FFF2-40B4-BE49-F238E27FC236}">
                  <a16:creationId xmlns:a16="http://schemas.microsoft.com/office/drawing/2014/main" id="{FEDCA5B1-AA13-4641-B162-AEB226DC52AC}"/>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533A9EF-5A67-4AC7-96A8-B1FCEB797A3B}"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58" name="Rectangle 57">
              <a:extLst>
                <a:ext uri="{FF2B5EF4-FFF2-40B4-BE49-F238E27FC236}">
                  <a16:creationId xmlns:a16="http://schemas.microsoft.com/office/drawing/2014/main" id="{53AD6C7B-AB3D-4DE7-9566-2564B71F738C}"/>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36F5D9D-82EA-49A6-A64A-C38A018B514F}"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59" name="Rectangle 58">
              <a:extLst>
                <a:ext uri="{FF2B5EF4-FFF2-40B4-BE49-F238E27FC236}">
                  <a16:creationId xmlns:a16="http://schemas.microsoft.com/office/drawing/2014/main" id="{02B9AA33-09DA-4AAF-BD05-7EEB6D35B9C3}"/>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F513B56-1D98-427C-9F94-C2A2641EB95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44" name="Group 43">
            <a:extLst>
              <a:ext uri="{FF2B5EF4-FFF2-40B4-BE49-F238E27FC236}">
                <a16:creationId xmlns:a16="http://schemas.microsoft.com/office/drawing/2014/main" id="{C1B93755-04FA-48B0-A2F2-E6B2430EB6AC}"/>
              </a:ext>
            </a:extLst>
          </xdr:cNvPr>
          <xdr:cNvGrpSpPr/>
        </xdr:nvGrpSpPr>
        <xdr:grpSpPr>
          <a:xfrm>
            <a:off x="4705350" y="975123"/>
            <a:ext cx="7771832" cy="257175"/>
            <a:chOff x="4705350" y="975123"/>
            <a:chExt cx="7771832" cy="257175"/>
          </a:xfrm>
        </xdr:grpSpPr>
        <xdr:sp macro="" textlink="">
          <xdr:nvSpPr>
            <xdr:cNvPr id="45" name="Rectangle 44">
              <a:extLst>
                <a:ext uri="{FF2B5EF4-FFF2-40B4-BE49-F238E27FC236}">
                  <a16:creationId xmlns:a16="http://schemas.microsoft.com/office/drawing/2014/main" id="{8F49B5AA-327A-4286-AE52-1C06529AF9D3}"/>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46" name="Rectangle 45">
              <a:extLst>
                <a:ext uri="{FF2B5EF4-FFF2-40B4-BE49-F238E27FC236}">
                  <a16:creationId xmlns:a16="http://schemas.microsoft.com/office/drawing/2014/main" id="{9E44D721-2658-40B9-9BED-360FE082FC1B}"/>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47" name="Rectangle 46">
              <a:extLst>
                <a:ext uri="{FF2B5EF4-FFF2-40B4-BE49-F238E27FC236}">
                  <a16:creationId xmlns:a16="http://schemas.microsoft.com/office/drawing/2014/main" id="{9FC5A8B2-A28A-477D-A17A-61EA9D2DE1F8}"/>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50" name="Rectangle 49">
              <a:extLst>
                <a:ext uri="{FF2B5EF4-FFF2-40B4-BE49-F238E27FC236}">
                  <a16:creationId xmlns:a16="http://schemas.microsoft.com/office/drawing/2014/main" id="{7DEF844B-ACCE-4E9C-AD8E-505FCF457BED}"/>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1CB2B8B7-280F-4D0C-B148-54FE18C84118}"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52" name="Rectangle 51">
              <a:extLst>
                <a:ext uri="{FF2B5EF4-FFF2-40B4-BE49-F238E27FC236}">
                  <a16:creationId xmlns:a16="http://schemas.microsoft.com/office/drawing/2014/main" id="{069B4CB5-92D4-43D2-B121-05BB435BFBED}"/>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F05D8BA-A981-46FD-9BD1-92D62F9B70F5}"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53" name="Rectangle 52">
              <a:extLst>
                <a:ext uri="{FF2B5EF4-FFF2-40B4-BE49-F238E27FC236}">
                  <a16:creationId xmlns:a16="http://schemas.microsoft.com/office/drawing/2014/main" id="{99068FB5-6FD7-46BA-9692-82CA3E45A002}"/>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3488A5C6-B125-4022-A828-F06F75A6B70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AC82660C-DF17-4F41-A81D-3D73505AE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1EA7842D-15DA-4112-B924-886820CE2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0</xdr:rowOff>
    </xdr:from>
    <xdr:to>
      <xdr:col>17</xdr:col>
      <xdr:colOff>190500</xdr:colOff>
      <xdr:row>9</xdr:row>
      <xdr:rowOff>76200</xdr:rowOff>
    </xdr:to>
    <xdr:sp macro="" textlink="">
      <xdr:nvSpPr>
        <xdr:cNvPr id="12" name="Rectangle: Rounded Corners 11">
          <a:extLst>
            <a:ext uri="{FF2B5EF4-FFF2-40B4-BE49-F238E27FC236}">
              <a16:creationId xmlns:a16="http://schemas.microsoft.com/office/drawing/2014/main" id="{E423D096-9F33-4F78-882D-F55D718AAA56}"/>
            </a:ext>
          </a:extLst>
        </xdr:cNvPr>
        <xdr:cNvSpPr/>
      </xdr:nvSpPr>
      <xdr:spPr>
        <a:xfrm>
          <a:off x="4733925" y="1647825"/>
          <a:ext cx="7705725" cy="619125"/>
        </a:xfrm>
        <a:prstGeom prst="roundRect">
          <a:avLst>
            <a:gd name="adj" fmla="val 7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Wähle das </a:t>
          </a:r>
          <a:r>
            <a:rPr lang="de-DE" sz="1200" b="1">
              <a:solidFill>
                <a:schemeClr val="tx2"/>
              </a:solidFill>
              <a:latin typeface="Century Gothic" panose="020B0502020202020204" pitchFamily="34" charset="0"/>
            </a:rPr>
            <a:t>Bundesland</a:t>
          </a:r>
          <a:r>
            <a:rPr lang="de-DE" sz="1200">
              <a:solidFill>
                <a:schemeClr val="tx2"/>
              </a:solidFill>
              <a:latin typeface="Century Gothic" panose="020B0502020202020204" pitchFamily="34" charset="0"/>
            </a:rPr>
            <a:t> aus,</a:t>
          </a:r>
          <a:r>
            <a:rPr lang="de-DE" sz="1200" baseline="0">
              <a:solidFill>
                <a:schemeClr val="tx2"/>
              </a:solidFill>
              <a:latin typeface="Century Gothic" panose="020B0502020202020204" pitchFamily="34" charset="0"/>
            </a:rPr>
            <a:t> in dem die Wohnung liegt. Das Tool ermittelt daraus die jeweils gültige Grunderwerbsteuer.</a:t>
          </a:r>
        </a:p>
      </xdr:txBody>
    </xdr:sp>
    <xdr:clientData/>
  </xdr:twoCellAnchor>
  <xdr:twoCellAnchor>
    <xdr:from>
      <xdr:col>9</xdr:col>
      <xdr:colOff>323850</xdr:colOff>
      <xdr:row>19</xdr:row>
      <xdr:rowOff>28575</xdr:rowOff>
    </xdr:from>
    <xdr:to>
      <xdr:col>11</xdr:col>
      <xdr:colOff>514350</xdr:colOff>
      <xdr:row>20</xdr:row>
      <xdr:rowOff>85725</xdr:rowOff>
    </xdr:to>
    <xdr:sp macro="" textlink="">
      <xdr:nvSpPr>
        <xdr:cNvPr id="14" name="Arrow: Right 13">
          <a:hlinkClick xmlns:r="http://schemas.openxmlformats.org/officeDocument/2006/relationships" r:id="rId3"/>
          <a:extLst>
            <a:ext uri="{FF2B5EF4-FFF2-40B4-BE49-F238E27FC236}">
              <a16:creationId xmlns:a16="http://schemas.microsoft.com/office/drawing/2014/main" id="{68FFE890-239B-447D-867C-EF64FC408D80}"/>
            </a:ext>
          </a:extLst>
        </xdr:cNvPr>
        <xdr:cNvSpPr/>
      </xdr:nvSpPr>
      <xdr:spPr>
        <a:xfrm>
          <a:off x="6553200" y="493395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7</xdr:col>
      <xdr:colOff>9525</xdr:colOff>
      <xdr:row>11</xdr:row>
      <xdr:rowOff>1</xdr:rowOff>
    </xdr:from>
    <xdr:to>
      <xdr:col>17</xdr:col>
      <xdr:colOff>190500</xdr:colOff>
      <xdr:row>18</xdr:row>
      <xdr:rowOff>0</xdr:rowOff>
    </xdr:to>
    <xdr:sp macro="" textlink="">
      <xdr:nvSpPr>
        <xdr:cNvPr id="39" name="Rectangle: Rounded Corners 38">
          <a:extLst>
            <a:ext uri="{FF2B5EF4-FFF2-40B4-BE49-F238E27FC236}">
              <a16:creationId xmlns:a16="http://schemas.microsoft.com/office/drawing/2014/main" id="{61A81884-8BAE-451C-9DE9-79D7C185A262}"/>
            </a:ext>
          </a:extLst>
        </xdr:cNvPr>
        <xdr:cNvSpPr/>
      </xdr:nvSpPr>
      <xdr:spPr>
        <a:xfrm>
          <a:off x="4733925" y="2733676"/>
          <a:ext cx="7705725" cy="1952624"/>
        </a:xfrm>
        <a:prstGeom prst="roundRect">
          <a:avLst>
            <a:gd name="adj" fmla="val 227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Gib die </a:t>
          </a:r>
          <a:r>
            <a:rPr lang="de-DE" sz="1200" b="1">
              <a:solidFill>
                <a:schemeClr val="tx2"/>
              </a:solidFill>
              <a:latin typeface="Century Gothic" panose="020B0502020202020204" pitchFamily="34" charset="0"/>
            </a:rPr>
            <a:t>Makler</a:t>
          </a:r>
          <a:r>
            <a:rPr lang="de-DE" sz="1200">
              <a:solidFill>
                <a:schemeClr val="tx2"/>
              </a:solidFill>
              <a:latin typeface="Century Gothic" panose="020B0502020202020204" pitchFamily="34" charset="0"/>
            </a:rPr>
            <a:t>-Provision (inkl. Umsatzsteuer) ein. Ist kein Makler involviert, trage 0% ein.</a:t>
          </a:r>
          <a:br>
            <a:rPr lang="de-DE" sz="1200">
              <a:solidFill>
                <a:schemeClr val="tx2"/>
              </a:solidFill>
              <a:latin typeface="Century Gothic" panose="020B0502020202020204" pitchFamily="34" charset="0"/>
            </a:rPr>
          </a:br>
          <a:br>
            <a:rPr lang="de-DE" sz="1200">
              <a:solidFill>
                <a:schemeClr val="tx2"/>
              </a:solidFill>
              <a:latin typeface="Century Gothic" panose="020B0502020202020204" pitchFamily="34" charset="0"/>
            </a:rPr>
          </a:br>
          <a:r>
            <a:rPr lang="de-DE" sz="1200">
              <a:solidFill>
                <a:schemeClr val="tx2"/>
              </a:solidFill>
              <a:latin typeface="Century Gothic" panose="020B0502020202020204" pitchFamily="34" charset="0"/>
            </a:rPr>
            <a:t>Gib </a:t>
          </a:r>
          <a:r>
            <a:rPr lang="de-DE" sz="1200" b="1">
              <a:solidFill>
                <a:schemeClr val="tx2"/>
              </a:solidFill>
              <a:latin typeface="Century Gothic" panose="020B0502020202020204" pitchFamily="34" charset="0"/>
            </a:rPr>
            <a:t>Notar</a:t>
          </a:r>
          <a:r>
            <a:rPr lang="de-DE" sz="1200">
              <a:solidFill>
                <a:schemeClr val="tx2"/>
              </a:solidFill>
              <a:latin typeface="Century Gothic" panose="020B0502020202020204" pitchFamily="34" charset="0"/>
            </a:rPr>
            <a:t>-Gebühren ein. Für eine kleine Wohnug sind 1,5% des Kaufpreises eine gute Näherung.</a:t>
          </a:r>
          <a:br>
            <a:rPr lang="de-DE" sz="1200">
              <a:solidFill>
                <a:schemeClr val="tx2"/>
              </a:solidFill>
              <a:latin typeface="Century Gothic" panose="020B0502020202020204" pitchFamily="34" charset="0"/>
            </a:rPr>
          </a:br>
          <a:br>
            <a:rPr lang="de-DE" sz="1200">
              <a:solidFill>
                <a:schemeClr val="tx2"/>
              </a:solidFill>
              <a:latin typeface="Century Gothic" panose="020B0502020202020204" pitchFamily="34" charset="0"/>
            </a:rPr>
          </a:br>
          <a:r>
            <a:rPr lang="de-DE" sz="1200">
              <a:solidFill>
                <a:schemeClr val="tx2"/>
              </a:solidFill>
              <a:latin typeface="Century Gothic" panose="020B0502020202020204" pitchFamily="34" charset="0"/>
            </a:rPr>
            <a:t>Gib </a:t>
          </a:r>
          <a:r>
            <a:rPr lang="de-DE" sz="1200" b="1">
              <a:solidFill>
                <a:schemeClr val="tx2"/>
              </a:solidFill>
              <a:latin typeface="Century Gothic" panose="020B0502020202020204" pitchFamily="34" charset="0"/>
            </a:rPr>
            <a:t>Grundbuch</a:t>
          </a:r>
          <a:r>
            <a:rPr lang="de-DE" sz="1200">
              <a:solidFill>
                <a:schemeClr val="tx2"/>
              </a:solidFill>
              <a:latin typeface="Century Gothic" panose="020B0502020202020204" pitchFamily="34" charset="0"/>
            </a:rPr>
            <a:t>-Gebühren ein. 0,5% des Kaufpreises sind meistens eine gute Näherung.</a:t>
          </a:r>
          <a:br>
            <a:rPr lang="de-DE" sz="1200">
              <a:solidFill>
                <a:schemeClr val="tx2"/>
              </a:solidFill>
              <a:latin typeface="Century Gothic" panose="020B0502020202020204" pitchFamily="34" charset="0"/>
            </a:rPr>
          </a:br>
          <a:endParaRPr lang="de-DE" sz="1200">
            <a:solidFill>
              <a:schemeClr val="tx2"/>
            </a:solidFill>
            <a:latin typeface="Century Gothic" panose="020B0502020202020204" pitchFamily="34" charset="0"/>
          </a:endParaRPr>
        </a:p>
        <a:p>
          <a:pPr algn="l">
            <a:lnSpc>
              <a:spcPct val="130000"/>
            </a:lnSpc>
          </a:pPr>
          <a:r>
            <a:rPr lang="de-DE" sz="1200" b="1">
              <a:solidFill>
                <a:schemeClr val="tx2"/>
              </a:solidFill>
              <a:latin typeface="Century Gothic" panose="020B0502020202020204" pitchFamily="34" charset="0"/>
            </a:rPr>
            <a:t>Sonstige</a:t>
          </a:r>
          <a:r>
            <a:rPr lang="de-DE" sz="1200">
              <a:solidFill>
                <a:schemeClr val="tx2"/>
              </a:solidFill>
              <a:latin typeface="Century Gothic" panose="020B0502020202020204" pitchFamily="34" charset="0"/>
            </a:rPr>
            <a:t> Nebenkosten können zum Beispiel für eine Finanzierungsvermittlung anfallen.</a:t>
          </a:r>
        </a:p>
        <a:p>
          <a:pPr algn="l">
            <a:lnSpc>
              <a:spcPct val="130000"/>
            </a:lnSpc>
          </a:pPr>
          <a:endParaRPr lang="de-DE" sz="1200" baseline="0">
            <a:solidFill>
              <a:schemeClr val="tx2"/>
            </a:solidFill>
            <a:latin typeface="Century Gothic" panose="020B0502020202020204" pitchFamily="34" charset="0"/>
          </a:endParaRPr>
        </a:p>
      </xdr:txBody>
    </xdr:sp>
    <xdr:clientData/>
  </xdr:twoCellAnchor>
  <xdr:twoCellAnchor>
    <xdr:from>
      <xdr:col>7</xdr:col>
      <xdr:colOff>9525</xdr:colOff>
      <xdr:row>19</xdr:row>
      <xdr:rowOff>28575</xdr:rowOff>
    </xdr:from>
    <xdr:to>
      <xdr:col>9</xdr:col>
      <xdr:colOff>200025</xdr:colOff>
      <xdr:row>20</xdr:row>
      <xdr:rowOff>85725</xdr:rowOff>
    </xdr:to>
    <xdr:sp macro="" textlink="">
      <xdr:nvSpPr>
        <xdr:cNvPr id="43" name="Arrow: Right 42">
          <a:hlinkClick xmlns:r="http://schemas.openxmlformats.org/officeDocument/2006/relationships" r:id="rId4"/>
          <a:extLst>
            <a:ext uri="{FF2B5EF4-FFF2-40B4-BE49-F238E27FC236}">
              <a16:creationId xmlns:a16="http://schemas.microsoft.com/office/drawing/2014/main" id="{111B10AE-BB1B-4AD8-B4B0-956583B3BD0F}"/>
            </a:ext>
          </a:extLst>
        </xdr:cNvPr>
        <xdr:cNvSpPr/>
      </xdr:nvSpPr>
      <xdr:spPr>
        <a:xfrm flipH="1">
          <a:off x="4733925" y="493395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85725</xdr:colOff>
      <xdr:row>0</xdr:row>
      <xdr:rowOff>142875</xdr:rowOff>
    </xdr:from>
    <xdr:to>
      <xdr:col>17</xdr:col>
      <xdr:colOff>266700</xdr:colOff>
      <xdr:row>2</xdr:row>
      <xdr:rowOff>38850</xdr:rowOff>
    </xdr:to>
    <xdr:grpSp>
      <xdr:nvGrpSpPr>
        <xdr:cNvPr id="40" name="Group 39">
          <a:extLst>
            <a:ext uri="{FF2B5EF4-FFF2-40B4-BE49-F238E27FC236}">
              <a16:creationId xmlns:a16="http://schemas.microsoft.com/office/drawing/2014/main" id="{D754E3EE-07D0-4E7E-942A-114F5A954D9E}"/>
            </a:ext>
          </a:extLst>
        </xdr:cNvPr>
        <xdr:cNvGrpSpPr/>
      </xdr:nvGrpSpPr>
      <xdr:grpSpPr>
        <a:xfrm>
          <a:off x="3089275" y="142875"/>
          <a:ext cx="10004425" cy="245225"/>
          <a:chOff x="2952750" y="137737"/>
          <a:chExt cx="9563100" cy="248400"/>
        </a:xfrm>
      </xdr:grpSpPr>
      <xdr:sp macro="" textlink="">
        <xdr:nvSpPr>
          <xdr:cNvPr id="41" name="Rectangle 40">
            <a:hlinkClick xmlns:r="http://schemas.openxmlformats.org/officeDocument/2006/relationships" r:id="rId5"/>
            <a:extLst>
              <a:ext uri="{FF2B5EF4-FFF2-40B4-BE49-F238E27FC236}">
                <a16:creationId xmlns:a16="http://schemas.microsoft.com/office/drawing/2014/main" id="{3C5E8963-324E-4C4F-AAAB-59683A072FA1}"/>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Kaufnebenkosten</a:t>
            </a:r>
          </a:p>
        </xdr:txBody>
      </xdr:sp>
      <xdr:sp macro="" textlink="">
        <xdr:nvSpPr>
          <xdr:cNvPr id="42" name="Rectangle 41">
            <a:hlinkClick xmlns:r="http://schemas.openxmlformats.org/officeDocument/2006/relationships" r:id="rId3"/>
            <a:extLst>
              <a:ext uri="{FF2B5EF4-FFF2-40B4-BE49-F238E27FC236}">
                <a16:creationId xmlns:a16="http://schemas.microsoft.com/office/drawing/2014/main" id="{CC2727D6-0ED8-450A-9232-8B99346FEB1F}"/>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Maßnahmen</a:t>
            </a:r>
          </a:p>
        </xdr:txBody>
      </xdr:sp>
      <xdr:sp macro="" textlink="">
        <xdr:nvSpPr>
          <xdr:cNvPr id="44" name="Rectangle 43">
            <a:hlinkClick xmlns:r="http://schemas.openxmlformats.org/officeDocument/2006/relationships" r:id="rId6"/>
            <a:extLst>
              <a:ext uri="{FF2B5EF4-FFF2-40B4-BE49-F238E27FC236}">
                <a16:creationId xmlns:a16="http://schemas.microsoft.com/office/drawing/2014/main" id="{FC0ADB95-BA40-462F-9073-88D3E72B404D}"/>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Finanzierung</a:t>
            </a:r>
          </a:p>
        </xdr:txBody>
      </xdr:sp>
      <xdr:sp macro="" textlink="">
        <xdr:nvSpPr>
          <xdr:cNvPr id="45" name="Rectangle 44">
            <a:hlinkClick xmlns:r="http://schemas.openxmlformats.org/officeDocument/2006/relationships" r:id="rId7"/>
            <a:extLst>
              <a:ext uri="{FF2B5EF4-FFF2-40B4-BE49-F238E27FC236}">
                <a16:creationId xmlns:a16="http://schemas.microsoft.com/office/drawing/2014/main" id="{9224B310-B6EE-4B68-B095-FCBB54D32BEC}"/>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46" name="Rectangle 45">
            <a:hlinkClick xmlns:r="http://schemas.openxmlformats.org/officeDocument/2006/relationships" r:id="rId8"/>
            <a:extLst>
              <a:ext uri="{FF2B5EF4-FFF2-40B4-BE49-F238E27FC236}">
                <a16:creationId xmlns:a16="http://schemas.microsoft.com/office/drawing/2014/main" id="{BDE7A480-3FBE-42DD-AB49-49C8199DD111}"/>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47" name="Rectangle 46">
            <a:hlinkClick xmlns:r="http://schemas.openxmlformats.org/officeDocument/2006/relationships" r:id="rId9"/>
            <a:extLst>
              <a:ext uri="{FF2B5EF4-FFF2-40B4-BE49-F238E27FC236}">
                <a16:creationId xmlns:a16="http://schemas.microsoft.com/office/drawing/2014/main" id="{101760A4-A526-48A2-96DD-E6F61E3956FD}"/>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48" name="Rectangle 47">
            <a:hlinkClick xmlns:r="http://schemas.openxmlformats.org/officeDocument/2006/relationships" r:id="rId10"/>
            <a:extLst>
              <a:ext uri="{FF2B5EF4-FFF2-40B4-BE49-F238E27FC236}">
                <a16:creationId xmlns:a16="http://schemas.microsoft.com/office/drawing/2014/main" id="{F4B17E5D-6C21-4909-957B-7E8AD894ECDE}"/>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49" name="Rectangle 48">
            <a:extLst>
              <a:ext uri="{FF2B5EF4-FFF2-40B4-BE49-F238E27FC236}">
                <a16:creationId xmlns:a16="http://schemas.microsoft.com/office/drawing/2014/main" id="{60D1D3BA-DB42-4F6D-81A3-B20A742E34A0}"/>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0" name="Rectangle 49">
            <a:extLst>
              <a:ext uri="{FF2B5EF4-FFF2-40B4-BE49-F238E27FC236}">
                <a16:creationId xmlns:a16="http://schemas.microsoft.com/office/drawing/2014/main" id="{C363BAB2-2767-4B90-8E94-33970718EAE6}"/>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2D06987A-04DA-460D-9720-481D4D9E8602}"/>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14EB6237-FD73-460B-9588-6F2B562D0476}"/>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681B7FF0-8D26-4FC7-BC8A-B4BFE8D293EC}"/>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15920934-C58B-4808-9778-DF1F7E00743A}"/>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8BF44343-EC04-4825-8C55-AB8B5EA623D0}"/>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Rounded Corners 55">
            <a:hlinkClick xmlns:r="http://schemas.openxmlformats.org/officeDocument/2006/relationships" r:id="rId4"/>
            <a:extLst>
              <a:ext uri="{FF2B5EF4-FFF2-40B4-BE49-F238E27FC236}">
                <a16:creationId xmlns:a16="http://schemas.microsoft.com/office/drawing/2014/main" id="{738D0BE2-FC48-43BA-9555-6AA2CC7C4D6E}"/>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7" name="Rectangle 56">
            <a:extLst>
              <a:ext uri="{FF2B5EF4-FFF2-40B4-BE49-F238E27FC236}">
                <a16:creationId xmlns:a16="http://schemas.microsoft.com/office/drawing/2014/main" id="{EE1E2DE8-1010-4B5E-8B75-DF6C00D3FE39}"/>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Rounded Corners 57">
            <a:hlinkClick xmlns:r="http://schemas.openxmlformats.org/officeDocument/2006/relationships" r:id="rId11"/>
            <a:extLst>
              <a:ext uri="{FF2B5EF4-FFF2-40B4-BE49-F238E27FC236}">
                <a16:creationId xmlns:a16="http://schemas.microsoft.com/office/drawing/2014/main" id="{F2CD8ECF-D39F-4E13-8D3A-E6CF0B00CBC1}"/>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590550</xdr:colOff>
      <xdr:row>3</xdr:row>
      <xdr:rowOff>142875</xdr:rowOff>
    </xdr:from>
    <xdr:to>
      <xdr:col>17</xdr:col>
      <xdr:colOff>228032</xdr:colOff>
      <xdr:row>5</xdr:row>
      <xdr:rowOff>246460</xdr:rowOff>
    </xdr:to>
    <xdr:grpSp>
      <xdr:nvGrpSpPr>
        <xdr:cNvPr id="59" name="Group 58">
          <a:extLst>
            <a:ext uri="{FF2B5EF4-FFF2-40B4-BE49-F238E27FC236}">
              <a16:creationId xmlns:a16="http://schemas.microsoft.com/office/drawing/2014/main" id="{F88B4BF7-F573-4B7A-82A0-B3A5F9583F8A}"/>
            </a:ext>
          </a:extLst>
        </xdr:cNvPr>
        <xdr:cNvGrpSpPr/>
      </xdr:nvGrpSpPr>
      <xdr:grpSpPr>
        <a:xfrm>
          <a:off x="4902200" y="650875"/>
          <a:ext cx="8152832" cy="573485"/>
          <a:chOff x="4705350" y="652463"/>
          <a:chExt cx="7771832" cy="579835"/>
        </a:xfrm>
      </xdr:grpSpPr>
      <xdr:grpSp>
        <xdr:nvGrpSpPr>
          <xdr:cNvPr id="60" name="Group 59">
            <a:extLst>
              <a:ext uri="{FF2B5EF4-FFF2-40B4-BE49-F238E27FC236}">
                <a16:creationId xmlns:a16="http://schemas.microsoft.com/office/drawing/2014/main" id="{DD4397F6-B4F6-41E5-8EB3-C4EC3DCE7F34}"/>
              </a:ext>
            </a:extLst>
          </xdr:cNvPr>
          <xdr:cNvGrpSpPr/>
        </xdr:nvGrpSpPr>
        <xdr:grpSpPr>
          <a:xfrm>
            <a:off x="4705350" y="652463"/>
            <a:ext cx="7771832" cy="257175"/>
            <a:chOff x="4705350" y="642938"/>
            <a:chExt cx="7771832" cy="257175"/>
          </a:xfrm>
        </xdr:grpSpPr>
        <xdr:sp macro="" textlink="">
          <xdr:nvSpPr>
            <xdr:cNvPr id="68" name="Rectangle 67">
              <a:extLst>
                <a:ext uri="{FF2B5EF4-FFF2-40B4-BE49-F238E27FC236}">
                  <a16:creationId xmlns:a16="http://schemas.microsoft.com/office/drawing/2014/main" id="{E32A07FA-9709-49E4-9586-35273D524AEB}"/>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69" name="Rectangle 68">
              <a:extLst>
                <a:ext uri="{FF2B5EF4-FFF2-40B4-BE49-F238E27FC236}">
                  <a16:creationId xmlns:a16="http://schemas.microsoft.com/office/drawing/2014/main" id="{4EF492D1-652C-4A4D-AC6D-7D37C6C83193}"/>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0" name="Rectangle 69">
              <a:extLst>
                <a:ext uri="{FF2B5EF4-FFF2-40B4-BE49-F238E27FC236}">
                  <a16:creationId xmlns:a16="http://schemas.microsoft.com/office/drawing/2014/main" id="{4332F2A7-413F-4F0C-8884-4B6C21243AB6}"/>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1" name="Rectangle 70">
              <a:extLst>
                <a:ext uri="{FF2B5EF4-FFF2-40B4-BE49-F238E27FC236}">
                  <a16:creationId xmlns:a16="http://schemas.microsoft.com/office/drawing/2014/main" id="{3E170D25-6295-467A-93E0-1A05CA9C8131}"/>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67CE8739-8E69-480A-AF99-F3B4D2437329}"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2" name="Rectangle 71">
              <a:extLst>
                <a:ext uri="{FF2B5EF4-FFF2-40B4-BE49-F238E27FC236}">
                  <a16:creationId xmlns:a16="http://schemas.microsoft.com/office/drawing/2014/main" id="{A892BC7C-06EC-49ED-A153-CE2BD04D60DD}"/>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F067161-BC3E-4A02-8357-B80F7E0467EA}"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3" name="Rectangle 72">
              <a:extLst>
                <a:ext uri="{FF2B5EF4-FFF2-40B4-BE49-F238E27FC236}">
                  <a16:creationId xmlns:a16="http://schemas.microsoft.com/office/drawing/2014/main" id="{DD316364-76C1-4CF3-9C91-420C57A5F416}"/>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7090E62-C382-4B3A-A0D2-D307680A38B8}"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1" name="Group 60">
            <a:extLst>
              <a:ext uri="{FF2B5EF4-FFF2-40B4-BE49-F238E27FC236}">
                <a16:creationId xmlns:a16="http://schemas.microsoft.com/office/drawing/2014/main" id="{43FD71DE-8544-46D3-B451-39FC9B456E8B}"/>
              </a:ext>
            </a:extLst>
          </xdr:cNvPr>
          <xdr:cNvGrpSpPr/>
        </xdr:nvGrpSpPr>
        <xdr:grpSpPr>
          <a:xfrm>
            <a:off x="4705350" y="975123"/>
            <a:ext cx="7771832" cy="257175"/>
            <a:chOff x="4705350" y="975123"/>
            <a:chExt cx="7771832" cy="257175"/>
          </a:xfrm>
        </xdr:grpSpPr>
        <xdr:sp macro="" textlink="">
          <xdr:nvSpPr>
            <xdr:cNvPr id="62" name="Rectangle 61">
              <a:extLst>
                <a:ext uri="{FF2B5EF4-FFF2-40B4-BE49-F238E27FC236}">
                  <a16:creationId xmlns:a16="http://schemas.microsoft.com/office/drawing/2014/main" id="{AE69E54B-862A-46C5-92B3-95E0F9D62EC7}"/>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3" name="Rectangle 62">
              <a:extLst>
                <a:ext uri="{FF2B5EF4-FFF2-40B4-BE49-F238E27FC236}">
                  <a16:creationId xmlns:a16="http://schemas.microsoft.com/office/drawing/2014/main" id="{AABDAAC0-7CD4-469B-A696-57540B0F6C36}"/>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4" name="Rectangle 63">
              <a:extLst>
                <a:ext uri="{FF2B5EF4-FFF2-40B4-BE49-F238E27FC236}">
                  <a16:creationId xmlns:a16="http://schemas.microsoft.com/office/drawing/2014/main" id="{E9A1B595-41FA-427E-B3EC-3ACEC36B58A4}"/>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5" name="Rectangle 64">
              <a:extLst>
                <a:ext uri="{FF2B5EF4-FFF2-40B4-BE49-F238E27FC236}">
                  <a16:creationId xmlns:a16="http://schemas.microsoft.com/office/drawing/2014/main" id="{F6F325BA-69C9-436B-917F-6A012A3625D1}"/>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B60CC7E-F752-43D5-A354-12DC3664573A}"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6" name="Rectangle 65">
              <a:extLst>
                <a:ext uri="{FF2B5EF4-FFF2-40B4-BE49-F238E27FC236}">
                  <a16:creationId xmlns:a16="http://schemas.microsoft.com/office/drawing/2014/main" id="{B516DE85-B90B-463D-847C-34E192F11013}"/>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DD89842-EE4F-4D0C-B5C7-834D577763DC}"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7" name="Rectangle 66">
              <a:extLst>
                <a:ext uri="{FF2B5EF4-FFF2-40B4-BE49-F238E27FC236}">
                  <a16:creationId xmlns:a16="http://schemas.microsoft.com/office/drawing/2014/main" id="{37ABBA51-1AE2-4D52-B7CE-FEEAB8236B86}"/>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2FBB1E3-A317-4BD8-8639-FF6F5097CCE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5A7B4EBC-7387-4A4B-8BDF-61539926B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EBA57258-0913-4FBC-9575-D23CCB547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0</xdr:rowOff>
    </xdr:from>
    <xdr:to>
      <xdr:col>17</xdr:col>
      <xdr:colOff>190500</xdr:colOff>
      <xdr:row>13</xdr:row>
      <xdr:rowOff>142875</xdr:rowOff>
    </xdr:to>
    <xdr:sp macro="" textlink="">
      <xdr:nvSpPr>
        <xdr:cNvPr id="12" name="Rectangle: Rounded Corners 11">
          <a:extLst>
            <a:ext uri="{FF2B5EF4-FFF2-40B4-BE49-F238E27FC236}">
              <a16:creationId xmlns:a16="http://schemas.microsoft.com/office/drawing/2014/main" id="{954C39DC-CCE3-4D14-B51B-063F365A2C8A}"/>
            </a:ext>
          </a:extLst>
        </xdr:cNvPr>
        <xdr:cNvSpPr/>
      </xdr:nvSpPr>
      <xdr:spPr>
        <a:xfrm>
          <a:off x="4733925" y="1647825"/>
          <a:ext cx="7705725" cy="1771650"/>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spcAft>
              <a:spcPts val="1200"/>
            </a:spcAft>
          </a:pPr>
          <a:r>
            <a:rPr lang="de-DE" sz="1200">
              <a:solidFill>
                <a:schemeClr val="tx2"/>
              </a:solidFill>
              <a:latin typeface="Century Gothic" panose="020B0502020202020204" pitchFamily="34" charset="0"/>
            </a:rPr>
            <a:t>Gibt es weitere Kosten, die direkt nach dem Kauf anfallen und die du in deiner Rechnung berücksichtigen möchtest?</a:t>
          </a:r>
          <a:r>
            <a:rPr lang="de-DE" sz="1200" baseline="0">
              <a:solidFill>
                <a:schemeClr val="tx2"/>
              </a:solidFill>
              <a:latin typeface="Century Gothic" panose="020B0502020202020204" pitchFamily="34" charset="0"/>
            </a:rPr>
            <a:t> Das können zum Beispiel Renovierungs-</a:t>
          </a:r>
          <a:r>
            <a:rPr lang="de-DE" sz="1200" b="1">
              <a:solidFill>
                <a:schemeClr val="tx2"/>
              </a:solidFill>
              <a:latin typeface="Century Gothic" panose="020B0502020202020204" pitchFamily="34" charset="0"/>
            </a:rPr>
            <a:t>Maßnahmen</a:t>
          </a:r>
          <a:r>
            <a:rPr lang="de-DE" sz="1200">
              <a:solidFill>
                <a:schemeClr val="tx2"/>
              </a:solidFill>
              <a:latin typeface="Century Gothic" panose="020B0502020202020204" pitchFamily="34" charset="0"/>
            </a:rPr>
            <a:t> sein, die </a:t>
          </a:r>
          <a:r>
            <a:rPr lang="de-DE" sz="1200" b="1">
              <a:solidFill>
                <a:schemeClr val="tx2"/>
              </a:solidFill>
              <a:latin typeface="Century Gothic" panose="020B0502020202020204" pitchFamily="34" charset="0"/>
            </a:rPr>
            <a:t>sofort</a:t>
          </a:r>
          <a:r>
            <a:rPr lang="de-DE" sz="1200">
              <a:solidFill>
                <a:schemeClr val="tx2"/>
              </a:solidFill>
              <a:latin typeface="Century Gothic" panose="020B0502020202020204" pitchFamily="34" charset="0"/>
            </a:rPr>
            <a:t> nötig sind, um die Miete weiterhin zu erhalten.</a:t>
          </a:r>
          <a:endParaRPr lang="de-DE" sz="1200" baseline="0">
            <a:solidFill>
              <a:schemeClr val="tx2"/>
            </a:solidFill>
            <a:latin typeface="Century Gothic" panose="020B0502020202020204" pitchFamily="34" charset="0"/>
          </a:endParaRPr>
        </a:p>
        <a:p>
          <a:pPr algn="l">
            <a:lnSpc>
              <a:spcPct val="130000"/>
            </a:lnSpc>
            <a:spcAft>
              <a:spcPts val="1200"/>
            </a:spcAft>
          </a:pPr>
          <a:r>
            <a:rPr lang="de-DE" sz="1200" baseline="0">
              <a:solidFill>
                <a:schemeClr val="tx2"/>
              </a:solidFill>
              <a:latin typeface="Century Gothic" panose="020B0502020202020204" pitchFamily="34" charset="0"/>
            </a:rPr>
            <a:t>Oder geplante </a:t>
          </a:r>
          <a:r>
            <a:rPr lang="de-DE" sz="1200" b="1" baseline="0">
              <a:solidFill>
                <a:schemeClr val="tx2"/>
              </a:solidFill>
              <a:latin typeface="Century Gothic" panose="020B0502020202020204" pitchFamily="34" charset="0"/>
            </a:rPr>
            <a:t>Sonderumlagen</a:t>
          </a:r>
          <a:r>
            <a:rPr lang="de-DE" sz="1200" baseline="0">
              <a:solidFill>
                <a:schemeClr val="tx2"/>
              </a:solidFill>
              <a:latin typeface="Century Gothic" panose="020B0502020202020204" pitchFamily="34" charset="0"/>
            </a:rPr>
            <a:t>, die du neben dem normalen Hausgeld bezahlen musst. Wir rechnen diese mit in deinen Kapitalbedarf ein, weil du dieses Geld ja relativ kurzfristig ausgeben musst. Wenn die Umlage für mehrere Jahre beschlossen wurde, rechne mit der kompletten Summe.</a:t>
          </a:r>
        </a:p>
      </xdr:txBody>
    </xdr:sp>
    <xdr:clientData/>
  </xdr:twoCellAnchor>
  <xdr:twoCellAnchor>
    <xdr:from>
      <xdr:col>3</xdr:col>
      <xdr:colOff>342900</xdr:colOff>
      <xdr:row>17</xdr:row>
      <xdr:rowOff>200025</xdr:rowOff>
    </xdr:from>
    <xdr:to>
      <xdr:col>5</xdr:col>
      <xdr:colOff>9525</xdr:colOff>
      <xdr:row>19</xdr:row>
      <xdr:rowOff>38100</xdr:rowOff>
    </xdr:to>
    <xdr:sp macro="" textlink="">
      <xdr:nvSpPr>
        <xdr:cNvPr id="13" name="Arrow: Right 12">
          <a:hlinkClick xmlns:r="http://schemas.openxmlformats.org/officeDocument/2006/relationships" r:id="rId3"/>
          <a:extLst>
            <a:ext uri="{FF2B5EF4-FFF2-40B4-BE49-F238E27FC236}">
              <a16:creationId xmlns:a16="http://schemas.microsoft.com/office/drawing/2014/main" id="{C7334C1F-9E7E-4EBA-B9E9-8F189B82454F}"/>
            </a:ext>
          </a:extLst>
        </xdr:cNvPr>
        <xdr:cNvSpPr/>
      </xdr:nvSpPr>
      <xdr:spPr>
        <a:xfrm>
          <a:off x="2286000" y="48101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7</xdr:col>
      <xdr:colOff>9525</xdr:colOff>
      <xdr:row>15</xdr:row>
      <xdr:rowOff>0</xdr:rowOff>
    </xdr:from>
    <xdr:to>
      <xdr:col>17</xdr:col>
      <xdr:colOff>190500</xdr:colOff>
      <xdr:row>19</xdr:row>
      <xdr:rowOff>38100</xdr:rowOff>
    </xdr:to>
    <xdr:sp macro="" textlink="">
      <xdr:nvSpPr>
        <xdr:cNvPr id="37" name="Rectangle: Rounded Corners 36">
          <a:extLst>
            <a:ext uri="{FF2B5EF4-FFF2-40B4-BE49-F238E27FC236}">
              <a16:creationId xmlns:a16="http://schemas.microsoft.com/office/drawing/2014/main" id="{252EAE90-5EBD-42B3-BA7B-F3191C41727F}"/>
            </a:ext>
          </a:extLst>
        </xdr:cNvPr>
        <xdr:cNvSpPr/>
      </xdr:nvSpPr>
      <xdr:spPr>
        <a:xfrm>
          <a:off x="4733925" y="4067175"/>
          <a:ext cx="7705725" cy="1123950"/>
        </a:xfrm>
        <a:prstGeom prst="roundRect">
          <a:avLst>
            <a:gd name="adj" fmla="val 566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Wie viel Geld möchtest du für Maßnahmen eingeplanen, die erst bei einem </a:t>
          </a:r>
          <a:r>
            <a:rPr lang="de-DE" sz="1200" b="1">
              <a:solidFill>
                <a:schemeClr val="tx2"/>
              </a:solidFill>
              <a:latin typeface="Century Gothic" panose="020B0502020202020204" pitchFamily="34" charset="0"/>
            </a:rPr>
            <a:t>Mieterwechsel</a:t>
          </a:r>
          <a:r>
            <a:rPr lang="de-DE" sz="1200">
              <a:solidFill>
                <a:schemeClr val="tx2"/>
              </a:solidFill>
              <a:latin typeface="Century Gothic" panose="020B0502020202020204" pitchFamily="34" charset="0"/>
            </a:rPr>
            <a:t> nötig sind? Da du dieses Geld nicht sofort brauchst, rechnen wir es nicht in deinen Kapitalbedarf ein. Wenn die Wohnung derzeit leer steht, solltest du wahrscheinlich alle Maßnahmen als "sofort" berücksichtigen. Nur so rechnest du sie mit in deinen Kapitalbedarf.</a:t>
          </a:r>
        </a:p>
      </xdr:txBody>
    </xdr:sp>
    <xdr:clientData/>
  </xdr:twoCellAnchor>
  <xdr:twoCellAnchor>
    <xdr:from>
      <xdr:col>1</xdr:col>
      <xdr:colOff>0</xdr:colOff>
      <xdr:row>17</xdr:row>
      <xdr:rowOff>200025</xdr:rowOff>
    </xdr:from>
    <xdr:to>
      <xdr:col>2</xdr:col>
      <xdr:colOff>1333500</xdr:colOff>
      <xdr:row>19</xdr:row>
      <xdr:rowOff>38100</xdr:rowOff>
    </xdr:to>
    <xdr:sp macro="" textlink="">
      <xdr:nvSpPr>
        <xdr:cNvPr id="38" name="Arrow: Right 37">
          <a:hlinkClick xmlns:r="http://schemas.openxmlformats.org/officeDocument/2006/relationships" r:id="rId4"/>
          <a:extLst>
            <a:ext uri="{FF2B5EF4-FFF2-40B4-BE49-F238E27FC236}">
              <a16:creationId xmlns:a16="http://schemas.microsoft.com/office/drawing/2014/main" id="{E1B790A7-7C65-41FE-9B23-D2A6B6BCA65F}"/>
            </a:ext>
          </a:extLst>
        </xdr:cNvPr>
        <xdr:cNvSpPr/>
      </xdr:nvSpPr>
      <xdr:spPr>
        <a:xfrm flipH="1">
          <a:off x="219075" y="48101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66675</xdr:colOff>
      <xdr:row>0</xdr:row>
      <xdr:rowOff>133350</xdr:rowOff>
    </xdr:from>
    <xdr:to>
      <xdr:col>17</xdr:col>
      <xdr:colOff>247650</xdr:colOff>
      <xdr:row>2</xdr:row>
      <xdr:rowOff>29325</xdr:rowOff>
    </xdr:to>
    <xdr:grpSp>
      <xdr:nvGrpSpPr>
        <xdr:cNvPr id="39" name="Group 38">
          <a:extLst>
            <a:ext uri="{FF2B5EF4-FFF2-40B4-BE49-F238E27FC236}">
              <a16:creationId xmlns:a16="http://schemas.microsoft.com/office/drawing/2014/main" id="{9477BBB5-CC3F-462A-9057-0819A1159909}"/>
            </a:ext>
          </a:extLst>
        </xdr:cNvPr>
        <xdr:cNvGrpSpPr/>
      </xdr:nvGrpSpPr>
      <xdr:grpSpPr>
        <a:xfrm>
          <a:off x="3070225" y="133350"/>
          <a:ext cx="10004425" cy="245225"/>
          <a:chOff x="2952750" y="137737"/>
          <a:chExt cx="9563100" cy="248400"/>
        </a:xfrm>
      </xdr:grpSpPr>
      <xdr:sp macro="" textlink="">
        <xdr:nvSpPr>
          <xdr:cNvPr id="40" name="Rectangle 39">
            <a:hlinkClick xmlns:r="http://schemas.openxmlformats.org/officeDocument/2006/relationships" r:id="rId4"/>
            <a:extLst>
              <a:ext uri="{FF2B5EF4-FFF2-40B4-BE49-F238E27FC236}">
                <a16:creationId xmlns:a16="http://schemas.microsoft.com/office/drawing/2014/main" id="{A73F6DFC-307E-4AF0-B261-0BE1F0E7E6AE}"/>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1" name="Rectangle 40">
            <a:hlinkClick xmlns:r="http://schemas.openxmlformats.org/officeDocument/2006/relationships" r:id="rId5"/>
            <a:extLst>
              <a:ext uri="{FF2B5EF4-FFF2-40B4-BE49-F238E27FC236}">
                <a16:creationId xmlns:a16="http://schemas.microsoft.com/office/drawing/2014/main" id="{9D115714-2B12-4F57-91CD-94DFFFF5E1F7}"/>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Maßnahmen</a:t>
            </a:r>
          </a:p>
        </xdr:txBody>
      </xdr:sp>
      <xdr:sp macro="" textlink="">
        <xdr:nvSpPr>
          <xdr:cNvPr id="42" name="Rectangle 41">
            <a:hlinkClick xmlns:r="http://schemas.openxmlformats.org/officeDocument/2006/relationships" r:id="rId3"/>
            <a:extLst>
              <a:ext uri="{FF2B5EF4-FFF2-40B4-BE49-F238E27FC236}">
                <a16:creationId xmlns:a16="http://schemas.microsoft.com/office/drawing/2014/main" id="{F0C4A74C-D9CE-46CE-93B0-581AFDB3F1B9}"/>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Finanzierung</a:t>
            </a:r>
          </a:p>
        </xdr:txBody>
      </xdr:sp>
      <xdr:sp macro="" textlink="">
        <xdr:nvSpPr>
          <xdr:cNvPr id="43" name="Rectangle 42">
            <a:hlinkClick xmlns:r="http://schemas.openxmlformats.org/officeDocument/2006/relationships" r:id="rId6"/>
            <a:extLst>
              <a:ext uri="{FF2B5EF4-FFF2-40B4-BE49-F238E27FC236}">
                <a16:creationId xmlns:a16="http://schemas.microsoft.com/office/drawing/2014/main" id="{74F93269-05F4-43DF-ACB3-6BBD82A2D8B1}"/>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44" name="Rectangle 43">
            <a:hlinkClick xmlns:r="http://schemas.openxmlformats.org/officeDocument/2006/relationships" r:id="rId7"/>
            <a:extLst>
              <a:ext uri="{FF2B5EF4-FFF2-40B4-BE49-F238E27FC236}">
                <a16:creationId xmlns:a16="http://schemas.microsoft.com/office/drawing/2014/main" id="{26BFBAF6-4723-4916-B500-19312A4CDFE0}"/>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45" name="Rectangle 44">
            <a:hlinkClick xmlns:r="http://schemas.openxmlformats.org/officeDocument/2006/relationships" r:id="rId8"/>
            <a:extLst>
              <a:ext uri="{FF2B5EF4-FFF2-40B4-BE49-F238E27FC236}">
                <a16:creationId xmlns:a16="http://schemas.microsoft.com/office/drawing/2014/main" id="{1787AEED-2CA8-4C69-A8E7-604D39F45473}"/>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46" name="Rectangle 45">
            <a:hlinkClick xmlns:r="http://schemas.openxmlformats.org/officeDocument/2006/relationships" r:id="rId9"/>
            <a:extLst>
              <a:ext uri="{FF2B5EF4-FFF2-40B4-BE49-F238E27FC236}">
                <a16:creationId xmlns:a16="http://schemas.microsoft.com/office/drawing/2014/main" id="{89C13F08-4BA5-43F2-AF2A-D9DC8517336A}"/>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47" name="Rectangle 46">
            <a:extLst>
              <a:ext uri="{FF2B5EF4-FFF2-40B4-BE49-F238E27FC236}">
                <a16:creationId xmlns:a16="http://schemas.microsoft.com/office/drawing/2014/main" id="{995D2AE2-3251-4BC5-ABE5-D331764BAE19}"/>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8" name="Rectangle 47">
            <a:extLst>
              <a:ext uri="{FF2B5EF4-FFF2-40B4-BE49-F238E27FC236}">
                <a16:creationId xmlns:a16="http://schemas.microsoft.com/office/drawing/2014/main" id="{3386066E-971A-47A8-B17B-8667D5A59C5D}"/>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9" name="Rectangle 48">
            <a:extLst>
              <a:ext uri="{FF2B5EF4-FFF2-40B4-BE49-F238E27FC236}">
                <a16:creationId xmlns:a16="http://schemas.microsoft.com/office/drawing/2014/main" id="{43FB9429-995D-481B-90E3-AD9D410BE88C}"/>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0" name="Rectangle 49">
            <a:extLst>
              <a:ext uri="{FF2B5EF4-FFF2-40B4-BE49-F238E27FC236}">
                <a16:creationId xmlns:a16="http://schemas.microsoft.com/office/drawing/2014/main" id="{AE77FAF7-0E3E-461E-8CF0-C5F38171AA33}"/>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BEBDD509-8808-49B7-BF45-A2366693378E}"/>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F66AD6E0-A9D5-4E03-8A95-ACD573E432FB}"/>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473E3776-79E2-41E0-9508-570A7FFAD674}"/>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Rounded Corners 53">
            <a:hlinkClick xmlns:r="http://schemas.openxmlformats.org/officeDocument/2006/relationships" r:id="rId10"/>
            <a:extLst>
              <a:ext uri="{FF2B5EF4-FFF2-40B4-BE49-F238E27FC236}">
                <a16:creationId xmlns:a16="http://schemas.microsoft.com/office/drawing/2014/main" id="{0B5EE24A-1C07-40E2-900D-8A56BBDD5098}"/>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5" name="Rectangle 54">
            <a:extLst>
              <a:ext uri="{FF2B5EF4-FFF2-40B4-BE49-F238E27FC236}">
                <a16:creationId xmlns:a16="http://schemas.microsoft.com/office/drawing/2014/main" id="{60D5FABB-62B1-4FE1-8707-8DA4408C1857}"/>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Rounded Corners 55">
            <a:hlinkClick xmlns:r="http://schemas.openxmlformats.org/officeDocument/2006/relationships" r:id="rId11"/>
            <a:extLst>
              <a:ext uri="{FF2B5EF4-FFF2-40B4-BE49-F238E27FC236}">
                <a16:creationId xmlns:a16="http://schemas.microsoft.com/office/drawing/2014/main" id="{887F125A-E464-472B-B0DC-DE9885AB2C51}"/>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590550</xdr:colOff>
      <xdr:row>3</xdr:row>
      <xdr:rowOff>142875</xdr:rowOff>
    </xdr:from>
    <xdr:to>
      <xdr:col>17</xdr:col>
      <xdr:colOff>228032</xdr:colOff>
      <xdr:row>5</xdr:row>
      <xdr:rowOff>246460</xdr:rowOff>
    </xdr:to>
    <xdr:grpSp>
      <xdr:nvGrpSpPr>
        <xdr:cNvPr id="57" name="Group 56">
          <a:extLst>
            <a:ext uri="{FF2B5EF4-FFF2-40B4-BE49-F238E27FC236}">
              <a16:creationId xmlns:a16="http://schemas.microsoft.com/office/drawing/2014/main" id="{D92B04CD-4F9E-48A6-9D52-D65B4483EB82}"/>
            </a:ext>
          </a:extLst>
        </xdr:cNvPr>
        <xdr:cNvGrpSpPr/>
      </xdr:nvGrpSpPr>
      <xdr:grpSpPr>
        <a:xfrm>
          <a:off x="4902200" y="650875"/>
          <a:ext cx="8152832" cy="573485"/>
          <a:chOff x="4705350" y="652463"/>
          <a:chExt cx="7771832" cy="579835"/>
        </a:xfrm>
      </xdr:grpSpPr>
      <xdr:grpSp>
        <xdr:nvGrpSpPr>
          <xdr:cNvPr id="58" name="Group 57">
            <a:extLst>
              <a:ext uri="{FF2B5EF4-FFF2-40B4-BE49-F238E27FC236}">
                <a16:creationId xmlns:a16="http://schemas.microsoft.com/office/drawing/2014/main" id="{2029235D-1C0C-4733-927E-D7B95B04DD24}"/>
              </a:ext>
            </a:extLst>
          </xdr:cNvPr>
          <xdr:cNvGrpSpPr/>
        </xdr:nvGrpSpPr>
        <xdr:grpSpPr>
          <a:xfrm>
            <a:off x="4705350" y="652463"/>
            <a:ext cx="7771832" cy="257175"/>
            <a:chOff x="4705350" y="642938"/>
            <a:chExt cx="7771832" cy="257175"/>
          </a:xfrm>
        </xdr:grpSpPr>
        <xdr:sp macro="" textlink="">
          <xdr:nvSpPr>
            <xdr:cNvPr id="66" name="Rectangle 65">
              <a:extLst>
                <a:ext uri="{FF2B5EF4-FFF2-40B4-BE49-F238E27FC236}">
                  <a16:creationId xmlns:a16="http://schemas.microsoft.com/office/drawing/2014/main" id="{10902CAF-13C0-42AC-8655-9F0D94D6CD62}"/>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67" name="Rectangle 66">
              <a:extLst>
                <a:ext uri="{FF2B5EF4-FFF2-40B4-BE49-F238E27FC236}">
                  <a16:creationId xmlns:a16="http://schemas.microsoft.com/office/drawing/2014/main" id="{DE76C566-B885-416A-A060-E15C38335350}"/>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68" name="Rectangle 67">
              <a:extLst>
                <a:ext uri="{FF2B5EF4-FFF2-40B4-BE49-F238E27FC236}">
                  <a16:creationId xmlns:a16="http://schemas.microsoft.com/office/drawing/2014/main" id="{5448D13F-E9CF-4E88-83A6-9805927E8BA5}"/>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69" name="Rectangle 68">
              <a:extLst>
                <a:ext uri="{FF2B5EF4-FFF2-40B4-BE49-F238E27FC236}">
                  <a16:creationId xmlns:a16="http://schemas.microsoft.com/office/drawing/2014/main" id="{462DAC0F-0631-4367-8B98-BC8A055D129F}"/>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4E6CA2D-6831-4EBD-8A51-22CEC21B1C7F}"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0" name="Rectangle 69">
              <a:extLst>
                <a:ext uri="{FF2B5EF4-FFF2-40B4-BE49-F238E27FC236}">
                  <a16:creationId xmlns:a16="http://schemas.microsoft.com/office/drawing/2014/main" id="{653270C3-1802-4229-B3DC-FDD0C2773EA9}"/>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52F7AAA-7E55-4624-B5F2-2554667CDFB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1" name="Rectangle 70">
              <a:extLst>
                <a:ext uri="{FF2B5EF4-FFF2-40B4-BE49-F238E27FC236}">
                  <a16:creationId xmlns:a16="http://schemas.microsoft.com/office/drawing/2014/main" id="{D337C537-A790-4969-A294-5A640E272692}"/>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AC56409-AC03-450E-B9E0-4C14932AC3C3}"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59" name="Group 58">
            <a:extLst>
              <a:ext uri="{FF2B5EF4-FFF2-40B4-BE49-F238E27FC236}">
                <a16:creationId xmlns:a16="http://schemas.microsoft.com/office/drawing/2014/main" id="{D5466C97-95B3-4C87-8D52-EB2377FCE44C}"/>
              </a:ext>
            </a:extLst>
          </xdr:cNvPr>
          <xdr:cNvGrpSpPr/>
        </xdr:nvGrpSpPr>
        <xdr:grpSpPr>
          <a:xfrm>
            <a:off x="4705350" y="975123"/>
            <a:ext cx="7771832" cy="257175"/>
            <a:chOff x="4705350" y="975123"/>
            <a:chExt cx="7771832" cy="257175"/>
          </a:xfrm>
        </xdr:grpSpPr>
        <xdr:sp macro="" textlink="">
          <xdr:nvSpPr>
            <xdr:cNvPr id="60" name="Rectangle 59">
              <a:extLst>
                <a:ext uri="{FF2B5EF4-FFF2-40B4-BE49-F238E27FC236}">
                  <a16:creationId xmlns:a16="http://schemas.microsoft.com/office/drawing/2014/main" id="{679A589C-8A3C-49C8-9DF9-F6FC8142F194}"/>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1" name="Rectangle 60">
              <a:extLst>
                <a:ext uri="{FF2B5EF4-FFF2-40B4-BE49-F238E27FC236}">
                  <a16:creationId xmlns:a16="http://schemas.microsoft.com/office/drawing/2014/main" id="{DB9CEA53-7A61-429F-87D8-3E72A7192BF6}"/>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2" name="Rectangle 61">
              <a:extLst>
                <a:ext uri="{FF2B5EF4-FFF2-40B4-BE49-F238E27FC236}">
                  <a16:creationId xmlns:a16="http://schemas.microsoft.com/office/drawing/2014/main" id="{1A4AEB92-59BF-42F2-A6C9-7A806E75F6D8}"/>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3" name="Rectangle 62">
              <a:extLst>
                <a:ext uri="{FF2B5EF4-FFF2-40B4-BE49-F238E27FC236}">
                  <a16:creationId xmlns:a16="http://schemas.microsoft.com/office/drawing/2014/main" id="{10A6C2A9-EA63-4949-B6DF-3C227114228C}"/>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CD16FDF-5F27-4644-8D65-B47EE5AA16AB}"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4" name="Rectangle 63">
              <a:extLst>
                <a:ext uri="{FF2B5EF4-FFF2-40B4-BE49-F238E27FC236}">
                  <a16:creationId xmlns:a16="http://schemas.microsoft.com/office/drawing/2014/main" id="{6185FA99-9BA2-4B92-A908-D1F50DDD4F99}"/>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C96AEAF-237B-47B9-861D-C3BE328A5C5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5" name="Rectangle 64">
              <a:extLst>
                <a:ext uri="{FF2B5EF4-FFF2-40B4-BE49-F238E27FC236}">
                  <a16:creationId xmlns:a16="http://schemas.microsoft.com/office/drawing/2014/main" id="{1F3B38FE-F545-48A0-945E-9BE25E25DE54}"/>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BF66A21-D6B9-45CB-8348-7199BF458620}"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76EA7B93-E070-4BBA-93BA-56725A5CFB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867DB3FC-E353-4B52-9A47-E97CBE170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0</xdr:rowOff>
    </xdr:from>
    <xdr:to>
      <xdr:col>17</xdr:col>
      <xdr:colOff>190500</xdr:colOff>
      <xdr:row>10</xdr:row>
      <xdr:rowOff>742951</xdr:rowOff>
    </xdr:to>
    <xdr:sp macro="" textlink="">
      <xdr:nvSpPr>
        <xdr:cNvPr id="12" name="Rectangle: Rounded Corners 11">
          <a:extLst>
            <a:ext uri="{FF2B5EF4-FFF2-40B4-BE49-F238E27FC236}">
              <a16:creationId xmlns:a16="http://schemas.microsoft.com/office/drawing/2014/main" id="{A004A3AB-E9E3-425D-B906-CEC15D555198}"/>
            </a:ext>
          </a:extLst>
        </xdr:cNvPr>
        <xdr:cNvSpPr/>
      </xdr:nvSpPr>
      <xdr:spPr>
        <a:xfrm>
          <a:off x="4733925" y="1647825"/>
          <a:ext cx="7705725" cy="1609726"/>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b="1">
              <a:solidFill>
                <a:schemeClr val="tx2"/>
              </a:solidFill>
              <a:latin typeface="Century Gothic" panose="020B0502020202020204" pitchFamily="34" charset="0"/>
            </a:rPr>
            <a:t>Wie viel Geld</a:t>
          </a:r>
          <a:r>
            <a:rPr lang="de-DE" sz="1200">
              <a:solidFill>
                <a:schemeClr val="tx2"/>
              </a:solidFill>
              <a:latin typeface="Century Gothic" panose="020B0502020202020204" pitchFamily="34" charset="0"/>
            </a:rPr>
            <a:t> möchtest du dir von der Bank </a:t>
          </a:r>
          <a:r>
            <a:rPr lang="de-DE" sz="1200" b="1">
              <a:solidFill>
                <a:schemeClr val="tx2"/>
              </a:solidFill>
              <a:latin typeface="Century Gothic" panose="020B0502020202020204" pitchFamily="34" charset="0"/>
            </a:rPr>
            <a:t>leihen</a:t>
          </a:r>
          <a:r>
            <a:rPr lang="de-DE" sz="1200">
              <a:solidFill>
                <a:schemeClr val="tx2"/>
              </a:solidFill>
              <a:latin typeface="Century Gothic" panose="020B0502020202020204" pitchFamily="34" charset="0"/>
            </a:rPr>
            <a:t>? Unsere Standard-Annahme ist 100% des Kaufpreises. Du bezahlst also den ganzen Kaufpreis mit einem Kredit. Die Kaufnebenkosten zahlst du dann selbst. Auch Renovierungskosten und Sonderumlagen zahlst du selbst. Du kannst aber auch mit jeder anderen Darlehenssumme rechnen. Je geringer das Darlehen im Verhältnis zum Kaufpreis, desto besser wird dein Zinssatz sein. Und desto geringer ist dein Risiko bei Zinsänderungen. Du musst aber auch mehr eigenes Geld investieren. Wir empfehlen dir zwischen 80% und 100% zu finanzieren.</a:t>
          </a:r>
          <a:endParaRPr lang="de-DE" sz="1200" u="sng" baseline="0">
            <a:solidFill>
              <a:schemeClr val="tx2"/>
            </a:solidFill>
            <a:latin typeface="Century Gothic" panose="020B0502020202020204" pitchFamily="34" charset="0"/>
          </a:endParaRPr>
        </a:p>
      </xdr:txBody>
    </xdr:sp>
    <xdr:clientData/>
  </xdr:twoCellAnchor>
  <xdr:twoCellAnchor>
    <xdr:from>
      <xdr:col>3</xdr:col>
      <xdr:colOff>342900</xdr:colOff>
      <xdr:row>14</xdr:row>
      <xdr:rowOff>276225</xdr:rowOff>
    </xdr:from>
    <xdr:to>
      <xdr:col>5</xdr:col>
      <xdr:colOff>9525</xdr:colOff>
      <xdr:row>15</xdr:row>
      <xdr:rowOff>190500</xdr:rowOff>
    </xdr:to>
    <xdr:sp macro="" textlink="">
      <xdr:nvSpPr>
        <xdr:cNvPr id="13" name="Arrow: Right 12">
          <a:hlinkClick xmlns:r="http://schemas.openxmlformats.org/officeDocument/2006/relationships" r:id="rId3"/>
          <a:extLst>
            <a:ext uri="{FF2B5EF4-FFF2-40B4-BE49-F238E27FC236}">
              <a16:creationId xmlns:a16="http://schemas.microsoft.com/office/drawing/2014/main" id="{2BDC98FC-6AAB-4EA2-B3EB-114C13B1BC59}"/>
            </a:ext>
          </a:extLst>
        </xdr:cNvPr>
        <xdr:cNvSpPr/>
      </xdr:nvSpPr>
      <xdr:spPr>
        <a:xfrm>
          <a:off x="2286000" y="47244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1</xdr:col>
      <xdr:colOff>0</xdr:colOff>
      <xdr:row>14</xdr:row>
      <xdr:rowOff>276225</xdr:rowOff>
    </xdr:from>
    <xdr:to>
      <xdr:col>2</xdr:col>
      <xdr:colOff>1333500</xdr:colOff>
      <xdr:row>15</xdr:row>
      <xdr:rowOff>190500</xdr:rowOff>
    </xdr:to>
    <xdr:sp macro="" textlink="">
      <xdr:nvSpPr>
        <xdr:cNvPr id="38" name="Arrow: Right 37">
          <a:hlinkClick xmlns:r="http://schemas.openxmlformats.org/officeDocument/2006/relationships" r:id="rId4"/>
          <a:extLst>
            <a:ext uri="{FF2B5EF4-FFF2-40B4-BE49-F238E27FC236}">
              <a16:creationId xmlns:a16="http://schemas.microsoft.com/office/drawing/2014/main" id="{CA31AEAC-B0B1-46F1-A712-602BA3FCAE6E}"/>
            </a:ext>
          </a:extLst>
        </xdr:cNvPr>
        <xdr:cNvSpPr/>
      </xdr:nvSpPr>
      <xdr:spPr>
        <a:xfrm flipH="1">
          <a:off x="219075" y="47244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7</xdr:col>
      <xdr:colOff>9525</xdr:colOff>
      <xdr:row>11</xdr:row>
      <xdr:rowOff>0</xdr:rowOff>
    </xdr:from>
    <xdr:to>
      <xdr:col>17</xdr:col>
      <xdr:colOff>190500</xdr:colOff>
      <xdr:row>14</xdr:row>
      <xdr:rowOff>304800</xdr:rowOff>
    </xdr:to>
    <xdr:sp macro="" textlink="">
      <xdr:nvSpPr>
        <xdr:cNvPr id="37" name="Rectangle: Rounded Corners 36">
          <a:extLst>
            <a:ext uri="{FF2B5EF4-FFF2-40B4-BE49-F238E27FC236}">
              <a16:creationId xmlns:a16="http://schemas.microsoft.com/office/drawing/2014/main" id="{33F38F6A-8F03-4DC8-86EA-AF70DE4549D4}"/>
            </a:ext>
          </a:extLst>
        </xdr:cNvPr>
        <xdr:cNvSpPr/>
      </xdr:nvSpPr>
      <xdr:spPr>
        <a:xfrm>
          <a:off x="4733925" y="3581400"/>
          <a:ext cx="7705725" cy="1171575"/>
        </a:xfrm>
        <a:prstGeom prst="roundRect">
          <a:avLst>
            <a:gd name="adj" fmla="val 4211"/>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spcAft>
              <a:spcPts val="600"/>
            </a:spcAft>
          </a:pPr>
          <a:r>
            <a:rPr lang="de-DE" sz="1200">
              <a:solidFill>
                <a:schemeClr val="tx2"/>
              </a:solidFill>
              <a:latin typeface="Century Gothic" panose="020B0502020202020204" pitchFamily="34" charset="0"/>
            </a:rPr>
            <a:t>Mit welchem </a:t>
          </a:r>
          <a:r>
            <a:rPr lang="de-DE" sz="1200" b="1">
              <a:solidFill>
                <a:schemeClr val="tx2"/>
              </a:solidFill>
              <a:latin typeface="Century Gothic" panose="020B0502020202020204" pitchFamily="34" charset="0"/>
            </a:rPr>
            <a:t>Zinssatz</a:t>
          </a:r>
          <a:r>
            <a:rPr lang="de-DE" sz="1200">
              <a:solidFill>
                <a:schemeClr val="tx2"/>
              </a:solidFill>
              <a:latin typeface="Century Gothic" panose="020B0502020202020204" pitchFamily="34" charset="0"/>
            </a:rPr>
            <a:t> pro Jahr rechnest du? Die Zinsen ändern sich derzeit recht dynamisch. Am besten verschaffst du dir per</a:t>
          </a:r>
          <a:r>
            <a:rPr lang="de-DE" sz="1200" baseline="0">
              <a:solidFill>
                <a:schemeClr val="tx2"/>
              </a:solidFill>
              <a:latin typeface="Century Gothic" panose="020B0502020202020204" pitchFamily="34" charset="0"/>
            </a:rPr>
            <a:t> Google ("Bauzinsen") ein eigenes Gefühl.</a:t>
          </a:r>
          <a:endParaRPr lang="de-DE" sz="1200">
            <a:solidFill>
              <a:schemeClr val="tx2"/>
            </a:solidFill>
            <a:latin typeface="Century Gothic" panose="020B0502020202020204" pitchFamily="34" charset="0"/>
          </a:endParaRPr>
        </a:p>
        <a:p>
          <a:pPr algn="l">
            <a:lnSpc>
              <a:spcPct val="130000"/>
            </a:lnSpc>
            <a:spcAft>
              <a:spcPts val="600"/>
            </a:spcAft>
          </a:pPr>
          <a:r>
            <a:rPr lang="de-DE" sz="1200">
              <a:solidFill>
                <a:schemeClr val="tx2"/>
              </a:solidFill>
              <a:latin typeface="Century Gothic" panose="020B0502020202020204" pitchFamily="34" charset="0"/>
            </a:rPr>
            <a:t>Wie viel Prozent des Darlehens möchtest du anfänglich pro Jahr </a:t>
          </a:r>
          <a:r>
            <a:rPr lang="de-DE" sz="1200" b="1">
              <a:solidFill>
                <a:schemeClr val="tx2"/>
              </a:solidFill>
              <a:latin typeface="Century Gothic" panose="020B0502020202020204" pitchFamily="34" charset="0"/>
            </a:rPr>
            <a:t>tilgen</a:t>
          </a:r>
          <a:r>
            <a:rPr lang="de-DE" sz="1200">
              <a:solidFill>
                <a:schemeClr val="tx2"/>
              </a:solidFill>
              <a:latin typeface="Century Gothic" panose="020B0502020202020204" pitchFamily="34" charset="0"/>
            </a:rPr>
            <a:t>, also zurückbezahlen? Wir empfehlen dir mindestens 1,5%.</a:t>
          </a:r>
          <a:endParaRPr lang="de-DE" sz="1200" u="sng">
            <a:solidFill>
              <a:schemeClr val="tx2"/>
            </a:solidFill>
            <a:latin typeface="Century Gothic" panose="020B0502020202020204" pitchFamily="34" charset="0"/>
          </a:endParaRP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39" name="Group 38">
          <a:extLst>
            <a:ext uri="{FF2B5EF4-FFF2-40B4-BE49-F238E27FC236}">
              <a16:creationId xmlns:a16="http://schemas.microsoft.com/office/drawing/2014/main" id="{B530932A-05A7-498B-974E-D18998310EE2}"/>
            </a:ext>
          </a:extLst>
        </xdr:cNvPr>
        <xdr:cNvGrpSpPr/>
      </xdr:nvGrpSpPr>
      <xdr:grpSpPr>
        <a:xfrm>
          <a:off x="3079750" y="133350"/>
          <a:ext cx="10004425" cy="245225"/>
          <a:chOff x="2952750" y="137737"/>
          <a:chExt cx="9563100" cy="248400"/>
        </a:xfrm>
      </xdr:grpSpPr>
      <xdr:sp macro="" textlink="">
        <xdr:nvSpPr>
          <xdr:cNvPr id="40" name="Rectangle 39">
            <a:hlinkClick xmlns:r="http://schemas.openxmlformats.org/officeDocument/2006/relationships" r:id="rId5"/>
            <a:extLst>
              <a:ext uri="{FF2B5EF4-FFF2-40B4-BE49-F238E27FC236}">
                <a16:creationId xmlns:a16="http://schemas.microsoft.com/office/drawing/2014/main" id="{235F06C6-0E22-49F5-95C7-3CE6BC3578E1}"/>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1" name="Rectangle 40">
            <a:hlinkClick xmlns:r="http://schemas.openxmlformats.org/officeDocument/2006/relationships" r:id="rId4"/>
            <a:extLst>
              <a:ext uri="{FF2B5EF4-FFF2-40B4-BE49-F238E27FC236}">
                <a16:creationId xmlns:a16="http://schemas.microsoft.com/office/drawing/2014/main" id="{067E6856-49EC-4B50-B799-579F291A6C45}"/>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2" name="Rectangle 41">
            <a:hlinkClick xmlns:r="http://schemas.openxmlformats.org/officeDocument/2006/relationships" r:id="rId6"/>
            <a:extLst>
              <a:ext uri="{FF2B5EF4-FFF2-40B4-BE49-F238E27FC236}">
                <a16:creationId xmlns:a16="http://schemas.microsoft.com/office/drawing/2014/main" id="{1103AAFF-DE59-4F1E-B629-4AC942A6810A}"/>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Finanzierung</a:t>
            </a:r>
          </a:p>
        </xdr:txBody>
      </xdr:sp>
      <xdr:sp macro="" textlink="">
        <xdr:nvSpPr>
          <xdr:cNvPr id="43" name="Rectangle 42">
            <a:hlinkClick xmlns:r="http://schemas.openxmlformats.org/officeDocument/2006/relationships" r:id="rId7"/>
            <a:extLst>
              <a:ext uri="{FF2B5EF4-FFF2-40B4-BE49-F238E27FC236}">
                <a16:creationId xmlns:a16="http://schemas.microsoft.com/office/drawing/2014/main" id="{8D765513-89F4-4EBC-8DCF-A4F9DEE8FB16}"/>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44" name="Rectangle 43">
            <a:hlinkClick xmlns:r="http://schemas.openxmlformats.org/officeDocument/2006/relationships" r:id="rId8"/>
            <a:extLst>
              <a:ext uri="{FF2B5EF4-FFF2-40B4-BE49-F238E27FC236}">
                <a16:creationId xmlns:a16="http://schemas.microsoft.com/office/drawing/2014/main" id="{0452B78A-12BB-4FAE-B7A6-AB293FD525AA}"/>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45" name="Rectangle 44">
            <a:hlinkClick xmlns:r="http://schemas.openxmlformats.org/officeDocument/2006/relationships" r:id="rId9"/>
            <a:extLst>
              <a:ext uri="{FF2B5EF4-FFF2-40B4-BE49-F238E27FC236}">
                <a16:creationId xmlns:a16="http://schemas.microsoft.com/office/drawing/2014/main" id="{460835E5-FA7D-4D7F-A962-7E770F8A140C}"/>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46" name="Rectangle 45">
            <a:hlinkClick xmlns:r="http://schemas.openxmlformats.org/officeDocument/2006/relationships" r:id="rId10"/>
            <a:extLst>
              <a:ext uri="{FF2B5EF4-FFF2-40B4-BE49-F238E27FC236}">
                <a16:creationId xmlns:a16="http://schemas.microsoft.com/office/drawing/2014/main" id="{18429393-C49C-4B85-B62C-61CFAD1EC06D}"/>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47" name="Rectangle 46">
            <a:extLst>
              <a:ext uri="{FF2B5EF4-FFF2-40B4-BE49-F238E27FC236}">
                <a16:creationId xmlns:a16="http://schemas.microsoft.com/office/drawing/2014/main" id="{626EA1BF-EBF5-43E1-A9E5-86ACCE49D29E}"/>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8" name="Rectangle 47">
            <a:extLst>
              <a:ext uri="{FF2B5EF4-FFF2-40B4-BE49-F238E27FC236}">
                <a16:creationId xmlns:a16="http://schemas.microsoft.com/office/drawing/2014/main" id="{469A2AA8-B2CB-4A4D-9563-C7D17E0C19CE}"/>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9" name="Rectangle 48">
            <a:extLst>
              <a:ext uri="{FF2B5EF4-FFF2-40B4-BE49-F238E27FC236}">
                <a16:creationId xmlns:a16="http://schemas.microsoft.com/office/drawing/2014/main" id="{E8538382-8962-47DB-94F2-D093A0B34E9E}"/>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0" name="Rectangle 49">
            <a:extLst>
              <a:ext uri="{FF2B5EF4-FFF2-40B4-BE49-F238E27FC236}">
                <a16:creationId xmlns:a16="http://schemas.microsoft.com/office/drawing/2014/main" id="{3AB729B3-FD41-421C-A6FD-0AF393126DA5}"/>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9BEBAB85-7BFE-41D7-A72E-E52A5C1B6313}"/>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CD380FB6-57A5-4EB9-BEF6-DFD126CB16E5}"/>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EC593283-F889-4F60-B2CB-531E8299DAF1}"/>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Rounded Corners 53">
            <a:hlinkClick xmlns:r="http://schemas.openxmlformats.org/officeDocument/2006/relationships" r:id="rId11"/>
            <a:extLst>
              <a:ext uri="{FF2B5EF4-FFF2-40B4-BE49-F238E27FC236}">
                <a16:creationId xmlns:a16="http://schemas.microsoft.com/office/drawing/2014/main" id="{FE36249C-2377-46F4-ACD0-254994A15AEF}"/>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5" name="Rectangle 54">
            <a:extLst>
              <a:ext uri="{FF2B5EF4-FFF2-40B4-BE49-F238E27FC236}">
                <a16:creationId xmlns:a16="http://schemas.microsoft.com/office/drawing/2014/main" id="{F707DCB6-3ED1-4119-847D-F01577BBEFEA}"/>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Rounded Corners 55">
            <a:hlinkClick xmlns:r="http://schemas.openxmlformats.org/officeDocument/2006/relationships" r:id="rId12"/>
            <a:extLst>
              <a:ext uri="{FF2B5EF4-FFF2-40B4-BE49-F238E27FC236}">
                <a16:creationId xmlns:a16="http://schemas.microsoft.com/office/drawing/2014/main" id="{5C840EF3-638D-480B-BB30-F3F66358B9A4}"/>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590550</xdr:colOff>
      <xdr:row>3</xdr:row>
      <xdr:rowOff>142875</xdr:rowOff>
    </xdr:from>
    <xdr:to>
      <xdr:col>17</xdr:col>
      <xdr:colOff>228032</xdr:colOff>
      <xdr:row>5</xdr:row>
      <xdr:rowOff>246460</xdr:rowOff>
    </xdr:to>
    <xdr:grpSp>
      <xdr:nvGrpSpPr>
        <xdr:cNvPr id="57" name="Group 56">
          <a:extLst>
            <a:ext uri="{FF2B5EF4-FFF2-40B4-BE49-F238E27FC236}">
              <a16:creationId xmlns:a16="http://schemas.microsoft.com/office/drawing/2014/main" id="{FCE44155-77DB-46F4-B198-62DBB648E78A}"/>
            </a:ext>
          </a:extLst>
        </xdr:cNvPr>
        <xdr:cNvGrpSpPr/>
      </xdr:nvGrpSpPr>
      <xdr:grpSpPr>
        <a:xfrm>
          <a:off x="4902200" y="650875"/>
          <a:ext cx="8152832" cy="573485"/>
          <a:chOff x="4705350" y="652463"/>
          <a:chExt cx="7771832" cy="579835"/>
        </a:xfrm>
      </xdr:grpSpPr>
      <xdr:grpSp>
        <xdr:nvGrpSpPr>
          <xdr:cNvPr id="58" name="Group 57">
            <a:extLst>
              <a:ext uri="{FF2B5EF4-FFF2-40B4-BE49-F238E27FC236}">
                <a16:creationId xmlns:a16="http://schemas.microsoft.com/office/drawing/2014/main" id="{D4DB7DCD-C66D-40EF-8F55-BB79F4412148}"/>
              </a:ext>
            </a:extLst>
          </xdr:cNvPr>
          <xdr:cNvGrpSpPr/>
        </xdr:nvGrpSpPr>
        <xdr:grpSpPr>
          <a:xfrm>
            <a:off x="4705350" y="652463"/>
            <a:ext cx="7771832" cy="257175"/>
            <a:chOff x="4705350" y="642938"/>
            <a:chExt cx="7771832" cy="257175"/>
          </a:xfrm>
        </xdr:grpSpPr>
        <xdr:sp macro="" textlink="">
          <xdr:nvSpPr>
            <xdr:cNvPr id="66" name="Rectangle 65">
              <a:extLst>
                <a:ext uri="{FF2B5EF4-FFF2-40B4-BE49-F238E27FC236}">
                  <a16:creationId xmlns:a16="http://schemas.microsoft.com/office/drawing/2014/main" id="{D976A244-D6B7-414E-AB0F-0303A142DA11}"/>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67" name="Rectangle 66">
              <a:extLst>
                <a:ext uri="{FF2B5EF4-FFF2-40B4-BE49-F238E27FC236}">
                  <a16:creationId xmlns:a16="http://schemas.microsoft.com/office/drawing/2014/main" id="{D21647C9-31AB-4F99-9CD7-4DC6ED9F91B3}"/>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68" name="Rectangle 67">
              <a:extLst>
                <a:ext uri="{FF2B5EF4-FFF2-40B4-BE49-F238E27FC236}">
                  <a16:creationId xmlns:a16="http://schemas.microsoft.com/office/drawing/2014/main" id="{B91A118A-1036-46EF-BE0F-9C4E950A0B42}"/>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69" name="Rectangle 68">
              <a:extLst>
                <a:ext uri="{FF2B5EF4-FFF2-40B4-BE49-F238E27FC236}">
                  <a16:creationId xmlns:a16="http://schemas.microsoft.com/office/drawing/2014/main" id="{BDB9BAA3-10AA-4FD9-AAA4-0B8FD9DE421F}"/>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B489B10-8F40-4AFE-A469-2E72DE271896}"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0" name="Rectangle 69">
              <a:extLst>
                <a:ext uri="{FF2B5EF4-FFF2-40B4-BE49-F238E27FC236}">
                  <a16:creationId xmlns:a16="http://schemas.microsoft.com/office/drawing/2014/main" id="{12B018FD-1D80-46D8-91EF-CD93BBD1B015}"/>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0713A1E-ECE9-4B46-930A-84C16F890652}"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1" name="Rectangle 70">
              <a:extLst>
                <a:ext uri="{FF2B5EF4-FFF2-40B4-BE49-F238E27FC236}">
                  <a16:creationId xmlns:a16="http://schemas.microsoft.com/office/drawing/2014/main" id="{84AEF5B0-8D5A-49C2-ADDC-D3A17E528E16}"/>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BBA0CD1-6A99-4577-A2E7-125ABDE8A6AC}"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59" name="Group 58">
            <a:extLst>
              <a:ext uri="{FF2B5EF4-FFF2-40B4-BE49-F238E27FC236}">
                <a16:creationId xmlns:a16="http://schemas.microsoft.com/office/drawing/2014/main" id="{15B3110E-ADA1-429F-A384-B250068F5AAF}"/>
              </a:ext>
            </a:extLst>
          </xdr:cNvPr>
          <xdr:cNvGrpSpPr/>
        </xdr:nvGrpSpPr>
        <xdr:grpSpPr>
          <a:xfrm>
            <a:off x="4705350" y="975123"/>
            <a:ext cx="7771832" cy="257175"/>
            <a:chOff x="4705350" y="975123"/>
            <a:chExt cx="7771832" cy="257175"/>
          </a:xfrm>
        </xdr:grpSpPr>
        <xdr:sp macro="" textlink="">
          <xdr:nvSpPr>
            <xdr:cNvPr id="60" name="Rectangle 59">
              <a:extLst>
                <a:ext uri="{FF2B5EF4-FFF2-40B4-BE49-F238E27FC236}">
                  <a16:creationId xmlns:a16="http://schemas.microsoft.com/office/drawing/2014/main" id="{A3E568A3-4D67-45C3-A533-DBBA7DA6A62F}"/>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1" name="Rectangle 60">
              <a:extLst>
                <a:ext uri="{FF2B5EF4-FFF2-40B4-BE49-F238E27FC236}">
                  <a16:creationId xmlns:a16="http://schemas.microsoft.com/office/drawing/2014/main" id="{55D2136D-E4BC-453C-82F4-B055CBAFD1D9}"/>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2" name="Rectangle 61">
              <a:extLst>
                <a:ext uri="{FF2B5EF4-FFF2-40B4-BE49-F238E27FC236}">
                  <a16:creationId xmlns:a16="http://schemas.microsoft.com/office/drawing/2014/main" id="{3A8DDEFB-7FE9-413E-8DF3-01C47094A9DD}"/>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3" name="Rectangle 62">
              <a:extLst>
                <a:ext uri="{FF2B5EF4-FFF2-40B4-BE49-F238E27FC236}">
                  <a16:creationId xmlns:a16="http://schemas.microsoft.com/office/drawing/2014/main" id="{CE0FCB2C-3DBB-47C8-BB0F-E750C403FE16}"/>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01A0E33-D9B8-4AA1-8A42-DBDBB48933F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4" name="Rectangle 63">
              <a:extLst>
                <a:ext uri="{FF2B5EF4-FFF2-40B4-BE49-F238E27FC236}">
                  <a16:creationId xmlns:a16="http://schemas.microsoft.com/office/drawing/2014/main" id="{96681B64-9976-4FC6-81F3-9DCA5FC0D747}"/>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EFF46591-B23F-4300-A87C-10CEF949E48A}"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5" name="Rectangle 64">
              <a:extLst>
                <a:ext uri="{FF2B5EF4-FFF2-40B4-BE49-F238E27FC236}">
                  <a16:creationId xmlns:a16="http://schemas.microsoft.com/office/drawing/2014/main" id="{399E470E-5F57-47DB-BCCD-B54301A6A0F7}"/>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628DD8C3-6E3E-4E81-B337-49CFA9CCF0CD}"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7</xdr:col>
      <xdr:colOff>9525</xdr:colOff>
      <xdr:row>15</xdr:row>
      <xdr:rowOff>123824</xdr:rowOff>
    </xdr:from>
    <xdr:to>
      <xdr:col>17</xdr:col>
      <xdr:colOff>190500</xdr:colOff>
      <xdr:row>17</xdr:row>
      <xdr:rowOff>209550</xdr:rowOff>
    </xdr:to>
    <xdr:sp macro="" textlink="">
      <xdr:nvSpPr>
        <xdr:cNvPr id="72" name="Rectangle: Rounded Corners 71">
          <a:hlinkClick xmlns:r="http://schemas.openxmlformats.org/officeDocument/2006/relationships" r:id="rId13"/>
          <a:extLst>
            <a:ext uri="{FF2B5EF4-FFF2-40B4-BE49-F238E27FC236}">
              <a16:creationId xmlns:a16="http://schemas.microsoft.com/office/drawing/2014/main" id="{2E46C0EB-ADBE-418E-99CF-ADA78B6D0F08}"/>
            </a:ext>
          </a:extLst>
        </xdr:cNvPr>
        <xdr:cNvSpPr/>
      </xdr:nvSpPr>
      <xdr:spPr>
        <a:xfrm>
          <a:off x="4733925" y="5038724"/>
          <a:ext cx="7705725" cy="628651"/>
        </a:xfrm>
        <a:prstGeom prst="roundRect">
          <a:avLst>
            <a:gd name="adj" fmla="val 818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Eine ausführliche Erklärung zu unseren Annahmen und Empfehlungen sowie eine vollständige Gebrauchsanleitung</a:t>
          </a:r>
          <a:r>
            <a:rPr lang="de-DE" sz="1200" baseline="0">
              <a:solidFill>
                <a:schemeClr val="tx2"/>
              </a:solidFill>
              <a:latin typeface="Century Gothic" panose="020B0502020202020204" pitchFamily="34" charset="0"/>
            </a:rPr>
            <a:t> für den Wohnungskauf </a:t>
          </a:r>
          <a:r>
            <a:rPr lang="de-DE" sz="1200" u="sng" baseline="0">
              <a:solidFill>
                <a:schemeClr val="tx2"/>
              </a:solidFill>
              <a:latin typeface="Century Gothic" panose="020B0502020202020204" pitchFamily="34" charset="0"/>
            </a:rPr>
            <a:t>findest du hier (immocation Buch).</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880334F6-5757-41A7-95DB-BA6310C46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8DEFF875-D99B-447E-9658-5CE91C213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7</xdr:row>
      <xdr:rowOff>1</xdr:rowOff>
    </xdr:from>
    <xdr:to>
      <xdr:col>17</xdr:col>
      <xdr:colOff>190500</xdr:colOff>
      <xdr:row>8</xdr:row>
      <xdr:rowOff>209551</xdr:rowOff>
    </xdr:to>
    <xdr:sp macro="" textlink="">
      <xdr:nvSpPr>
        <xdr:cNvPr id="12" name="Rectangle: Rounded Corners 11">
          <a:extLst>
            <a:ext uri="{FF2B5EF4-FFF2-40B4-BE49-F238E27FC236}">
              <a16:creationId xmlns:a16="http://schemas.microsoft.com/office/drawing/2014/main" id="{C25D6B7E-82B7-44DE-A28B-BFAAB614EF2E}"/>
            </a:ext>
          </a:extLst>
        </xdr:cNvPr>
        <xdr:cNvSpPr/>
      </xdr:nvSpPr>
      <xdr:spPr>
        <a:xfrm>
          <a:off x="4733925" y="1647826"/>
          <a:ext cx="7705725" cy="533400"/>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ctr"/>
        <a:lstStyle/>
        <a:p>
          <a:pPr algn="l">
            <a:lnSpc>
              <a:spcPct val="130000"/>
            </a:lnSpc>
          </a:pPr>
          <a:r>
            <a:rPr lang="de-DE" sz="1200" b="0" baseline="0">
              <a:solidFill>
                <a:schemeClr val="tx2"/>
              </a:solidFill>
              <a:latin typeface="Century Gothic" panose="020B0502020202020204" pitchFamily="34" charset="0"/>
            </a:rPr>
            <a:t>Diese </a:t>
          </a:r>
          <a:r>
            <a:rPr lang="de-DE" sz="1200" b="1" baseline="0">
              <a:solidFill>
                <a:schemeClr val="tx2"/>
              </a:solidFill>
              <a:latin typeface="Century Gothic" panose="020B0502020202020204" pitchFamily="34" charset="0"/>
            </a:rPr>
            <a:t>Rate</a:t>
          </a:r>
          <a:r>
            <a:rPr lang="de-DE" sz="1200" b="0" baseline="0">
              <a:solidFill>
                <a:schemeClr val="tx2"/>
              </a:solidFill>
              <a:latin typeface="Century Gothic" panose="020B0502020202020204" pitchFamily="34" charset="0"/>
            </a:rPr>
            <a:t> musst du jeden Monat </a:t>
          </a:r>
          <a:r>
            <a:rPr lang="de-DE" sz="1200" b="1" baseline="0">
              <a:solidFill>
                <a:schemeClr val="tx2"/>
              </a:solidFill>
              <a:latin typeface="Century Gothic" panose="020B0502020202020204" pitchFamily="34" charset="0"/>
            </a:rPr>
            <a:t>an die Bank überweisen</a:t>
          </a:r>
          <a:r>
            <a:rPr lang="de-DE" sz="1200" b="0" baseline="0">
              <a:solidFill>
                <a:schemeClr val="tx2"/>
              </a:solidFill>
              <a:latin typeface="Century Gothic" panose="020B0502020202020204" pitchFamily="34" charset="0"/>
            </a:rPr>
            <a:t>. </a:t>
          </a:r>
        </a:p>
      </xdr:txBody>
    </xdr:sp>
    <xdr:clientData/>
  </xdr:twoCellAnchor>
  <xdr:twoCellAnchor>
    <xdr:from>
      <xdr:col>3</xdr:col>
      <xdr:colOff>342900</xdr:colOff>
      <xdr:row>13</xdr:row>
      <xdr:rowOff>304800</xdr:rowOff>
    </xdr:from>
    <xdr:to>
      <xdr:col>5</xdr:col>
      <xdr:colOff>9525</xdr:colOff>
      <xdr:row>14</xdr:row>
      <xdr:rowOff>219075</xdr:rowOff>
    </xdr:to>
    <xdr:sp macro="" textlink="">
      <xdr:nvSpPr>
        <xdr:cNvPr id="13" name="Arrow: Right 12">
          <a:hlinkClick xmlns:r="http://schemas.openxmlformats.org/officeDocument/2006/relationships" r:id="rId3"/>
          <a:extLst>
            <a:ext uri="{FF2B5EF4-FFF2-40B4-BE49-F238E27FC236}">
              <a16:creationId xmlns:a16="http://schemas.microsoft.com/office/drawing/2014/main" id="{2F23235C-615B-4346-B80A-848B42D101BC}"/>
            </a:ext>
          </a:extLst>
        </xdr:cNvPr>
        <xdr:cNvSpPr/>
      </xdr:nvSpPr>
      <xdr:spPr>
        <a:xfrm>
          <a:off x="2286000" y="49911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1</xdr:col>
      <xdr:colOff>0</xdr:colOff>
      <xdr:row>13</xdr:row>
      <xdr:rowOff>304800</xdr:rowOff>
    </xdr:from>
    <xdr:to>
      <xdr:col>2</xdr:col>
      <xdr:colOff>1333500</xdr:colOff>
      <xdr:row>14</xdr:row>
      <xdr:rowOff>219075</xdr:rowOff>
    </xdr:to>
    <xdr:sp macro="" textlink="">
      <xdr:nvSpPr>
        <xdr:cNvPr id="37" name="Arrow: Right 36">
          <a:hlinkClick xmlns:r="http://schemas.openxmlformats.org/officeDocument/2006/relationships" r:id="rId4"/>
          <a:extLst>
            <a:ext uri="{FF2B5EF4-FFF2-40B4-BE49-F238E27FC236}">
              <a16:creationId xmlns:a16="http://schemas.microsoft.com/office/drawing/2014/main" id="{328EE08C-D6AC-44EE-840E-DE3BE95B71DE}"/>
            </a:ext>
          </a:extLst>
        </xdr:cNvPr>
        <xdr:cNvSpPr/>
      </xdr:nvSpPr>
      <xdr:spPr>
        <a:xfrm flipH="1">
          <a:off x="219075" y="49911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editAs="oneCell">
    <xdr:from>
      <xdr:col>7</xdr:col>
      <xdr:colOff>123825</xdr:colOff>
      <xdr:row>7</xdr:row>
      <xdr:rowOff>95250</xdr:rowOff>
    </xdr:from>
    <xdr:to>
      <xdr:col>7</xdr:col>
      <xdr:colOff>466725</xdr:colOff>
      <xdr:row>8</xdr:row>
      <xdr:rowOff>114300</xdr:rowOff>
    </xdr:to>
    <xdr:pic>
      <xdr:nvPicPr>
        <xdr:cNvPr id="39" name="Picture 38" descr="http://de.seaicons.com/wp-content/uploads/2015/11/15-Light-Bulb-icon.png">
          <a:extLst>
            <a:ext uri="{FF2B5EF4-FFF2-40B4-BE49-F238E27FC236}">
              <a16:creationId xmlns:a16="http://schemas.microsoft.com/office/drawing/2014/main" id="{2FD32851-5834-4333-9ED4-045B355FD26C}"/>
            </a:ext>
          </a:extLst>
        </xdr:cNvPr>
        <xdr:cNvPicPr>
          <a:picLocks noChangeAspect="1" noChangeArrowheads="1"/>
        </xdr:cNvPicPr>
      </xdr:nvPicPr>
      <xdr:blipFill>
        <a:blip xmlns:r="http://schemas.openxmlformats.org/officeDocument/2006/relationships" r:embed="rId5"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48225" y="1743075"/>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9525</xdr:colOff>
      <xdr:row>9</xdr:row>
      <xdr:rowOff>0</xdr:rowOff>
    </xdr:from>
    <xdr:to>
      <xdr:col>17</xdr:col>
      <xdr:colOff>190500</xdr:colOff>
      <xdr:row>10</xdr:row>
      <xdr:rowOff>523875</xdr:rowOff>
    </xdr:to>
    <xdr:sp macro="" textlink="">
      <xdr:nvSpPr>
        <xdr:cNvPr id="40" name="Rectangle: Rounded Corners 39">
          <a:extLst>
            <a:ext uri="{FF2B5EF4-FFF2-40B4-BE49-F238E27FC236}">
              <a16:creationId xmlns:a16="http://schemas.microsoft.com/office/drawing/2014/main" id="{C06B629E-4A3E-4DFB-B14A-06868B96E7DD}"/>
            </a:ext>
          </a:extLst>
        </xdr:cNvPr>
        <xdr:cNvSpPr/>
      </xdr:nvSpPr>
      <xdr:spPr>
        <a:xfrm>
          <a:off x="4733925" y="2600325"/>
          <a:ext cx="7705725" cy="847725"/>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pPr>
          <a:r>
            <a:rPr lang="de-DE" sz="1200" b="0" baseline="0">
              <a:solidFill>
                <a:schemeClr val="tx2"/>
              </a:solidFill>
              <a:latin typeface="Century Gothic" panose="020B0502020202020204" pitchFamily="34" charset="0"/>
            </a:rPr>
            <a:t>In diesem Jahr ist dein </a:t>
          </a:r>
          <a:r>
            <a:rPr lang="de-DE" sz="1200" b="1" baseline="0">
              <a:solidFill>
                <a:schemeClr val="tx2"/>
              </a:solidFill>
              <a:latin typeface="Century Gothic" panose="020B0502020202020204" pitchFamily="34" charset="0"/>
            </a:rPr>
            <a:t>Darlehen vollständig abbezahlt</a:t>
          </a:r>
          <a:r>
            <a:rPr lang="de-DE" sz="1200" b="0" baseline="0">
              <a:solidFill>
                <a:schemeClr val="tx2"/>
              </a:solidFill>
              <a:latin typeface="Century Gothic" panose="020B0502020202020204" pitchFamily="34" charset="0"/>
            </a:rPr>
            <a:t>. Ab dann steht dir ein Großteil der Miete als passives Einkommen zur Verfügung. Dieses Datum kann sich durch Zins- und Tilgungsänderungen bei Anschlussfinanzierungen in beide Richtungen verschieben.</a:t>
          </a:r>
        </a:p>
      </xdr:txBody>
    </xdr:sp>
    <xdr:clientData/>
  </xdr:twoCellAnchor>
  <xdr:twoCellAnchor editAs="oneCell">
    <xdr:from>
      <xdr:col>7</xdr:col>
      <xdr:colOff>123825</xdr:colOff>
      <xdr:row>9</xdr:row>
      <xdr:rowOff>85725</xdr:rowOff>
    </xdr:from>
    <xdr:to>
      <xdr:col>7</xdr:col>
      <xdr:colOff>466725</xdr:colOff>
      <xdr:row>10</xdr:row>
      <xdr:rowOff>104775</xdr:rowOff>
    </xdr:to>
    <xdr:pic>
      <xdr:nvPicPr>
        <xdr:cNvPr id="41" name="Picture 40" descr="http://de.seaicons.com/wp-content/uploads/2015/11/15-Light-Bulb-icon.png">
          <a:extLst>
            <a:ext uri="{FF2B5EF4-FFF2-40B4-BE49-F238E27FC236}">
              <a16:creationId xmlns:a16="http://schemas.microsoft.com/office/drawing/2014/main" id="{3EE48513-F45E-4093-973E-CD129350C2F6}"/>
            </a:ext>
          </a:extLst>
        </xdr:cNvPr>
        <xdr:cNvPicPr>
          <a:picLocks noChangeAspect="1" noChangeArrowheads="1"/>
        </xdr:cNvPicPr>
      </xdr:nvPicPr>
      <xdr:blipFill>
        <a:blip xmlns:r="http://schemas.openxmlformats.org/officeDocument/2006/relationships" r:embed="rId5"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48225" y="268605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9525</xdr:colOff>
      <xdr:row>11</xdr:row>
      <xdr:rowOff>9525</xdr:rowOff>
    </xdr:from>
    <xdr:to>
      <xdr:col>17</xdr:col>
      <xdr:colOff>190500</xdr:colOff>
      <xdr:row>13</xdr:row>
      <xdr:rowOff>314325</xdr:rowOff>
    </xdr:to>
    <xdr:sp macro="" textlink="">
      <xdr:nvSpPr>
        <xdr:cNvPr id="42" name="Rectangle: Rounded Corners 41">
          <a:extLst>
            <a:ext uri="{FF2B5EF4-FFF2-40B4-BE49-F238E27FC236}">
              <a16:creationId xmlns:a16="http://schemas.microsoft.com/office/drawing/2014/main" id="{2F5FC69C-1450-4538-9295-A8BCB79D6CEF}"/>
            </a:ext>
          </a:extLst>
        </xdr:cNvPr>
        <xdr:cNvSpPr/>
      </xdr:nvSpPr>
      <xdr:spPr>
        <a:xfrm>
          <a:off x="4733925" y="3562350"/>
          <a:ext cx="7705725" cy="847725"/>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pPr>
          <a:r>
            <a:rPr lang="de-DE" sz="1200" b="0" baseline="0">
              <a:solidFill>
                <a:schemeClr val="tx2"/>
              </a:solidFill>
              <a:latin typeface="Century Gothic" panose="020B0502020202020204" pitchFamily="34" charset="0"/>
            </a:rPr>
            <a:t>Um alle geplanten Kosten zu decken, ergibt sich nach Abzug deiner Darlehenssumme dieser </a:t>
          </a:r>
          <a:r>
            <a:rPr lang="de-DE" sz="1200" b="1" baseline="0">
              <a:solidFill>
                <a:schemeClr val="tx2"/>
              </a:solidFill>
              <a:latin typeface="Century Gothic" panose="020B0502020202020204" pitchFamily="34" charset="0"/>
            </a:rPr>
            <a:t>Eigenkapitalbedarf</a:t>
          </a:r>
          <a:r>
            <a:rPr lang="de-DE" sz="1200" b="0" baseline="0">
              <a:solidFill>
                <a:schemeClr val="tx2"/>
              </a:solidFill>
              <a:latin typeface="Century Gothic" panose="020B0502020202020204" pitchFamily="34" charset="0"/>
            </a:rPr>
            <a:t>. Du solltest danach noch einen ausreichenden </a:t>
          </a:r>
          <a:r>
            <a:rPr lang="de-DE" sz="1200" b="1" baseline="0">
              <a:solidFill>
                <a:schemeClr val="tx2"/>
              </a:solidFill>
              <a:latin typeface="Century Gothic" panose="020B0502020202020204" pitchFamily="34" charset="0"/>
            </a:rPr>
            <a:t>Puffer</a:t>
          </a:r>
          <a:r>
            <a:rPr lang="de-DE" sz="1200" b="0" baseline="0">
              <a:solidFill>
                <a:schemeClr val="tx2"/>
              </a:solidFill>
              <a:latin typeface="Century Gothic" panose="020B0502020202020204" pitchFamily="34" charset="0"/>
            </a:rPr>
            <a:t> auf deinem Konto übrig behalten, um unvohergesehene Kosten tragen zu können.</a:t>
          </a:r>
        </a:p>
      </xdr:txBody>
    </xdr:sp>
    <xdr:clientData/>
  </xdr:twoCellAnchor>
  <xdr:twoCellAnchor editAs="oneCell">
    <xdr:from>
      <xdr:col>7</xdr:col>
      <xdr:colOff>123825</xdr:colOff>
      <xdr:row>11</xdr:row>
      <xdr:rowOff>95250</xdr:rowOff>
    </xdr:from>
    <xdr:to>
      <xdr:col>7</xdr:col>
      <xdr:colOff>466725</xdr:colOff>
      <xdr:row>12</xdr:row>
      <xdr:rowOff>114300</xdr:rowOff>
    </xdr:to>
    <xdr:pic>
      <xdr:nvPicPr>
        <xdr:cNvPr id="43" name="Picture 42" descr="http://de.seaicons.com/wp-content/uploads/2015/11/15-Light-Bulb-icon.png">
          <a:extLst>
            <a:ext uri="{FF2B5EF4-FFF2-40B4-BE49-F238E27FC236}">
              <a16:creationId xmlns:a16="http://schemas.microsoft.com/office/drawing/2014/main" id="{079C559A-3D63-45F8-991B-56FF788B40D3}"/>
            </a:ext>
          </a:extLst>
        </xdr:cNvPr>
        <xdr:cNvPicPr>
          <a:picLocks noChangeAspect="1" noChangeArrowheads="1"/>
        </xdr:cNvPicPr>
      </xdr:nvPicPr>
      <xdr:blipFill>
        <a:blip xmlns:r="http://schemas.openxmlformats.org/officeDocument/2006/relationships" r:embed="rId5"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48225" y="3648075"/>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66675</xdr:colOff>
      <xdr:row>0</xdr:row>
      <xdr:rowOff>133350</xdr:rowOff>
    </xdr:from>
    <xdr:to>
      <xdr:col>17</xdr:col>
      <xdr:colOff>247650</xdr:colOff>
      <xdr:row>2</xdr:row>
      <xdr:rowOff>29325</xdr:rowOff>
    </xdr:to>
    <xdr:grpSp>
      <xdr:nvGrpSpPr>
        <xdr:cNvPr id="44" name="Group 43">
          <a:extLst>
            <a:ext uri="{FF2B5EF4-FFF2-40B4-BE49-F238E27FC236}">
              <a16:creationId xmlns:a16="http://schemas.microsoft.com/office/drawing/2014/main" id="{25F95823-721E-4F26-B857-83D175B565A7}"/>
            </a:ext>
          </a:extLst>
        </xdr:cNvPr>
        <xdr:cNvGrpSpPr/>
      </xdr:nvGrpSpPr>
      <xdr:grpSpPr>
        <a:xfrm>
          <a:off x="3070225" y="133350"/>
          <a:ext cx="10004425" cy="245225"/>
          <a:chOff x="2952750" y="137737"/>
          <a:chExt cx="9563100" cy="248400"/>
        </a:xfrm>
      </xdr:grpSpPr>
      <xdr:sp macro="" textlink="">
        <xdr:nvSpPr>
          <xdr:cNvPr id="45" name="Rectangle 44">
            <a:hlinkClick xmlns:r="http://schemas.openxmlformats.org/officeDocument/2006/relationships" r:id="rId6"/>
            <a:extLst>
              <a:ext uri="{FF2B5EF4-FFF2-40B4-BE49-F238E27FC236}">
                <a16:creationId xmlns:a16="http://schemas.microsoft.com/office/drawing/2014/main" id="{497ECF1D-1533-4381-9285-A6D9265B9ACC}"/>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6" name="Rectangle 45">
            <a:hlinkClick xmlns:r="http://schemas.openxmlformats.org/officeDocument/2006/relationships" r:id="rId7"/>
            <a:extLst>
              <a:ext uri="{FF2B5EF4-FFF2-40B4-BE49-F238E27FC236}">
                <a16:creationId xmlns:a16="http://schemas.microsoft.com/office/drawing/2014/main" id="{F3FA97BA-D85A-4824-A935-68CEB6244272}"/>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7" name="Rectangle 46">
            <a:hlinkClick xmlns:r="http://schemas.openxmlformats.org/officeDocument/2006/relationships" r:id="rId4"/>
            <a:extLst>
              <a:ext uri="{FF2B5EF4-FFF2-40B4-BE49-F238E27FC236}">
                <a16:creationId xmlns:a16="http://schemas.microsoft.com/office/drawing/2014/main" id="{44097281-9BC9-497D-B62A-FA170225D579}"/>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Finanzierung</a:t>
            </a:r>
          </a:p>
        </xdr:txBody>
      </xdr:sp>
      <xdr:sp macro="" textlink="">
        <xdr:nvSpPr>
          <xdr:cNvPr id="48" name="Rectangle 47">
            <a:hlinkClick xmlns:r="http://schemas.openxmlformats.org/officeDocument/2006/relationships" r:id="rId3"/>
            <a:extLst>
              <a:ext uri="{FF2B5EF4-FFF2-40B4-BE49-F238E27FC236}">
                <a16:creationId xmlns:a16="http://schemas.microsoft.com/office/drawing/2014/main" id="{46B938D6-4277-4403-A357-5BD8056D25E2}"/>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Hausgeld &amp;</a:t>
            </a:r>
            <a:r>
              <a:rPr lang="de-DE" sz="1050" baseline="0">
                <a:solidFill>
                  <a:schemeClr val="bg1"/>
                </a:solidFill>
                <a:latin typeface="+mn-lt"/>
              </a:rPr>
              <a:t> Rücklagen</a:t>
            </a:r>
            <a:endParaRPr lang="de-DE" sz="1050">
              <a:solidFill>
                <a:schemeClr val="bg1"/>
              </a:solidFill>
              <a:latin typeface="+mn-lt"/>
            </a:endParaRPr>
          </a:p>
        </xdr:txBody>
      </xdr:sp>
      <xdr:sp macro="" textlink="">
        <xdr:nvSpPr>
          <xdr:cNvPr id="49" name="Rectangle 48">
            <a:hlinkClick xmlns:r="http://schemas.openxmlformats.org/officeDocument/2006/relationships" r:id="rId8"/>
            <a:extLst>
              <a:ext uri="{FF2B5EF4-FFF2-40B4-BE49-F238E27FC236}">
                <a16:creationId xmlns:a16="http://schemas.microsoft.com/office/drawing/2014/main" id="{01D7F925-B9E8-47C6-99A3-E4A4F652920F}"/>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50" name="Rectangle 49">
            <a:hlinkClick xmlns:r="http://schemas.openxmlformats.org/officeDocument/2006/relationships" r:id="rId9"/>
            <a:extLst>
              <a:ext uri="{FF2B5EF4-FFF2-40B4-BE49-F238E27FC236}">
                <a16:creationId xmlns:a16="http://schemas.microsoft.com/office/drawing/2014/main" id="{2DDF2B40-F2B2-44A5-BFE0-C04AA387216B}"/>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51" name="Rectangle 50">
            <a:hlinkClick xmlns:r="http://schemas.openxmlformats.org/officeDocument/2006/relationships" r:id="rId10"/>
            <a:extLst>
              <a:ext uri="{FF2B5EF4-FFF2-40B4-BE49-F238E27FC236}">
                <a16:creationId xmlns:a16="http://schemas.microsoft.com/office/drawing/2014/main" id="{A1F5B660-BD83-4349-95C9-E4989D5ACDF7}"/>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52" name="Rectangle 51">
            <a:extLst>
              <a:ext uri="{FF2B5EF4-FFF2-40B4-BE49-F238E27FC236}">
                <a16:creationId xmlns:a16="http://schemas.microsoft.com/office/drawing/2014/main" id="{00DEE77C-6BE1-4BD5-A2EE-693793AAC881}"/>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782B730D-C631-4042-B7BF-46B54BC9AA57}"/>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2D276BB3-A834-4036-A499-8F0D494DF431}"/>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99E644EF-A334-4A63-88C0-304807D7A413}"/>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55">
            <a:extLst>
              <a:ext uri="{FF2B5EF4-FFF2-40B4-BE49-F238E27FC236}">
                <a16:creationId xmlns:a16="http://schemas.microsoft.com/office/drawing/2014/main" id="{CE514720-90BF-4CFC-854B-7C377F69B16F}"/>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7" name="Rectangle 56">
            <a:extLst>
              <a:ext uri="{FF2B5EF4-FFF2-40B4-BE49-F238E27FC236}">
                <a16:creationId xmlns:a16="http://schemas.microsoft.com/office/drawing/2014/main" id="{E19AC9B9-C4CF-4717-ACCC-B3AFE12EC472}"/>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57">
            <a:extLst>
              <a:ext uri="{FF2B5EF4-FFF2-40B4-BE49-F238E27FC236}">
                <a16:creationId xmlns:a16="http://schemas.microsoft.com/office/drawing/2014/main" id="{15569BA2-8577-4D14-80FB-0A2F630BAB24}"/>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9" name="Rectangle: Rounded Corners 58">
            <a:hlinkClick xmlns:r="http://schemas.openxmlformats.org/officeDocument/2006/relationships" r:id="rId11"/>
            <a:extLst>
              <a:ext uri="{FF2B5EF4-FFF2-40B4-BE49-F238E27FC236}">
                <a16:creationId xmlns:a16="http://schemas.microsoft.com/office/drawing/2014/main" id="{369BD69A-09AA-422B-BCAD-DC897B594C52}"/>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60" name="Rectangle 59">
            <a:extLst>
              <a:ext uri="{FF2B5EF4-FFF2-40B4-BE49-F238E27FC236}">
                <a16:creationId xmlns:a16="http://schemas.microsoft.com/office/drawing/2014/main" id="{D92762AD-9762-4D99-AD93-6F2F36A58367}"/>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1" name="Rectangle: Rounded Corners 60">
            <a:hlinkClick xmlns:r="http://schemas.openxmlformats.org/officeDocument/2006/relationships" r:id="rId12"/>
            <a:extLst>
              <a:ext uri="{FF2B5EF4-FFF2-40B4-BE49-F238E27FC236}">
                <a16:creationId xmlns:a16="http://schemas.microsoft.com/office/drawing/2014/main" id="{63F16ABC-38C5-44F2-89B4-F3F514F2C3EC}"/>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mc:AlternateContent xmlns:mc="http://schemas.openxmlformats.org/markup-compatibility/2006">
    <mc:Choice xmlns:a14="http://schemas.microsoft.com/office/drawing/2010/main" Requires="a14">
      <xdr:twoCellAnchor editAs="oneCell">
        <xdr:from>
          <xdr:col>6</xdr:col>
          <xdr:colOff>590550</xdr:colOff>
          <xdr:row>3</xdr:row>
          <xdr:rowOff>161925</xdr:rowOff>
        </xdr:from>
        <xdr:to>
          <xdr:col>10</xdr:col>
          <xdr:colOff>209550</xdr:colOff>
          <xdr:row>4</xdr:row>
          <xdr:rowOff>180975</xdr:rowOff>
        </xdr:to>
        <xdr:pic>
          <xdr:nvPicPr>
            <xdr:cNvPr id="82" name="Picture 81">
              <a:extLst>
                <a:ext uri="{FF2B5EF4-FFF2-40B4-BE49-F238E27FC236}">
                  <a16:creationId xmlns:a16="http://schemas.microsoft.com/office/drawing/2014/main" id="{F3FAB7DA-C2E9-4146-92AD-260296DA4DDC}"/>
                </a:ext>
              </a:extLst>
            </xdr:cNvPr>
            <xdr:cNvPicPr>
              <a:picLocks noChangeAspect="1" noChangeArrowheads="1"/>
              <a:extLst>
                <a:ext uri="{84589F7E-364E-4C9E-8A38-B11213B215E9}">
                  <a14:cameraTool cellRange="cnfg_rf!$G$36" spid="_x0000_s8256"/>
                </a:ext>
              </a:extLst>
            </xdr:cNvPicPr>
          </xdr:nvPicPr>
          <xdr:blipFill>
            <a:blip xmlns:r="http://schemas.openxmlformats.org/officeDocument/2006/relationships" r:embed="rId13"/>
            <a:srcRect/>
            <a:stretch>
              <a:fillRect/>
            </a:stretch>
          </xdr:blipFill>
          <xdr:spPr bwMode="auto">
            <a:xfrm>
              <a:off x="4705350" y="676275"/>
              <a:ext cx="2486025" cy="2571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342900</xdr:colOff>
          <xdr:row>3</xdr:row>
          <xdr:rowOff>161925</xdr:rowOff>
        </xdr:from>
        <xdr:to>
          <xdr:col>17</xdr:col>
          <xdr:colOff>276225</xdr:colOff>
          <xdr:row>4</xdr:row>
          <xdr:rowOff>190500</xdr:rowOff>
        </xdr:to>
        <xdr:pic>
          <xdr:nvPicPr>
            <xdr:cNvPr id="83" name="Picture 82">
              <a:extLst>
                <a:ext uri="{FF2B5EF4-FFF2-40B4-BE49-F238E27FC236}">
                  <a16:creationId xmlns:a16="http://schemas.microsoft.com/office/drawing/2014/main" id="{44BB21B0-FF5A-40D1-9155-446763B70176}"/>
                </a:ext>
              </a:extLst>
            </xdr:cNvPr>
            <xdr:cNvPicPr>
              <a:picLocks noChangeAspect="1" noChangeArrowheads="1"/>
              <a:extLst>
                <a:ext uri="{84589F7E-364E-4C9E-8A38-B11213B215E9}">
                  <a14:cameraTool cellRange="cnfg_rf!$G$38" spid="_x0000_s8257"/>
                </a:ext>
              </a:extLst>
            </xdr:cNvPicPr>
          </xdr:nvPicPr>
          <xdr:blipFill>
            <a:blip xmlns:r="http://schemas.openxmlformats.org/officeDocument/2006/relationships" r:embed="rId13"/>
            <a:srcRect/>
            <a:stretch>
              <a:fillRect/>
            </a:stretch>
          </xdr:blipFill>
          <xdr:spPr bwMode="auto">
            <a:xfrm>
              <a:off x="10334625" y="676275"/>
              <a:ext cx="219075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600075</xdr:colOff>
      <xdr:row>3</xdr:row>
      <xdr:rowOff>142875</xdr:rowOff>
    </xdr:from>
    <xdr:to>
      <xdr:col>17</xdr:col>
      <xdr:colOff>237557</xdr:colOff>
      <xdr:row>5</xdr:row>
      <xdr:rowOff>246460</xdr:rowOff>
    </xdr:to>
    <xdr:grpSp>
      <xdr:nvGrpSpPr>
        <xdr:cNvPr id="62" name="Group 61">
          <a:extLst>
            <a:ext uri="{FF2B5EF4-FFF2-40B4-BE49-F238E27FC236}">
              <a16:creationId xmlns:a16="http://schemas.microsoft.com/office/drawing/2014/main" id="{E820ADB3-43B0-4D51-AC2B-54EB28277976}"/>
            </a:ext>
          </a:extLst>
        </xdr:cNvPr>
        <xdr:cNvGrpSpPr/>
      </xdr:nvGrpSpPr>
      <xdr:grpSpPr>
        <a:xfrm>
          <a:off x="4911725" y="650875"/>
          <a:ext cx="8152832" cy="573485"/>
          <a:chOff x="4705350" y="652463"/>
          <a:chExt cx="7771832" cy="579835"/>
        </a:xfrm>
      </xdr:grpSpPr>
      <xdr:grpSp>
        <xdr:nvGrpSpPr>
          <xdr:cNvPr id="63" name="Group 62">
            <a:extLst>
              <a:ext uri="{FF2B5EF4-FFF2-40B4-BE49-F238E27FC236}">
                <a16:creationId xmlns:a16="http://schemas.microsoft.com/office/drawing/2014/main" id="{EA4A63B1-0F9D-4B41-B1FE-14743E6FB06B}"/>
              </a:ext>
            </a:extLst>
          </xdr:cNvPr>
          <xdr:cNvGrpSpPr/>
        </xdr:nvGrpSpPr>
        <xdr:grpSpPr>
          <a:xfrm>
            <a:off x="4705350" y="652463"/>
            <a:ext cx="7771832" cy="257175"/>
            <a:chOff x="4705350" y="642938"/>
            <a:chExt cx="7771832" cy="257175"/>
          </a:xfrm>
        </xdr:grpSpPr>
        <xdr:sp macro="" textlink="">
          <xdr:nvSpPr>
            <xdr:cNvPr id="71" name="Rectangle 70">
              <a:extLst>
                <a:ext uri="{FF2B5EF4-FFF2-40B4-BE49-F238E27FC236}">
                  <a16:creationId xmlns:a16="http://schemas.microsoft.com/office/drawing/2014/main" id="{A4C16F56-1A28-4C38-9C7C-2730B0A4EB3A}"/>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2" name="Rectangle 71">
              <a:extLst>
                <a:ext uri="{FF2B5EF4-FFF2-40B4-BE49-F238E27FC236}">
                  <a16:creationId xmlns:a16="http://schemas.microsoft.com/office/drawing/2014/main" id="{9286E8C1-389B-47A4-BCED-3F6F378A15C2}"/>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3" name="Rectangle 72">
              <a:extLst>
                <a:ext uri="{FF2B5EF4-FFF2-40B4-BE49-F238E27FC236}">
                  <a16:creationId xmlns:a16="http://schemas.microsoft.com/office/drawing/2014/main" id="{4D906999-4386-4900-AC80-054B61B4F5DD}"/>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4" name="Rectangle 73">
              <a:extLst>
                <a:ext uri="{FF2B5EF4-FFF2-40B4-BE49-F238E27FC236}">
                  <a16:creationId xmlns:a16="http://schemas.microsoft.com/office/drawing/2014/main" id="{D2F5D775-12A0-498B-A9C3-B65F3BB6D9F3}"/>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6D21841-7808-4200-B868-33A5AFFD9A9E}"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5" name="Rectangle 74">
              <a:extLst>
                <a:ext uri="{FF2B5EF4-FFF2-40B4-BE49-F238E27FC236}">
                  <a16:creationId xmlns:a16="http://schemas.microsoft.com/office/drawing/2014/main" id="{C2F55226-59A4-49E2-9258-C4FD9234593B}"/>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6722DF32-F262-4FB5-BA91-0B2016916D5F}"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6" name="Rectangle 75">
              <a:extLst>
                <a:ext uri="{FF2B5EF4-FFF2-40B4-BE49-F238E27FC236}">
                  <a16:creationId xmlns:a16="http://schemas.microsoft.com/office/drawing/2014/main" id="{F6F25CCD-D4E6-4092-95D6-CED7291C987D}"/>
                </a:ext>
              </a:extLst>
            </xdr:cNvPr>
            <xdr:cNvSpPr/>
          </xdr:nvSpPr>
          <xdr:spPr>
            <a:xfrm>
              <a:off x="11268075" y="642938"/>
              <a:ext cx="120910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FF6C4CD-C2D8-46F9-A81F-BAF65FAF3437}"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4" name="Group 63">
            <a:extLst>
              <a:ext uri="{FF2B5EF4-FFF2-40B4-BE49-F238E27FC236}">
                <a16:creationId xmlns:a16="http://schemas.microsoft.com/office/drawing/2014/main" id="{1E0E4E66-6F92-49F0-A604-DEF54C96FCD9}"/>
              </a:ext>
            </a:extLst>
          </xdr:cNvPr>
          <xdr:cNvGrpSpPr/>
        </xdr:nvGrpSpPr>
        <xdr:grpSpPr>
          <a:xfrm>
            <a:off x="4705350" y="975123"/>
            <a:ext cx="7771832" cy="257175"/>
            <a:chOff x="4705350" y="975123"/>
            <a:chExt cx="7771832" cy="257175"/>
          </a:xfrm>
        </xdr:grpSpPr>
        <xdr:sp macro="" textlink="">
          <xdr:nvSpPr>
            <xdr:cNvPr id="65" name="Rectangle 64">
              <a:extLst>
                <a:ext uri="{FF2B5EF4-FFF2-40B4-BE49-F238E27FC236}">
                  <a16:creationId xmlns:a16="http://schemas.microsoft.com/office/drawing/2014/main" id="{B7106780-516A-440A-B56B-8FFB43BCC0FF}"/>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6" name="Rectangle 65">
              <a:extLst>
                <a:ext uri="{FF2B5EF4-FFF2-40B4-BE49-F238E27FC236}">
                  <a16:creationId xmlns:a16="http://schemas.microsoft.com/office/drawing/2014/main" id="{A3634C28-2884-4D8E-B323-E73548E6DD0C}"/>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7" name="Rectangle 66">
              <a:extLst>
                <a:ext uri="{FF2B5EF4-FFF2-40B4-BE49-F238E27FC236}">
                  <a16:creationId xmlns:a16="http://schemas.microsoft.com/office/drawing/2014/main" id="{91FAEFAA-30AD-4C66-8AD1-E95602093BD0}"/>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8" name="Rectangle 67">
              <a:extLst>
                <a:ext uri="{FF2B5EF4-FFF2-40B4-BE49-F238E27FC236}">
                  <a16:creationId xmlns:a16="http://schemas.microsoft.com/office/drawing/2014/main" id="{80158FB9-EB75-4724-95D4-861DB62D4A96}"/>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09CEB86-39A0-4F3A-B664-BB10E583443F}"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9" name="Rectangle 68">
              <a:extLst>
                <a:ext uri="{FF2B5EF4-FFF2-40B4-BE49-F238E27FC236}">
                  <a16:creationId xmlns:a16="http://schemas.microsoft.com/office/drawing/2014/main" id="{BB3ABFC3-72F0-4CAA-BFEE-0E159B0B6E38}"/>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135EE4A-B36A-43C6-B8ED-0278BEC0AB4C}"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70" name="Rectangle 69">
              <a:extLst>
                <a:ext uri="{FF2B5EF4-FFF2-40B4-BE49-F238E27FC236}">
                  <a16:creationId xmlns:a16="http://schemas.microsoft.com/office/drawing/2014/main" id="{DCBA4D44-A537-47D7-9E2E-4052568972D3}"/>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E8051840-2F85-41CF-AB64-48FD29F22735}"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E9D261A7-44A9-4D9B-B232-1DD812797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4C860953-667C-41DA-AE3B-5F23FD131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19051</xdr:colOff>
      <xdr:row>6</xdr:row>
      <xdr:rowOff>276224</xdr:rowOff>
    </xdr:from>
    <xdr:to>
      <xdr:col>17</xdr:col>
      <xdr:colOff>200026</xdr:colOff>
      <xdr:row>8</xdr:row>
      <xdr:rowOff>542925</xdr:rowOff>
    </xdr:to>
    <xdr:sp macro="" textlink="">
      <xdr:nvSpPr>
        <xdr:cNvPr id="12" name="Rectangle: Rounded Corners 11">
          <a:extLst>
            <a:ext uri="{FF2B5EF4-FFF2-40B4-BE49-F238E27FC236}">
              <a16:creationId xmlns:a16="http://schemas.microsoft.com/office/drawing/2014/main" id="{D31CAD42-7FBE-4BD0-B055-DDE5F305EE11}"/>
            </a:ext>
          </a:extLst>
        </xdr:cNvPr>
        <xdr:cNvSpPr/>
      </xdr:nvSpPr>
      <xdr:spPr>
        <a:xfrm>
          <a:off x="4743451" y="1647824"/>
          <a:ext cx="7705725" cy="866776"/>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pPr>
          <a:r>
            <a:rPr lang="de-DE" sz="1200" b="0" baseline="0">
              <a:solidFill>
                <a:schemeClr val="tx2"/>
              </a:solidFill>
              <a:latin typeface="Century Gothic" panose="020B0502020202020204" pitchFamily="34" charset="0"/>
            </a:rPr>
            <a:t>Gib hier die monatlichen </a:t>
          </a:r>
          <a:r>
            <a:rPr lang="de-DE" sz="1200" b="1" baseline="0">
              <a:solidFill>
                <a:schemeClr val="tx2"/>
              </a:solidFill>
              <a:latin typeface="Century Gothic" panose="020B0502020202020204" pitchFamily="34" charset="0"/>
            </a:rPr>
            <a:t>nicht-umlagefähigen Kosten </a:t>
          </a:r>
          <a:r>
            <a:rPr lang="de-DE" sz="1200" b="0" baseline="0">
              <a:solidFill>
                <a:schemeClr val="tx2"/>
              </a:solidFill>
              <a:latin typeface="Century Gothic" panose="020B0502020202020204" pitchFamily="34" charset="0"/>
            </a:rPr>
            <a:t>aus dem aktuellen Wirtschaftsplan ein. Also den Betrag, den du jeden Monat an die Hausverwaltung überweist und nicht auf den Mieter umlegen darfst.</a:t>
          </a:r>
        </a:p>
      </xdr:txBody>
    </xdr:sp>
    <xdr:clientData/>
  </xdr:twoCellAnchor>
  <xdr:twoCellAnchor>
    <xdr:from>
      <xdr:col>3</xdr:col>
      <xdr:colOff>342900</xdr:colOff>
      <xdr:row>14</xdr:row>
      <xdr:rowOff>400050</xdr:rowOff>
    </xdr:from>
    <xdr:to>
      <xdr:col>5</xdr:col>
      <xdr:colOff>9525</xdr:colOff>
      <xdr:row>15</xdr:row>
      <xdr:rowOff>314325</xdr:rowOff>
    </xdr:to>
    <xdr:sp macro="" textlink="">
      <xdr:nvSpPr>
        <xdr:cNvPr id="13" name="Arrow: Right 12">
          <a:hlinkClick xmlns:r="http://schemas.openxmlformats.org/officeDocument/2006/relationships" r:id="rId3"/>
          <a:extLst>
            <a:ext uri="{FF2B5EF4-FFF2-40B4-BE49-F238E27FC236}">
              <a16:creationId xmlns:a16="http://schemas.microsoft.com/office/drawing/2014/main" id="{658F7839-6A96-4A09-8EBC-712112DBCCA1}"/>
            </a:ext>
          </a:extLst>
        </xdr:cNvPr>
        <xdr:cNvSpPr/>
      </xdr:nvSpPr>
      <xdr:spPr>
        <a:xfrm>
          <a:off x="2286000" y="47625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1</xdr:col>
      <xdr:colOff>0</xdr:colOff>
      <xdr:row>14</xdr:row>
      <xdr:rowOff>400050</xdr:rowOff>
    </xdr:from>
    <xdr:to>
      <xdr:col>2</xdr:col>
      <xdr:colOff>1333500</xdr:colOff>
      <xdr:row>15</xdr:row>
      <xdr:rowOff>314325</xdr:rowOff>
    </xdr:to>
    <xdr:sp macro="" textlink="">
      <xdr:nvSpPr>
        <xdr:cNvPr id="37" name="Arrow: Right 36">
          <a:hlinkClick xmlns:r="http://schemas.openxmlformats.org/officeDocument/2006/relationships" r:id="rId4"/>
          <a:extLst>
            <a:ext uri="{FF2B5EF4-FFF2-40B4-BE49-F238E27FC236}">
              <a16:creationId xmlns:a16="http://schemas.microsoft.com/office/drawing/2014/main" id="{8C2B7120-6174-4057-8706-0CD724F0D4E7}"/>
            </a:ext>
          </a:extLst>
        </xdr:cNvPr>
        <xdr:cNvSpPr/>
      </xdr:nvSpPr>
      <xdr:spPr>
        <a:xfrm flipH="1">
          <a:off x="219075" y="47625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7</xdr:col>
      <xdr:colOff>19051</xdr:colOff>
      <xdr:row>9</xdr:row>
      <xdr:rowOff>190498</xdr:rowOff>
    </xdr:from>
    <xdr:to>
      <xdr:col>17</xdr:col>
      <xdr:colOff>200026</xdr:colOff>
      <xdr:row>14</xdr:row>
      <xdr:rowOff>447675</xdr:rowOff>
    </xdr:to>
    <xdr:sp macro="" textlink="">
      <xdr:nvSpPr>
        <xdr:cNvPr id="44" name="Rectangle: Rounded Corners 43">
          <a:extLst>
            <a:ext uri="{FF2B5EF4-FFF2-40B4-BE49-F238E27FC236}">
              <a16:creationId xmlns:a16="http://schemas.microsoft.com/office/drawing/2014/main" id="{8EE4A1E6-33EA-4A72-9164-9267D9F40D39}"/>
            </a:ext>
          </a:extLst>
        </xdr:cNvPr>
        <xdr:cNvSpPr/>
      </xdr:nvSpPr>
      <xdr:spPr>
        <a:xfrm>
          <a:off x="4743451" y="2828923"/>
          <a:ext cx="7705725" cy="1981202"/>
        </a:xfrm>
        <a:prstGeom prst="roundRect">
          <a:avLst>
            <a:gd name="adj" fmla="val 1836"/>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spcAft>
              <a:spcPts val="1200"/>
            </a:spcAft>
          </a:pPr>
          <a:r>
            <a:rPr lang="de-DE" sz="1200" b="0" baseline="0">
              <a:solidFill>
                <a:schemeClr val="tx2"/>
              </a:solidFill>
              <a:latin typeface="Century Gothic" panose="020B0502020202020204" pitchFamily="34" charset="0"/>
            </a:rPr>
            <a:t>Welchen Teil der </a:t>
          </a:r>
          <a:r>
            <a:rPr lang="de-DE" sz="1200" b="1" baseline="0">
              <a:solidFill>
                <a:schemeClr val="tx2"/>
              </a:solidFill>
              <a:latin typeface="Century Gothic" panose="020B0502020202020204" pitchFamily="34" charset="0"/>
            </a:rPr>
            <a:t>Miete</a:t>
          </a:r>
          <a:r>
            <a:rPr lang="de-DE" sz="1200" b="0" baseline="0">
              <a:solidFill>
                <a:schemeClr val="tx2"/>
              </a:solidFill>
              <a:latin typeface="Century Gothic" panose="020B0502020202020204" pitchFamily="34" charset="0"/>
            </a:rPr>
            <a:t> willst du für Zeiten </a:t>
          </a:r>
          <a:r>
            <a:rPr lang="de-DE" sz="1200" b="1" baseline="0">
              <a:solidFill>
                <a:schemeClr val="tx2"/>
              </a:solidFill>
              <a:latin typeface="Century Gothic" panose="020B0502020202020204" pitchFamily="34" charset="0"/>
            </a:rPr>
            <a:t>zurücklegen</a:t>
          </a:r>
          <a:r>
            <a:rPr lang="de-DE" sz="1200" b="0" baseline="0">
              <a:solidFill>
                <a:schemeClr val="tx2"/>
              </a:solidFill>
              <a:latin typeface="Century Gothic" panose="020B0502020202020204" pitchFamily="34" charset="0"/>
            </a:rPr>
            <a:t>, in denen die </a:t>
          </a:r>
          <a:r>
            <a:rPr lang="de-DE" sz="1200" b="1" baseline="0">
              <a:solidFill>
                <a:schemeClr val="tx2"/>
              </a:solidFill>
              <a:latin typeface="Century Gothic" panose="020B0502020202020204" pitchFamily="34" charset="0"/>
            </a:rPr>
            <a:t>Wohnung</a:t>
          </a:r>
          <a:r>
            <a:rPr lang="de-DE" sz="1200" b="0" baseline="0">
              <a:solidFill>
                <a:schemeClr val="tx2"/>
              </a:solidFill>
              <a:latin typeface="Century Gothic" panose="020B0502020202020204" pitchFamily="34" charset="0"/>
            </a:rPr>
            <a:t> einmal </a:t>
          </a:r>
          <a:r>
            <a:rPr lang="de-DE" sz="1200" b="1" baseline="0">
              <a:solidFill>
                <a:schemeClr val="tx2"/>
              </a:solidFill>
              <a:latin typeface="Century Gothic" panose="020B0502020202020204" pitchFamily="34" charset="0"/>
            </a:rPr>
            <a:t>leer steht</a:t>
          </a:r>
          <a:r>
            <a:rPr lang="de-DE" sz="1200" b="0" baseline="0">
              <a:solidFill>
                <a:schemeClr val="tx2"/>
              </a:solidFill>
              <a:latin typeface="Century Gothic" panose="020B0502020202020204" pitchFamily="34" charset="0"/>
            </a:rPr>
            <a:t>. Die richtige Höhe hängt von der Lage und Vermietbarkeit der Wohnung ab. Unsere Standard-Annahme für Städte mit guten Zukunftschancen ist 3%.</a:t>
          </a:r>
        </a:p>
        <a:p>
          <a:pPr algn="l">
            <a:lnSpc>
              <a:spcPct val="130000"/>
            </a:lnSpc>
            <a:spcAft>
              <a:spcPts val="1200"/>
            </a:spcAft>
          </a:pPr>
          <a:r>
            <a:rPr lang="de-DE" sz="1200" b="0" baseline="0">
              <a:solidFill>
                <a:schemeClr val="tx2"/>
              </a:solidFill>
              <a:latin typeface="Century Gothic" panose="020B0502020202020204" pitchFamily="34" charset="0"/>
            </a:rPr>
            <a:t>Wie viel Geld willst du für spätere </a:t>
          </a:r>
          <a:r>
            <a:rPr lang="de-DE" sz="1200" b="1" baseline="0">
              <a:solidFill>
                <a:schemeClr val="tx2"/>
              </a:solidFill>
              <a:latin typeface="Century Gothic" panose="020B0502020202020204" pitchFamily="34" charset="0"/>
            </a:rPr>
            <a:t>Renovierungen</a:t>
          </a:r>
          <a:r>
            <a:rPr lang="de-DE" sz="1200" b="0" baseline="0">
              <a:solidFill>
                <a:schemeClr val="tx2"/>
              </a:solidFill>
              <a:latin typeface="Century Gothic" panose="020B0502020202020204" pitchFamily="34" charset="0"/>
            </a:rPr>
            <a:t> deiner Wohnung zurücklegen? Wie viel Geld eine Renovierung kostet, hängt immer von der Größe der Wohnung ab. Deshalb wird der Wert pro m² Wohnfläche und Jahr angegeben. Der richtige Wert hängt immer auch von Zustand und Alter der Wohnung ab. Unsere Standard-Empfehlung ist 10 Euro pro m² Wohnfläche und Jahr.</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39" name="Group 38">
          <a:extLst>
            <a:ext uri="{FF2B5EF4-FFF2-40B4-BE49-F238E27FC236}">
              <a16:creationId xmlns:a16="http://schemas.microsoft.com/office/drawing/2014/main" id="{DFC33493-620B-4331-B8EB-F9ECAB8466C9}"/>
            </a:ext>
          </a:extLst>
        </xdr:cNvPr>
        <xdr:cNvGrpSpPr/>
      </xdr:nvGrpSpPr>
      <xdr:grpSpPr>
        <a:xfrm>
          <a:off x="3079750" y="133350"/>
          <a:ext cx="10004425" cy="245225"/>
          <a:chOff x="2952750" y="137737"/>
          <a:chExt cx="9563100" cy="248400"/>
        </a:xfrm>
      </xdr:grpSpPr>
      <xdr:sp macro="" textlink="">
        <xdr:nvSpPr>
          <xdr:cNvPr id="40" name="Rectangle 39">
            <a:hlinkClick xmlns:r="http://schemas.openxmlformats.org/officeDocument/2006/relationships" r:id="rId5"/>
            <a:extLst>
              <a:ext uri="{FF2B5EF4-FFF2-40B4-BE49-F238E27FC236}">
                <a16:creationId xmlns:a16="http://schemas.microsoft.com/office/drawing/2014/main" id="{14BECDAE-2FEB-48E9-BAD4-18488A4433BC}"/>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1" name="Rectangle 40">
            <a:hlinkClick xmlns:r="http://schemas.openxmlformats.org/officeDocument/2006/relationships" r:id="rId6"/>
            <a:extLst>
              <a:ext uri="{FF2B5EF4-FFF2-40B4-BE49-F238E27FC236}">
                <a16:creationId xmlns:a16="http://schemas.microsoft.com/office/drawing/2014/main" id="{277DD67A-FC07-4554-8F8D-4794473C02FC}"/>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2" name="Rectangle 41">
            <a:hlinkClick xmlns:r="http://schemas.openxmlformats.org/officeDocument/2006/relationships" r:id="rId7"/>
            <a:extLst>
              <a:ext uri="{FF2B5EF4-FFF2-40B4-BE49-F238E27FC236}">
                <a16:creationId xmlns:a16="http://schemas.microsoft.com/office/drawing/2014/main" id="{56B44036-9B02-4810-AE7B-938DE34DAA84}"/>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43" name="Rectangle 42">
            <a:hlinkClick xmlns:r="http://schemas.openxmlformats.org/officeDocument/2006/relationships" r:id="rId8"/>
            <a:extLst>
              <a:ext uri="{FF2B5EF4-FFF2-40B4-BE49-F238E27FC236}">
                <a16:creationId xmlns:a16="http://schemas.microsoft.com/office/drawing/2014/main" id="{735C7F2D-8FC9-45B7-9E9E-CEB750C0C84A}"/>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Hausgeld &amp;</a:t>
            </a:r>
            <a:r>
              <a:rPr lang="de-DE" sz="1050" u="sng" baseline="0">
                <a:solidFill>
                  <a:schemeClr val="bg1"/>
                </a:solidFill>
                <a:latin typeface="+mn-lt"/>
              </a:rPr>
              <a:t> Rücklagen</a:t>
            </a:r>
            <a:endParaRPr lang="de-DE" sz="1050" u="sng">
              <a:solidFill>
                <a:schemeClr val="bg1"/>
              </a:solidFill>
              <a:latin typeface="+mn-lt"/>
            </a:endParaRPr>
          </a:p>
        </xdr:txBody>
      </xdr:sp>
      <xdr:sp macro="" textlink="">
        <xdr:nvSpPr>
          <xdr:cNvPr id="45" name="Rectangle 44">
            <a:hlinkClick xmlns:r="http://schemas.openxmlformats.org/officeDocument/2006/relationships" r:id="rId9"/>
            <a:extLst>
              <a:ext uri="{FF2B5EF4-FFF2-40B4-BE49-F238E27FC236}">
                <a16:creationId xmlns:a16="http://schemas.microsoft.com/office/drawing/2014/main" id="{215ADCEC-ADD8-469D-A5A9-575FC8F14572}"/>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46" name="Rectangle 45">
            <a:hlinkClick xmlns:r="http://schemas.openxmlformats.org/officeDocument/2006/relationships" r:id="rId10"/>
            <a:extLst>
              <a:ext uri="{FF2B5EF4-FFF2-40B4-BE49-F238E27FC236}">
                <a16:creationId xmlns:a16="http://schemas.microsoft.com/office/drawing/2014/main" id="{5AE7F5E9-96FE-4B79-ADA2-C676AB008EF3}"/>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47" name="Rectangle 46">
            <a:hlinkClick xmlns:r="http://schemas.openxmlformats.org/officeDocument/2006/relationships" r:id="rId11"/>
            <a:extLst>
              <a:ext uri="{FF2B5EF4-FFF2-40B4-BE49-F238E27FC236}">
                <a16:creationId xmlns:a16="http://schemas.microsoft.com/office/drawing/2014/main" id="{5CDB11E3-1052-4695-8F71-F12D9A6A154B}"/>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48" name="Rectangle 47">
            <a:extLst>
              <a:ext uri="{FF2B5EF4-FFF2-40B4-BE49-F238E27FC236}">
                <a16:creationId xmlns:a16="http://schemas.microsoft.com/office/drawing/2014/main" id="{A02B23B2-2A00-4771-9881-2F69ED211F2E}"/>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9" name="Rectangle 48">
            <a:extLst>
              <a:ext uri="{FF2B5EF4-FFF2-40B4-BE49-F238E27FC236}">
                <a16:creationId xmlns:a16="http://schemas.microsoft.com/office/drawing/2014/main" id="{1D9C41A9-8823-422E-8B62-E09D63749E7B}"/>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0" name="Rectangle 49">
            <a:extLst>
              <a:ext uri="{FF2B5EF4-FFF2-40B4-BE49-F238E27FC236}">
                <a16:creationId xmlns:a16="http://schemas.microsoft.com/office/drawing/2014/main" id="{4660CD31-4882-4F56-A495-371D801D964F}"/>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9D0FBFFD-25EB-4848-B868-D17128CA6A65}"/>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A7F065B6-E0B9-49A1-AD18-0471C8B2E0A4}"/>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8261D7A6-101A-48AC-95A0-97B16104B326}"/>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52E326E6-1056-4DB3-BA44-26E65A27B3DA}"/>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Rounded Corners 54">
            <a:hlinkClick xmlns:r="http://schemas.openxmlformats.org/officeDocument/2006/relationships" r:id="rId12"/>
            <a:extLst>
              <a:ext uri="{FF2B5EF4-FFF2-40B4-BE49-F238E27FC236}">
                <a16:creationId xmlns:a16="http://schemas.microsoft.com/office/drawing/2014/main" id="{00FCFBD5-FCF4-46FA-99D5-9B1157CED438}"/>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6" name="Rectangle 55">
            <a:extLst>
              <a:ext uri="{FF2B5EF4-FFF2-40B4-BE49-F238E27FC236}">
                <a16:creationId xmlns:a16="http://schemas.microsoft.com/office/drawing/2014/main" id="{E9194A04-FBF7-42ED-9ABF-60C34EF68E45}"/>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7" name="Rectangle: Rounded Corners 56">
            <a:hlinkClick xmlns:r="http://schemas.openxmlformats.org/officeDocument/2006/relationships" r:id="rId13"/>
            <a:extLst>
              <a:ext uri="{FF2B5EF4-FFF2-40B4-BE49-F238E27FC236}">
                <a16:creationId xmlns:a16="http://schemas.microsoft.com/office/drawing/2014/main" id="{81F8B493-DD95-4A86-85B0-CAEC97D74A03}"/>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58" name="Group 57">
          <a:extLst>
            <a:ext uri="{FF2B5EF4-FFF2-40B4-BE49-F238E27FC236}">
              <a16:creationId xmlns:a16="http://schemas.microsoft.com/office/drawing/2014/main" id="{AA452580-60E7-45C8-9D46-CB5B37E0AA7F}"/>
            </a:ext>
          </a:extLst>
        </xdr:cNvPr>
        <xdr:cNvGrpSpPr/>
      </xdr:nvGrpSpPr>
      <xdr:grpSpPr>
        <a:xfrm>
          <a:off x="4911725" y="650875"/>
          <a:ext cx="8152832" cy="573485"/>
          <a:chOff x="4705350" y="652463"/>
          <a:chExt cx="7771832" cy="579835"/>
        </a:xfrm>
      </xdr:grpSpPr>
      <xdr:grpSp>
        <xdr:nvGrpSpPr>
          <xdr:cNvPr id="59" name="Group 58">
            <a:extLst>
              <a:ext uri="{FF2B5EF4-FFF2-40B4-BE49-F238E27FC236}">
                <a16:creationId xmlns:a16="http://schemas.microsoft.com/office/drawing/2014/main" id="{A1EC3350-DB96-4057-B42F-DE586F5D52E9}"/>
              </a:ext>
            </a:extLst>
          </xdr:cNvPr>
          <xdr:cNvGrpSpPr/>
        </xdr:nvGrpSpPr>
        <xdr:grpSpPr>
          <a:xfrm>
            <a:off x="4705350" y="652463"/>
            <a:ext cx="7771832" cy="257175"/>
            <a:chOff x="4705350" y="642938"/>
            <a:chExt cx="7771832" cy="257175"/>
          </a:xfrm>
        </xdr:grpSpPr>
        <xdr:sp macro="" textlink="">
          <xdr:nvSpPr>
            <xdr:cNvPr id="67" name="Rectangle 66">
              <a:extLst>
                <a:ext uri="{FF2B5EF4-FFF2-40B4-BE49-F238E27FC236}">
                  <a16:creationId xmlns:a16="http://schemas.microsoft.com/office/drawing/2014/main" id="{321CA0E8-D8D4-4897-8A5C-93DE42418322}"/>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68" name="Rectangle 67">
              <a:extLst>
                <a:ext uri="{FF2B5EF4-FFF2-40B4-BE49-F238E27FC236}">
                  <a16:creationId xmlns:a16="http://schemas.microsoft.com/office/drawing/2014/main" id="{EB501168-9C41-40F1-89F2-9AD431A9D41B}"/>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69" name="Rectangle 68">
              <a:extLst>
                <a:ext uri="{FF2B5EF4-FFF2-40B4-BE49-F238E27FC236}">
                  <a16:creationId xmlns:a16="http://schemas.microsoft.com/office/drawing/2014/main" id="{917D7105-319E-44DE-8910-EE6CC2829CA8}"/>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0" name="Rectangle 69">
              <a:extLst>
                <a:ext uri="{FF2B5EF4-FFF2-40B4-BE49-F238E27FC236}">
                  <a16:creationId xmlns:a16="http://schemas.microsoft.com/office/drawing/2014/main" id="{B73233F4-1977-4DDB-8281-7C00477441F1}"/>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B123E7D-0A24-4476-AF86-378BBE2F1CD3}"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1" name="Rectangle 70">
              <a:extLst>
                <a:ext uri="{FF2B5EF4-FFF2-40B4-BE49-F238E27FC236}">
                  <a16:creationId xmlns:a16="http://schemas.microsoft.com/office/drawing/2014/main" id="{C44E73F6-C658-4171-9C2B-6C2414F3A7EC}"/>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EEAE24C2-C1BA-4166-BD78-3C1BD479D0FD}"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2" name="Rectangle 71">
              <a:extLst>
                <a:ext uri="{FF2B5EF4-FFF2-40B4-BE49-F238E27FC236}">
                  <a16:creationId xmlns:a16="http://schemas.microsoft.com/office/drawing/2014/main" id="{F0BFB2D9-829A-4E26-A596-41BF8401785E}"/>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62822E2-243C-4576-A90A-81D050FEDD51}"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0" name="Group 59">
            <a:extLst>
              <a:ext uri="{FF2B5EF4-FFF2-40B4-BE49-F238E27FC236}">
                <a16:creationId xmlns:a16="http://schemas.microsoft.com/office/drawing/2014/main" id="{5FD13DD1-FDAB-4B3E-9EC3-640A507854EE}"/>
              </a:ext>
            </a:extLst>
          </xdr:cNvPr>
          <xdr:cNvGrpSpPr/>
        </xdr:nvGrpSpPr>
        <xdr:grpSpPr>
          <a:xfrm>
            <a:off x="4705350" y="975123"/>
            <a:ext cx="7771832" cy="257175"/>
            <a:chOff x="4705350" y="975123"/>
            <a:chExt cx="7771832" cy="257175"/>
          </a:xfrm>
        </xdr:grpSpPr>
        <xdr:sp macro="" textlink="">
          <xdr:nvSpPr>
            <xdr:cNvPr id="61" name="Rectangle 60">
              <a:extLst>
                <a:ext uri="{FF2B5EF4-FFF2-40B4-BE49-F238E27FC236}">
                  <a16:creationId xmlns:a16="http://schemas.microsoft.com/office/drawing/2014/main" id="{C1EC8DEB-D72F-4EE2-A60A-7547E4C71578}"/>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2" name="Rectangle 61">
              <a:extLst>
                <a:ext uri="{FF2B5EF4-FFF2-40B4-BE49-F238E27FC236}">
                  <a16:creationId xmlns:a16="http://schemas.microsoft.com/office/drawing/2014/main" id="{5097ADE7-4230-487D-88D2-E54D1F352C8A}"/>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3" name="Rectangle 62">
              <a:extLst>
                <a:ext uri="{FF2B5EF4-FFF2-40B4-BE49-F238E27FC236}">
                  <a16:creationId xmlns:a16="http://schemas.microsoft.com/office/drawing/2014/main" id="{D80D2B7D-9560-41D3-B5A2-70310614A714}"/>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4" name="Rectangle 63">
              <a:extLst>
                <a:ext uri="{FF2B5EF4-FFF2-40B4-BE49-F238E27FC236}">
                  <a16:creationId xmlns:a16="http://schemas.microsoft.com/office/drawing/2014/main" id="{8629638B-1051-48B1-8494-1CC6375FA1AA}"/>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4E84D8D-480D-440D-BBE2-EEA228AFB223}"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5" name="Rectangle 64">
              <a:extLst>
                <a:ext uri="{FF2B5EF4-FFF2-40B4-BE49-F238E27FC236}">
                  <a16:creationId xmlns:a16="http://schemas.microsoft.com/office/drawing/2014/main" id="{EDC3DD66-D6C6-47A2-A020-E8B68BA3415F}"/>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E9D3175-4037-4CC0-A850-9A2BA70BE39E}"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6" name="Rectangle 65">
              <a:extLst>
                <a:ext uri="{FF2B5EF4-FFF2-40B4-BE49-F238E27FC236}">
                  <a16:creationId xmlns:a16="http://schemas.microsoft.com/office/drawing/2014/main" id="{CD150D2A-DE4A-4CCA-B74B-6344F6FAFDAD}"/>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77993F9-13C3-4885-AE69-9B26C8C92012}"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7</xdr:col>
      <xdr:colOff>28575</xdr:colOff>
      <xdr:row>15</xdr:row>
      <xdr:rowOff>285750</xdr:rowOff>
    </xdr:from>
    <xdr:to>
      <xdr:col>17</xdr:col>
      <xdr:colOff>209550</xdr:colOff>
      <xdr:row>18</xdr:row>
      <xdr:rowOff>47626</xdr:rowOff>
    </xdr:to>
    <xdr:sp macro="" textlink="">
      <xdr:nvSpPr>
        <xdr:cNvPr id="74" name="Rectangle: Rounded Corners 73">
          <a:hlinkClick xmlns:r="http://schemas.openxmlformats.org/officeDocument/2006/relationships" r:id="rId14"/>
          <a:extLst>
            <a:ext uri="{FF2B5EF4-FFF2-40B4-BE49-F238E27FC236}">
              <a16:creationId xmlns:a16="http://schemas.microsoft.com/office/drawing/2014/main" id="{2A4A8212-8BB7-44EC-BE4B-ED089C0DD6CB}"/>
            </a:ext>
          </a:extLst>
        </xdr:cNvPr>
        <xdr:cNvSpPr/>
      </xdr:nvSpPr>
      <xdr:spPr>
        <a:xfrm>
          <a:off x="4752975" y="5114925"/>
          <a:ext cx="7705725" cy="628651"/>
        </a:xfrm>
        <a:prstGeom prst="roundRect">
          <a:avLst>
            <a:gd name="adj" fmla="val 818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Eine ausführliche Erklärung zu unseren Annahmen und Empfehlungen sowie eine vollständige Gebrauchsanleitung</a:t>
          </a:r>
          <a:r>
            <a:rPr lang="de-DE" sz="1200" baseline="0">
              <a:solidFill>
                <a:schemeClr val="tx2"/>
              </a:solidFill>
              <a:latin typeface="Century Gothic" panose="020B0502020202020204" pitchFamily="34" charset="0"/>
            </a:rPr>
            <a:t> für den Wohnungskauf </a:t>
          </a:r>
          <a:r>
            <a:rPr lang="de-DE" sz="1200" u="sng" baseline="0">
              <a:solidFill>
                <a:schemeClr val="tx2"/>
              </a:solidFill>
              <a:latin typeface="Century Gothic" panose="020B0502020202020204" pitchFamily="34" charset="0"/>
            </a:rPr>
            <a:t>findest du hier (immocation Buch).</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609599</xdr:colOff>
          <xdr:row>4</xdr:row>
          <xdr:rowOff>228600</xdr:rowOff>
        </xdr:from>
        <xdr:to>
          <xdr:col>10</xdr:col>
          <xdr:colOff>171449</xdr:colOff>
          <xdr:row>5</xdr:row>
          <xdr:rowOff>285750</xdr:rowOff>
        </xdr:to>
        <xdr:pic>
          <xdr:nvPicPr>
            <xdr:cNvPr id="75" name="Picture 74">
              <a:extLst>
                <a:ext uri="{FF2B5EF4-FFF2-40B4-BE49-F238E27FC236}">
                  <a16:creationId xmlns:a16="http://schemas.microsoft.com/office/drawing/2014/main" id="{C2D03C7F-4AC9-41E8-87E9-6D08EB3C7EAF}"/>
                </a:ext>
              </a:extLst>
            </xdr:cNvPr>
            <xdr:cNvPicPr>
              <a:picLocks noChangeAspect="1" noChangeArrowheads="1"/>
              <a:extLst>
                <a:ext uri="{84589F7E-364E-4C9E-8A38-B11213B215E9}">
                  <a14:cameraTool cellRange="cnfg_rf!$G$40" spid="_x0000_s10269"/>
                </a:ext>
              </a:extLst>
            </xdr:cNvPicPr>
          </xdr:nvPicPr>
          <xdr:blipFill>
            <a:blip xmlns:r="http://schemas.openxmlformats.org/officeDocument/2006/relationships" r:embed="rId1"/>
            <a:srcRect/>
            <a:stretch>
              <a:fillRect/>
            </a:stretch>
          </xdr:blipFill>
          <xdr:spPr bwMode="auto">
            <a:xfrm>
              <a:off x="4724399" y="981075"/>
              <a:ext cx="2428875" cy="2952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03447A0A-B71E-4081-9BFF-8177E76923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803EA9CC-C7CE-4F92-8351-E0EACE5B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685800</xdr:colOff>
      <xdr:row>14</xdr:row>
      <xdr:rowOff>76200</xdr:rowOff>
    </xdr:from>
    <xdr:to>
      <xdr:col>6</xdr:col>
      <xdr:colOff>209550</xdr:colOff>
      <xdr:row>16</xdr:row>
      <xdr:rowOff>19050</xdr:rowOff>
    </xdr:to>
    <xdr:sp macro="" textlink="">
      <xdr:nvSpPr>
        <xdr:cNvPr id="13" name="Arrow: Right 12">
          <a:hlinkClick xmlns:r="http://schemas.openxmlformats.org/officeDocument/2006/relationships" r:id="rId4"/>
          <a:extLst>
            <a:ext uri="{FF2B5EF4-FFF2-40B4-BE49-F238E27FC236}">
              <a16:creationId xmlns:a16="http://schemas.microsoft.com/office/drawing/2014/main" id="{E4B73CFB-7059-4A3D-9CA8-EB9D9A8CCE5F}"/>
            </a:ext>
          </a:extLst>
        </xdr:cNvPr>
        <xdr:cNvSpPr/>
      </xdr:nvSpPr>
      <xdr:spPr>
        <a:xfrm>
          <a:off x="2628900" y="42957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1</xdr:col>
      <xdr:colOff>342900</xdr:colOff>
      <xdr:row>14</xdr:row>
      <xdr:rowOff>76200</xdr:rowOff>
    </xdr:from>
    <xdr:to>
      <xdr:col>3</xdr:col>
      <xdr:colOff>314325</xdr:colOff>
      <xdr:row>16</xdr:row>
      <xdr:rowOff>19050</xdr:rowOff>
    </xdr:to>
    <xdr:sp macro="" textlink="">
      <xdr:nvSpPr>
        <xdr:cNvPr id="37" name="Arrow: Right 36">
          <a:hlinkClick xmlns:r="http://schemas.openxmlformats.org/officeDocument/2006/relationships" r:id="rId5"/>
          <a:extLst>
            <a:ext uri="{FF2B5EF4-FFF2-40B4-BE49-F238E27FC236}">
              <a16:creationId xmlns:a16="http://schemas.microsoft.com/office/drawing/2014/main" id="{3621205E-60EA-4614-9889-B2184F54E6F9}"/>
            </a:ext>
          </a:extLst>
        </xdr:cNvPr>
        <xdr:cNvSpPr/>
      </xdr:nvSpPr>
      <xdr:spPr>
        <a:xfrm flipH="1">
          <a:off x="561975" y="42957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42" name="Group 41">
          <a:extLst>
            <a:ext uri="{FF2B5EF4-FFF2-40B4-BE49-F238E27FC236}">
              <a16:creationId xmlns:a16="http://schemas.microsoft.com/office/drawing/2014/main" id="{19AB69AE-85B8-45F6-9F82-95A200FE305C}"/>
            </a:ext>
          </a:extLst>
        </xdr:cNvPr>
        <xdr:cNvGrpSpPr/>
      </xdr:nvGrpSpPr>
      <xdr:grpSpPr>
        <a:xfrm>
          <a:off x="3079750" y="133350"/>
          <a:ext cx="10004425" cy="245225"/>
          <a:chOff x="2952750" y="137737"/>
          <a:chExt cx="9563100" cy="248400"/>
        </a:xfrm>
      </xdr:grpSpPr>
      <xdr:sp macro="" textlink="">
        <xdr:nvSpPr>
          <xdr:cNvPr id="43" name="Rectangle 42">
            <a:hlinkClick xmlns:r="http://schemas.openxmlformats.org/officeDocument/2006/relationships" r:id="rId6"/>
            <a:extLst>
              <a:ext uri="{FF2B5EF4-FFF2-40B4-BE49-F238E27FC236}">
                <a16:creationId xmlns:a16="http://schemas.microsoft.com/office/drawing/2014/main" id="{6570466C-20AF-4C27-9E84-EB9F8C468D52}"/>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4" name="Rectangle 43">
            <a:hlinkClick xmlns:r="http://schemas.openxmlformats.org/officeDocument/2006/relationships" r:id="rId7"/>
            <a:extLst>
              <a:ext uri="{FF2B5EF4-FFF2-40B4-BE49-F238E27FC236}">
                <a16:creationId xmlns:a16="http://schemas.microsoft.com/office/drawing/2014/main" id="{A781BBB6-BBE1-4CBD-AACA-F8CDEB8B11E5}"/>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5" name="Rectangle 44">
            <a:hlinkClick xmlns:r="http://schemas.openxmlformats.org/officeDocument/2006/relationships" r:id="rId8"/>
            <a:extLst>
              <a:ext uri="{FF2B5EF4-FFF2-40B4-BE49-F238E27FC236}">
                <a16:creationId xmlns:a16="http://schemas.microsoft.com/office/drawing/2014/main" id="{89794E43-A5FA-4265-AE3F-8DCF642C2139}"/>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46" name="Rectangle 45">
            <a:hlinkClick xmlns:r="http://schemas.openxmlformats.org/officeDocument/2006/relationships" r:id="rId5"/>
            <a:extLst>
              <a:ext uri="{FF2B5EF4-FFF2-40B4-BE49-F238E27FC236}">
                <a16:creationId xmlns:a16="http://schemas.microsoft.com/office/drawing/2014/main" id="{C354C9AF-3D59-45BA-8E82-800BF64F9453}"/>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47" name="Rectangle 46">
            <a:hlinkClick xmlns:r="http://schemas.openxmlformats.org/officeDocument/2006/relationships" r:id="rId4"/>
            <a:extLst>
              <a:ext uri="{FF2B5EF4-FFF2-40B4-BE49-F238E27FC236}">
                <a16:creationId xmlns:a16="http://schemas.microsoft.com/office/drawing/2014/main" id="{A7DB2243-3970-4E1D-A21A-9710C29F4C50}"/>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rPr>
              <a:t>Zinsrisiko</a:t>
            </a:r>
          </a:p>
        </xdr:txBody>
      </xdr:sp>
      <xdr:sp macro="" textlink="">
        <xdr:nvSpPr>
          <xdr:cNvPr id="48" name="Rectangle 47">
            <a:hlinkClick xmlns:r="http://schemas.openxmlformats.org/officeDocument/2006/relationships" r:id="rId9"/>
            <a:extLst>
              <a:ext uri="{FF2B5EF4-FFF2-40B4-BE49-F238E27FC236}">
                <a16:creationId xmlns:a16="http://schemas.microsoft.com/office/drawing/2014/main" id="{13F0718F-D3A9-4DF4-AF1F-5FC3A14E8A30}"/>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49" name="Rectangle 48">
            <a:hlinkClick xmlns:r="http://schemas.openxmlformats.org/officeDocument/2006/relationships" r:id="rId10"/>
            <a:extLst>
              <a:ext uri="{FF2B5EF4-FFF2-40B4-BE49-F238E27FC236}">
                <a16:creationId xmlns:a16="http://schemas.microsoft.com/office/drawing/2014/main" id="{FA7A97A1-6C33-47A3-A4AB-C5FD6ACE2DB4}"/>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50" name="Rectangle 49">
            <a:extLst>
              <a:ext uri="{FF2B5EF4-FFF2-40B4-BE49-F238E27FC236}">
                <a16:creationId xmlns:a16="http://schemas.microsoft.com/office/drawing/2014/main" id="{6DCF7C8B-ED21-4A3D-8F47-71C42F4DA2CB}"/>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9BED86B8-683A-4835-A474-F533090F5023}"/>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7A8D8AE3-A071-402A-9682-877D79A122EC}"/>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E70BAD04-1BDB-4895-ACF5-828385325A2C}"/>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8B400594-6CD3-4D6F-9BF8-8882B1A017C3}"/>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28414CD5-2010-4BF9-9E1A-DDC05CE82D98}"/>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55">
            <a:extLst>
              <a:ext uri="{FF2B5EF4-FFF2-40B4-BE49-F238E27FC236}">
                <a16:creationId xmlns:a16="http://schemas.microsoft.com/office/drawing/2014/main" id="{E1FFFEAE-9B7F-414F-9759-567327C8BFB2}"/>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7" name="Rectangle: Rounded Corners 56">
            <a:hlinkClick xmlns:r="http://schemas.openxmlformats.org/officeDocument/2006/relationships" r:id="rId11"/>
            <a:extLst>
              <a:ext uri="{FF2B5EF4-FFF2-40B4-BE49-F238E27FC236}">
                <a16:creationId xmlns:a16="http://schemas.microsoft.com/office/drawing/2014/main" id="{8D586BA0-6B58-430C-AAB9-A0918BA7A7B3}"/>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8" name="Rectangle 57">
            <a:extLst>
              <a:ext uri="{FF2B5EF4-FFF2-40B4-BE49-F238E27FC236}">
                <a16:creationId xmlns:a16="http://schemas.microsoft.com/office/drawing/2014/main" id="{F20C5FCF-1AEB-40B8-BEEB-0404B29B1C38}"/>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9" name="Rectangle: Rounded Corners 58">
            <a:hlinkClick xmlns:r="http://schemas.openxmlformats.org/officeDocument/2006/relationships" r:id="rId12"/>
            <a:extLst>
              <a:ext uri="{FF2B5EF4-FFF2-40B4-BE49-F238E27FC236}">
                <a16:creationId xmlns:a16="http://schemas.microsoft.com/office/drawing/2014/main" id="{6AED799A-0DF8-4FCB-8A0A-7B3B9F9F1CCC}"/>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60" name="Group 59">
          <a:extLst>
            <a:ext uri="{FF2B5EF4-FFF2-40B4-BE49-F238E27FC236}">
              <a16:creationId xmlns:a16="http://schemas.microsoft.com/office/drawing/2014/main" id="{3293B1C5-D1FF-4F45-A792-5C81CC7D2EAA}"/>
            </a:ext>
          </a:extLst>
        </xdr:cNvPr>
        <xdr:cNvGrpSpPr/>
      </xdr:nvGrpSpPr>
      <xdr:grpSpPr>
        <a:xfrm>
          <a:off x="4911725" y="650875"/>
          <a:ext cx="8152832" cy="573485"/>
          <a:chOff x="4705350" y="652463"/>
          <a:chExt cx="7771832" cy="579835"/>
        </a:xfrm>
      </xdr:grpSpPr>
      <xdr:grpSp>
        <xdr:nvGrpSpPr>
          <xdr:cNvPr id="61" name="Group 60">
            <a:extLst>
              <a:ext uri="{FF2B5EF4-FFF2-40B4-BE49-F238E27FC236}">
                <a16:creationId xmlns:a16="http://schemas.microsoft.com/office/drawing/2014/main" id="{5600FD02-D70A-46A7-9538-B3C49349E7C1}"/>
              </a:ext>
            </a:extLst>
          </xdr:cNvPr>
          <xdr:cNvGrpSpPr/>
        </xdr:nvGrpSpPr>
        <xdr:grpSpPr>
          <a:xfrm>
            <a:off x="4705350" y="652463"/>
            <a:ext cx="7771832" cy="257175"/>
            <a:chOff x="4705350" y="642938"/>
            <a:chExt cx="7771832" cy="257175"/>
          </a:xfrm>
        </xdr:grpSpPr>
        <xdr:sp macro="" textlink="">
          <xdr:nvSpPr>
            <xdr:cNvPr id="69" name="Rectangle 68">
              <a:extLst>
                <a:ext uri="{FF2B5EF4-FFF2-40B4-BE49-F238E27FC236}">
                  <a16:creationId xmlns:a16="http://schemas.microsoft.com/office/drawing/2014/main" id="{682F9350-9C9F-4025-A4DC-7CB8D8E5257B}"/>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0" name="Rectangle 69">
              <a:extLst>
                <a:ext uri="{FF2B5EF4-FFF2-40B4-BE49-F238E27FC236}">
                  <a16:creationId xmlns:a16="http://schemas.microsoft.com/office/drawing/2014/main" id="{1255FAAE-A45C-41F0-89EC-0164EAB1446D}"/>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1" name="Rectangle 70">
              <a:extLst>
                <a:ext uri="{FF2B5EF4-FFF2-40B4-BE49-F238E27FC236}">
                  <a16:creationId xmlns:a16="http://schemas.microsoft.com/office/drawing/2014/main" id="{5CFF6700-DE39-4D03-B7E6-BD8289FF188F}"/>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2" name="Rectangle 71">
              <a:extLst>
                <a:ext uri="{FF2B5EF4-FFF2-40B4-BE49-F238E27FC236}">
                  <a16:creationId xmlns:a16="http://schemas.microsoft.com/office/drawing/2014/main" id="{D30690C1-2BB9-401A-9B0C-F6A65A37E059}"/>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240A744-5088-4704-9C1E-D5360332E7C9}"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3" name="Rectangle 72">
              <a:extLst>
                <a:ext uri="{FF2B5EF4-FFF2-40B4-BE49-F238E27FC236}">
                  <a16:creationId xmlns:a16="http://schemas.microsoft.com/office/drawing/2014/main" id="{4E8DC821-561E-462E-85BC-74033B9C46D1}"/>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01AC43E-AC63-4ADC-973B-2F2BEDE17288}"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4" name="Rectangle 73">
              <a:extLst>
                <a:ext uri="{FF2B5EF4-FFF2-40B4-BE49-F238E27FC236}">
                  <a16:creationId xmlns:a16="http://schemas.microsoft.com/office/drawing/2014/main" id="{CA0B93A6-6512-4D51-9633-D7EF4CCDA737}"/>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3ED0A8F-DCA1-41E6-8684-20DEAA13102B}"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2" name="Group 61">
            <a:extLst>
              <a:ext uri="{FF2B5EF4-FFF2-40B4-BE49-F238E27FC236}">
                <a16:creationId xmlns:a16="http://schemas.microsoft.com/office/drawing/2014/main" id="{F5974406-3736-4427-96DA-A5998D73716B}"/>
              </a:ext>
            </a:extLst>
          </xdr:cNvPr>
          <xdr:cNvGrpSpPr/>
        </xdr:nvGrpSpPr>
        <xdr:grpSpPr>
          <a:xfrm>
            <a:off x="4705350" y="975123"/>
            <a:ext cx="7771832" cy="257175"/>
            <a:chOff x="4705350" y="975123"/>
            <a:chExt cx="7771832" cy="257175"/>
          </a:xfrm>
        </xdr:grpSpPr>
        <xdr:sp macro="" textlink="">
          <xdr:nvSpPr>
            <xdr:cNvPr id="63" name="Rectangle 62">
              <a:extLst>
                <a:ext uri="{FF2B5EF4-FFF2-40B4-BE49-F238E27FC236}">
                  <a16:creationId xmlns:a16="http://schemas.microsoft.com/office/drawing/2014/main" id="{BA97E9DC-C84C-4D26-B7C1-E815867E5DC6}"/>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4" name="Rectangle 63">
              <a:extLst>
                <a:ext uri="{FF2B5EF4-FFF2-40B4-BE49-F238E27FC236}">
                  <a16:creationId xmlns:a16="http://schemas.microsoft.com/office/drawing/2014/main" id="{DDBF0C61-A5E8-4E3C-8E62-0558198AC6C5}"/>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5" name="Rectangle 64">
              <a:extLst>
                <a:ext uri="{FF2B5EF4-FFF2-40B4-BE49-F238E27FC236}">
                  <a16:creationId xmlns:a16="http://schemas.microsoft.com/office/drawing/2014/main" id="{D8118E17-6143-4A55-9F03-D95DD60E1337}"/>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6" name="Rectangle 65">
              <a:extLst>
                <a:ext uri="{FF2B5EF4-FFF2-40B4-BE49-F238E27FC236}">
                  <a16:creationId xmlns:a16="http://schemas.microsoft.com/office/drawing/2014/main" id="{E409EADF-2590-421F-95F0-0E899CA48653}"/>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35A3804-97E5-48DD-A653-DD5583FD40D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7" name="Rectangle 66">
              <a:extLst>
                <a:ext uri="{FF2B5EF4-FFF2-40B4-BE49-F238E27FC236}">
                  <a16:creationId xmlns:a16="http://schemas.microsoft.com/office/drawing/2014/main" id="{B0F4602E-3AB7-44DB-9F63-89F432E69A51}"/>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92A1F4D-FEF4-415E-9235-936D114FB48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8" name="Rectangle 67">
              <a:extLst>
                <a:ext uri="{FF2B5EF4-FFF2-40B4-BE49-F238E27FC236}">
                  <a16:creationId xmlns:a16="http://schemas.microsoft.com/office/drawing/2014/main" id="{2063C12F-BA47-47EE-BF65-257CD279D14E}"/>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19A42B0E-BD63-4668-A30C-8DFE165278F4}"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5</xdr:col>
      <xdr:colOff>76200</xdr:colOff>
      <xdr:row>7</xdr:row>
      <xdr:rowOff>28571</xdr:rowOff>
    </xdr:from>
    <xdr:to>
      <xdr:col>17</xdr:col>
      <xdr:colOff>257176</xdr:colOff>
      <xdr:row>13</xdr:row>
      <xdr:rowOff>95250</xdr:rowOff>
    </xdr:to>
    <xdr:sp macro="" textlink="">
      <xdr:nvSpPr>
        <xdr:cNvPr id="76" name="Rectangle: Rounded Corners 75">
          <a:extLst>
            <a:ext uri="{FF2B5EF4-FFF2-40B4-BE49-F238E27FC236}">
              <a16:creationId xmlns:a16="http://schemas.microsoft.com/office/drawing/2014/main" id="{1021F1AA-389E-4D49-8BDE-75E44401770B}"/>
            </a:ext>
          </a:extLst>
        </xdr:cNvPr>
        <xdr:cNvSpPr/>
      </xdr:nvSpPr>
      <xdr:spPr>
        <a:xfrm>
          <a:off x="4048125" y="2057396"/>
          <a:ext cx="8458201" cy="1590679"/>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tIns="90000" rIns="180000" bIns="90000" rtlCol="0" anchor="t"/>
        <a:lstStyle/>
        <a:p>
          <a:pPr algn="l">
            <a:lnSpc>
              <a:spcPct val="130000"/>
            </a:lnSpc>
            <a:spcAft>
              <a:spcPts val="1200"/>
            </a:spcAft>
          </a:pPr>
          <a:endParaRPr lang="de-DE" sz="1400" b="0" baseline="0">
            <a:solidFill>
              <a:schemeClr val="tx2"/>
            </a:solidFill>
            <a:latin typeface="Century Gothic" panose="020B0502020202020204" pitchFamily="34" charset="0"/>
          </a:endParaRPr>
        </a:p>
      </xdr:txBody>
    </xdr:sp>
    <xdr:clientData/>
  </xdr:twoCellAnchor>
  <xdr:twoCellAnchor>
    <xdr:from>
      <xdr:col>1</xdr:col>
      <xdr:colOff>314325</xdr:colOff>
      <xdr:row>7</xdr:row>
      <xdr:rowOff>28571</xdr:rowOff>
    </xdr:from>
    <xdr:to>
      <xdr:col>4</xdr:col>
      <xdr:colOff>685801</xdr:colOff>
      <xdr:row>13</xdr:row>
      <xdr:rowOff>104775</xdr:rowOff>
    </xdr:to>
    <xdr:sp macro="" textlink="">
      <xdr:nvSpPr>
        <xdr:cNvPr id="77" name="Rectangle: Rounded Corners 76">
          <a:extLst>
            <a:ext uri="{FF2B5EF4-FFF2-40B4-BE49-F238E27FC236}">
              <a16:creationId xmlns:a16="http://schemas.microsoft.com/office/drawing/2014/main" id="{BC9F57C0-5654-46C0-88B8-BA865C58A4DF}"/>
            </a:ext>
          </a:extLst>
        </xdr:cNvPr>
        <xdr:cNvSpPr/>
      </xdr:nvSpPr>
      <xdr:spPr>
        <a:xfrm>
          <a:off x="533400" y="2057396"/>
          <a:ext cx="3019426" cy="1600204"/>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tIns="90000" rIns="180000" bIns="90000" rtlCol="0" anchor="t"/>
        <a:lstStyle/>
        <a:p>
          <a:pPr algn="ctr">
            <a:lnSpc>
              <a:spcPct val="130000"/>
            </a:lnSpc>
            <a:spcAft>
              <a:spcPts val="1200"/>
            </a:spcAft>
          </a:pPr>
          <a:r>
            <a:rPr lang="de-DE" sz="1800" b="0" baseline="0">
              <a:solidFill>
                <a:schemeClr val="tx2"/>
              </a:solidFill>
              <a:latin typeface="Century Gothic" panose="020B0502020202020204" pitchFamily="34" charset="0"/>
            </a:rPr>
            <a:t>Dein monatlicher Überschuss vor Steuern:</a:t>
          </a:r>
          <a:endParaRPr lang="de-DE" sz="3200" b="0" baseline="0">
            <a:solidFill>
              <a:schemeClr val="tx2"/>
            </a:solidFill>
            <a:latin typeface="Century Gothic" panose="020B0502020202020204" pitchFamily="34" charset="0"/>
          </a:endParaRPr>
        </a:p>
      </xdr:txBody>
    </xdr:sp>
    <xdr:clientData/>
  </xdr:twoCellAnchor>
  <xdr:twoCellAnchor>
    <xdr:from>
      <xdr:col>2</xdr:col>
      <xdr:colOff>781049</xdr:colOff>
      <xdr:row>10</xdr:row>
      <xdr:rowOff>228600</xdr:rowOff>
    </xdr:from>
    <xdr:to>
      <xdr:col>3</xdr:col>
      <xdr:colOff>800099</xdr:colOff>
      <xdr:row>12</xdr:row>
      <xdr:rowOff>266700</xdr:rowOff>
    </xdr:to>
    <xdr:sp macro="" textlink="cnfg_rf!G9">
      <xdr:nvSpPr>
        <xdr:cNvPr id="14" name="Rectangle 13">
          <a:extLst>
            <a:ext uri="{FF2B5EF4-FFF2-40B4-BE49-F238E27FC236}">
              <a16:creationId xmlns:a16="http://schemas.microsoft.com/office/drawing/2014/main" id="{98B91B74-9168-4CE5-B068-15D05E2CEDF0}"/>
            </a:ext>
          </a:extLst>
        </xdr:cNvPr>
        <xdr:cNvSpPr/>
      </xdr:nvSpPr>
      <xdr:spPr>
        <a:xfrm>
          <a:off x="1362074" y="2962275"/>
          <a:ext cx="1381125" cy="533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538114-EEA2-4953-A73B-33DA2C413E91}" type="TxLink">
            <a:rPr lang="en-US" sz="3600" b="0" i="0" u="none" strike="noStrike">
              <a:solidFill>
                <a:schemeClr val="tx2"/>
              </a:solidFill>
              <a:latin typeface="Century Gothic" panose="020B0502020202020204" pitchFamily="34" charset="0"/>
              <a:cs typeface="Calibri"/>
            </a:rPr>
            <a:pPr algn="ctr"/>
            <a:t>-</a:t>
          </a:fld>
          <a:endParaRPr lang="de-DE" sz="3600">
            <a:solidFill>
              <a:schemeClr val="tx2"/>
            </a:solidFill>
            <a:latin typeface="Century Gothic" panose="020B0502020202020204" pitchFamily="34" charset="0"/>
          </a:endParaRPr>
        </a:p>
      </xdr:txBody>
    </xdr:sp>
    <xdr:clientData/>
  </xdr:twoCellAnchor>
  <xdr:twoCellAnchor>
    <xdr:from>
      <xdr:col>6</xdr:col>
      <xdr:colOff>47625</xdr:colOff>
      <xdr:row>7</xdr:row>
      <xdr:rowOff>171450</xdr:rowOff>
    </xdr:from>
    <xdr:to>
      <xdr:col>17</xdr:col>
      <xdr:colOff>57150</xdr:colOff>
      <xdr:row>9</xdr:row>
      <xdr:rowOff>104775</xdr:rowOff>
    </xdr:to>
    <xdr:sp macro="" textlink="txt_rf!E7">
      <xdr:nvSpPr>
        <xdr:cNvPr id="16" name="Rectangle 15">
          <a:extLst>
            <a:ext uri="{FF2B5EF4-FFF2-40B4-BE49-F238E27FC236}">
              <a16:creationId xmlns:a16="http://schemas.microsoft.com/office/drawing/2014/main" id="{689F1B6F-DAAC-4572-BDC1-7FBC3582A15F}"/>
            </a:ext>
          </a:extLst>
        </xdr:cNvPr>
        <xdr:cNvSpPr/>
      </xdr:nvSpPr>
      <xdr:spPr>
        <a:xfrm>
          <a:off x="4162425" y="2200275"/>
          <a:ext cx="814387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9F197F-72D0-44C6-A01C-9D8C6A3EA217}" type="TxLink">
            <a:rPr lang="en-US" sz="1400" b="1" i="0" u="none" strike="noStrike">
              <a:solidFill>
                <a:schemeClr val="tx2"/>
              </a:solidFill>
              <a:latin typeface="Century Gothic" panose="020B0502020202020204" pitchFamily="34" charset="0"/>
              <a:cs typeface="Calibri"/>
            </a:rPr>
            <a:pPr algn="l"/>
            <a:t> </a:t>
          </a:fld>
          <a:endParaRPr lang="de-DE" sz="1400" b="1">
            <a:solidFill>
              <a:schemeClr val="tx2"/>
            </a:solidFill>
            <a:latin typeface="Century Gothic" panose="020B0502020202020204" pitchFamily="34" charset="0"/>
          </a:endParaRPr>
        </a:p>
      </xdr:txBody>
    </xdr:sp>
    <xdr:clientData/>
  </xdr:twoCellAnchor>
  <xdr:twoCellAnchor>
    <xdr:from>
      <xdr:col>6</xdr:col>
      <xdr:colOff>24333</xdr:colOff>
      <xdr:row>9</xdr:row>
      <xdr:rowOff>171450</xdr:rowOff>
    </xdr:from>
    <xdr:to>
      <xdr:col>17</xdr:col>
      <xdr:colOff>152401</xdr:colOff>
      <xdr:row>11</xdr:row>
      <xdr:rowOff>133350</xdr:rowOff>
    </xdr:to>
    <xdr:sp macro="" textlink="txt_rf!E8">
      <xdr:nvSpPr>
        <xdr:cNvPr id="79" name="Rectangle 78">
          <a:extLst>
            <a:ext uri="{FF2B5EF4-FFF2-40B4-BE49-F238E27FC236}">
              <a16:creationId xmlns:a16="http://schemas.microsoft.com/office/drawing/2014/main" id="{263BBC52-A423-49D7-A5F0-AE167357B130}"/>
            </a:ext>
          </a:extLst>
        </xdr:cNvPr>
        <xdr:cNvSpPr/>
      </xdr:nvSpPr>
      <xdr:spPr>
        <a:xfrm>
          <a:off x="4139133" y="2581275"/>
          <a:ext cx="8262418" cy="590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92C0CB1-DF66-4808-A1B2-974BE7F5183F}" type="TxLink">
            <a:rPr lang="en-US" sz="1400" b="0" i="0" u="none" strike="noStrike">
              <a:solidFill>
                <a:schemeClr val="tx2"/>
              </a:solidFill>
              <a:latin typeface="Century Gothic" panose="020B0502020202020204" pitchFamily="34" charset="0"/>
              <a:cs typeface="Calibri"/>
            </a:rPr>
            <a:pPr algn="l"/>
            <a:t>Bitte fülle alle erforderlichen Eingabefelder, um den Cashflow vor Steuern zu berechnen.</a:t>
          </a:fld>
          <a:endParaRPr lang="de-DE" sz="1800" b="1">
            <a:solidFill>
              <a:schemeClr val="tx2"/>
            </a:solidFill>
            <a:latin typeface="Century Gothic" panose="020B0502020202020204" pitchFamily="34" charset="0"/>
          </a:endParaRPr>
        </a:p>
      </xdr:txBody>
    </xdr:sp>
    <xdr:clientData/>
  </xdr:twoCellAnchor>
  <xdr:twoCellAnchor>
    <xdr:from>
      <xdr:col>6</xdr:col>
      <xdr:colOff>19675</xdr:colOff>
      <xdr:row>10</xdr:row>
      <xdr:rowOff>238125</xdr:rowOff>
    </xdr:from>
    <xdr:to>
      <xdr:col>17</xdr:col>
      <xdr:colOff>171451</xdr:colOff>
      <xdr:row>13</xdr:row>
      <xdr:rowOff>200025</xdr:rowOff>
    </xdr:to>
    <xdr:sp macro="" textlink="txt_rf!E10">
      <xdr:nvSpPr>
        <xdr:cNvPr id="80" name="Rectangle 79">
          <a:extLst>
            <a:ext uri="{FF2B5EF4-FFF2-40B4-BE49-F238E27FC236}">
              <a16:creationId xmlns:a16="http://schemas.microsoft.com/office/drawing/2014/main" id="{061423D7-ECEA-4F7A-952A-CC3C02485562}"/>
            </a:ext>
          </a:extLst>
        </xdr:cNvPr>
        <xdr:cNvSpPr/>
      </xdr:nvSpPr>
      <xdr:spPr>
        <a:xfrm>
          <a:off x="4134475" y="2971800"/>
          <a:ext cx="8286126" cy="781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EA0CA53-7A58-4162-BE3F-A57E2F8B9FC6}" type="TxLink">
            <a:rPr lang="en-US" sz="1400" b="0" i="0" u="none" strike="noStrike">
              <a:solidFill>
                <a:schemeClr val="tx2"/>
              </a:solidFill>
              <a:latin typeface="Century Gothic" panose="020B0502020202020204" pitchFamily="34" charset="0"/>
              <a:cs typeface="Calibri"/>
            </a:rPr>
            <a:pPr algn="l"/>
            <a:t> </a:t>
          </a:fld>
          <a:endParaRPr lang="de-DE" sz="1800" b="1">
            <a:solidFill>
              <a:schemeClr val="tx2"/>
            </a:solidFill>
            <a:latin typeface="Century Gothic" panose="020B0502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485775</xdr:colOff>
          <xdr:row>4</xdr:row>
          <xdr:rowOff>228600</xdr:rowOff>
        </xdr:from>
        <xdr:to>
          <xdr:col>14</xdr:col>
          <xdr:colOff>76200</xdr:colOff>
          <xdr:row>5</xdr:row>
          <xdr:rowOff>276225</xdr:rowOff>
        </xdr:to>
        <xdr:pic>
          <xdr:nvPicPr>
            <xdr:cNvPr id="83" name="Picture 82">
              <a:extLst>
                <a:ext uri="{FF2B5EF4-FFF2-40B4-BE49-F238E27FC236}">
                  <a16:creationId xmlns:a16="http://schemas.microsoft.com/office/drawing/2014/main" id="{4DCF878E-5E1A-4105-975D-C6BE867A0046}"/>
                </a:ext>
              </a:extLst>
            </xdr:cNvPr>
            <xdr:cNvPicPr>
              <a:picLocks noChangeAspect="1" noChangeArrowheads="1"/>
              <a:extLst>
                <a:ext uri="{84589F7E-364E-4C9E-8A38-B11213B215E9}">
                  <a14:cameraTool cellRange="cnfg_rf!$G$46" spid="_x0000_s11292"/>
                </a:ext>
              </a:extLst>
            </xdr:cNvPicPr>
          </xdr:nvPicPr>
          <xdr:blipFill>
            <a:blip xmlns:r="http://schemas.openxmlformats.org/officeDocument/2006/relationships" r:embed="rId1"/>
            <a:srcRect/>
            <a:stretch>
              <a:fillRect/>
            </a:stretch>
          </xdr:blipFill>
          <xdr:spPr bwMode="auto">
            <a:xfrm>
              <a:off x="7467600" y="981075"/>
              <a:ext cx="2600325" cy="285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75304516-1863-43DE-BDF6-8DFA7E4F13D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8BD9045E-0263-4908-93EB-49D8C159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9</xdr:row>
      <xdr:rowOff>9525</xdr:rowOff>
    </xdr:from>
    <xdr:to>
      <xdr:col>17</xdr:col>
      <xdr:colOff>180975</xdr:colOff>
      <xdr:row>10</xdr:row>
      <xdr:rowOff>771525</xdr:rowOff>
    </xdr:to>
    <xdr:sp macro="" textlink="">
      <xdr:nvSpPr>
        <xdr:cNvPr id="42" name="Rectangle: Rounded Corners 41">
          <a:extLst>
            <a:ext uri="{FF2B5EF4-FFF2-40B4-BE49-F238E27FC236}">
              <a16:creationId xmlns:a16="http://schemas.microsoft.com/office/drawing/2014/main" id="{085BA4BF-DFF1-4F73-9403-C42FF0811340}"/>
            </a:ext>
          </a:extLst>
        </xdr:cNvPr>
        <xdr:cNvSpPr/>
      </xdr:nvSpPr>
      <xdr:spPr>
        <a:xfrm>
          <a:off x="4724400" y="1657350"/>
          <a:ext cx="7705725" cy="1085850"/>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pPr>
          <a:r>
            <a:rPr lang="de-DE" sz="1200" b="0" baseline="0">
              <a:solidFill>
                <a:schemeClr val="tx2"/>
              </a:solidFill>
              <a:latin typeface="Century Gothic" panose="020B0502020202020204" pitchFamily="34" charset="0"/>
            </a:rPr>
            <a:t>Um das Zinsänderungsrisiko</a:t>
          </a:r>
          <a:r>
            <a:rPr lang="de-DE" sz="1200" b="1" baseline="0">
              <a:solidFill>
                <a:schemeClr val="tx2"/>
              </a:solidFill>
              <a:latin typeface="Century Gothic" panose="020B0502020202020204" pitchFamily="34" charset="0"/>
            </a:rPr>
            <a:t> </a:t>
          </a:r>
          <a:r>
            <a:rPr lang="de-DE" sz="1200" b="0" baseline="0">
              <a:solidFill>
                <a:schemeClr val="tx2"/>
              </a:solidFill>
              <a:latin typeface="Century Gothic" panose="020B0502020202020204" pitchFamily="34" charset="0"/>
            </a:rPr>
            <a:t>zu berechnen, ist entscheidend, wie lange du deine </a:t>
          </a:r>
          <a:r>
            <a:rPr lang="de-DE" sz="1200" b="1" baseline="0">
              <a:solidFill>
                <a:schemeClr val="tx2"/>
              </a:solidFill>
              <a:latin typeface="Century Gothic" panose="020B0502020202020204" pitchFamily="34" charset="0"/>
            </a:rPr>
            <a:t>Zinsen festschreiben</a:t>
          </a:r>
          <a:r>
            <a:rPr lang="de-DE" sz="1200" b="0" baseline="0">
              <a:solidFill>
                <a:schemeClr val="tx2"/>
              </a:solidFill>
              <a:latin typeface="Century Gothic" panose="020B0502020202020204" pitchFamily="34" charset="0"/>
            </a:rPr>
            <a:t> lässt. Danach musst du mit der Bank einen neuen Zinssatz verhandeln. Von der Dauer der Festschreibung hängt ab, wie hoch dann deine Restschuld noch ist und </a:t>
          </a:r>
          <a:r>
            <a:rPr lang="de-DE" sz="1200" b="1" baseline="0">
              <a:solidFill>
                <a:schemeClr val="tx2"/>
              </a:solidFill>
              <a:latin typeface="Century Gothic" panose="020B0502020202020204" pitchFamily="34" charset="0"/>
            </a:rPr>
            <a:t>wie sich deine Rate an die Bank entwickelt</a:t>
          </a:r>
          <a:r>
            <a:rPr lang="de-DE" sz="1200" b="0" baseline="0">
              <a:solidFill>
                <a:schemeClr val="tx2"/>
              </a:solidFill>
              <a:latin typeface="Century Gothic" panose="020B0502020202020204" pitchFamily="34" charset="0"/>
            </a:rPr>
            <a:t>.</a:t>
          </a:r>
        </a:p>
      </xdr:txBody>
    </xdr:sp>
    <xdr:clientData/>
  </xdr:twoCellAnchor>
  <xdr:twoCellAnchor>
    <xdr:from>
      <xdr:col>7</xdr:col>
      <xdr:colOff>0</xdr:colOff>
      <xdr:row>11</xdr:row>
      <xdr:rowOff>9525</xdr:rowOff>
    </xdr:from>
    <xdr:to>
      <xdr:col>17</xdr:col>
      <xdr:colOff>180975</xdr:colOff>
      <xdr:row>14</xdr:row>
      <xdr:rowOff>57150</xdr:rowOff>
    </xdr:to>
    <xdr:sp macro="" textlink="">
      <xdr:nvSpPr>
        <xdr:cNvPr id="43" name="Rectangle: Rounded Corners 42">
          <a:extLst>
            <a:ext uri="{FF2B5EF4-FFF2-40B4-BE49-F238E27FC236}">
              <a16:creationId xmlns:a16="http://schemas.microsoft.com/office/drawing/2014/main" id="{85C6EB22-6AFB-4DA6-9600-170E7B03BE4E}"/>
            </a:ext>
          </a:extLst>
        </xdr:cNvPr>
        <xdr:cNvSpPr/>
      </xdr:nvSpPr>
      <xdr:spPr>
        <a:xfrm>
          <a:off x="4724400" y="2838450"/>
          <a:ext cx="7705725" cy="1362075"/>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endParaRPr lang="de-DE" sz="1200" b="0" baseline="0">
            <a:solidFill>
              <a:schemeClr val="tx2"/>
            </a:solidFill>
            <a:latin typeface="Century Gothic" panose="020B0502020202020204" pitchFamily="34" charset="0"/>
          </a:endParaRPr>
        </a:p>
      </xdr:txBody>
    </xdr:sp>
    <xdr:clientData/>
  </xdr:twoCellAnchor>
  <xdr:twoCellAnchor editAs="oneCell">
    <xdr:from>
      <xdr:col>7</xdr:col>
      <xdr:colOff>114300</xdr:colOff>
      <xdr:row>11</xdr:row>
      <xdr:rowOff>95250</xdr:rowOff>
    </xdr:from>
    <xdr:to>
      <xdr:col>7</xdr:col>
      <xdr:colOff>457200</xdr:colOff>
      <xdr:row>12</xdr:row>
      <xdr:rowOff>114300</xdr:rowOff>
    </xdr:to>
    <xdr:pic>
      <xdr:nvPicPr>
        <xdr:cNvPr id="44" name="Picture 43" descr="http://de.seaicons.com/wp-content/uploads/2015/11/15-Light-Bulb-icon.png">
          <a:extLst>
            <a:ext uri="{FF2B5EF4-FFF2-40B4-BE49-F238E27FC236}">
              <a16:creationId xmlns:a16="http://schemas.microsoft.com/office/drawing/2014/main" id="{3D7EEA72-012D-4120-B82C-2BAC40A27347}"/>
            </a:ext>
          </a:extLst>
        </xdr:cNvPr>
        <xdr:cNvPicPr>
          <a:picLocks noChangeAspect="1" noChangeArrowheads="1"/>
        </xdr:cNvPicPr>
      </xdr:nvPicPr>
      <xdr:blipFill>
        <a:blip xmlns:r="http://schemas.openxmlformats.org/officeDocument/2006/relationships" r:embed="rId4"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38700" y="2924175"/>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457200</xdr:colOff>
      <xdr:row>11</xdr:row>
      <xdr:rowOff>57150</xdr:rowOff>
    </xdr:from>
    <xdr:to>
      <xdr:col>17</xdr:col>
      <xdr:colOff>180975</xdr:colOff>
      <xdr:row>13</xdr:row>
      <xdr:rowOff>133350</xdr:rowOff>
    </xdr:to>
    <xdr:sp macro="" textlink="txt_rf!E20">
      <xdr:nvSpPr>
        <xdr:cNvPr id="45" name="Rectangle 44">
          <a:extLst>
            <a:ext uri="{FF2B5EF4-FFF2-40B4-BE49-F238E27FC236}">
              <a16:creationId xmlns:a16="http://schemas.microsoft.com/office/drawing/2014/main" id="{7FEAFE50-0966-4444-B649-785892C197F3}"/>
            </a:ext>
          </a:extLst>
        </xdr:cNvPr>
        <xdr:cNvSpPr/>
      </xdr:nvSpPr>
      <xdr:spPr>
        <a:xfrm>
          <a:off x="5181600" y="2886075"/>
          <a:ext cx="7248525" cy="723900"/>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Ins="72000" rtlCol="0" anchor="t"/>
        <a:lstStyle/>
        <a:p>
          <a:pPr algn="l"/>
          <a:fld id="{5841EC51-A499-4823-8530-C5E09430DE82}" type="TxLink">
            <a:rPr lang="en-US" sz="1200" b="0" i="0" u="none" strike="noStrike">
              <a:solidFill>
                <a:schemeClr val="tx2"/>
              </a:solidFill>
              <a:latin typeface="Century Gothic" panose="020B0502020202020204" pitchFamily="34" charset="0"/>
              <a:cs typeface="Calibri"/>
            </a:rPr>
            <a:pPr algn="l"/>
            <a:t>In einem Jahr hast du noch 0 Euro Schulden. Bei einem neuen Zinssatz von - % bleibt deine Rate an die Bank genau gleich hoch wie jetzt am Anfang. Bei jedem Prozent darüber steigt deine Rate an die Bank um 0 Euro.</a:t>
          </a:fld>
          <a:endParaRPr lang="de-DE" sz="1200">
            <a:solidFill>
              <a:schemeClr val="tx2"/>
            </a:solidFill>
            <a:latin typeface="Century Gothic" panose="020B0502020202020204" pitchFamily="34" charset="0"/>
          </a:endParaRPr>
        </a:p>
      </xdr:txBody>
    </xdr:sp>
    <xdr:clientData/>
  </xdr:twoCellAnchor>
  <xdr:twoCellAnchor>
    <xdr:from>
      <xdr:col>7</xdr:col>
      <xdr:colOff>457200</xdr:colOff>
      <xdr:row>13</xdr:row>
      <xdr:rowOff>85725</xdr:rowOff>
    </xdr:from>
    <xdr:to>
      <xdr:col>17</xdr:col>
      <xdr:colOff>180975</xdr:colOff>
      <xdr:row>13</xdr:row>
      <xdr:rowOff>638175</xdr:rowOff>
    </xdr:to>
    <xdr:sp macro="" textlink="">
      <xdr:nvSpPr>
        <xdr:cNvPr id="46" name="Rectangle 45">
          <a:extLst>
            <a:ext uri="{FF2B5EF4-FFF2-40B4-BE49-F238E27FC236}">
              <a16:creationId xmlns:a16="http://schemas.microsoft.com/office/drawing/2014/main" id="{5691DED7-ECCE-4385-8D36-C756E2AF4D17}"/>
            </a:ext>
          </a:extLst>
        </xdr:cNvPr>
        <xdr:cNvSpPr/>
      </xdr:nvSpPr>
      <xdr:spPr>
        <a:xfrm>
          <a:off x="5181600" y="3562350"/>
          <a:ext cx="7248525" cy="552450"/>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Ins="72000" rtlCol="0" anchor="t"/>
        <a:lstStyle/>
        <a:p>
          <a:pPr algn="l">
            <a:lnSpc>
              <a:spcPct val="130000"/>
            </a:lnSpc>
          </a:pPr>
          <a:r>
            <a:rPr lang="en-US" sz="1200" b="0" i="0" u="none" strike="noStrike">
              <a:solidFill>
                <a:schemeClr val="tx2"/>
              </a:solidFill>
              <a:latin typeface="Century Gothic" panose="020B0502020202020204" pitchFamily="34" charset="0"/>
              <a:cs typeface="Calibri"/>
            </a:rPr>
            <a:t>Wir haben dabei angenommen, dass du monatlich wieder genauso viel zurückzahlen (tilgen) möchtest, wie in Jahr 1.</a:t>
          </a:r>
        </a:p>
      </xdr:txBody>
    </xdr:sp>
    <xdr:clientData/>
  </xdr:twoCellAnchor>
  <xdr:twoCellAnchor>
    <xdr:from>
      <xdr:col>3</xdr:col>
      <xdr:colOff>333375</xdr:colOff>
      <xdr:row>13</xdr:row>
      <xdr:rowOff>352425</xdr:rowOff>
    </xdr:from>
    <xdr:to>
      <xdr:col>5</xdr:col>
      <xdr:colOff>0</xdr:colOff>
      <xdr:row>14</xdr:row>
      <xdr:rowOff>66675</xdr:rowOff>
    </xdr:to>
    <xdr:sp macro="" textlink="">
      <xdr:nvSpPr>
        <xdr:cNvPr id="50" name="Arrow: Right 49">
          <a:hlinkClick xmlns:r="http://schemas.openxmlformats.org/officeDocument/2006/relationships" r:id="rId5"/>
          <a:extLst>
            <a:ext uri="{FF2B5EF4-FFF2-40B4-BE49-F238E27FC236}">
              <a16:creationId xmlns:a16="http://schemas.microsoft.com/office/drawing/2014/main" id="{331F7984-F835-4342-9A8B-4B7C9BB35BE9}"/>
            </a:ext>
          </a:extLst>
        </xdr:cNvPr>
        <xdr:cNvSpPr/>
      </xdr:nvSpPr>
      <xdr:spPr>
        <a:xfrm>
          <a:off x="2276475" y="382905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0</xdr:col>
      <xdr:colOff>209550</xdr:colOff>
      <xdr:row>13</xdr:row>
      <xdr:rowOff>352425</xdr:rowOff>
    </xdr:from>
    <xdr:to>
      <xdr:col>2</xdr:col>
      <xdr:colOff>1323975</xdr:colOff>
      <xdr:row>14</xdr:row>
      <xdr:rowOff>66675</xdr:rowOff>
    </xdr:to>
    <xdr:sp macro="" textlink="">
      <xdr:nvSpPr>
        <xdr:cNvPr id="51" name="Arrow: Right 50">
          <a:hlinkClick xmlns:r="http://schemas.openxmlformats.org/officeDocument/2006/relationships" r:id="rId6"/>
          <a:extLst>
            <a:ext uri="{FF2B5EF4-FFF2-40B4-BE49-F238E27FC236}">
              <a16:creationId xmlns:a16="http://schemas.microsoft.com/office/drawing/2014/main" id="{AB3E81B3-3F04-4E79-9307-2058CEA70C19}"/>
            </a:ext>
          </a:extLst>
        </xdr:cNvPr>
        <xdr:cNvSpPr/>
      </xdr:nvSpPr>
      <xdr:spPr>
        <a:xfrm flipH="1">
          <a:off x="209550" y="382905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47" name="Group 46">
          <a:extLst>
            <a:ext uri="{FF2B5EF4-FFF2-40B4-BE49-F238E27FC236}">
              <a16:creationId xmlns:a16="http://schemas.microsoft.com/office/drawing/2014/main" id="{329B713B-2F0E-4504-BB30-AF7EB440FBE3}"/>
            </a:ext>
          </a:extLst>
        </xdr:cNvPr>
        <xdr:cNvGrpSpPr/>
      </xdr:nvGrpSpPr>
      <xdr:grpSpPr>
        <a:xfrm>
          <a:off x="3079750" y="133350"/>
          <a:ext cx="10004425" cy="245225"/>
          <a:chOff x="2952750" y="137737"/>
          <a:chExt cx="9563100" cy="248400"/>
        </a:xfrm>
      </xdr:grpSpPr>
      <xdr:sp macro="" textlink="">
        <xdr:nvSpPr>
          <xdr:cNvPr id="48" name="Rectangle 47">
            <a:hlinkClick xmlns:r="http://schemas.openxmlformats.org/officeDocument/2006/relationships" r:id="rId7"/>
            <a:extLst>
              <a:ext uri="{FF2B5EF4-FFF2-40B4-BE49-F238E27FC236}">
                <a16:creationId xmlns:a16="http://schemas.microsoft.com/office/drawing/2014/main" id="{B5F21108-BD34-41C9-9310-27BCBFE23C86}"/>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9" name="Rectangle 48">
            <a:hlinkClick xmlns:r="http://schemas.openxmlformats.org/officeDocument/2006/relationships" r:id="rId8"/>
            <a:extLst>
              <a:ext uri="{FF2B5EF4-FFF2-40B4-BE49-F238E27FC236}">
                <a16:creationId xmlns:a16="http://schemas.microsoft.com/office/drawing/2014/main" id="{52C3B70E-70B9-4994-8292-07420E807F17}"/>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52" name="Rectangle 51">
            <a:hlinkClick xmlns:r="http://schemas.openxmlformats.org/officeDocument/2006/relationships" r:id="rId9"/>
            <a:extLst>
              <a:ext uri="{FF2B5EF4-FFF2-40B4-BE49-F238E27FC236}">
                <a16:creationId xmlns:a16="http://schemas.microsoft.com/office/drawing/2014/main" id="{C55328B0-947F-4F20-95C8-008576E0F36E}"/>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53" name="Rectangle 52">
            <a:hlinkClick xmlns:r="http://schemas.openxmlformats.org/officeDocument/2006/relationships" r:id="rId10"/>
            <a:extLst>
              <a:ext uri="{FF2B5EF4-FFF2-40B4-BE49-F238E27FC236}">
                <a16:creationId xmlns:a16="http://schemas.microsoft.com/office/drawing/2014/main" id="{B6E0D3A6-3C92-48A0-B6E6-920EDE3CEEF3}"/>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54" name="Rectangle 53">
            <a:hlinkClick xmlns:r="http://schemas.openxmlformats.org/officeDocument/2006/relationships" r:id="rId11"/>
            <a:extLst>
              <a:ext uri="{FF2B5EF4-FFF2-40B4-BE49-F238E27FC236}">
                <a16:creationId xmlns:a16="http://schemas.microsoft.com/office/drawing/2014/main" id="{666F33A0-8ADB-4FEE-A4AA-1638EF9FDF87}"/>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sng">
                <a:solidFill>
                  <a:schemeClr val="bg1"/>
                </a:solidFill>
                <a:latin typeface="+mn-lt"/>
              </a:rPr>
              <a:t>Zinsrisiko</a:t>
            </a:r>
          </a:p>
        </xdr:txBody>
      </xdr:sp>
      <xdr:sp macro="" textlink="">
        <xdr:nvSpPr>
          <xdr:cNvPr id="55" name="Rectangle 54">
            <a:hlinkClick xmlns:r="http://schemas.openxmlformats.org/officeDocument/2006/relationships" r:id="rId5"/>
            <a:extLst>
              <a:ext uri="{FF2B5EF4-FFF2-40B4-BE49-F238E27FC236}">
                <a16:creationId xmlns:a16="http://schemas.microsoft.com/office/drawing/2014/main" id="{6CAD5C39-276A-4ECE-9AC5-06D36816EB38}"/>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Steuern</a:t>
            </a:r>
          </a:p>
        </xdr:txBody>
      </xdr:sp>
      <xdr:sp macro="" textlink="">
        <xdr:nvSpPr>
          <xdr:cNvPr id="56" name="Rectangle 55">
            <a:hlinkClick xmlns:r="http://schemas.openxmlformats.org/officeDocument/2006/relationships" r:id="rId12"/>
            <a:extLst>
              <a:ext uri="{FF2B5EF4-FFF2-40B4-BE49-F238E27FC236}">
                <a16:creationId xmlns:a16="http://schemas.microsoft.com/office/drawing/2014/main" id="{9BEC9BD6-FDBD-4B8D-80DA-B1B89BB209D9}"/>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57" name="Rectangle 56">
            <a:extLst>
              <a:ext uri="{FF2B5EF4-FFF2-40B4-BE49-F238E27FC236}">
                <a16:creationId xmlns:a16="http://schemas.microsoft.com/office/drawing/2014/main" id="{86D9D408-3418-496B-BD20-10775E64997F}"/>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57">
            <a:extLst>
              <a:ext uri="{FF2B5EF4-FFF2-40B4-BE49-F238E27FC236}">
                <a16:creationId xmlns:a16="http://schemas.microsoft.com/office/drawing/2014/main" id="{10A3152B-BA84-434C-B346-16A15204A53C}"/>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9" name="Rectangle 58">
            <a:extLst>
              <a:ext uri="{FF2B5EF4-FFF2-40B4-BE49-F238E27FC236}">
                <a16:creationId xmlns:a16="http://schemas.microsoft.com/office/drawing/2014/main" id="{949B5507-E4A0-4D60-A27E-65D2AB9D6BC5}"/>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0" name="Rectangle 59">
            <a:extLst>
              <a:ext uri="{FF2B5EF4-FFF2-40B4-BE49-F238E27FC236}">
                <a16:creationId xmlns:a16="http://schemas.microsoft.com/office/drawing/2014/main" id="{351BC5E7-68A1-467B-AC5D-B299CB820BA7}"/>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1" name="Rectangle 60">
            <a:extLst>
              <a:ext uri="{FF2B5EF4-FFF2-40B4-BE49-F238E27FC236}">
                <a16:creationId xmlns:a16="http://schemas.microsoft.com/office/drawing/2014/main" id="{A6AF3F46-2D5B-40C5-B1F8-B1163AF3FECC}"/>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2" name="Rectangle 61">
            <a:extLst>
              <a:ext uri="{FF2B5EF4-FFF2-40B4-BE49-F238E27FC236}">
                <a16:creationId xmlns:a16="http://schemas.microsoft.com/office/drawing/2014/main" id="{EBFB3839-F95B-478B-9700-78C9CFAC9287}"/>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3" name="Rectangle 62">
            <a:extLst>
              <a:ext uri="{FF2B5EF4-FFF2-40B4-BE49-F238E27FC236}">
                <a16:creationId xmlns:a16="http://schemas.microsoft.com/office/drawing/2014/main" id="{E6BACC4B-CC01-409C-BFDB-AF0EFAD7CE88}"/>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4" name="Rectangle: Rounded Corners 63">
            <a:hlinkClick xmlns:r="http://schemas.openxmlformats.org/officeDocument/2006/relationships" r:id="rId13"/>
            <a:extLst>
              <a:ext uri="{FF2B5EF4-FFF2-40B4-BE49-F238E27FC236}">
                <a16:creationId xmlns:a16="http://schemas.microsoft.com/office/drawing/2014/main" id="{971D55C7-44BF-409D-950B-09C6D8C99DD8}"/>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65" name="Rectangle 64">
            <a:extLst>
              <a:ext uri="{FF2B5EF4-FFF2-40B4-BE49-F238E27FC236}">
                <a16:creationId xmlns:a16="http://schemas.microsoft.com/office/drawing/2014/main" id="{9C0715A9-52CC-49F9-8413-DEA787A5D931}"/>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6" name="Rectangle: Rounded Corners 65">
            <a:hlinkClick xmlns:r="http://schemas.openxmlformats.org/officeDocument/2006/relationships" r:id="rId14"/>
            <a:extLst>
              <a:ext uri="{FF2B5EF4-FFF2-40B4-BE49-F238E27FC236}">
                <a16:creationId xmlns:a16="http://schemas.microsoft.com/office/drawing/2014/main" id="{840FE6D7-188B-4C59-AD7A-0959F2E0446A}"/>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67" name="Group 66">
          <a:extLst>
            <a:ext uri="{FF2B5EF4-FFF2-40B4-BE49-F238E27FC236}">
              <a16:creationId xmlns:a16="http://schemas.microsoft.com/office/drawing/2014/main" id="{C6C992C2-21CD-4714-B962-6AAE29550123}"/>
            </a:ext>
          </a:extLst>
        </xdr:cNvPr>
        <xdr:cNvGrpSpPr/>
      </xdr:nvGrpSpPr>
      <xdr:grpSpPr>
        <a:xfrm>
          <a:off x="4911725" y="650875"/>
          <a:ext cx="8152832" cy="573485"/>
          <a:chOff x="4705350" y="652463"/>
          <a:chExt cx="7771832" cy="579835"/>
        </a:xfrm>
      </xdr:grpSpPr>
      <xdr:grpSp>
        <xdr:nvGrpSpPr>
          <xdr:cNvPr id="68" name="Group 67">
            <a:extLst>
              <a:ext uri="{FF2B5EF4-FFF2-40B4-BE49-F238E27FC236}">
                <a16:creationId xmlns:a16="http://schemas.microsoft.com/office/drawing/2014/main" id="{CFBBC29F-3AD3-449A-A11E-244F77F6BF9E}"/>
              </a:ext>
            </a:extLst>
          </xdr:cNvPr>
          <xdr:cNvGrpSpPr/>
        </xdr:nvGrpSpPr>
        <xdr:grpSpPr>
          <a:xfrm>
            <a:off x="4705350" y="652463"/>
            <a:ext cx="7771832" cy="257175"/>
            <a:chOff x="4705350" y="642938"/>
            <a:chExt cx="7771832" cy="257175"/>
          </a:xfrm>
        </xdr:grpSpPr>
        <xdr:sp macro="" textlink="">
          <xdr:nvSpPr>
            <xdr:cNvPr id="76" name="Rectangle 75">
              <a:extLst>
                <a:ext uri="{FF2B5EF4-FFF2-40B4-BE49-F238E27FC236}">
                  <a16:creationId xmlns:a16="http://schemas.microsoft.com/office/drawing/2014/main" id="{59FC5CF8-0A3E-40F7-9714-E40868DFB9E4}"/>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7" name="Rectangle 76">
              <a:extLst>
                <a:ext uri="{FF2B5EF4-FFF2-40B4-BE49-F238E27FC236}">
                  <a16:creationId xmlns:a16="http://schemas.microsoft.com/office/drawing/2014/main" id="{0F3E424F-7CFA-44B7-B9D2-8BB36AC23FE7}"/>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8" name="Rectangle 77">
              <a:extLst>
                <a:ext uri="{FF2B5EF4-FFF2-40B4-BE49-F238E27FC236}">
                  <a16:creationId xmlns:a16="http://schemas.microsoft.com/office/drawing/2014/main" id="{52BCAA02-93D2-406A-959C-2BF018F71F7D}"/>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9" name="Rectangle 78">
              <a:extLst>
                <a:ext uri="{FF2B5EF4-FFF2-40B4-BE49-F238E27FC236}">
                  <a16:creationId xmlns:a16="http://schemas.microsoft.com/office/drawing/2014/main" id="{0A87AE23-93DA-4120-98D7-D5620A9F3495}"/>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159E6E7D-29E4-4548-A5DC-57404D734EDD}"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80" name="Rectangle 79">
              <a:extLst>
                <a:ext uri="{FF2B5EF4-FFF2-40B4-BE49-F238E27FC236}">
                  <a16:creationId xmlns:a16="http://schemas.microsoft.com/office/drawing/2014/main" id="{B48C97AA-0A4E-4BD8-99DA-190B1139085F}"/>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ABF17D80-D35A-43C3-A13C-2585F9A22872}"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81" name="Rectangle 80">
              <a:extLst>
                <a:ext uri="{FF2B5EF4-FFF2-40B4-BE49-F238E27FC236}">
                  <a16:creationId xmlns:a16="http://schemas.microsoft.com/office/drawing/2014/main" id="{E6055C07-B63B-4F4D-B0F6-DCAA20CB5548}"/>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473B509-29A7-470C-B891-A1F5930FC699}"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9" name="Group 68">
            <a:extLst>
              <a:ext uri="{FF2B5EF4-FFF2-40B4-BE49-F238E27FC236}">
                <a16:creationId xmlns:a16="http://schemas.microsoft.com/office/drawing/2014/main" id="{D3CFDF52-68C8-4AE5-832A-C6FFE4AD7B68}"/>
              </a:ext>
            </a:extLst>
          </xdr:cNvPr>
          <xdr:cNvGrpSpPr/>
        </xdr:nvGrpSpPr>
        <xdr:grpSpPr>
          <a:xfrm>
            <a:off x="4705350" y="975123"/>
            <a:ext cx="7771832" cy="257175"/>
            <a:chOff x="4705350" y="975123"/>
            <a:chExt cx="7771832" cy="257175"/>
          </a:xfrm>
        </xdr:grpSpPr>
        <xdr:sp macro="" textlink="">
          <xdr:nvSpPr>
            <xdr:cNvPr id="70" name="Rectangle 69">
              <a:extLst>
                <a:ext uri="{FF2B5EF4-FFF2-40B4-BE49-F238E27FC236}">
                  <a16:creationId xmlns:a16="http://schemas.microsoft.com/office/drawing/2014/main" id="{D57CF65C-29E1-477B-ACC9-0FC216B7A55A}"/>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71" name="Rectangle 70">
              <a:extLst>
                <a:ext uri="{FF2B5EF4-FFF2-40B4-BE49-F238E27FC236}">
                  <a16:creationId xmlns:a16="http://schemas.microsoft.com/office/drawing/2014/main" id="{E757B6D2-8A39-4DAF-840A-CC9F58EAC5B1}"/>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72" name="Rectangle 71">
              <a:extLst>
                <a:ext uri="{FF2B5EF4-FFF2-40B4-BE49-F238E27FC236}">
                  <a16:creationId xmlns:a16="http://schemas.microsoft.com/office/drawing/2014/main" id="{48145089-600E-47D0-9621-555C75D3AF24}"/>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73" name="Rectangle 72">
              <a:extLst>
                <a:ext uri="{FF2B5EF4-FFF2-40B4-BE49-F238E27FC236}">
                  <a16:creationId xmlns:a16="http://schemas.microsoft.com/office/drawing/2014/main" id="{B62D93A9-FCA6-492C-9483-6597496374B9}"/>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A64E72E-55A2-4C45-AA16-2778C7807DE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74" name="Rectangle 73">
              <a:extLst>
                <a:ext uri="{FF2B5EF4-FFF2-40B4-BE49-F238E27FC236}">
                  <a16:creationId xmlns:a16="http://schemas.microsoft.com/office/drawing/2014/main" id="{7AD4F06F-BC26-42C6-9009-E7FF16D39DEC}"/>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DF456F7-A82B-4848-8DBB-108B0269FB22}"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75" name="Rectangle 74">
              <a:extLst>
                <a:ext uri="{FF2B5EF4-FFF2-40B4-BE49-F238E27FC236}">
                  <a16:creationId xmlns:a16="http://schemas.microsoft.com/office/drawing/2014/main" id="{CD00B6EA-EAB2-4B51-8A98-F5AC026160F1}"/>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261426B-533C-4D13-853A-44383F0F1399}"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0</xdr:col>
      <xdr:colOff>161925</xdr:colOff>
      <xdr:row>7</xdr:row>
      <xdr:rowOff>9525</xdr:rowOff>
    </xdr:from>
    <xdr:to>
      <xdr:col>17</xdr:col>
      <xdr:colOff>171450</xdr:colOff>
      <xdr:row>7</xdr:row>
      <xdr:rowOff>1543050</xdr:rowOff>
    </xdr:to>
    <xdr:sp macro="" textlink="">
      <xdr:nvSpPr>
        <xdr:cNvPr id="82" name="Rectangle: Rounded Corners 81">
          <a:extLst>
            <a:ext uri="{FF2B5EF4-FFF2-40B4-BE49-F238E27FC236}">
              <a16:creationId xmlns:a16="http://schemas.microsoft.com/office/drawing/2014/main" id="{0C012558-51D7-4C8D-8278-CE6EBF55E168}"/>
            </a:ext>
          </a:extLst>
        </xdr:cNvPr>
        <xdr:cNvSpPr/>
      </xdr:nvSpPr>
      <xdr:spPr>
        <a:xfrm>
          <a:off x="161925" y="1657350"/>
          <a:ext cx="12258675" cy="1533525"/>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r>
            <a:rPr lang="de-DE" sz="1200" b="0" baseline="0">
              <a:solidFill>
                <a:schemeClr val="tx2"/>
              </a:solidFill>
              <a:latin typeface="Century Gothic" panose="020B0502020202020204" pitchFamily="34" charset="0"/>
            </a:rPr>
            <a:t>Bevor es mit der Steuer weitergeht, wollen dich noch auf ein wichtiges Risiko aufmerksam machen: Das </a:t>
          </a:r>
          <a:r>
            <a:rPr lang="de-DE" sz="1200" b="1" baseline="0">
              <a:solidFill>
                <a:schemeClr val="tx2"/>
              </a:solidFill>
              <a:latin typeface="Century Gothic" panose="020B0502020202020204" pitchFamily="34" charset="0"/>
            </a:rPr>
            <a:t>Zinsänderungsrisiko</a:t>
          </a:r>
          <a:r>
            <a:rPr lang="de-DE" sz="1200" b="0" baseline="0">
              <a:solidFill>
                <a:schemeClr val="tx2"/>
              </a:solidFill>
              <a:latin typeface="Century Gothic" panose="020B0502020202020204" pitchFamily="34" charset="0"/>
            </a:rPr>
            <a:t>.</a:t>
          </a:r>
        </a:p>
        <a:p>
          <a:pPr algn="l">
            <a:lnSpc>
              <a:spcPct val="130000"/>
            </a:lnSpc>
            <a:spcAft>
              <a:spcPts val="1200"/>
            </a:spcAft>
          </a:pPr>
          <a:r>
            <a:rPr lang="de-DE" sz="1200" b="0" baseline="0">
              <a:solidFill>
                <a:schemeClr val="tx2"/>
              </a:solidFill>
              <a:latin typeface="Century Gothic" panose="020B0502020202020204" pitchFamily="34" charset="0"/>
            </a:rPr>
            <a:t>Nach 10 oder 15 Jahren läuft in der Regel die Zinsbindung deines Darlehens aus. Du verhandelst dann einen neuen Zinssatz mit der Bank. Dieser kann höher sein als der bisherige - wenn das Zinsniveau insgesamt gestiegen ist. Dadurch kann auch deine monatliche Rate an die Bank steigen. Du musst dann möglicherweise jeden Monat (mehr) </a:t>
          </a:r>
          <a:r>
            <a:rPr lang="de-DE" sz="1200" b="1" baseline="0">
              <a:solidFill>
                <a:schemeClr val="tx2"/>
              </a:solidFill>
              <a:latin typeface="Century Gothic" panose="020B0502020202020204" pitchFamily="34" charset="0"/>
            </a:rPr>
            <a:t>Geld zuschießen</a:t>
          </a:r>
          <a:r>
            <a:rPr lang="de-DE" sz="1200" b="0" baseline="0">
              <a:solidFill>
                <a:schemeClr val="tx2"/>
              </a:solidFill>
              <a:latin typeface="Century Gothic" panose="020B0502020202020204" pitchFamily="34" charset="0"/>
            </a:rPr>
            <a:t>. Es ist deshalb wichtig, dass du vor dem Kauf ein Gefühl dafür entwickelst, wie anfällig dein Investment für solche </a:t>
          </a:r>
          <a:r>
            <a:rPr lang="de-DE" sz="1200" b="1" baseline="0">
              <a:solidFill>
                <a:schemeClr val="tx2"/>
              </a:solidFill>
              <a:latin typeface="Century Gothic" panose="020B0502020202020204" pitchFamily="34" charset="0"/>
            </a:rPr>
            <a:t>Zinsänderungen</a:t>
          </a:r>
          <a:r>
            <a:rPr lang="de-DE" sz="1200" b="0" baseline="0">
              <a:solidFill>
                <a:schemeClr val="tx2"/>
              </a:solidFill>
              <a:latin typeface="Century Gothic" panose="020B0502020202020204" pitchFamily="34" charset="0"/>
            </a:rPr>
            <a:t> ist und welche neuen Zinsen du dir </a:t>
          </a:r>
          <a:r>
            <a:rPr lang="de-DE" sz="1200" b="1" baseline="0">
              <a:solidFill>
                <a:schemeClr val="tx2"/>
              </a:solidFill>
              <a:latin typeface="Century Gothic" panose="020B0502020202020204" pitchFamily="34" charset="0"/>
            </a:rPr>
            <a:t>zukünftig leisten </a:t>
          </a:r>
          <a:r>
            <a:rPr lang="de-DE" sz="1200" b="0" baseline="0">
              <a:solidFill>
                <a:schemeClr val="tx2"/>
              </a:solidFill>
              <a:latin typeface="Century Gothic" panose="020B0502020202020204" pitchFamily="34" charset="0"/>
            </a:rPr>
            <a:t>kannst. Deshalb berechnen wir jetzt dein Zinsänderungsrisiko.</a:t>
          </a:r>
        </a:p>
      </xdr:txBody>
    </xdr:sp>
    <xdr:clientData/>
  </xdr:twoCellAnchor>
  <xdr:twoCellAnchor editAs="oneCell">
    <xdr:from>
      <xdr:col>1</xdr:col>
      <xdr:colOff>85726</xdr:colOff>
      <xdr:row>7</xdr:row>
      <xdr:rowOff>123827</xdr:rowOff>
    </xdr:from>
    <xdr:to>
      <xdr:col>2</xdr:col>
      <xdr:colOff>28575</xdr:colOff>
      <xdr:row>7</xdr:row>
      <xdr:rowOff>390804</xdr:rowOff>
    </xdr:to>
    <xdr:pic>
      <xdr:nvPicPr>
        <xdr:cNvPr id="85" name="Picture 84" descr="Warnung, Vorsicht, Anmelden, Symbol">
          <a:extLst>
            <a:ext uri="{FF2B5EF4-FFF2-40B4-BE49-F238E27FC236}">
              <a16:creationId xmlns:a16="http://schemas.microsoft.com/office/drawing/2014/main" id="{0B9DB2C2-4F2C-4D12-BB01-9C67DAE1967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304801" y="1771652"/>
          <a:ext cx="304799" cy="266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6D578677-89B2-4873-A9E5-7AE76830E5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BA7C6F3E-CB4C-418E-A952-70D6EB12C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7</xdr:row>
      <xdr:rowOff>9525</xdr:rowOff>
    </xdr:from>
    <xdr:to>
      <xdr:col>17</xdr:col>
      <xdr:colOff>180975</xdr:colOff>
      <xdr:row>12</xdr:row>
      <xdr:rowOff>66675</xdr:rowOff>
    </xdr:to>
    <xdr:sp macro="" textlink="">
      <xdr:nvSpPr>
        <xdr:cNvPr id="35" name="Rectangle: Rounded Corners 34">
          <a:extLst>
            <a:ext uri="{FF2B5EF4-FFF2-40B4-BE49-F238E27FC236}">
              <a16:creationId xmlns:a16="http://schemas.microsoft.com/office/drawing/2014/main" id="{E25134DD-D278-4181-A61E-FC301327AAB6}"/>
            </a:ext>
          </a:extLst>
        </xdr:cNvPr>
        <xdr:cNvSpPr/>
      </xdr:nvSpPr>
      <xdr:spPr>
        <a:xfrm>
          <a:off x="247650" y="1657350"/>
          <a:ext cx="12182475" cy="2552700"/>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marL="0" marR="0" lvl="0" indent="0" algn="l" defTabSz="914400" eaLnBrk="1" fontAlgn="auto" latinLnBrk="0" hangingPunct="1">
            <a:lnSpc>
              <a:spcPct val="130000"/>
            </a:lnSpc>
            <a:spcBef>
              <a:spcPts val="0"/>
            </a:spcBef>
            <a:spcAft>
              <a:spcPts val="1200"/>
            </a:spcAft>
            <a:buClrTx/>
            <a:buSzTx/>
            <a:buFontTx/>
            <a:buNone/>
            <a:tabLst/>
            <a:defRPr/>
          </a:pP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Als letzten Schritt berechnen wir jetzt die Auswirkung der Steuer auf deinen Cashflow, der sich dadurch nochmal erheblich verändern kann.</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Grundsätzlich gilt in Deutschland: Deine </a:t>
          </a:r>
          <a:r>
            <a:rPr kumimoji="0" lang="de-DE" sz="1200" b="1"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Mieteinnahmen musst du versteuern</a:t>
          </a: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 Du gibst sie in deiner Steuererklärung an und das Finanzamt verlangt dann nachträglich Geld von dir. Diese Steuer kann großen (negativen) </a:t>
          </a:r>
          <a:r>
            <a:rPr kumimoji="0" lang="de-DE" sz="1200" b="1"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Einfluss</a:t>
          </a: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 auf deinen Cashflow haben. Es ist deshalb wichtig, dass du sie richtig und vollständig einkalkulierst.</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Wie hoch die Steuer ist, hängt von vielen verschiedenen Dingen ab. Beispielsweise davon, wie viel anteiliges Grundstück du mit der Wohnung erwirbst, wie alt das Haus ist und welcher Steuersatz in deiner individuellen Situation zum Tragen kommt.</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Wir führen dich jetzt durch ein Vorgehen, mit dem du die Auswirkung der Steuer ohne Hintergrundwissen mit nur wenigen Klicks berechnest. Diese Methode ist zwar vereinfacht, kommt aber dem Ergebnis des Finanzamts in aller Regel sehr nahe. </a:t>
          </a:r>
        </a:p>
      </xdr:txBody>
    </xdr:sp>
    <xdr:clientData/>
  </xdr:twoCellAnchor>
  <xdr:twoCellAnchor>
    <xdr:from>
      <xdr:col>9</xdr:col>
      <xdr:colOff>304800</xdr:colOff>
      <xdr:row>16</xdr:row>
      <xdr:rowOff>171450</xdr:rowOff>
    </xdr:from>
    <xdr:to>
      <xdr:col>11</xdr:col>
      <xdr:colOff>495300</xdr:colOff>
      <xdr:row>18</xdr:row>
      <xdr:rowOff>171450</xdr:rowOff>
    </xdr:to>
    <xdr:sp macro="" textlink="">
      <xdr:nvSpPr>
        <xdr:cNvPr id="48" name="Arrow: Right 47">
          <a:hlinkClick xmlns:r="http://schemas.openxmlformats.org/officeDocument/2006/relationships" r:id="rId3"/>
          <a:extLst>
            <a:ext uri="{FF2B5EF4-FFF2-40B4-BE49-F238E27FC236}">
              <a16:creationId xmlns:a16="http://schemas.microsoft.com/office/drawing/2014/main" id="{1BAF9B31-5E8E-43B0-9865-C99E0CA90B69}"/>
            </a:ext>
          </a:extLst>
        </xdr:cNvPr>
        <xdr:cNvSpPr/>
      </xdr:nvSpPr>
      <xdr:spPr>
        <a:xfrm>
          <a:off x="6534150" y="51339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90000" rtlCol="0" anchor="ctr"/>
        <a:lstStyle/>
        <a:p>
          <a:pPr algn="l"/>
          <a:r>
            <a:rPr lang="de-DE" sz="1050">
              <a:latin typeface="Unit"/>
            </a:rPr>
            <a:t>jetzt Steuer berechnen</a:t>
          </a:r>
        </a:p>
      </xdr:txBody>
    </xdr:sp>
    <xdr:clientData/>
  </xdr:twoCellAnchor>
  <xdr:twoCellAnchor>
    <xdr:from>
      <xdr:col>6</xdr:col>
      <xdr:colOff>352425</xdr:colOff>
      <xdr:row>16</xdr:row>
      <xdr:rowOff>171450</xdr:rowOff>
    </xdr:from>
    <xdr:to>
      <xdr:col>8</xdr:col>
      <xdr:colOff>685800</xdr:colOff>
      <xdr:row>18</xdr:row>
      <xdr:rowOff>171450</xdr:rowOff>
    </xdr:to>
    <xdr:sp macro="" textlink="">
      <xdr:nvSpPr>
        <xdr:cNvPr id="49" name="Arrow: Right 48">
          <a:hlinkClick xmlns:r="http://schemas.openxmlformats.org/officeDocument/2006/relationships" r:id="rId4"/>
          <a:extLst>
            <a:ext uri="{FF2B5EF4-FFF2-40B4-BE49-F238E27FC236}">
              <a16:creationId xmlns:a16="http://schemas.microsoft.com/office/drawing/2014/main" id="{7591A895-2413-4E5F-873C-AAF50AA3D9E2}"/>
            </a:ext>
          </a:extLst>
        </xdr:cNvPr>
        <xdr:cNvSpPr/>
      </xdr:nvSpPr>
      <xdr:spPr>
        <a:xfrm flipH="1">
          <a:off x="4467225" y="51339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58" name="Group 57">
          <a:extLst>
            <a:ext uri="{FF2B5EF4-FFF2-40B4-BE49-F238E27FC236}">
              <a16:creationId xmlns:a16="http://schemas.microsoft.com/office/drawing/2014/main" id="{3B9201E1-92F7-414C-9933-1C765AECFD71}"/>
            </a:ext>
          </a:extLst>
        </xdr:cNvPr>
        <xdr:cNvGrpSpPr/>
      </xdr:nvGrpSpPr>
      <xdr:grpSpPr>
        <a:xfrm>
          <a:off x="3079750" y="133350"/>
          <a:ext cx="10004425" cy="245225"/>
          <a:chOff x="2952750" y="137737"/>
          <a:chExt cx="9563100" cy="248400"/>
        </a:xfrm>
      </xdr:grpSpPr>
      <xdr:sp macro="" textlink="">
        <xdr:nvSpPr>
          <xdr:cNvPr id="59" name="Rectangle 58">
            <a:hlinkClick xmlns:r="http://schemas.openxmlformats.org/officeDocument/2006/relationships" r:id="rId5"/>
            <a:extLst>
              <a:ext uri="{FF2B5EF4-FFF2-40B4-BE49-F238E27FC236}">
                <a16:creationId xmlns:a16="http://schemas.microsoft.com/office/drawing/2014/main" id="{CD40D22F-CAEF-4D43-9744-7B6FC17619D1}"/>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60" name="Rectangle 59">
            <a:hlinkClick xmlns:r="http://schemas.openxmlformats.org/officeDocument/2006/relationships" r:id="rId6"/>
            <a:extLst>
              <a:ext uri="{FF2B5EF4-FFF2-40B4-BE49-F238E27FC236}">
                <a16:creationId xmlns:a16="http://schemas.microsoft.com/office/drawing/2014/main" id="{AA3310B0-0341-4588-98D4-E10DEAE5978F}"/>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61" name="Rectangle 60">
            <a:hlinkClick xmlns:r="http://schemas.openxmlformats.org/officeDocument/2006/relationships" r:id="rId7"/>
            <a:extLst>
              <a:ext uri="{FF2B5EF4-FFF2-40B4-BE49-F238E27FC236}">
                <a16:creationId xmlns:a16="http://schemas.microsoft.com/office/drawing/2014/main" id="{AED3E9C4-4F47-4BAB-9789-9505EFACD188}"/>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62" name="Rectangle 61">
            <a:hlinkClick xmlns:r="http://schemas.openxmlformats.org/officeDocument/2006/relationships" r:id="rId8"/>
            <a:extLst>
              <a:ext uri="{FF2B5EF4-FFF2-40B4-BE49-F238E27FC236}">
                <a16:creationId xmlns:a16="http://schemas.microsoft.com/office/drawing/2014/main" id="{4C86B807-1CAF-4F8F-9C06-805B74D62D09}"/>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63" name="Rectangle 62">
            <a:hlinkClick xmlns:r="http://schemas.openxmlformats.org/officeDocument/2006/relationships" r:id="rId4"/>
            <a:extLst>
              <a:ext uri="{FF2B5EF4-FFF2-40B4-BE49-F238E27FC236}">
                <a16:creationId xmlns:a16="http://schemas.microsoft.com/office/drawing/2014/main" id="{7AE4E6A5-C5C0-4BDD-AB37-776ECD245222}"/>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64" name="Rectangle 63">
            <a:hlinkClick xmlns:r="http://schemas.openxmlformats.org/officeDocument/2006/relationships" r:id="rId9"/>
            <a:extLst>
              <a:ext uri="{FF2B5EF4-FFF2-40B4-BE49-F238E27FC236}">
                <a16:creationId xmlns:a16="http://schemas.microsoft.com/office/drawing/2014/main" id="{F158A3E3-F0E3-4A91-A491-8B62B531C555}"/>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Steuern</a:t>
            </a:r>
          </a:p>
        </xdr:txBody>
      </xdr:sp>
      <xdr:sp macro="" textlink="">
        <xdr:nvSpPr>
          <xdr:cNvPr id="65" name="Rectangle 64">
            <a:hlinkClick xmlns:r="http://schemas.openxmlformats.org/officeDocument/2006/relationships" r:id="rId10"/>
            <a:extLst>
              <a:ext uri="{FF2B5EF4-FFF2-40B4-BE49-F238E27FC236}">
                <a16:creationId xmlns:a16="http://schemas.microsoft.com/office/drawing/2014/main" id="{AC41AD71-4969-4AB7-9EEC-B807611C2D45}"/>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66" name="Rectangle 65">
            <a:extLst>
              <a:ext uri="{FF2B5EF4-FFF2-40B4-BE49-F238E27FC236}">
                <a16:creationId xmlns:a16="http://schemas.microsoft.com/office/drawing/2014/main" id="{02994387-808A-4CB5-975E-CBB011DD9295}"/>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7" name="Rectangle 66">
            <a:extLst>
              <a:ext uri="{FF2B5EF4-FFF2-40B4-BE49-F238E27FC236}">
                <a16:creationId xmlns:a16="http://schemas.microsoft.com/office/drawing/2014/main" id="{710E5742-9598-4E4B-AE11-C7A46578A256}"/>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8" name="Rectangle 67">
            <a:extLst>
              <a:ext uri="{FF2B5EF4-FFF2-40B4-BE49-F238E27FC236}">
                <a16:creationId xmlns:a16="http://schemas.microsoft.com/office/drawing/2014/main" id="{F0963B48-40F3-45C0-A3A3-2F8721590C7A}"/>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9" name="Rectangle 68">
            <a:extLst>
              <a:ext uri="{FF2B5EF4-FFF2-40B4-BE49-F238E27FC236}">
                <a16:creationId xmlns:a16="http://schemas.microsoft.com/office/drawing/2014/main" id="{F0D2D64B-A19A-4995-85BF-7A81C000FF10}"/>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0" name="Rectangle 69">
            <a:extLst>
              <a:ext uri="{FF2B5EF4-FFF2-40B4-BE49-F238E27FC236}">
                <a16:creationId xmlns:a16="http://schemas.microsoft.com/office/drawing/2014/main" id="{6C033F17-593C-43EE-B77E-E6FCDBB54E16}"/>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1" name="Rectangle 70">
            <a:extLst>
              <a:ext uri="{FF2B5EF4-FFF2-40B4-BE49-F238E27FC236}">
                <a16:creationId xmlns:a16="http://schemas.microsoft.com/office/drawing/2014/main" id="{417028C8-6E44-40D1-863B-EE7E83FF8B68}"/>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2" name="Rectangle 71">
            <a:extLst>
              <a:ext uri="{FF2B5EF4-FFF2-40B4-BE49-F238E27FC236}">
                <a16:creationId xmlns:a16="http://schemas.microsoft.com/office/drawing/2014/main" id="{24870043-330E-4C01-BB0D-533C50339D30}"/>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3" name="Rectangle: Rounded Corners 72">
            <a:hlinkClick xmlns:r="http://schemas.openxmlformats.org/officeDocument/2006/relationships" r:id="rId11"/>
            <a:extLst>
              <a:ext uri="{FF2B5EF4-FFF2-40B4-BE49-F238E27FC236}">
                <a16:creationId xmlns:a16="http://schemas.microsoft.com/office/drawing/2014/main" id="{E8F6EDDB-AC6F-480D-B930-FE897D571E6D}"/>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74" name="Rectangle 73">
            <a:extLst>
              <a:ext uri="{FF2B5EF4-FFF2-40B4-BE49-F238E27FC236}">
                <a16:creationId xmlns:a16="http://schemas.microsoft.com/office/drawing/2014/main" id="{DB159411-DD78-4BF2-8934-BA425318172B}"/>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5" name="Rectangle: Rounded Corners 74">
            <a:hlinkClick xmlns:r="http://schemas.openxmlformats.org/officeDocument/2006/relationships" r:id="rId12"/>
            <a:extLst>
              <a:ext uri="{FF2B5EF4-FFF2-40B4-BE49-F238E27FC236}">
                <a16:creationId xmlns:a16="http://schemas.microsoft.com/office/drawing/2014/main" id="{D30E5967-61BF-4DC3-BD51-A894FCA06DB4}"/>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40" name="Group 39">
          <a:extLst>
            <a:ext uri="{FF2B5EF4-FFF2-40B4-BE49-F238E27FC236}">
              <a16:creationId xmlns:a16="http://schemas.microsoft.com/office/drawing/2014/main" id="{A2FB0FCB-9893-4242-9B08-06D504757978}"/>
            </a:ext>
          </a:extLst>
        </xdr:cNvPr>
        <xdr:cNvGrpSpPr/>
      </xdr:nvGrpSpPr>
      <xdr:grpSpPr>
        <a:xfrm>
          <a:off x="4911725" y="650875"/>
          <a:ext cx="8152832" cy="573485"/>
          <a:chOff x="4705350" y="652463"/>
          <a:chExt cx="7771832" cy="579835"/>
        </a:xfrm>
      </xdr:grpSpPr>
      <xdr:grpSp>
        <xdr:nvGrpSpPr>
          <xdr:cNvPr id="41" name="Group 40">
            <a:extLst>
              <a:ext uri="{FF2B5EF4-FFF2-40B4-BE49-F238E27FC236}">
                <a16:creationId xmlns:a16="http://schemas.microsoft.com/office/drawing/2014/main" id="{8618D57E-BF48-4D65-81B8-4A4721ABE34C}"/>
              </a:ext>
            </a:extLst>
          </xdr:cNvPr>
          <xdr:cNvGrpSpPr/>
        </xdr:nvGrpSpPr>
        <xdr:grpSpPr>
          <a:xfrm>
            <a:off x="4705350" y="652463"/>
            <a:ext cx="7771832" cy="257175"/>
            <a:chOff x="4705350" y="642938"/>
            <a:chExt cx="7771832" cy="257175"/>
          </a:xfrm>
        </xdr:grpSpPr>
        <xdr:sp macro="" textlink="">
          <xdr:nvSpPr>
            <xdr:cNvPr id="51" name="Rectangle 50">
              <a:extLst>
                <a:ext uri="{FF2B5EF4-FFF2-40B4-BE49-F238E27FC236}">
                  <a16:creationId xmlns:a16="http://schemas.microsoft.com/office/drawing/2014/main" id="{1EA61926-AD19-4BEF-8568-AC7EDA5280A2}"/>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52" name="Rectangle 51">
              <a:extLst>
                <a:ext uri="{FF2B5EF4-FFF2-40B4-BE49-F238E27FC236}">
                  <a16:creationId xmlns:a16="http://schemas.microsoft.com/office/drawing/2014/main" id="{7613F7B5-1B28-4AC0-BAC1-0E0941661EE0}"/>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53" name="Rectangle 52">
              <a:extLst>
                <a:ext uri="{FF2B5EF4-FFF2-40B4-BE49-F238E27FC236}">
                  <a16:creationId xmlns:a16="http://schemas.microsoft.com/office/drawing/2014/main" id="{2C4CD094-85B7-4BA7-9AD8-4BE2B3E18776}"/>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54" name="Rectangle 53">
              <a:extLst>
                <a:ext uri="{FF2B5EF4-FFF2-40B4-BE49-F238E27FC236}">
                  <a16:creationId xmlns:a16="http://schemas.microsoft.com/office/drawing/2014/main" id="{F7E18781-5D6D-4D36-BF1E-B9307D23578A}"/>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7AB7299D-FC9A-43C8-B2A2-738F3154B473}"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55" name="Rectangle 54">
              <a:extLst>
                <a:ext uri="{FF2B5EF4-FFF2-40B4-BE49-F238E27FC236}">
                  <a16:creationId xmlns:a16="http://schemas.microsoft.com/office/drawing/2014/main" id="{32D1246A-A3E1-4982-AF24-26A5A8E2E23F}"/>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EA536E46-F04F-4E4F-AEBB-E75209247E36}"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56" name="Rectangle 55">
              <a:extLst>
                <a:ext uri="{FF2B5EF4-FFF2-40B4-BE49-F238E27FC236}">
                  <a16:creationId xmlns:a16="http://schemas.microsoft.com/office/drawing/2014/main" id="{44733FFF-757A-4813-8BC0-AC6C6A8DE3E1}"/>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BF6BBA3-0910-4742-B67E-9FC2797794F7}"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42" name="Group 41">
            <a:extLst>
              <a:ext uri="{FF2B5EF4-FFF2-40B4-BE49-F238E27FC236}">
                <a16:creationId xmlns:a16="http://schemas.microsoft.com/office/drawing/2014/main" id="{963B568F-6F03-453A-A352-4D16AA42AE64}"/>
              </a:ext>
            </a:extLst>
          </xdr:cNvPr>
          <xdr:cNvGrpSpPr/>
        </xdr:nvGrpSpPr>
        <xdr:grpSpPr>
          <a:xfrm>
            <a:off x="4705350" y="975123"/>
            <a:ext cx="7771832" cy="257175"/>
            <a:chOff x="4705350" y="975123"/>
            <a:chExt cx="7771832" cy="257175"/>
          </a:xfrm>
        </xdr:grpSpPr>
        <xdr:sp macro="" textlink="">
          <xdr:nvSpPr>
            <xdr:cNvPr id="43" name="Rectangle 42">
              <a:extLst>
                <a:ext uri="{FF2B5EF4-FFF2-40B4-BE49-F238E27FC236}">
                  <a16:creationId xmlns:a16="http://schemas.microsoft.com/office/drawing/2014/main" id="{E22032BB-3E21-4EFF-9292-2046C2DE7977}"/>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44" name="Rectangle 43">
              <a:extLst>
                <a:ext uri="{FF2B5EF4-FFF2-40B4-BE49-F238E27FC236}">
                  <a16:creationId xmlns:a16="http://schemas.microsoft.com/office/drawing/2014/main" id="{97762741-E4E5-4FB6-ADB6-2D6590D3A552}"/>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45" name="Rectangle 44">
              <a:extLst>
                <a:ext uri="{FF2B5EF4-FFF2-40B4-BE49-F238E27FC236}">
                  <a16:creationId xmlns:a16="http://schemas.microsoft.com/office/drawing/2014/main" id="{AF3338B5-B987-438B-8E6E-20A0F73D6EC9}"/>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46" name="Rectangle 45">
              <a:extLst>
                <a:ext uri="{FF2B5EF4-FFF2-40B4-BE49-F238E27FC236}">
                  <a16:creationId xmlns:a16="http://schemas.microsoft.com/office/drawing/2014/main" id="{9179F40A-B535-467E-B6D8-07196CE9863C}"/>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60659395-63ED-4D10-97BC-E7C49C750296}"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47" name="Rectangle 46">
              <a:extLst>
                <a:ext uri="{FF2B5EF4-FFF2-40B4-BE49-F238E27FC236}">
                  <a16:creationId xmlns:a16="http://schemas.microsoft.com/office/drawing/2014/main" id="{6D31E6FA-5C8B-4E2B-8D90-672FC6DCFE85}"/>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96AD74D-4CAE-4853-BFD8-2DAC5D62C16F}"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50" name="Rectangle 49">
              <a:extLst>
                <a:ext uri="{FF2B5EF4-FFF2-40B4-BE49-F238E27FC236}">
                  <a16:creationId xmlns:a16="http://schemas.microsoft.com/office/drawing/2014/main" id="{EC0A2225-BBC6-4C25-BC2E-62249D79FCC3}"/>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30723C3D-185D-439B-A60F-F41D63E643A7}"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editAs="oneCell">
    <xdr:from>
      <xdr:col>1</xdr:col>
      <xdr:colOff>161925</xdr:colOff>
      <xdr:row>7</xdr:row>
      <xdr:rowOff>104775</xdr:rowOff>
    </xdr:from>
    <xdr:to>
      <xdr:col>2</xdr:col>
      <xdr:colOff>104774</xdr:colOff>
      <xdr:row>8</xdr:row>
      <xdr:rowOff>47902</xdr:rowOff>
    </xdr:to>
    <xdr:pic>
      <xdr:nvPicPr>
        <xdr:cNvPr id="57" name="Picture 56" descr="Warnung, Vorsicht, Anmelden, Symbol">
          <a:extLst>
            <a:ext uri="{FF2B5EF4-FFF2-40B4-BE49-F238E27FC236}">
              <a16:creationId xmlns:a16="http://schemas.microsoft.com/office/drawing/2014/main" id="{3B07E97B-36F7-482C-B3CB-A9E2C7AE232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81000" y="1752600"/>
          <a:ext cx="304799" cy="266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28576</xdr:colOff>
      <xdr:row>13</xdr:row>
      <xdr:rowOff>142875</xdr:rowOff>
    </xdr:from>
    <xdr:to>
      <xdr:col>17</xdr:col>
      <xdr:colOff>200025</xdr:colOff>
      <xdr:row>15</xdr:row>
      <xdr:rowOff>104775</xdr:rowOff>
    </xdr:to>
    <xdr:sp macro="" textlink="">
      <xdr:nvSpPr>
        <xdr:cNvPr id="76" name="Rectangle: Rounded Corners 75">
          <a:hlinkClick xmlns:r="http://schemas.openxmlformats.org/officeDocument/2006/relationships" r:id="rId14"/>
          <a:extLst>
            <a:ext uri="{FF2B5EF4-FFF2-40B4-BE49-F238E27FC236}">
              <a16:creationId xmlns:a16="http://schemas.microsoft.com/office/drawing/2014/main" id="{1A91B961-F335-4BDC-89D5-F27D9C8485AA}"/>
            </a:ext>
          </a:extLst>
        </xdr:cNvPr>
        <xdr:cNvSpPr/>
      </xdr:nvSpPr>
      <xdr:spPr>
        <a:xfrm>
          <a:off x="247651" y="4505325"/>
          <a:ext cx="12201524" cy="371475"/>
        </a:xfrm>
        <a:prstGeom prst="roundRect">
          <a:avLst>
            <a:gd name="adj" fmla="val 12726"/>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30000"/>
            </a:lnSpc>
          </a:pPr>
          <a:r>
            <a:rPr lang="de-DE" sz="1200">
              <a:solidFill>
                <a:schemeClr val="tx2"/>
              </a:solidFill>
              <a:latin typeface="Century Gothic" panose="020B0502020202020204" pitchFamily="34" charset="0"/>
            </a:rPr>
            <a:t>Eine ausführlichere Erklärung,</a:t>
          </a:r>
          <a:r>
            <a:rPr lang="de-DE" sz="1200" baseline="0">
              <a:solidFill>
                <a:schemeClr val="tx2"/>
              </a:solidFill>
              <a:latin typeface="Century Gothic" panose="020B0502020202020204" pitchFamily="34" charset="0"/>
            </a:rPr>
            <a:t> wie </a:t>
          </a:r>
          <a:r>
            <a:rPr lang="de-DE" sz="1200">
              <a:solidFill>
                <a:schemeClr val="tx2"/>
              </a:solidFill>
              <a:effectLst/>
              <a:latin typeface="Century Gothic" panose="020B0502020202020204" pitchFamily="34" charset="0"/>
              <a:ea typeface="+mn-ea"/>
              <a:cs typeface="+mn-cs"/>
            </a:rPr>
            <a:t>Immobilien-</a:t>
          </a:r>
          <a:r>
            <a:rPr lang="de-DE" sz="1200">
              <a:solidFill>
                <a:schemeClr val="tx2"/>
              </a:solidFill>
              <a:latin typeface="Century Gothic" panose="020B0502020202020204" pitchFamily="34" charset="0"/>
            </a:rPr>
            <a:t>Steuern funktionieren,</a:t>
          </a:r>
          <a:r>
            <a:rPr lang="de-DE" sz="1200" baseline="0">
              <a:solidFill>
                <a:schemeClr val="tx2"/>
              </a:solidFill>
              <a:latin typeface="Century Gothic" panose="020B0502020202020204" pitchFamily="34" charset="0"/>
            </a:rPr>
            <a:t> findest du in </a:t>
          </a:r>
          <a:r>
            <a:rPr lang="de-DE" sz="1200">
              <a:solidFill>
                <a:schemeClr val="tx2"/>
              </a:solidFill>
              <a:latin typeface="Century Gothic" panose="020B0502020202020204" pitchFamily="34" charset="0"/>
            </a:rPr>
            <a:t>unserer Gebrauchsanleitung</a:t>
          </a:r>
          <a:r>
            <a:rPr lang="de-DE" sz="1200" baseline="0">
              <a:solidFill>
                <a:schemeClr val="tx2"/>
              </a:solidFill>
              <a:latin typeface="Century Gothic" panose="020B0502020202020204" pitchFamily="34" charset="0"/>
            </a:rPr>
            <a:t> für den Wohnungskauf. </a:t>
          </a:r>
          <a:r>
            <a:rPr lang="de-DE" sz="1200" u="sng" baseline="0">
              <a:solidFill>
                <a:schemeClr val="tx2"/>
              </a:solidFill>
              <a:latin typeface="Century Gothic" panose="020B0502020202020204" pitchFamily="34" charset="0"/>
            </a:rPr>
            <a:t>Du findest sie hier (zum Buch).</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063C2374-0D8B-45E4-AE5E-3C4AA5223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8A2256DA-09D9-4504-A79F-F0116E370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514350</xdr:colOff>
      <xdr:row>15</xdr:row>
      <xdr:rowOff>47625</xdr:rowOff>
    </xdr:from>
    <xdr:to>
      <xdr:col>15</xdr:col>
      <xdr:colOff>704850</xdr:colOff>
      <xdr:row>17</xdr:row>
      <xdr:rowOff>0</xdr:rowOff>
    </xdr:to>
    <xdr:sp macro="" textlink="">
      <xdr:nvSpPr>
        <xdr:cNvPr id="40" name="Arrow: Right 39">
          <a:hlinkClick xmlns:r="http://schemas.openxmlformats.org/officeDocument/2006/relationships" r:id="rId3"/>
          <a:extLst>
            <a:ext uri="{FF2B5EF4-FFF2-40B4-BE49-F238E27FC236}">
              <a16:creationId xmlns:a16="http://schemas.microsoft.com/office/drawing/2014/main" id="{E5378647-0304-464E-81E4-1F7E960DFF05}"/>
            </a:ext>
          </a:extLst>
        </xdr:cNvPr>
        <xdr:cNvSpPr/>
      </xdr:nvSpPr>
      <xdr:spPr>
        <a:xfrm>
          <a:off x="9753600" y="45624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10</xdr:col>
      <xdr:colOff>704850</xdr:colOff>
      <xdr:row>15</xdr:row>
      <xdr:rowOff>47625</xdr:rowOff>
    </xdr:from>
    <xdr:to>
      <xdr:col>13</xdr:col>
      <xdr:colOff>142875</xdr:colOff>
      <xdr:row>17</xdr:row>
      <xdr:rowOff>0</xdr:rowOff>
    </xdr:to>
    <xdr:sp macro="" textlink="">
      <xdr:nvSpPr>
        <xdr:cNvPr id="41" name="Arrow: Right 40">
          <a:hlinkClick xmlns:r="http://schemas.openxmlformats.org/officeDocument/2006/relationships" r:id="rId4"/>
          <a:extLst>
            <a:ext uri="{FF2B5EF4-FFF2-40B4-BE49-F238E27FC236}">
              <a16:creationId xmlns:a16="http://schemas.microsoft.com/office/drawing/2014/main" id="{7A423DD4-D4F5-425A-BC90-1E2DBCC553D0}"/>
            </a:ext>
          </a:extLst>
        </xdr:cNvPr>
        <xdr:cNvSpPr/>
      </xdr:nvSpPr>
      <xdr:spPr>
        <a:xfrm flipH="1">
          <a:off x="7686675" y="45624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9</xdr:col>
      <xdr:colOff>438150</xdr:colOff>
      <xdr:row>7</xdr:row>
      <xdr:rowOff>0</xdr:rowOff>
    </xdr:from>
    <xdr:to>
      <xdr:col>17</xdr:col>
      <xdr:colOff>238125</xdr:colOff>
      <xdr:row>14</xdr:row>
      <xdr:rowOff>38100</xdr:rowOff>
    </xdr:to>
    <xdr:sp macro="" textlink="">
      <xdr:nvSpPr>
        <xdr:cNvPr id="43" name="Rectangle: Rounded Corners 42">
          <a:extLst>
            <a:ext uri="{FF2B5EF4-FFF2-40B4-BE49-F238E27FC236}">
              <a16:creationId xmlns:a16="http://schemas.microsoft.com/office/drawing/2014/main" id="{45BEFF8E-EA7B-420E-9707-5D81F4D26263}"/>
            </a:ext>
          </a:extLst>
        </xdr:cNvPr>
        <xdr:cNvSpPr/>
      </xdr:nvSpPr>
      <xdr:spPr>
        <a:xfrm>
          <a:off x="6667500" y="1647825"/>
          <a:ext cx="5819775" cy="2581275"/>
        </a:xfrm>
        <a:prstGeom prst="roundRect">
          <a:avLst>
            <a:gd name="adj" fmla="val 2217"/>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marL="0" marR="0" lvl="0" indent="0" algn="l" defTabSz="914400" eaLnBrk="1" fontAlgn="auto" latinLnBrk="0" hangingPunct="1">
            <a:lnSpc>
              <a:spcPct val="130000"/>
            </a:lnSpc>
            <a:spcBef>
              <a:spcPts val="0"/>
            </a:spcBef>
            <a:spcAft>
              <a:spcPts val="1200"/>
            </a:spcAft>
            <a:buClrTx/>
            <a:buSzTx/>
            <a:buFontTx/>
            <a:buNone/>
            <a:tabLst/>
            <a:defRPr/>
          </a:pP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Zusammen mit der Wohnung kaufst du immer auch einen </a:t>
          </a:r>
          <a:r>
            <a:rPr kumimoji="0" lang="en-US" sz="1200" b="1"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Teil des Grundstücks</a:t>
          </a: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Im Gegensatz zu einem Gebäude nutzt sich ein Grundstück im Laufe der Zeit nicht ab. Du kannst es deshalb steuerlich nicht abschreiben.</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Wie viel Grund und Boden du mit der Wohnung erwirbst, hat deshalb einen wichtigen </a:t>
          </a:r>
          <a:r>
            <a:rPr kumimoji="0" lang="en-US" sz="1200" b="1"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Einfluss auf die Steuer</a:t>
          </a: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a:t>
          </a:r>
        </a:p>
        <a:p>
          <a:pPr marL="0" marR="0" lvl="0" indent="0" algn="l" defTabSz="914400" eaLnBrk="1" fontAlgn="auto" latinLnBrk="0" hangingPunct="1">
            <a:lnSpc>
              <a:spcPct val="130000"/>
            </a:lnSpc>
            <a:spcBef>
              <a:spcPts val="0"/>
            </a:spcBef>
            <a:spcAft>
              <a:spcPts val="1200"/>
            </a:spcAft>
            <a:buClrTx/>
            <a:buSzTx/>
            <a:buFontTx/>
            <a:buNone/>
            <a:tabLst/>
            <a:defRPr/>
          </a:pPr>
          <a:r>
            <a:rPr kumimoji="0" lang="en-US"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Bitte wähle aus, wie viel Grund und Boden zu deiner Wohnung gehört. Du kannst dich dafür an den drei Gebäude-Typen orientieren.</a:t>
          </a:r>
        </a:p>
      </xdr:txBody>
    </xdr:sp>
    <xdr:clientData/>
  </xdr:twoCellAnchor>
  <xdr:twoCellAnchor editAs="absolute">
    <xdr:from>
      <xdr:col>1</xdr:col>
      <xdr:colOff>57150</xdr:colOff>
      <xdr:row>10</xdr:row>
      <xdr:rowOff>389514</xdr:rowOff>
    </xdr:from>
    <xdr:to>
      <xdr:col>8</xdr:col>
      <xdr:colOff>751050</xdr:colOff>
      <xdr:row>17</xdr:row>
      <xdr:rowOff>114300</xdr:rowOff>
    </xdr:to>
    <xdr:grpSp>
      <xdr:nvGrpSpPr>
        <xdr:cNvPr id="58" name="Group 57">
          <a:extLst>
            <a:ext uri="{FF2B5EF4-FFF2-40B4-BE49-F238E27FC236}">
              <a16:creationId xmlns:a16="http://schemas.microsoft.com/office/drawing/2014/main" id="{02CCA351-D649-4EAD-B931-87B7935B458F}"/>
            </a:ext>
          </a:extLst>
        </xdr:cNvPr>
        <xdr:cNvGrpSpPr/>
      </xdr:nvGrpSpPr>
      <xdr:grpSpPr>
        <a:xfrm>
          <a:off x="285750" y="2872364"/>
          <a:ext cx="6205700" cy="2131436"/>
          <a:chOff x="276225" y="2875539"/>
          <a:chExt cx="5951700" cy="2153661"/>
        </a:xfrm>
      </xdr:grpSpPr>
      <xdr:pic>
        <xdr:nvPicPr>
          <xdr:cNvPr id="44" name="Picture 43" descr="Hochhäuser, Architektur, Fassade, Gebäude, Bauweise">
            <a:extLst>
              <a:ext uri="{FF2B5EF4-FFF2-40B4-BE49-F238E27FC236}">
                <a16:creationId xmlns:a16="http://schemas.microsoft.com/office/drawing/2014/main" id="{40ECAFBE-27FC-451D-9778-3B53B801536A}"/>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 t="21406" r="47561"/>
          <a:stretch/>
        </xdr:blipFill>
        <xdr:spPr bwMode="auto">
          <a:xfrm>
            <a:off x="276225" y="2875540"/>
            <a:ext cx="1494000" cy="14928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5" name="Picture 44" title="Bitte oben auswählen">
            <a:extLst>
              <a:ext uri="{FF2B5EF4-FFF2-40B4-BE49-F238E27FC236}">
                <a16:creationId xmlns:a16="http://schemas.microsoft.com/office/drawing/2014/main" id="{C548D8F9-0B4E-42D7-9DAE-03B9A17F5A5F}"/>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3201"/>
          <a:stretch/>
        </xdr:blipFill>
        <xdr:spPr bwMode="auto">
          <a:xfrm>
            <a:off x="4733925" y="2875539"/>
            <a:ext cx="1494000" cy="14910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 name="Picture 45" descr="Goethehaus, Weimar, Thüringen, Deutschland, Altstadt">
            <a:extLst>
              <a:ext uri="{FF2B5EF4-FFF2-40B4-BE49-F238E27FC236}">
                <a16:creationId xmlns:a16="http://schemas.microsoft.com/office/drawing/2014/main" id="{8F196D76-67A4-4417-B221-049D6BCF3B8E}"/>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31826" t="20625" r="30317" b="22500"/>
          <a:stretch/>
        </xdr:blipFill>
        <xdr:spPr bwMode="auto">
          <a:xfrm>
            <a:off x="2524125" y="2875539"/>
            <a:ext cx="1494000" cy="1494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8" name="Rectangle 47">
            <a:extLst>
              <a:ext uri="{FF2B5EF4-FFF2-40B4-BE49-F238E27FC236}">
                <a16:creationId xmlns:a16="http://schemas.microsoft.com/office/drawing/2014/main" id="{4939D897-9CFF-47F2-A618-7E13EEAC6437}"/>
              </a:ext>
            </a:extLst>
          </xdr:cNvPr>
          <xdr:cNvSpPr/>
        </xdr:nvSpPr>
        <xdr:spPr>
          <a:xfrm>
            <a:off x="276225" y="4410073"/>
            <a:ext cx="1494000" cy="619127"/>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Viele Stockwerke,</a:t>
            </a:r>
            <a:r>
              <a:rPr lang="en-US" sz="1200" baseline="0">
                <a:solidFill>
                  <a:schemeClr val="tx2"/>
                </a:solidFill>
                <a:latin typeface="Century Gothic" panose="020B0502020202020204" pitchFamily="34" charset="0"/>
              </a:rPr>
              <a:t> kleines Grundstück</a:t>
            </a:r>
            <a:endParaRPr lang="en-US" sz="1200">
              <a:solidFill>
                <a:schemeClr val="tx2"/>
              </a:solidFill>
              <a:latin typeface="Century Gothic" panose="020B0502020202020204" pitchFamily="34" charset="0"/>
            </a:endParaRPr>
          </a:p>
        </xdr:txBody>
      </xdr:sp>
      <xdr:sp macro="" textlink="">
        <xdr:nvSpPr>
          <xdr:cNvPr id="49" name="Rectangle 48">
            <a:extLst>
              <a:ext uri="{FF2B5EF4-FFF2-40B4-BE49-F238E27FC236}">
                <a16:creationId xmlns:a16="http://schemas.microsoft.com/office/drawing/2014/main" id="{28592F80-93F9-4C81-8697-133BB1B0D702}"/>
              </a:ext>
            </a:extLst>
          </xdr:cNvPr>
          <xdr:cNvSpPr/>
        </xdr:nvSpPr>
        <xdr:spPr>
          <a:xfrm>
            <a:off x="2524125" y="4410073"/>
            <a:ext cx="1494000" cy="619127"/>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Normales</a:t>
            </a:r>
            <a:r>
              <a:rPr lang="en-US" sz="1200" baseline="0">
                <a:solidFill>
                  <a:schemeClr val="tx2"/>
                </a:solidFill>
                <a:latin typeface="Century Gothic" panose="020B0502020202020204" pitchFamily="34" charset="0"/>
              </a:rPr>
              <a:t> Haus in der Stadt</a:t>
            </a:r>
            <a:endParaRPr lang="en-US" sz="1200">
              <a:solidFill>
                <a:schemeClr val="tx2"/>
              </a:solidFill>
              <a:latin typeface="Century Gothic" panose="020B0502020202020204" pitchFamily="34" charset="0"/>
            </a:endParaRPr>
          </a:p>
        </xdr:txBody>
      </xdr:sp>
      <xdr:sp macro="" textlink="">
        <xdr:nvSpPr>
          <xdr:cNvPr id="50" name="Rectangle 49">
            <a:extLst>
              <a:ext uri="{FF2B5EF4-FFF2-40B4-BE49-F238E27FC236}">
                <a16:creationId xmlns:a16="http://schemas.microsoft.com/office/drawing/2014/main" id="{46B2D4E2-C3AB-48FC-BBC0-75DC09FC9373}"/>
              </a:ext>
            </a:extLst>
          </xdr:cNvPr>
          <xdr:cNvSpPr/>
        </xdr:nvSpPr>
        <xdr:spPr>
          <a:xfrm>
            <a:off x="4733925" y="4410073"/>
            <a:ext cx="1494000" cy="619127"/>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1-2 Stockwerke,</a:t>
            </a:r>
            <a:r>
              <a:rPr lang="en-US" sz="1200" baseline="0">
                <a:solidFill>
                  <a:schemeClr val="tx2"/>
                </a:solidFill>
                <a:latin typeface="Century Gothic" panose="020B0502020202020204" pitchFamily="34" charset="0"/>
              </a:rPr>
              <a:t> großes Grundstück</a:t>
            </a:r>
            <a:endParaRPr lang="en-US" sz="1200">
              <a:solidFill>
                <a:schemeClr val="tx2"/>
              </a:solidFill>
              <a:latin typeface="Century Gothic" panose="020B0502020202020204" pitchFamily="34" charset="0"/>
            </a:endParaRPr>
          </a:p>
        </xdr:txBody>
      </xdr:sp>
    </xdr:grpSp>
    <xdr:clientData/>
  </xdr:twoCellAnchor>
  <xdr:twoCellAnchor>
    <xdr:from>
      <xdr:col>1</xdr:col>
      <xdr:colOff>57150</xdr:colOff>
      <xdr:row>9</xdr:row>
      <xdr:rowOff>323849</xdr:rowOff>
    </xdr:from>
    <xdr:to>
      <xdr:col>2</xdr:col>
      <xdr:colOff>1189200</xdr:colOff>
      <xdr:row>10</xdr:row>
      <xdr:rowOff>323851</xdr:rowOff>
    </xdr:to>
    <xdr:sp macro="" textlink="">
      <xdr:nvSpPr>
        <xdr:cNvPr id="52" name="Rectangle 51">
          <a:extLst>
            <a:ext uri="{FF2B5EF4-FFF2-40B4-BE49-F238E27FC236}">
              <a16:creationId xmlns:a16="http://schemas.microsoft.com/office/drawing/2014/main" id="{0542030F-B823-416B-8BB8-CF4E4A26F42A}"/>
            </a:ext>
          </a:extLst>
        </xdr:cNvPr>
        <xdr:cNvSpPr/>
      </xdr:nvSpPr>
      <xdr:spPr>
        <a:xfrm>
          <a:off x="276225" y="2514599"/>
          <a:ext cx="1494000" cy="323852"/>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Besonders wenig</a:t>
          </a:r>
        </a:p>
      </xdr:txBody>
    </xdr:sp>
    <xdr:clientData/>
  </xdr:twoCellAnchor>
  <xdr:twoCellAnchor>
    <xdr:from>
      <xdr:col>3</xdr:col>
      <xdr:colOff>581025</xdr:colOff>
      <xdr:row>9</xdr:row>
      <xdr:rowOff>323849</xdr:rowOff>
    </xdr:from>
    <xdr:to>
      <xdr:col>5</xdr:col>
      <xdr:colOff>46200</xdr:colOff>
      <xdr:row>10</xdr:row>
      <xdr:rowOff>323851</xdr:rowOff>
    </xdr:to>
    <xdr:sp macro="" textlink="">
      <xdr:nvSpPr>
        <xdr:cNvPr id="53" name="Rectangle 52">
          <a:extLst>
            <a:ext uri="{FF2B5EF4-FFF2-40B4-BE49-F238E27FC236}">
              <a16:creationId xmlns:a16="http://schemas.microsoft.com/office/drawing/2014/main" id="{74EBA391-622E-4D83-AFFA-CE8BB86740BF}"/>
            </a:ext>
          </a:extLst>
        </xdr:cNvPr>
        <xdr:cNvSpPr/>
      </xdr:nvSpPr>
      <xdr:spPr>
        <a:xfrm>
          <a:off x="2524125" y="2514599"/>
          <a:ext cx="1494000" cy="323852"/>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Ganz normal</a:t>
          </a:r>
        </a:p>
      </xdr:txBody>
    </xdr:sp>
    <xdr:clientData/>
  </xdr:twoCellAnchor>
  <xdr:twoCellAnchor>
    <xdr:from>
      <xdr:col>7</xdr:col>
      <xdr:colOff>9525</xdr:colOff>
      <xdr:row>9</xdr:row>
      <xdr:rowOff>323849</xdr:rowOff>
    </xdr:from>
    <xdr:to>
      <xdr:col>8</xdr:col>
      <xdr:colOff>751050</xdr:colOff>
      <xdr:row>10</xdr:row>
      <xdr:rowOff>323851</xdr:rowOff>
    </xdr:to>
    <xdr:sp macro="" textlink="">
      <xdr:nvSpPr>
        <xdr:cNvPr id="54" name="Rectangle 53">
          <a:extLst>
            <a:ext uri="{FF2B5EF4-FFF2-40B4-BE49-F238E27FC236}">
              <a16:creationId xmlns:a16="http://schemas.microsoft.com/office/drawing/2014/main" id="{0F33543D-CDA3-497E-A292-414C73E3566A}"/>
            </a:ext>
          </a:extLst>
        </xdr:cNvPr>
        <xdr:cNvSpPr/>
      </xdr:nvSpPr>
      <xdr:spPr>
        <a:xfrm>
          <a:off x="4733925" y="2514599"/>
          <a:ext cx="1494000" cy="323852"/>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ctr">
            <a:lnSpc>
              <a:spcPct val="130000"/>
            </a:lnSpc>
          </a:pPr>
          <a:r>
            <a:rPr lang="en-US" sz="1200">
              <a:solidFill>
                <a:schemeClr val="tx2"/>
              </a:solidFill>
              <a:latin typeface="Century Gothic" panose="020B0502020202020204" pitchFamily="34" charset="0"/>
            </a:rPr>
            <a:t>Besonders viel</a:t>
          </a:r>
        </a:p>
      </xdr:txBody>
    </xdr:sp>
    <xdr:clientData/>
  </xdr:twoCellAnchor>
  <xdr:twoCellAnchor>
    <xdr:from>
      <xdr:col>6</xdr:col>
      <xdr:colOff>295275</xdr:colOff>
      <xdr:row>7</xdr:row>
      <xdr:rowOff>57150</xdr:rowOff>
    </xdr:from>
    <xdr:to>
      <xdr:col>6</xdr:col>
      <xdr:colOff>485775</xdr:colOff>
      <xdr:row>7</xdr:row>
      <xdr:rowOff>266700</xdr:rowOff>
    </xdr:to>
    <xdr:sp macro="" textlink="">
      <xdr:nvSpPr>
        <xdr:cNvPr id="57" name="Arrow: Down 56">
          <a:extLst>
            <a:ext uri="{FF2B5EF4-FFF2-40B4-BE49-F238E27FC236}">
              <a16:creationId xmlns:a16="http://schemas.microsoft.com/office/drawing/2014/main" id="{E2E745D9-3739-44F4-ADDE-25D8B7D45830}"/>
            </a:ext>
          </a:extLst>
        </xdr:cNvPr>
        <xdr:cNvSpPr/>
      </xdr:nvSpPr>
      <xdr:spPr>
        <a:xfrm rot="16200000">
          <a:off x="4400550" y="1714500"/>
          <a:ext cx="209550" cy="190500"/>
        </a:xfrm>
        <a:prstGeom prst="downArrow">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51" name="Group 50">
          <a:extLst>
            <a:ext uri="{FF2B5EF4-FFF2-40B4-BE49-F238E27FC236}">
              <a16:creationId xmlns:a16="http://schemas.microsoft.com/office/drawing/2014/main" id="{8B8B4259-6616-4F7A-B40C-4D5A93F47A48}"/>
            </a:ext>
          </a:extLst>
        </xdr:cNvPr>
        <xdr:cNvGrpSpPr/>
      </xdr:nvGrpSpPr>
      <xdr:grpSpPr>
        <a:xfrm>
          <a:off x="3079750" y="133350"/>
          <a:ext cx="10004425" cy="245225"/>
          <a:chOff x="2952750" y="137737"/>
          <a:chExt cx="9563100" cy="248400"/>
        </a:xfrm>
      </xdr:grpSpPr>
      <xdr:sp macro="" textlink="">
        <xdr:nvSpPr>
          <xdr:cNvPr id="59" name="Rectangle 58">
            <a:hlinkClick xmlns:r="http://schemas.openxmlformats.org/officeDocument/2006/relationships" r:id="rId8"/>
            <a:extLst>
              <a:ext uri="{FF2B5EF4-FFF2-40B4-BE49-F238E27FC236}">
                <a16:creationId xmlns:a16="http://schemas.microsoft.com/office/drawing/2014/main" id="{E42B94F9-77AE-48C9-82BB-73EF876BD737}"/>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60" name="Rectangle 59">
            <a:hlinkClick xmlns:r="http://schemas.openxmlformats.org/officeDocument/2006/relationships" r:id="rId9"/>
            <a:extLst>
              <a:ext uri="{FF2B5EF4-FFF2-40B4-BE49-F238E27FC236}">
                <a16:creationId xmlns:a16="http://schemas.microsoft.com/office/drawing/2014/main" id="{A736416C-2D0B-482F-B704-DB929EBBD5B5}"/>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61" name="Rectangle 60">
            <a:hlinkClick xmlns:r="http://schemas.openxmlformats.org/officeDocument/2006/relationships" r:id="rId10"/>
            <a:extLst>
              <a:ext uri="{FF2B5EF4-FFF2-40B4-BE49-F238E27FC236}">
                <a16:creationId xmlns:a16="http://schemas.microsoft.com/office/drawing/2014/main" id="{B5AF8A3E-7027-4C71-872F-A2BFD3CD35AE}"/>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62" name="Rectangle 61">
            <a:hlinkClick xmlns:r="http://schemas.openxmlformats.org/officeDocument/2006/relationships" r:id="rId11"/>
            <a:extLst>
              <a:ext uri="{FF2B5EF4-FFF2-40B4-BE49-F238E27FC236}">
                <a16:creationId xmlns:a16="http://schemas.microsoft.com/office/drawing/2014/main" id="{B21BA149-2634-4732-8ADF-C8AD1EA81A19}"/>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63" name="Rectangle 62">
            <a:hlinkClick xmlns:r="http://schemas.openxmlformats.org/officeDocument/2006/relationships" r:id="rId12"/>
            <a:extLst>
              <a:ext uri="{FF2B5EF4-FFF2-40B4-BE49-F238E27FC236}">
                <a16:creationId xmlns:a16="http://schemas.microsoft.com/office/drawing/2014/main" id="{EB637EE1-21C6-45A8-BEFB-6F236E26DBA2}"/>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64" name="Rectangle 63">
            <a:hlinkClick xmlns:r="http://schemas.openxmlformats.org/officeDocument/2006/relationships" r:id="rId4"/>
            <a:extLst>
              <a:ext uri="{FF2B5EF4-FFF2-40B4-BE49-F238E27FC236}">
                <a16:creationId xmlns:a16="http://schemas.microsoft.com/office/drawing/2014/main" id="{DAE23BDF-AE7B-4442-8622-02938B969030}"/>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Steuern</a:t>
            </a:r>
          </a:p>
        </xdr:txBody>
      </xdr:sp>
      <xdr:sp macro="" textlink="">
        <xdr:nvSpPr>
          <xdr:cNvPr id="65" name="Rectangle 64">
            <a:hlinkClick xmlns:r="http://schemas.openxmlformats.org/officeDocument/2006/relationships" r:id="rId13"/>
            <a:extLst>
              <a:ext uri="{FF2B5EF4-FFF2-40B4-BE49-F238E27FC236}">
                <a16:creationId xmlns:a16="http://schemas.microsoft.com/office/drawing/2014/main" id="{B61A0459-ABBC-4DCF-A699-65E62B8DDD42}"/>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66" name="Rectangle 65">
            <a:extLst>
              <a:ext uri="{FF2B5EF4-FFF2-40B4-BE49-F238E27FC236}">
                <a16:creationId xmlns:a16="http://schemas.microsoft.com/office/drawing/2014/main" id="{A07FA9AF-BD5C-4D14-91F0-FF30ACF333AF}"/>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7" name="Rectangle 66">
            <a:extLst>
              <a:ext uri="{FF2B5EF4-FFF2-40B4-BE49-F238E27FC236}">
                <a16:creationId xmlns:a16="http://schemas.microsoft.com/office/drawing/2014/main" id="{68752B64-7485-4675-9101-3D3884BED29A}"/>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8" name="Rectangle 67">
            <a:extLst>
              <a:ext uri="{FF2B5EF4-FFF2-40B4-BE49-F238E27FC236}">
                <a16:creationId xmlns:a16="http://schemas.microsoft.com/office/drawing/2014/main" id="{A8180E51-7B38-4CB7-A6DE-779BA57D2EE3}"/>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9" name="Rectangle 68">
            <a:extLst>
              <a:ext uri="{FF2B5EF4-FFF2-40B4-BE49-F238E27FC236}">
                <a16:creationId xmlns:a16="http://schemas.microsoft.com/office/drawing/2014/main" id="{3F7EABC8-6267-41B7-A01D-ED036B777C55}"/>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0" name="Rectangle 69">
            <a:extLst>
              <a:ext uri="{FF2B5EF4-FFF2-40B4-BE49-F238E27FC236}">
                <a16:creationId xmlns:a16="http://schemas.microsoft.com/office/drawing/2014/main" id="{E602AB86-39B0-4002-9B2F-8E96B42CCFE5}"/>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1" name="Rectangle 70">
            <a:extLst>
              <a:ext uri="{FF2B5EF4-FFF2-40B4-BE49-F238E27FC236}">
                <a16:creationId xmlns:a16="http://schemas.microsoft.com/office/drawing/2014/main" id="{8F46C2C9-9DC6-422C-8965-9B9FEEDBC195}"/>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2" name="Rectangle 71">
            <a:extLst>
              <a:ext uri="{FF2B5EF4-FFF2-40B4-BE49-F238E27FC236}">
                <a16:creationId xmlns:a16="http://schemas.microsoft.com/office/drawing/2014/main" id="{2CE756A4-3793-403E-AABC-39A2C2EFC851}"/>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3" name="Rectangle: Rounded Corners 72">
            <a:hlinkClick xmlns:r="http://schemas.openxmlformats.org/officeDocument/2006/relationships" r:id="rId14"/>
            <a:extLst>
              <a:ext uri="{FF2B5EF4-FFF2-40B4-BE49-F238E27FC236}">
                <a16:creationId xmlns:a16="http://schemas.microsoft.com/office/drawing/2014/main" id="{D6478535-E145-4735-BE7B-C42F6C0E0233}"/>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74" name="Rectangle 73">
            <a:extLst>
              <a:ext uri="{FF2B5EF4-FFF2-40B4-BE49-F238E27FC236}">
                <a16:creationId xmlns:a16="http://schemas.microsoft.com/office/drawing/2014/main" id="{8B19F4CE-0FD6-43E7-89ED-E3C3FC94793D}"/>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75" name="Rectangle: Rounded Corners 74">
            <a:hlinkClick xmlns:r="http://schemas.openxmlformats.org/officeDocument/2006/relationships" r:id="rId15"/>
            <a:extLst>
              <a:ext uri="{FF2B5EF4-FFF2-40B4-BE49-F238E27FC236}">
                <a16:creationId xmlns:a16="http://schemas.microsoft.com/office/drawing/2014/main" id="{F1914D0D-073E-4C55-B17F-4C92666505C2}"/>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76" name="Group 75">
          <a:extLst>
            <a:ext uri="{FF2B5EF4-FFF2-40B4-BE49-F238E27FC236}">
              <a16:creationId xmlns:a16="http://schemas.microsoft.com/office/drawing/2014/main" id="{E5891DC2-EC0D-4109-AF95-8657CB7F1710}"/>
            </a:ext>
          </a:extLst>
        </xdr:cNvPr>
        <xdr:cNvGrpSpPr/>
      </xdr:nvGrpSpPr>
      <xdr:grpSpPr>
        <a:xfrm>
          <a:off x="4911725" y="650875"/>
          <a:ext cx="8152832" cy="573485"/>
          <a:chOff x="4705350" y="652463"/>
          <a:chExt cx="7771832" cy="579835"/>
        </a:xfrm>
      </xdr:grpSpPr>
      <xdr:grpSp>
        <xdr:nvGrpSpPr>
          <xdr:cNvPr id="77" name="Group 76">
            <a:extLst>
              <a:ext uri="{FF2B5EF4-FFF2-40B4-BE49-F238E27FC236}">
                <a16:creationId xmlns:a16="http://schemas.microsoft.com/office/drawing/2014/main" id="{CF22CB87-54F9-459A-B1A9-00C85C2F3625}"/>
              </a:ext>
            </a:extLst>
          </xdr:cNvPr>
          <xdr:cNvGrpSpPr/>
        </xdr:nvGrpSpPr>
        <xdr:grpSpPr>
          <a:xfrm>
            <a:off x="4705350" y="652463"/>
            <a:ext cx="7771832" cy="257175"/>
            <a:chOff x="4705350" y="642938"/>
            <a:chExt cx="7771832" cy="257175"/>
          </a:xfrm>
        </xdr:grpSpPr>
        <xdr:sp macro="" textlink="">
          <xdr:nvSpPr>
            <xdr:cNvPr id="85" name="Rectangle 84">
              <a:extLst>
                <a:ext uri="{FF2B5EF4-FFF2-40B4-BE49-F238E27FC236}">
                  <a16:creationId xmlns:a16="http://schemas.microsoft.com/office/drawing/2014/main" id="{68C59D24-5D9A-42EA-B9AB-23AB0F2BDB2A}"/>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86" name="Rectangle 85">
              <a:extLst>
                <a:ext uri="{FF2B5EF4-FFF2-40B4-BE49-F238E27FC236}">
                  <a16:creationId xmlns:a16="http://schemas.microsoft.com/office/drawing/2014/main" id="{4F532144-3D4F-4F64-88DC-9656412B1BA1}"/>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87" name="Rectangle 86">
              <a:extLst>
                <a:ext uri="{FF2B5EF4-FFF2-40B4-BE49-F238E27FC236}">
                  <a16:creationId xmlns:a16="http://schemas.microsoft.com/office/drawing/2014/main" id="{0C105096-73E3-4F27-9338-00218BEB0643}"/>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88" name="Rectangle 87">
              <a:extLst>
                <a:ext uri="{FF2B5EF4-FFF2-40B4-BE49-F238E27FC236}">
                  <a16:creationId xmlns:a16="http://schemas.microsoft.com/office/drawing/2014/main" id="{0063B48D-EE2F-4A58-849F-C8C38F25287C}"/>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48A5559-43F6-4883-9E10-B8A92A242627}"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89" name="Rectangle 88">
              <a:extLst>
                <a:ext uri="{FF2B5EF4-FFF2-40B4-BE49-F238E27FC236}">
                  <a16:creationId xmlns:a16="http://schemas.microsoft.com/office/drawing/2014/main" id="{FBD2C779-3999-4EFF-AD16-7592B8EC8602}"/>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61C2355-29DA-43D2-BAD0-CF6027DC4237}"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90" name="Rectangle 89">
              <a:extLst>
                <a:ext uri="{FF2B5EF4-FFF2-40B4-BE49-F238E27FC236}">
                  <a16:creationId xmlns:a16="http://schemas.microsoft.com/office/drawing/2014/main" id="{FA3BB2A5-0104-43A9-B48F-A339B2D400C5}"/>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A1C069B-FF88-438A-8E1D-F1BBDB08E5E4}"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78" name="Group 77">
            <a:extLst>
              <a:ext uri="{FF2B5EF4-FFF2-40B4-BE49-F238E27FC236}">
                <a16:creationId xmlns:a16="http://schemas.microsoft.com/office/drawing/2014/main" id="{2206E40C-57BA-494D-ABF3-BDE705A69F84}"/>
              </a:ext>
            </a:extLst>
          </xdr:cNvPr>
          <xdr:cNvGrpSpPr/>
        </xdr:nvGrpSpPr>
        <xdr:grpSpPr>
          <a:xfrm>
            <a:off x="4705350" y="975123"/>
            <a:ext cx="7771832" cy="257175"/>
            <a:chOff x="4705350" y="975123"/>
            <a:chExt cx="7771832" cy="257175"/>
          </a:xfrm>
        </xdr:grpSpPr>
        <xdr:sp macro="" textlink="">
          <xdr:nvSpPr>
            <xdr:cNvPr id="79" name="Rectangle 78">
              <a:extLst>
                <a:ext uri="{FF2B5EF4-FFF2-40B4-BE49-F238E27FC236}">
                  <a16:creationId xmlns:a16="http://schemas.microsoft.com/office/drawing/2014/main" id="{3A1B5BC4-9BEC-43F3-AEC1-9C9F97C74D8E}"/>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80" name="Rectangle 79">
              <a:extLst>
                <a:ext uri="{FF2B5EF4-FFF2-40B4-BE49-F238E27FC236}">
                  <a16:creationId xmlns:a16="http://schemas.microsoft.com/office/drawing/2014/main" id="{5F491B4C-CACD-4BD1-812F-8637861610B9}"/>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81" name="Rectangle 80">
              <a:extLst>
                <a:ext uri="{FF2B5EF4-FFF2-40B4-BE49-F238E27FC236}">
                  <a16:creationId xmlns:a16="http://schemas.microsoft.com/office/drawing/2014/main" id="{61A8DD79-C55B-421B-B722-DF0A3218B761}"/>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82" name="Rectangle 81">
              <a:extLst>
                <a:ext uri="{FF2B5EF4-FFF2-40B4-BE49-F238E27FC236}">
                  <a16:creationId xmlns:a16="http://schemas.microsoft.com/office/drawing/2014/main" id="{43C832A0-5E8B-4925-A0BE-86A83AC0C75B}"/>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E26B934-4E4F-484E-AC97-AF45567FFFBC}"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83" name="Rectangle 82">
              <a:extLst>
                <a:ext uri="{FF2B5EF4-FFF2-40B4-BE49-F238E27FC236}">
                  <a16:creationId xmlns:a16="http://schemas.microsoft.com/office/drawing/2014/main" id="{9E2DEA0E-7D49-4289-9265-18AA1027E131}"/>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1C4BDC1-1CC2-4FE9-826F-F6631BDD203A}"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84" name="Rectangle 83">
              <a:extLst>
                <a:ext uri="{FF2B5EF4-FFF2-40B4-BE49-F238E27FC236}">
                  <a16:creationId xmlns:a16="http://schemas.microsoft.com/office/drawing/2014/main" id="{3C234B14-14C5-4C91-9015-F7BA7BF476A0}"/>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1B0B750D-8B05-4322-9542-36C31F7D6607}"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4C45280E-5B8A-4129-B3C7-0AB05105D3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09925F2D-0972-47DF-9BC4-B156068A5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11</xdr:row>
      <xdr:rowOff>9526</xdr:rowOff>
    </xdr:from>
    <xdr:to>
      <xdr:col>17</xdr:col>
      <xdr:colOff>180975</xdr:colOff>
      <xdr:row>20</xdr:row>
      <xdr:rowOff>285750</xdr:rowOff>
    </xdr:to>
    <xdr:sp macro="" textlink="">
      <xdr:nvSpPr>
        <xdr:cNvPr id="36" name="Rectangle: Rounded Corners 35">
          <a:extLst>
            <a:ext uri="{FF2B5EF4-FFF2-40B4-BE49-F238E27FC236}">
              <a16:creationId xmlns:a16="http://schemas.microsoft.com/office/drawing/2014/main" id="{5DF8AE76-4B7F-4B64-AF76-2417FA608990}"/>
            </a:ext>
          </a:extLst>
        </xdr:cNvPr>
        <xdr:cNvSpPr/>
      </xdr:nvSpPr>
      <xdr:spPr>
        <a:xfrm>
          <a:off x="4724400" y="2962276"/>
          <a:ext cx="7705725" cy="2695574"/>
        </a:xfrm>
        <a:prstGeom prst="roundRect">
          <a:avLst>
            <a:gd name="adj" fmla="val 1836"/>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r>
            <a:rPr lang="de-DE" sz="1200" b="0" baseline="0">
              <a:solidFill>
                <a:schemeClr val="tx2"/>
              </a:solidFill>
              <a:latin typeface="Century Gothic" panose="020B0502020202020204" pitchFamily="34" charset="0"/>
            </a:rPr>
            <a:t>Das Finanzamt erkennt nur einen bestimmten Teil des Kaufpreises als Kosten für das Gebäude an. Den Rest ordnet es dem Kauf des anteiligen Grundstücks zu. Je höher der </a:t>
          </a:r>
          <a:r>
            <a:rPr kumimoji="0" lang="de-DE" sz="1200" b="1"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Gebäudeanteil am Kaufpreis </a:t>
          </a: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ist, desto besser für deine Steuer. </a:t>
          </a:r>
          <a:r>
            <a:rPr lang="de-DE" sz="1200" b="0" baseline="0">
              <a:solidFill>
                <a:schemeClr val="tx2"/>
              </a:solidFill>
              <a:latin typeface="Century Gothic" panose="020B0502020202020204" pitchFamily="34" charset="0"/>
            </a:rPr>
            <a:t>Wir haben diesen Wert bestmöglich geschätzt. Dazu haben wir berücksichtigt, wie alt das Haus ist, wie viel Grund und Boden zur Wohnung gehört (vorheriger Schritt) und was für eine Wohnung mit diesem m²-Preis ein realistischer Wert für einen Quadratmeter Grundstück ist.</a:t>
          </a:r>
        </a:p>
        <a:p>
          <a:pPr algn="l">
            <a:lnSpc>
              <a:spcPct val="130000"/>
            </a:lnSpc>
            <a:spcAft>
              <a:spcPts val="1200"/>
            </a:spcAft>
          </a:pPr>
          <a:r>
            <a:rPr lang="de-DE" sz="1200" b="0" baseline="0">
              <a:solidFill>
                <a:schemeClr val="tx2"/>
              </a:solidFill>
              <a:latin typeface="Century Gothic" panose="020B0502020202020204" pitchFamily="34" charset="0"/>
            </a:rPr>
            <a:t>Die </a:t>
          </a:r>
          <a:r>
            <a:rPr lang="de-DE" sz="1200" b="1" baseline="0">
              <a:solidFill>
                <a:schemeClr val="tx2"/>
              </a:solidFill>
              <a:latin typeface="Century Gothic" panose="020B0502020202020204" pitchFamily="34" charset="0"/>
            </a:rPr>
            <a:t>Abschreibung</a:t>
          </a:r>
          <a:r>
            <a:rPr lang="de-DE" sz="1200" b="0" baseline="0">
              <a:solidFill>
                <a:schemeClr val="tx2"/>
              </a:solidFill>
              <a:latin typeface="Century Gothic" panose="020B0502020202020204" pitchFamily="34" charset="0"/>
            </a:rPr>
            <a:t> darfst du steuerlich abziehen. Je höher sie ist, desto mehr bleibt nach Steuern übrig. Der </a:t>
          </a:r>
          <a:r>
            <a:rPr lang="de-DE" sz="1200" b="1" baseline="0">
              <a:solidFill>
                <a:schemeClr val="tx2"/>
              </a:solidFill>
              <a:latin typeface="Century Gothic" panose="020B0502020202020204" pitchFamily="34" charset="0"/>
            </a:rPr>
            <a:t>Abschreibungssatz</a:t>
          </a:r>
          <a:r>
            <a:rPr lang="de-DE" sz="1200" b="0" baseline="0">
              <a:solidFill>
                <a:schemeClr val="tx2"/>
              </a:solidFill>
              <a:latin typeface="Century Gothic" panose="020B0502020202020204" pitchFamily="34" charset="0"/>
            </a:rPr>
            <a:t> bestimmt, welchen Teil des Gebäude-Kaufpreises du pro Jahr steuerlich abschreiben darfst. Er beträgt für Häuser aus 1924 und früher 2,5%, ansonsten 2,0%. Aus all deinen Eingaben ergibt sich dann die monatliche Abschreibung.</a:t>
          </a:r>
        </a:p>
      </xdr:txBody>
    </xdr:sp>
    <xdr:clientData/>
  </xdr:twoCellAnchor>
  <xdr:twoCellAnchor editAs="oneCell">
    <xdr:from>
      <xdr:col>7</xdr:col>
      <xdr:colOff>114300</xdr:colOff>
      <xdr:row>11</xdr:row>
      <xdr:rowOff>95250</xdr:rowOff>
    </xdr:from>
    <xdr:to>
      <xdr:col>7</xdr:col>
      <xdr:colOff>457200</xdr:colOff>
      <xdr:row>12</xdr:row>
      <xdr:rowOff>114300</xdr:rowOff>
    </xdr:to>
    <xdr:pic>
      <xdr:nvPicPr>
        <xdr:cNvPr id="37" name="Picture 36" descr="http://de.seaicons.com/wp-content/uploads/2015/11/15-Light-Bulb-icon.png">
          <a:extLst>
            <a:ext uri="{FF2B5EF4-FFF2-40B4-BE49-F238E27FC236}">
              <a16:creationId xmlns:a16="http://schemas.microsoft.com/office/drawing/2014/main" id="{73575713-69DC-4858-AA15-4E6537A9DC85}"/>
            </a:ext>
          </a:extLst>
        </xdr:cNvPr>
        <xdr:cNvPicPr>
          <a:picLocks noChangeAspect="1" noChangeArrowheads="1"/>
        </xdr:cNvPicPr>
      </xdr:nvPicPr>
      <xdr:blipFill>
        <a:blip xmlns:r="http://schemas.openxmlformats.org/officeDocument/2006/relationships" r:embed="rId3"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38700" y="304800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333375</xdr:colOff>
      <xdr:row>18</xdr:row>
      <xdr:rowOff>123825</xdr:rowOff>
    </xdr:from>
    <xdr:to>
      <xdr:col>5</xdr:col>
      <xdr:colOff>0</xdr:colOff>
      <xdr:row>19</xdr:row>
      <xdr:rowOff>180975</xdr:rowOff>
    </xdr:to>
    <xdr:sp macro="" textlink="">
      <xdr:nvSpPr>
        <xdr:cNvPr id="40" name="Arrow: Right 39">
          <a:hlinkClick xmlns:r="http://schemas.openxmlformats.org/officeDocument/2006/relationships" r:id="rId4"/>
          <a:extLst>
            <a:ext uri="{FF2B5EF4-FFF2-40B4-BE49-F238E27FC236}">
              <a16:creationId xmlns:a16="http://schemas.microsoft.com/office/drawing/2014/main" id="{A58F92A5-6D54-4D0F-90C4-CF7A03D00CB8}"/>
            </a:ext>
          </a:extLst>
        </xdr:cNvPr>
        <xdr:cNvSpPr/>
      </xdr:nvSpPr>
      <xdr:spPr>
        <a:xfrm>
          <a:off x="2276475" y="49530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0</xdr:col>
      <xdr:colOff>209550</xdr:colOff>
      <xdr:row>18</xdr:row>
      <xdr:rowOff>123825</xdr:rowOff>
    </xdr:from>
    <xdr:to>
      <xdr:col>2</xdr:col>
      <xdr:colOff>1323975</xdr:colOff>
      <xdr:row>19</xdr:row>
      <xdr:rowOff>180975</xdr:rowOff>
    </xdr:to>
    <xdr:sp macro="" textlink="">
      <xdr:nvSpPr>
        <xdr:cNvPr id="41" name="Arrow: Right 40">
          <a:hlinkClick xmlns:r="http://schemas.openxmlformats.org/officeDocument/2006/relationships" r:id="rId5"/>
          <a:extLst>
            <a:ext uri="{FF2B5EF4-FFF2-40B4-BE49-F238E27FC236}">
              <a16:creationId xmlns:a16="http://schemas.microsoft.com/office/drawing/2014/main" id="{F4BCBFA9-5A5C-467B-B946-736D2E1B730B}"/>
            </a:ext>
          </a:extLst>
        </xdr:cNvPr>
        <xdr:cNvSpPr/>
      </xdr:nvSpPr>
      <xdr:spPr>
        <a:xfrm flipH="1">
          <a:off x="209550" y="495300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7</xdr:col>
      <xdr:colOff>0</xdr:colOff>
      <xdr:row>7</xdr:row>
      <xdr:rowOff>9524</xdr:rowOff>
    </xdr:from>
    <xdr:to>
      <xdr:col>17</xdr:col>
      <xdr:colOff>180975</xdr:colOff>
      <xdr:row>10</xdr:row>
      <xdr:rowOff>28574</xdr:rowOff>
    </xdr:to>
    <xdr:sp macro="" textlink="">
      <xdr:nvSpPr>
        <xdr:cNvPr id="42" name="Rectangle: Rounded Corners 41">
          <a:extLst>
            <a:ext uri="{FF2B5EF4-FFF2-40B4-BE49-F238E27FC236}">
              <a16:creationId xmlns:a16="http://schemas.microsoft.com/office/drawing/2014/main" id="{BBF49537-F09A-4C7A-B0AD-2711CEDF37BD}"/>
            </a:ext>
          </a:extLst>
        </xdr:cNvPr>
        <xdr:cNvSpPr/>
      </xdr:nvSpPr>
      <xdr:spPr>
        <a:xfrm>
          <a:off x="4724400" y="1657349"/>
          <a:ext cx="7705725" cy="1000125"/>
        </a:xfrm>
        <a:prstGeom prst="roundRect">
          <a:avLst>
            <a:gd name="adj" fmla="val 766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spcAft>
              <a:spcPts val="1200"/>
            </a:spcAft>
          </a:pPr>
          <a:r>
            <a:rPr lang="de-DE" sz="1200" b="0" baseline="0">
              <a:solidFill>
                <a:schemeClr val="tx2"/>
              </a:solidFill>
              <a:latin typeface="Century Gothic" panose="020B0502020202020204" pitchFamily="34" charset="0"/>
            </a:rPr>
            <a:t>Je nach </a:t>
          </a:r>
          <a:r>
            <a:rPr lang="de-DE" sz="1200" b="1" baseline="0">
              <a:solidFill>
                <a:schemeClr val="tx2"/>
              </a:solidFill>
              <a:latin typeface="Century Gothic" panose="020B0502020202020204" pitchFamily="34" charset="0"/>
            </a:rPr>
            <a:t>Baujahr</a:t>
          </a:r>
          <a:r>
            <a:rPr lang="de-DE" sz="1200" b="0" baseline="0">
              <a:solidFill>
                <a:schemeClr val="tx2"/>
              </a:solidFill>
              <a:latin typeface="Century Gothic" panose="020B0502020202020204" pitchFamily="34" charset="0"/>
            </a:rPr>
            <a:t> des Hauses erkennt das Finanzamt unterschiedlich hohe Gebäudekosten an.</a:t>
          </a:r>
        </a:p>
        <a:p>
          <a:pPr algn="l">
            <a:lnSpc>
              <a:spcPct val="130000"/>
            </a:lnSpc>
            <a:spcAft>
              <a:spcPts val="1200"/>
            </a:spcAft>
          </a:pPr>
          <a:r>
            <a:rPr lang="de-DE" sz="1200" b="0" baseline="0">
              <a:solidFill>
                <a:schemeClr val="tx2"/>
              </a:solidFill>
              <a:latin typeface="Century Gothic" panose="020B0502020202020204" pitchFamily="34" charset="0"/>
            </a:rPr>
            <a:t>Wenn im Kaufpreis deiner Wohnung eine </a:t>
          </a:r>
          <a:r>
            <a:rPr lang="de-DE" sz="1200" b="1" baseline="0">
              <a:solidFill>
                <a:schemeClr val="tx2"/>
              </a:solidFill>
              <a:latin typeface="Century Gothic" panose="020B0502020202020204" pitchFamily="34" charset="0"/>
            </a:rPr>
            <a:t>Garage</a:t>
          </a:r>
          <a:r>
            <a:rPr lang="de-DE" sz="1200" b="0" baseline="0">
              <a:solidFill>
                <a:schemeClr val="tx2"/>
              </a:solidFill>
              <a:latin typeface="Century Gothic" panose="020B0502020202020204" pitchFamily="34" charset="0"/>
            </a:rPr>
            <a:t> oder ein </a:t>
          </a:r>
          <a:r>
            <a:rPr lang="de-DE" sz="1200" b="1" baseline="0">
              <a:solidFill>
                <a:schemeClr val="tx2"/>
              </a:solidFill>
              <a:latin typeface="Century Gothic" panose="020B0502020202020204" pitchFamily="34" charset="0"/>
            </a:rPr>
            <a:t>Tiefgaragenstellplatz</a:t>
          </a:r>
          <a:r>
            <a:rPr lang="de-DE" sz="1200" b="0" baseline="0">
              <a:solidFill>
                <a:schemeClr val="tx2"/>
              </a:solidFill>
              <a:latin typeface="Century Gothic" panose="020B0502020202020204" pitchFamily="34" charset="0"/>
            </a:rPr>
            <a:t> enthalten ist, wähle dies bitte links aus. Ein Carport oder Stellplatz unter freiem Himmel zählen nicht.</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43" name="Group 42">
          <a:extLst>
            <a:ext uri="{FF2B5EF4-FFF2-40B4-BE49-F238E27FC236}">
              <a16:creationId xmlns:a16="http://schemas.microsoft.com/office/drawing/2014/main" id="{358905EB-61EC-4AC7-BD83-F0EAFD54F793}"/>
            </a:ext>
          </a:extLst>
        </xdr:cNvPr>
        <xdr:cNvGrpSpPr/>
      </xdr:nvGrpSpPr>
      <xdr:grpSpPr>
        <a:xfrm>
          <a:off x="3079750" y="133350"/>
          <a:ext cx="10004425" cy="245225"/>
          <a:chOff x="2952750" y="137737"/>
          <a:chExt cx="9563100" cy="248400"/>
        </a:xfrm>
      </xdr:grpSpPr>
      <xdr:sp macro="" textlink="">
        <xdr:nvSpPr>
          <xdr:cNvPr id="44" name="Rectangle 43">
            <a:hlinkClick xmlns:r="http://schemas.openxmlformats.org/officeDocument/2006/relationships" r:id="rId6"/>
            <a:extLst>
              <a:ext uri="{FF2B5EF4-FFF2-40B4-BE49-F238E27FC236}">
                <a16:creationId xmlns:a16="http://schemas.microsoft.com/office/drawing/2014/main" id="{D813DCA4-5308-4FF0-BDB9-1CEC41E2A7A4}"/>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5" name="Rectangle 44">
            <a:hlinkClick xmlns:r="http://schemas.openxmlformats.org/officeDocument/2006/relationships" r:id="rId7"/>
            <a:extLst>
              <a:ext uri="{FF2B5EF4-FFF2-40B4-BE49-F238E27FC236}">
                <a16:creationId xmlns:a16="http://schemas.microsoft.com/office/drawing/2014/main" id="{4435DE7E-DEBF-4EEB-9594-DCD5740EBA60}"/>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6" name="Rectangle 45">
            <a:hlinkClick xmlns:r="http://schemas.openxmlformats.org/officeDocument/2006/relationships" r:id="rId8"/>
            <a:extLst>
              <a:ext uri="{FF2B5EF4-FFF2-40B4-BE49-F238E27FC236}">
                <a16:creationId xmlns:a16="http://schemas.microsoft.com/office/drawing/2014/main" id="{55E8024C-FE02-411F-BE37-7DC703B69597}"/>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47" name="Rectangle 46">
            <a:hlinkClick xmlns:r="http://schemas.openxmlformats.org/officeDocument/2006/relationships" r:id="rId9"/>
            <a:extLst>
              <a:ext uri="{FF2B5EF4-FFF2-40B4-BE49-F238E27FC236}">
                <a16:creationId xmlns:a16="http://schemas.microsoft.com/office/drawing/2014/main" id="{F85FDCBE-3A19-4645-BF0C-F4787D8A455E}"/>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48" name="Rectangle 47">
            <a:hlinkClick xmlns:r="http://schemas.openxmlformats.org/officeDocument/2006/relationships" r:id="rId10"/>
            <a:extLst>
              <a:ext uri="{FF2B5EF4-FFF2-40B4-BE49-F238E27FC236}">
                <a16:creationId xmlns:a16="http://schemas.microsoft.com/office/drawing/2014/main" id="{4C629C64-1AAE-4E9A-8533-1F9C60A4A96C}"/>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49" name="Rectangle 48">
            <a:hlinkClick xmlns:r="http://schemas.openxmlformats.org/officeDocument/2006/relationships" r:id="rId11"/>
            <a:extLst>
              <a:ext uri="{FF2B5EF4-FFF2-40B4-BE49-F238E27FC236}">
                <a16:creationId xmlns:a16="http://schemas.microsoft.com/office/drawing/2014/main" id="{AF11F4EF-D495-4C5D-BBB7-0C337BB80557}"/>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Steuern</a:t>
            </a:r>
          </a:p>
        </xdr:txBody>
      </xdr:sp>
      <xdr:sp macro="" textlink="">
        <xdr:nvSpPr>
          <xdr:cNvPr id="50" name="Rectangle 49">
            <a:hlinkClick xmlns:r="http://schemas.openxmlformats.org/officeDocument/2006/relationships" r:id="rId12"/>
            <a:extLst>
              <a:ext uri="{FF2B5EF4-FFF2-40B4-BE49-F238E27FC236}">
                <a16:creationId xmlns:a16="http://schemas.microsoft.com/office/drawing/2014/main" id="{0A027B53-A930-44CC-96AE-AD27AFA2E7DC}"/>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51" name="Rectangle 50">
            <a:extLst>
              <a:ext uri="{FF2B5EF4-FFF2-40B4-BE49-F238E27FC236}">
                <a16:creationId xmlns:a16="http://schemas.microsoft.com/office/drawing/2014/main" id="{A7C0FA66-E229-4BD0-ADFF-EDAB7867C273}"/>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4D8C5AE5-0537-4476-9BF2-E0829155781E}"/>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23D59E38-9EA2-4475-A272-DD31A9C98CDB}"/>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B91A40A8-01DF-4282-A97E-42B56A6C780B}"/>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CBD500AF-8D78-41B5-B97B-E371B13C034C}"/>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55">
            <a:extLst>
              <a:ext uri="{FF2B5EF4-FFF2-40B4-BE49-F238E27FC236}">
                <a16:creationId xmlns:a16="http://schemas.microsoft.com/office/drawing/2014/main" id="{7BD21150-F600-4EC5-A845-4AEBD45FF188}"/>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7" name="Rectangle 56">
            <a:extLst>
              <a:ext uri="{FF2B5EF4-FFF2-40B4-BE49-F238E27FC236}">
                <a16:creationId xmlns:a16="http://schemas.microsoft.com/office/drawing/2014/main" id="{5A7FED28-CE13-4CAF-BA11-A3214B8CC58B}"/>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Rounded Corners 57">
            <a:hlinkClick xmlns:r="http://schemas.openxmlformats.org/officeDocument/2006/relationships" r:id="rId13"/>
            <a:extLst>
              <a:ext uri="{FF2B5EF4-FFF2-40B4-BE49-F238E27FC236}">
                <a16:creationId xmlns:a16="http://schemas.microsoft.com/office/drawing/2014/main" id="{D053270D-B828-46AB-BE03-87354214D137}"/>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9" name="Rectangle 58">
            <a:extLst>
              <a:ext uri="{FF2B5EF4-FFF2-40B4-BE49-F238E27FC236}">
                <a16:creationId xmlns:a16="http://schemas.microsoft.com/office/drawing/2014/main" id="{A7BDDF15-8AEB-4005-92D9-1C7B90DC7EA7}"/>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0" name="Rectangle: Rounded Corners 59">
            <a:hlinkClick xmlns:r="http://schemas.openxmlformats.org/officeDocument/2006/relationships" r:id="rId14"/>
            <a:extLst>
              <a:ext uri="{FF2B5EF4-FFF2-40B4-BE49-F238E27FC236}">
                <a16:creationId xmlns:a16="http://schemas.microsoft.com/office/drawing/2014/main" id="{B3ED8D50-F497-4085-9E4A-50B2E3008087}"/>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600075</xdr:colOff>
      <xdr:row>3</xdr:row>
      <xdr:rowOff>142875</xdr:rowOff>
    </xdr:from>
    <xdr:to>
      <xdr:col>17</xdr:col>
      <xdr:colOff>237557</xdr:colOff>
      <xdr:row>5</xdr:row>
      <xdr:rowOff>246460</xdr:rowOff>
    </xdr:to>
    <xdr:grpSp>
      <xdr:nvGrpSpPr>
        <xdr:cNvPr id="61" name="Group 60">
          <a:extLst>
            <a:ext uri="{FF2B5EF4-FFF2-40B4-BE49-F238E27FC236}">
              <a16:creationId xmlns:a16="http://schemas.microsoft.com/office/drawing/2014/main" id="{9FE0EC3D-4CBC-45F7-A742-1040D1BCCB32}"/>
            </a:ext>
          </a:extLst>
        </xdr:cNvPr>
        <xdr:cNvGrpSpPr/>
      </xdr:nvGrpSpPr>
      <xdr:grpSpPr>
        <a:xfrm>
          <a:off x="4911725" y="650875"/>
          <a:ext cx="8152832" cy="573485"/>
          <a:chOff x="4705350" y="652463"/>
          <a:chExt cx="7771832" cy="579835"/>
        </a:xfrm>
      </xdr:grpSpPr>
      <xdr:grpSp>
        <xdr:nvGrpSpPr>
          <xdr:cNvPr id="62" name="Group 61">
            <a:extLst>
              <a:ext uri="{FF2B5EF4-FFF2-40B4-BE49-F238E27FC236}">
                <a16:creationId xmlns:a16="http://schemas.microsoft.com/office/drawing/2014/main" id="{2D7A45DF-AEF1-4F33-B0A7-3512C5EC3E6C}"/>
              </a:ext>
            </a:extLst>
          </xdr:cNvPr>
          <xdr:cNvGrpSpPr/>
        </xdr:nvGrpSpPr>
        <xdr:grpSpPr>
          <a:xfrm>
            <a:off x="4705350" y="652463"/>
            <a:ext cx="7771832" cy="257175"/>
            <a:chOff x="4705350" y="642938"/>
            <a:chExt cx="7771832" cy="257175"/>
          </a:xfrm>
        </xdr:grpSpPr>
        <xdr:sp macro="" textlink="">
          <xdr:nvSpPr>
            <xdr:cNvPr id="70" name="Rectangle 69">
              <a:extLst>
                <a:ext uri="{FF2B5EF4-FFF2-40B4-BE49-F238E27FC236}">
                  <a16:creationId xmlns:a16="http://schemas.microsoft.com/office/drawing/2014/main" id="{1AB88410-B2A4-4596-B854-00C13C675424}"/>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1" name="Rectangle 70">
              <a:extLst>
                <a:ext uri="{FF2B5EF4-FFF2-40B4-BE49-F238E27FC236}">
                  <a16:creationId xmlns:a16="http://schemas.microsoft.com/office/drawing/2014/main" id="{39D0BC19-62AA-4996-8716-BE7A0C2D5C21}"/>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2" name="Rectangle 71">
              <a:extLst>
                <a:ext uri="{FF2B5EF4-FFF2-40B4-BE49-F238E27FC236}">
                  <a16:creationId xmlns:a16="http://schemas.microsoft.com/office/drawing/2014/main" id="{AEB9988C-B73F-41A5-B85C-67C26D2C0006}"/>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3" name="Rectangle 72">
              <a:extLst>
                <a:ext uri="{FF2B5EF4-FFF2-40B4-BE49-F238E27FC236}">
                  <a16:creationId xmlns:a16="http://schemas.microsoft.com/office/drawing/2014/main" id="{38A2F671-4AD8-4F8D-9B37-90202EDA3C20}"/>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61A9096-EEF0-4027-816F-11017C6446F0}"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4" name="Rectangle 73">
              <a:extLst>
                <a:ext uri="{FF2B5EF4-FFF2-40B4-BE49-F238E27FC236}">
                  <a16:creationId xmlns:a16="http://schemas.microsoft.com/office/drawing/2014/main" id="{973065AE-C84F-4F63-9CB8-DCCD5889BEEF}"/>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CABF5A4-B3BF-411A-92B8-485DABB07411}"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5" name="Rectangle 74">
              <a:extLst>
                <a:ext uri="{FF2B5EF4-FFF2-40B4-BE49-F238E27FC236}">
                  <a16:creationId xmlns:a16="http://schemas.microsoft.com/office/drawing/2014/main" id="{9CED0F3C-1227-4BBF-8FF4-44B4361E3D15}"/>
                </a:ext>
              </a:extLst>
            </xdr:cNvPr>
            <xdr:cNvSpPr/>
          </xdr:nvSpPr>
          <xdr:spPr>
            <a:xfrm>
              <a:off x="11268075" y="642938"/>
              <a:ext cx="120910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39CCF58B-3A54-42C6-A0F7-6E764DAB2DFF}"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3" name="Group 62">
            <a:extLst>
              <a:ext uri="{FF2B5EF4-FFF2-40B4-BE49-F238E27FC236}">
                <a16:creationId xmlns:a16="http://schemas.microsoft.com/office/drawing/2014/main" id="{506D250B-B575-4434-81C6-ECBF2436B056}"/>
              </a:ext>
            </a:extLst>
          </xdr:cNvPr>
          <xdr:cNvGrpSpPr/>
        </xdr:nvGrpSpPr>
        <xdr:grpSpPr>
          <a:xfrm>
            <a:off x="4705350" y="975123"/>
            <a:ext cx="7771832" cy="257175"/>
            <a:chOff x="4705350" y="975123"/>
            <a:chExt cx="7771832" cy="257175"/>
          </a:xfrm>
        </xdr:grpSpPr>
        <xdr:sp macro="" textlink="">
          <xdr:nvSpPr>
            <xdr:cNvPr id="64" name="Rectangle 63">
              <a:extLst>
                <a:ext uri="{FF2B5EF4-FFF2-40B4-BE49-F238E27FC236}">
                  <a16:creationId xmlns:a16="http://schemas.microsoft.com/office/drawing/2014/main" id="{384915B0-4ED7-4203-B7C8-365A8A25092A}"/>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5" name="Rectangle 64">
              <a:extLst>
                <a:ext uri="{FF2B5EF4-FFF2-40B4-BE49-F238E27FC236}">
                  <a16:creationId xmlns:a16="http://schemas.microsoft.com/office/drawing/2014/main" id="{7F228590-098C-406A-A864-8385E1ACAD5C}"/>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6" name="Rectangle 65">
              <a:extLst>
                <a:ext uri="{FF2B5EF4-FFF2-40B4-BE49-F238E27FC236}">
                  <a16:creationId xmlns:a16="http://schemas.microsoft.com/office/drawing/2014/main" id="{1D746CEC-EF64-45DF-90D1-CB6E9A3612A3}"/>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7" name="Rectangle 66">
              <a:extLst>
                <a:ext uri="{FF2B5EF4-FFF2-40B4-BE49-F238E27FC236}">
                  <a16:creationId xmlns:a16="http://schemas.microsoft.com/office/drawing/2014/main" id="{14F59224-7BF3-4409-9CE0-8C2D1DA08D4D}"/>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C2C391FC-213D-438C-A0A5-34692815E256}"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8" name="Rectangle 67">
              <a:extLst>
                <a:ext uri="{FF2B5EF4-FFF2-40B4-BE49-F238E27FC236}">
                  <a16:creationId xmlns:a16="http://schemas.microsoft.com/office/drawing/2014/main" id="{AE6363EA-FF83-49DF-9833-FB9D26C6CA25}"/>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0A73891-F8FB-4E4F-9BA4-F0C95C4C4675}"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69" name="Rectangle 68">
              <a:extLst>
                <a:ext uri="{FF2B5EF4-FFF2-40B4-BE49-F238E27FC236}">
                  <a16:creationId xmlns:a16="http://schemas.microsoft.com/office/drawing/2014/main" id="{F9863241-D88E-47D8-AF56-AD28FD9F32EE}"/>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82FA736B-8A7B-4317-90A8-308232C1145C}"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2AFC48F7-B603-497A-91EA-FD9E2C224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FE305E64-5163-4E77-8A36-7AA2D81B7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11</xdr:row>
      <xdr:rowOff>304801</xdr:rowOff>
    </xdr:from>
    <xdr:to>
      <xdr:col>17</xdr:col>
      <xdr:colOff>180975</xdr:colOff>
      <xdr:row>20</xdr:row>
      <xdr:rowOff>9525</xdr:rowOff>
    </xdr:to>
    <xdr:sp macro="" textlink="">
      <xdr:nvSpPr>
        <xdr:cNvPr id="35" name="Rectangle: Rounded Corners 34">
          <a:extLst>
            <a:ext uri="{FF2B5EF4-FFF2-40B4-BE49-F238E27FC236}">
              <a16:creationId xmlns:a16="http://schemas.microsoft.com/office/drawing/2014/main" id="{3DE53BA1-5D35-4294-8AC8-EA186E338183}"/>
            </a:ext>
          </a:extLst>
        </xdr:cNvPr>
        <xdr:cNvSpPr/>
      </xdr:nvSpPr>
      <xdr:spPr>
        <a:xfrm>
          <a:off x="4724400" y="3038476"/>
          <a:ext cx="7705725" cy="2124074"/>
        </a:xfrm>
        <a:prstGeom prst="roundRect">
          <a:avLst>
            <a:gd name="adj" fmla="val 1836"/>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endParaRPr lang="de-DE" sz="1200" b="0" baseline="0">
            <a:solidFill>
              <a:schemeClr val="tx2"/>
            </a:solidFill>
            <a:latin typeface="Century Gothic" panose="020B0502020202020204" pitchFamily="34" charset="0"/>
          </a:endParaRPr>
        </a:p>
      </xdr:txBody>
    </xdr:sp>
    <xdr:clientData/>
  </xdr:twoCellAnchor>
  <xdr:twoCellAnchor editAs="oneCell">
    <xdr:from>
      <xdr:col>7</xdr:col>
      <xdr:colOff>114300</xdr:colOff>
      <xdr:row>12</xdr:row>
      <xdr:rowOff>57150</xdr:rowOff>
    </xdr:from>
    <xdr:to>
      <xdr:col>7</xdr:col>
      <xdr:colOff>457200</xdr:colOff>
      <xdr:row>13</xdr:row>
      <xdr:rowOff>180975</xdr:rowOff>
    </xdr:to>
    <xdr:pic>
      <xdr:nvPicPr>
        <xdr:cNvPr id="36" name="Picture 35" descr="http://de.seaicons.com/wp-content/uploads/2015/11/15-Light-Bulb-icon.png">
          <a:extLst>
            <a:ext uri="{FF2B5EF4-FFF2-40B4-BE49-F238E27FC236}">
              <a16:creationId xmlns:a16="http://schemas.microsoft.com/office/drawing/2014/main" id="{1F76C9AA-EC56-44BA-B094-1A71B4E5C35B}"/>
            </a:ext>
          </a:extLst>
        </xdr:cNvPr>
        <xdr:cNvPicPr>
          <a:picLocks noChangeAspect="1" noChangeArrowheads="1"/>
        </xdr:cNvPicPr>
      </xdr:nvPicPr>
      <xdr:blipFill>
        <a:blip xmlns:r="http://schemas.openxmlformats.org/officeDocument/2006/relationships" r:embed="rId3"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4838700" y="3114675"/>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333375</xdr:colOff>
      <xdr:row>17</xdr:row>
      <xdr:rowOff>38100</xdr:rowOff>
    </xdr:from>
    <xdr:to>
      <xdr:col>5</xdr:col>
      <xdr:colOff>0</xdr:colOff>
      <xdr:row>18</xdr:row>
      <xdr:rowOff>276225</xdr:rowOff>
    </xdr:to>
    <xdr:sp macro="" textlink="">
      <xdr:nvSpPr>
        <xdr:cNvPr id="37" name="Arrow: Right 36">
          <a:hlinkClick xmlns:r="http://schemas.openxmlformats.org/officeDocument/2006/relationships" r:id="rId4"/>
          <a:extLst>
            <a:ext uri="{FF2B5EF4-FFF2-40B4-BE49-F238E27FC236}">
              <a16:creationId xmlns:a16="http://schemas.microsoft.com/office/drawing/2014/main" id="{CE7BEE5E-4B2F-4682-ACA0-ED00CB18AA67}"/>
            </a:ext>
          </a:extLst>
        </xdr:cNvPr>
        <xdr:cNvSpPr/>
      </xdr:nvSpPr>
      <xdr:spPr>
        <a:xfrm>
          <a:off x="2276475" y="45053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l"/>
          <a:r>
            <a:rPr lang="de-DE" sz="1050">
              <a:latin typeface="Unit"/>
            </a:rPr>
            <a:t>zum nächsten Schritt</a:t>
          </a:r>
        </a:p>
      </xdr:txBody>
    </xdr:sp>
    <xdr:clientData/>
  </xdr:twoCellAnchor>
  <xdr:twoCellAnchor>
    <xdr:from>
      <xdr:col>0</xdr:col>
      <xdr:colOff>209550</xdr:colOff>
      <xdr:row>17</xdr:row>
      <xdr:rowOff>38100</xdr:rowOff>
    </xdr:from>
    <xdr:to>
      <xdr:col>2</xdr:col>
      <xdr:colOff>1323975</xdr:colOff>
      <xdr:row>18</xdr:row>
      <xdr:rowOff>276225</xdr:rowOff>
    </xdr:to>
    <xdr:sp macro="" textlink="">
      <xdr:nvSpPr>
        <xdr:cNvPr id="38" name="Arrow: Right 37">
          <a:hlinkClick xmlns:r="http://schemas.openxmlformats.org/officeDocument/2006/relationships" r:id="rId5"/>
          <a:extLst>
            <a:ext uri="{FF2B5EF4-FFF2-40B4-BE49-F238E27FC236}">
              <a16:creationId xmlns:a16="http://schemas.microsoft.com/office/drawing/2014/main" id="{0E4B207D-940F-48E7-BB6B-2AE1B233A396}"/>
            </a:ext>
          </a:extLst>
        </xdr:cNvPr>
        <xdr:cNvSpPr/>
      </xdr:nvSpPr>
      <xdr:spPr>
        <a:xfrm flipH="1">
          <a:off x="209550" y="45053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xdr:from>
      <xdr:col>7</xdr:col>
      <xdr:colOff>0</xdr:colOff>
      <xdr:row>7</xdr:row>
      <xdr:rowOff>9525</xdr:rowOff>
    </xdr:from>
    <xdr:to>
      <xdr:col>17</xdr:col>
      <xdr:colOff>180975</xdr:colOff>
      <xdr:row>11</xdr:row>
      <xdr:rowOff>19051</xdr:rowOff>
    </xdr:to>
    <xdr:sp macro="" textlink="">
      <xdr:nvSpPr>
        <xdr:cNvPr id="39" name="Rectangle: Rounded Corners 38">
          <a:extLst>
            <a:ext uri="{FF2B5EF4-FFF2-40B4-BE49-F238E27FC236}">
              <a16:creationId xmlns:a16="http://schemas.microsoft.com/office/drawing/2014/main" id="{1904ADFD-8A2C-45AA-8D18-23C85ECB191D}"/>
            </a:ext>
          </a:extLst>
        </xdr:cNvPr>
        <xdr:cNvSpPr/>
      </xdr:nvSpPr>
      <xdr:spPr>
        <a:xfrm>
          <a:off x="4724400" y="1657350"/>
          <a:ext cx="7705725" cy="1095376"/>
        </a:xfrm>
        <a:prstGeom prst="roundRect">
          <a:avLst>
            <a:gd name="adj" fmla="val 4119"/>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lnSpc>
              <a:spcPct val="130000"/>
            </a:lnSpc>
          </a:pPr>
          <a:r>
            <a:rPr lang="de-DE" sz="1200" b="0" baseline="0">
              <a:solidFill>
                <a:schemeClr val="tx2"/>
              </a:solidFill>
              <a:latin typeface="Century Gothic" panose="020B0502020202020204" pitchFamily="34" charset="0"/>
            </a:rPr>
            <a:t>Als letztes </a:t>
          </a:r>
          <a:r>
            <a:rPr lang="de-DE" sz="1200" b="1" baseline="0">
              <a:solidFill>
                <a:schemeClr val="tx2"/>
              </a:solidFill>
              <a:latin typeface="Century Gothic" panose="020B0502020202020204" pitchFamily="34" charset="0"/>
            </a:rPr>
            <a:t>ermittelst</a:t>
          </a:r>
          <a:r>
            <a:rPr lang="de-DE" sz="1200" b="0" baseline="0">
              <a:solidFill>
                <a:schemeClr val="tx2"/>
              </a:solidFill>
              <a:latin typeface="Century Gothic" panose="020B0502020202020204" pitchFamily="34" charset="0"/>
            </a:rPr>
            <a:t> du jetzt, welcher </a:t>
          </a:r>
          <a:r>
            <a:rPr lang="de-DE" sz="1200" b="1" baseline="0">
              <a:solidFill>
                <a:schemeClr val="tx2"/>
              </a:solidFill>
              <a:latin typeface="Century Gothic" panose="020B0502020202020204" pitchFamily="34" charset="0"/>
            </a:rPr>
            <a:t>Steuersatz</a:t>
          </a:r>
          <a:r>
            <a:rPr lang="de-DE" sz="1200" b="0" baseline="0">
              <a:solidFill>
                <a:schemeClr val="tx2"/>
              </a:solidFill>
              <a:latin typeface="Century Gothic" panose="020B0502020202020204" pitchFamily="34" charset="0"/>
            </a:rPr>
            <a:t> für deine Mieteinnahmen gilt. Zusätzliches Einkommen wird (vereinfacht) mit dem persönlichen Grenzsteuersatz versteuert. Dieser hängt insbesondere davon ab, ob du zusammen mit einem Ehepartner veranlagt wirst, </a:t>
          </a:r>
          <a:r>
            <a:rPr kumimoji="0" lang="de-DE" sz="1200" b="0" i="0" u="none" strike="noStrike" kern="0" cap="none" spc="0" normalizeH="0" baseline="0" noProof="0">
              <a:ln>
                <a:noFill/>
              </a:ln>
              <a:solidFill>
                <a:srgbClr val="19323C"/>
              </a:solidFill>
              <a:effectLst/>
              <a:uLnTx/>
              <a:uFillTx/>
              <a:latin typeface="Century Gothic" panose="020B0502020202020204" pitchFamily="34" charset="0"/>
              <a:ea typeface="+mn-ea"/>
              <a:cs typeface="+mn-cs"/>
            </a:rPr>
            <a:t>wie hoch dein / euer zu versteuerndes Einkommen ist und ob du Kirchensteuer bezahlen musst.</a:t>
          </a:r>
          <a:endParaRPr lang="de-DE" sz="1200" b="0" baseline="0">
            <a:solidFill>
              <a:schemeClr val="tx2"/>
            </a:solidFill>
            <a:latin typeface="Century Gothic" panose="020B0502020202020204" pitchFamily="34" charset="0"/>
          </a:endParaRPr>
        </a:p>
      </xdr:txBody>
    </xdr:sp>
    <xdr:clientData/>
  </xdr:twoCellAnchor>
  <xdr:twoCellAnchor>
    <xdr:from>
      <xdr:col>7</xdr:col>
      <xdr:colOff>457200</xdr:colOff>
      <xdr:row>12</xdr:row>
      <xdr:rowOff>38101</xdr:rowOff>
    </xdr:from>
    <xdr:to>
      <xdr:col>17</xdr:col>
      <xdr:colOff>19050</xdr:colOff>
      <xdr:row>13</xdr:row>
      <xdr:rowOff>104776</xdr:rowOff>
    </xdr:to>
    <xdr:sp macro="" textlink="$I$14">
      <xdr:nvSpPr>
        <xdr:cNvPr id="40" name="Rectangle 39">
          <a:extLst>
            <a:ext uri="{FF2B5EF4-FFF2-40B4-BE49-F238E27FC236}">
              <a16:creationId xmlns:a16="http://schemas.microsoft.com/office/drawing/2014/main" id="{35CE9F7E-6ECB-424A-A60A-A756464538A3}"/>
            </a:ext>
          </a:extLst>
        </xdr:cNvPr>
        <xdr:cNvSpPr/>
      </xdr:nvSpPr>
      <xdr:spPr>
        <a:xfrm>
          <a:off x="5181600" y="3095626"/>
          <a:ext cx="7086600" cy="285750"/>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03A3115-A30E-4E51-B240-BA48AE098A6C}" type="TxLink">
            <a:rPr lang="en-US" sz="1200" b="0" i="0" u="none" strike="noStrike">
              <a:solidFill>
                <a:schemeClr val="tx2"/>
              </a:solidFill>
              <a:latin typeface="Century Gothic" panose="020B0502020202020204" pitchFamily="34" charset="0"/>
              <a:cs typeface="Calibri"/>
            </a:rPr>
            <a:pPr algn="l"/>
            <a:t>Auf deine Mieteinnahmen zahlst du rechnerisch pro Monat circa 0 € Steuern. </a:t>
          </a:fld>
          <a:endParaRPr lang="de-DE" sz="1200">
            <a:solidFill>
              <a:schemeClr val="tx2"/>
            </a:solidFill>
            <a:latin typeface="Century Gothic" panose="020B0502020202020204" pitchFamily="34" charset="0"/>
          </a:endParaRPr>
        </a:p>
      </xdr:txBody>
    </xdr:sp>
    <xdr:clientData/>
  </xdr:twoCellAnchor>
  <xdr:twoCellAnchor>
    <xdr:from>
      <xdr:col>7</xdr:col>
      <xdr:colOff>457200</xdr:colOff>
      <xdr:row>13</xdr:row>
      <xdr:rowOff>133351</xdr:rowOff>
    </xdr:from>
    <xdr:to>
      <xdr:col>17</xdr:col>
      <xdr:colOff>19050</xdr:colOff>
      <xdr:row>15</xdr:row>
      <xdr:rowOff>295275</xdr:rowOff>
    </xdr:to>
    <xdr:sp macro="" textlink="$I$16">
      <xdr:nvSpPr>
        <xdr:cNvPr id="41" name="Rectangle 40">
          <a:extLst>
            <a:ext uri="{FF2B5EF4-FFF2-40B4-BE49-F238E27FC236}">
              <a16:creationId xmlns:a16="http://schemas.microsoft.com/office/drawing/2014/main" id="{AAFB8156-479A-4DDA-9BC2-C49CB1870789}"/>
            </a:ext>
          </a:extLst>
        </xdr:cNvPr>
        <xdr:cNvSpPr/>
      </xdr:nvSpPr>
      <xdr:spPr>
        <a:xfrm>
          <a:off x="5181600" y="3409951"/>
          <a:ext cx="7086600" cy="704849"/>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436A5B3-11D9-4190-9590-7BCE90AA2FD6}" type="TxLink">
            <a:rPr lang="en-US" sz="1200" b="0" i="0" u="none" strike="noStrike">
              <a:solidFill>
                <a:schemeClr val="tx2"/>
              </a:solidFill>
              <a:latin typeface="Century Gothic" panose="020B0502020202020204" pitchFamily="34" charset="0"/>
              <a:cs typeface="Calibri"/>
            </a:rPr>
            <a:pPr algn="l"/>
            <a:t>Die Steuern ergeben sich, indem du von deinen Mieteinnahmen (0 €) die nicht umlagefähigen Bewirtschaftungskosten ohne Rücklagen (0 €), die Zinsen (0 €) und die Abschreibung (0 €) abziehst.</a:t>
          </a:fld>
          <a:endParaRPr lang="de-DE" sz="1200">
            <a:solidFill>
              <a:schemeClr val="tx2"/>
            </a:solidFill>
            <a:latin typeface="Century Gothic" panose="020B0502020202020204" pitchFamily="34" charset="0"/>
          </a:endParaRPr>
        </a:p>
      </xdr:txBody>
    </xdr:sp>
    <xdr:clientData/>
  </xdr:twoCellAnchor>
  <xdr:twoCellAnchor>
    <xdr:from>
      <xdr:col>7</xdr:col>
      <xdr:colOff>457200</xdr:colOff>
      <xdr:row>15</xdr:row>
      <xdr:rowOff>304800</xdr:rowOff>
    </xdr:from>
    <xdr:to>
      <xdr:col>17</xdr:col>
      <xdr:colOff>19050</xdr:colOff>
      <xdr:row>18</xdr:row>
      <xdr:rowOff>28575</xdr:rowOff>
    </xdr:to>
    <xdr:sp macro="" textlink="$I$17">
      <xdr:nvSpPr>
        <xdr:cNvPr id="42" name="Rectangle 41">
          <a:extLst>
            <a:ext uri="{FF2B5EF4-FFF2-40B4-BE49-F238E27FC236}">
              <a16:creationId xmlns:a16="http://schemas.microsoft.com/office/drawing/2014/main" id="{797FEAFE-9A71-4A9D-80CC-AB2808D9848D}"/>
            </a:ext>
          </a:extLst>
        </xdr:cNvPr>
        <xdr:cNvSpPr/>
      </xdr:nvSpPr>
      <xdr:spPr>
        <a:xfrm>
          <a:off x="5181600" y="4124325"/>
          <a:ext cx="7086600" cy="514350"/>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69BD8BD-BD18-4064-9FB1-851F7575C7EB}" type="TxLink">
            <a:rPr lang="en-US" sz="1200" b="0" i="0" u="none" strike="noStrike">
              <a:solidFill>
                <a:schemeClr val="tx2"/>
              </a:solidFill>
              <a:latin typeface="Century Gothic" panose="020B0502020202020204" pitchFamily="34" charset="0"/>
              <a:cs typeface="Calibri"/>
            </a:rPr>
            <a:pPr algn="l"/>
            <a:t>Was übrig bleibt (0 €), multiplizierst du mit deinem Grenzsteuersatz: 0 € * 0% = 0 € Steuern.</a:t>
          </a:fld>
          <a:endParaRPr lang="de-DE" sz="1400">
            <a:solidFill>
              <a:schemeClr val="tx2"/>
            </a:solidFill>
            <a:latin typeface="Century Gothic" panose="020B0502020202020204" pitchFamily="34" charset="0"/>
          </a:endParaRPr>
        </a:p>
      </xdr:txBody>
    </xdr:sp>
    <xdr:clientData/>
  </xdr:twoCellAnchor>
  <xdr:twoCellAnchor>
    <xdr:from>
      <xdr:col>7</xdr:col>
      <xdr:colOff>457200</xdr:colOff>
      <xdr:row>18</xdr:row>
      <xdr:rowOff>28575</xdr:rowOff>
    </xdr:from>
    <xdr:to>
      <xdr:col>17</xdr:col>
      <xdr:colOff>19050</xdr:colOff>
      <xdr:row>20</xdr:row>
      <xdr:rowOff>0</xdr:rowOff>
    </xdr:to>
    <xdr:sp macro="" textlink="">
      <xdr:nvSpPr>
        <xdr:cNvPr id="43" name="Rectangle 42">
          <a:extLst>
            <a:ext uri="{FF2B5EF4-FFF2-40B4-BE49-F238E27FC236}">
              <a16:creationId xmlns:a16="http://schemas.microsoft.com/office/drawing/2014/main" id="{8EE8AD2A-FB88-42E2-A5E7-CE62C28E6F34}"/>
            </a:ext>
          </a:extLst>
        </xdr:cNvPr>
        <xdr:cNvSpPr/>
      </xdr:nvSpPr>
      <xdr:spPr>
        <a:xfrm>
          <a:off x="5181600" y="4638675"/>
          <a:ext cx="7086600" cy="514350"/>
        </a:xfrm>
        <a:prstGeom prst="rect">
          <a:avLst/>
        </a:prstGeom>
        <a:solidFill>
          <a:srgbClr val="FBFF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tx2"/>
              </a:solidFill>
              <a:latin typeface="Century Gothic" panose="020B0502020202020204" pitchFamily="34" charset="0"/>
              <a:cs typeface="Calibri"/>
            </a:rPr>
            <a:t>In der Praxis werden die Steuern erst mit der Steuererklärung im nächsten Jahr fällig. Du solltest diesen Betrag deshalb regelmäßig zur Seite legen.</a:t>
          </a:r>
        </a:p>
      </xdr:txBody>
    </xdr:sp>
    <xdr:clientData/>
  </xdr:twoCellAnchor>
  <xdr:twoCellAnchor>
    <xdr:from>
      <xdr:col>4</xdr:col>
      <xdr:colOff>76200</xdr:colOff>
      <xdr:row>0</xdr:row>
      <xdr:rowOff>133350</xdr:rowOff>
    </xdr:from>
    <xdr:to>
      <xdr:col>17</xdr:col>
      <xdr:colOff>257175</xdr:colOff>
      <xdr:row>2</xdr:row>
      <xdr:rowOff>29325</xdr:rowOff>
    </xdr:to>
    <xdr:grpSp>
      <xdr:nvGrpSpPr>
        <xdr:cNvPr id="44" name="Group 43">
          <a:extLst>
            <a:ext uri="{FF2B5EF4-FFF2-40B4-BE49-F238E27FC236}">
              <a16:creationId xmlns:a16="http://schemas.microsoft.com/office/drawing/2014/main" id="{4DDDEDFB-485C-4912-BD20-A94BC83EBE17}"/>
            </a:ext>
          </a:extLst>
        </xdr:cNvPr>
        <xdr:cNvGrpSpPr/>
      </xdr:nvGrpSpPr>
      <xdr:grpSpPr>
        <a:xfrm>
          <a:off x="3079750" y="133350"/>
          <a:ext cx="10004425" cy="245225"/>
          <a:chOff x="2952750" y="137737"/>
          <a:chExt cx="9563100" cy="248400"/>
        </a:xfrm>
      </xdr:grpSpPr>
      <xdr:sp macro="" textlink="">
        <xdr:nvSpPr>
          <xdr:cNvPr id="45" name="Rectangle 44">
            <a:hlinkClick xmlns:r="http://schemas.openxmlformats.org/officeDocument/2006/relationships" r:id="rId6"/>
            <a:extLst>
              <a:ext uri="{FF2B5EF4-FFF2-40B4-BE49-F238E27FC236}">
                <a16:creationId xmlns:a16="http://schemas.microsoft.com/office/drawing/2014/main" id="{269D33E2-A62B-418A-B823-D4BE2C8D1001}"/>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6" name="Rectangle 45">
            <a:hlinkClick xmlns:r="http://schemas.openxmlformats.org/officeDocument/2006/relationships" r:id="rId7"/>
            <a:extLst>
              <a:ext uri="{FF2B5EF4-FFF2-40B4-BE49-F238E27FC236}">
                <a16:creationId xmlns:a16="http://schemas.microsoft.com/office/drawing/2014/main" id="{B6695BCF-F5AD-4F8A-BB36-8C2D528149FE}"/>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7" name="Rectangle 46">
            <a:hlinkClick xmlns:r="http://schemas.openxmlformats.org/officeDocument/2006/relationships" r:id="rId8"/>
            <a:extLst>
              <a:ext uri="{FF2B5EF4-FFF2-40B4-BE49-F238E27FC236}">
                <a16:creationId xmlns:a16="http://schemas.microsoft.com/office/drawing/2014/main" id="{FD529046-3088-49F6-8B5E-538379E6AEA4}"/>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48" name="Rectangle 47">
            <a:hlinkClick xmlns:r="http://schemas.openxmlformats.org/officeDocument/2006/relationships" r:id="rId9"/>
            <a:extLst>
              <a:ext uri="{FF2B5EF4-FFF2-40B4-BE49-F238E27FC236}">
                <a16:creationId xmlns:a16="http://schemas.microsoft.com/office/drawing/2014/main" id="{CF7173E9-5104-42A7-A124-A0F70DAC89F4}"/>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49" name="Rectangle 48">
            <a:hlinkClick xmlns:r="http://schemas.openxmlformats.org/officeDocument/2006/relationships" r:id="rId10"/>
            <a:extLst>
              <a:ext uri="{FF2B5EF4-FFF2-40B4-BE49-F238E27FC236}">
                <a16:creationId xmlns:a16="http://schemas.microsoft.com/office/drawing/2014/main" id="{8136286E-9FA6-4A23-BA5F-7827A81CF651}"/>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50" name="Rectangle 49">
            <a:hlinkClick xmlns:r="http://schemas.openxmlformats.org/officeDocument/2006/relationships" r:id="rId11"/>
            <a:extLst>
              <a:ext uri="{FF2B5EF4-FFF2-40B4-BE49-F238E27FC236}">
                <a16:creationId xmlns:a16="http://schemas.microsoft.com/office/drawing/2014/main" id="{CE4BD00D-268A-4879-9E90-2FF2B2B6D8F8}"/>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Steuern</a:t>
            </a:r>
          </a:p>
        </xdr:txBody>
      </xdr:sp>
      <xdr:sp macro="" textlink="">
        <xdr:nvSpPr>
          <xdr:cNvPr id="51" name="Rectangle 50">
            <a:hlinkClick xmlns:r="http://schemas.openxmlformats.org/officeDocument/2006/relationships" r:id="rId4"/>
            <a:extLst>
              <a:ext uri="{FF2B5EF4-FFF2-40B4-BE49-F238E27FC236}">
                <a16:creationId xmlns:a16="http://schemas.microsoft.com/office/drawing/2014/main" id="{C393B9CA-D042-4CEF-8CF0-9D8CA5AFAAC2}"/>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a:solidFill>
                  <a:schemeClr val="bg1"/>
                </a:solidFill>
                <a:latin typeface="+mn-lt"/>
              </a:rPr>
              <a:t>Ergebnis</a:t>
            </a:r>
          </a:p>
        </xdr:txBody>
      </xdr:sp>
      <xdr:sp macro="" textlink="">
        <xdr:nvSpPr>
          <xdr:cNvPr id="52" name="Rectangle 51">
            <a:extLst>
              <a:ext uri="{FF2B5EF4-FFF2-40B4-BE49-F238E27FC236}">
                <a16:creationId xmlns:a16="http://schemas.microsoft.com/office/drawing/2014/main" id="{06A5688E-0233-45B2-9350-41D7ED291A39}"/>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66EE5859-CF2F-499A-B51F-CE53CB0AD339}"/>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16816BB4-27FB-46B3-863B-B9960461E857}"/>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E2F90473-8C30-4E32-9B2E-2D8207673805}"/>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55">
            <a:extLst>
              <a:ext uri="{FF2B5EF4-FFF2-40B4-BE49-F238E27FC236}">
                <a16:creationId xmlns:a16="http://schemas.microsoft.com/office/drawing/2014/main" id="{8BDA111A-614B-4CDC-AD18-CF6A7F844FFF}"/>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7" name="Rectangle 56">
            <a:extLst>
              <a:ext uri="{FF2B5EF4-FFF2-40B4-BE49-F238E27FC236}">
                <a16:creationId xmlns:a16="http://schemas.microsoft.com/office/drawing/2014/main" id="{C853CE53-C399-4133-9D62-2809D4F86E0F}"/>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57">
            <a:extLst>
              <a:ext uri="{FF2B5EF4-FFF2-40B4-BE49-F238E27FC236}">
                <a16:creationId xmlns:a16="http://schemas.microsoft.com/office/drawing/2014/main" id="{6DC169BB-12E8-4EE8-8EA9-2125EC80AFF0}"/>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9" name="Rectangle: Rounded Corners 58">
            <a:hlinkClick xmlns:r="http://schemas.openxmlformats.org/officeDocument/2006/relationships" r:id="rId12"/>
            <a:extLst>
              <a:ext uri="{FF2B5EF4-FFF2-40B4-BE49-F238E27FC236}">
                <a16:creationId xmlns:a16="http://schemas.microsoft.com/office/drawing/2014/main" id="{8B699771-3F9B-4CAA-BA2C-9BB53890248B}"/>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60" name="Rectangle 59">
            <a:extLst>
              <a:ext uri="{FF2B5EF4-FFF2-40B4-BE49-F238E27FC236}">
                <a16:creationId xmlns:a16="http://schemas.microsoft.com/office/drawing/2014/main" id="{C8CBE711-A488-4235-BE5E-3CF36B056F20}"/>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61" name="Rectangle: Rounded Corners 60">
            <a:hlinkClick xmlns:r="http://schemas.openxmlformats.org/officeDocument/2006/relationships" r:id="rId13"/>
            <a:extLst>
              <a:ext uri="{FF2B5EF4-FFF2-40B4-BE49-F238E27FC236}">
                <a16:creationId xmlns:a16="http://schemas.microsoft.com/office/drawing/2014/main" id="{2B9CD4B7-D830-4895-A75F-2E0DEC724A43}"/>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6</xdr:col>
      <xdr:colOff>590550</xdr:colOff>
      <xdr:row>3</xdr:row>
      <xdr:rowOff>142875</xdr:rowOff>
    </xdr:from>
    <xdr:to>
      <xdr:col>17</xdr:col>
      <xdr:colOff>228032</xdr:colOff>
      <xdr:row>5</xdr:row>
      <xdr:rowOff>246460</xdr:rowOff>
    </xdr:to>
    <xdr:grpSp>
      <xdr:nvGrpSpPr>
        <xdr:cNvPr id="62" name="Group 61">
          <a:extLst>
            <a:ext uri="{FF2B5EF4-FFF2-40B4-BE49-F238E27FC236}">
              <a16:creationId xmlns:a16="http://schemas.microsoft.com/office/drawing/2014/main" id="{2FFCA6BC-C195-484E-9F74-D589F3B8577A}"/>
            </a:ext>
          </a:extLst>
        </xdr:cNvPr>
        <xdr:cNvGrpSpPr/>
      </xdr:nvGrpSpPr>
      <xdr:grpSpPr>
        <a:xfrm>
          <a:off x="4902200" y="650875"/>
          <a:ext cx="8152832" cy="573485"/>
          <a:chOff x="4705350" y="652463"/>
          <a:chExt cx="7771832" cy="579835"/>
        </a:xfrm>
      </xdr:grpSpPr>
      <xdr:grpSp>
        <xdr:nvGrpSpPr>
          <xdr:cNvPr id="63" name="Group 62">
            <a:extLst>
              <a:ext uri="{FF2B5EF4-FFF2-40B4-BE49-F238E27FC236}">
                <a16:creationId xmlns:a16="http://schemas.microsoft.com/office/drawing/2014/main" id="{479F19C7-4D3B-491A-8BC9-16297263DDBC}"/>
              </a:ext>
            </a:extLst>
          </xdr:cNvPr>
          <xdr:cNvGrpSpPr/>
        </xdr:nvGrpSpPr>
        <xdr:grpSpPr>
          <a:xfrm>
            <a:off x="4705350" y="652463"/>
            <a:ext cx="7771832" cy="257175"/>
            <a:chOff x="4705350" y="642938"/>
            <a:chExt cx="7771832" cy="257175"/>
          </a:xfrm>
        </xdr:grpSpPr>
        <xdr:sp macro="" textlink="">
          <xdr:nvSpPr>
            <xdr:cNvPr id="71" name="Rectangle 70">
              <a:extLst>
                <a:ext uri="{FF2B5EF4-FFF2-40B4-BE49-F238E27FC236}">
                  <a16:creationId xmlns:a16="http://schemas.microsoft.com/office/drawing/2014/main" id="{C6A6E3CF-2ABF-49E7-A977-F3A29FC77B79}"/>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2" name="Rectangle 71">
              <a:extLst>
                <a:ext uri="{FF2B5EF4-FFF2-40B4-BE49-F238E27FC236}">
                  <a16:creationId xmlns:a16="http://schemas.microsoft.com/office/drawing/2014/main" id="{18AA7D89-38A7-4335-A6FA-86692D575B49}"/>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73" name="Rectangle 72">
              <a:extLst>
                <a:ext uri="{FF2B5EF4-FFF2-40B4-BE49-F238E27FC236}">
                  <a16:creationId xmlns:a16="http://schemas.microsoft.com/office/drawing/2014/main" id="{76BBBD95-4377-45EE-892E-DE7ABCC7FCE4}"/>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74" name="Rectangle 73">
              <a:extLst>
                <a:ext uri="{FF2B5EF4-FFF2-40B4-BE49-F238E27FC236}">
                  <a16:creationId xmlns:a16="http://schemas.microsoft.com/office/drawing/2014/main" id="{4CCCE9AA-8355-4492-91AC-FC576C737ED7}"/>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F02BC6C-0B38-4CC1-8DCA-922E07DFB9CE}"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75" name="Rectangle 74">
              <a:extLst>
                <a:ext uri="{FF2B5EF4-FFF2-40B4-BE49-F238E27FC236}">
                  <a16:creationId xmlns:a16="http://schemas.microsoft.com/office/drawing/2014/main" id="{E9056AB3-82CD-4FC3-9B35-EAEF6385E339}"/>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9A9F522F-F1D1-48DF-84B7-02F8FDFF0BC1}"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76" name="Rectangle 75">
              <a:extLst>
                <a:ext uri="{FF2B5EF4-FFF2-40B4-BE49-F238E27FC236}">
                  <a16:creationId xmlns:a16="http://schemas.microsoft.com/office/drawing/2014/main" id="{06292941-B467-4173-94DF-4FFD8AEE0A5E}"/>
                </a:ext>
              </a:extLst>
            </xdr:cNvPr>
            <xdr:cNvSpPr/>
          </xdr:nvSpPr>
          <xdr:spPr>
            <a:xfrm>
              <a:off x="11287125" y="642938"/>
              <a:ext cx="1190057"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31D8EBF-F1DC-4159-B3AC-1A4349512A5D}"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64" name="Group 63">
            <a:extLst>
              <a:ext uri="{FF2B5EF4-FFF2-40B4-BE49-F238E27FC236}">
                <a16:creationId xmlns:a16="http://schemas.microsoft.com/office/drawing/2014/main" id="{84AE4183-51DC-499F-9283-425B990B1B42}"/>
              </a:ext>
            </a:extLst>
          </xdr:cNvPr>
          <xdr:cNvGrpSpPr/>
        </xdr:nvGrpSpPr>
        <xdr:grpSpPr>
          <a:xfrm>
            <a:off x="4705350" y="975123"/>
            <a:ext cx="7771832" cy="257175"/>
            <a:chOff x="4705350" y="975123"/>
            <a:chExt cx="7771832" cy="257175"/>
          </a:xfrm>
        </xdr:grpSpPr>
        <xdr:sp macro="" textlink="">
          <xdr:nvSpPr>
            <xdr:cNvPr id="65" name="Rectangle 64">
              <a:extLst>
                <a:ext uri="{FF2B5EF4-FFF2-40B4-BE49-F238E27FC236}">
                  <a16:creationId xmlns:a16="http://schemas.microsoft.com/office/drawing/2014/main" id="{3B328BAB-1F6E-421F-A7F0-E4A981DC1373}"/>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66" name="Rectangle 65">
              <a:extLst>
                <a:ext uri="{FF2B5EF4-FFF2-40B4-BE49-F238E27FC236}">
                  <a16:creationId xmlns:a16="http://schemas.microsoft.com/office/drawing/2014/main" id="{D90C76C8-6EAA-4D51-B778-62805203045F}"/>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67" name="Rectangle 66">
              <a:extLst>
                <a:ext uri="{FF2B5EF4-FFF2-40B4-BE49-F238E27FC236}">
                  <a16:creationId xmlns:a16="http://schemas.microsoft.com/office/drawing/2014/main" id="{73791C56-4C70-40F4-8943-96534013C290}"/>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68" name="Rectangle 67">
              <a:extLst>
                <a:ext uri="{FF2B5EF4-FFF2-40B4-BE49-F238E27FC236}">
                  <a16:creationId xmlns:a16="http://schemas.microsoft.com/office/drawing/2014/main" id="{6A601869-8E89-4DC1-8ABA-3B92B2C49806}"/>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73D8DA5-A2E6-4197-B003-A5D31224DBB1}"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69" name="Rectangle 68">
              <a:extLst>
                <a:ext uri="{FF2B5EF4-FFF2-40B4-BE49-F238E27FC236}">
                  <a16:creationId xmlns:a16="http://schemas.microsoft.com/office/drawing/2014/main" id="{AE025938-2AC0-48BA-9C12-DDBE51C0DDAF}"/>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2A24378-75F8-4096-9240-72A5A7E1F3BC}"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70" name="Rectangle 69">
              <a:extLst>
                <a:ext uri="{FF2B5EF4-FFF2-40B4-BE49-F238E27FC236}">
                  <a16:creationId xmlns:a16="http://schemas.microsoft.com/office/drawing/2014/main" id="{5D72B1F0-2001-4B1C-AA36-2D4A6BD4A7D1}"/>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5BA82EF-DD0C-4101-8777-CBCE2B41DE6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276225</xdr:colOff>
          <xdr:row>3</xdr:row>
          <xdr:rowOff>133350</xdr:rowOff>
        </xdr:from>
        <xdr:to>
          <xdr:col>14</xdr:col>
          <xdr:colOff>638175</xdr:colOff>
          <xdr:row>4</xdr:row>
          <xdr:rowOff>180975</xdr:rowOff>
        </xdr:to>
        <xdr:pic>
          <xdr:nvPicPr>
            <xdr:cNvPr id="60" name="Picture 59">
              <a:extLst>
                <a:ext uri="{FF2B5EF4-FFF2-40B4-BE49-F238E27FC236}">
                  <a16:creationId xmlns:a16="http://schemas.microsoft.com/office/drawing/2014/main" id="{41A6C483-2C3E-49C4-AA93-541BE18C60E3}"/>
                </a:ext>
              </a:extLst>
            </xdr:cNvPr>
            <xdr:cNvPicPr>
              <a:picLocks noChangeAspect="1" noChangeArrowheads="1"/>
              <a:extLst>
                <a:ext uri="{84589F7E-364E-4C9E-8A38-B11213B215E9}">
                  <a14:cameraTool cellRange="cnfg_rf!$G$42" spid="_x0000_s16457"/>
                </a:ext>
              </a:extLst>
            </xdr:cNvPicPr>
          </xdr:nvPicPr>
          <xdr:blipFill>
            <a:blip xmlns:r="http://schemas.openxmlformats.org/officeDocument/2006/relationships" r:embed="rId1"/>
            <a:srcRect/>
            <a:stretch>
              <a:fillRect/>
            </a:stretch>
          </xdr:blipFill>
          <xdr:spPr bwMode="auto">
            <a:xfrm>
              <a:off x="7448550" y="647700"/>
              <a:ext cx="2619375" cy="285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4B35BE4F-B3DC-43FA-A49E-4705EDFCFB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4" name="Diagramm 7">
          <a:extLst>
            <a:ext uri="{FF2B5EF4-FFF2-40B4-BE49-F238E27FC236}">
              <a16:creationId xmlns:a16="http://schemas.microsoft.com/office/drawing/2014/main" id="{7DA7489D-53C1-49B0-9BF2-533A91682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9527</xdr:colOff>
      <xdr:row>25</xdr:row>
      <xdr:rowOff>76197</xdr:rowOff>
    </xdr:from>
    <xdr:to>
      <xdr:col>18</xdr:col>
      <xdr:colOff>9526</xdr:colOff>
      <xdr:row>27</xdr:row>
      <xdr:rowOff>295275</xdr:rowOff>
    </xdr:to>
    <xdr:sp macro="" textlink="">
      <xdr:nvSpPr>
        <xdr:cNvPr id="12" name="Rectangle: Rounded Corners 11">
          <a:extLst>
            <a:ext uri="{FF2B5EF4-FFF2-40B4-BE49-F238E27FC236}">
              <a16:creationId xmlns:a16="http://schemas.microsoft.com/office/drawing/2014/main" id="{FF1038DB-77FC-4E33-8F68-16C4D74E7DA7}"/>
            </a:ext>
          </a:extLst>
        </xdr:cNvPr>
        <xdr:cNvSpPr/>
      </xdr:nvSpPr>
      <xdr:spPr>
        <a:xfrm>
          <a:off x="228602" y="7429497"/>
          <a:ext cx="12220574" cy="1009653"/>
        </a:xfrm>
        <a:prstGeom prst="roundRect">
          <a:avLst>
            <a:gd name="adj" fmla="val 646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r>
            <a:rPr lang="de-DE" sz="1200" b="0" baseline="0">
              <a:solidFill>
                <a:schemeClr val="tx2"/>
              </a:solidFill>
              <a:latin typeface="Century Gothic" panose="020B0502020202020204" pitchFamily="34" charset="0"/>
            </a:rPr>
            <a:t>Möchtest du verstehen, welchen </a:t>
          </a:r>
          <a:r>
            <a:rPr lang="de-DE" sz="1200" b="1" baseline="0">
              <a:solidFill>
                <a:schemeClr val="tx2"/>
              </a:solidFill>
              <a:latin typeface="Century Gothic" panose="020B0502020202020204" pitchFamily="34" charset="0"/>
            </a:rPr>
            <a:t>Einfluss </a:t>
          </a:r>
          <a:r>
            <a:rPr lang="de-DE" sz="1200" b="0" baseline="0">
              <a:solidFill>
                <a:schemeClr val="tx2"/>
              </a:solidFill>
              <a:latin typeface="Century Gothic" panose="020B0502020202020204" pitchFamily="34" charset="0"/>
            </a:rPr>
            <a:t>verschiedene </a:t>
          </a:r>
          <a:r>
            <a:rPr lang="de-DE" sz="1200" b="1" baseline="0">
              <a:solidFill>
                <a:schemeClr val="tx2"/>
              </a:solidFill>
              <a:latin typeface="Century Gothic" panose="020B0502020202020204" pitchFamily="34" charset="0"/>
            </a:rPr>
            <a:t>Änderungen </a:t>
          </a:r>
          <a:r>
            <a:rPr lang="de-DE" sz="1200" b="0" baseline="0">
              <a:solidFill>
                <a:schemeClr val="tx2"/>
              </a:solidFill>
              <a:latin typeface="Century Gothic" panose="020B0502020202020204" pitchFamily="34" charset="0"/>
            </a:rPr>
            <a:t>auf deine Berechnung haben? Dann kannst du jetzt einfach mit den Pfeilen zurückspringen und jede deiner Eingaben ändern. Oben im Ergebnis-Bereich seht du jeweils sofort die Auswirkung deiner Änderung.</a:t>
          </a:r>
        </a:p>
        <a:p>
          <a:pPr algn="l">
            <a:lnSpc>
              <a:spcPct val="130000"/>
            </a:lnSpc>
            <a:spcAft>
              <a:spcPts val="1200"/>
            </a:spcAft>
          </a:pPr>
          <a:r>
            <a:rPr lang="de-DE" sz="1200" b="0" baseline="0">
              <a:solidFill>
                <a:schemeClr val="tx2"/>
              </a:solidFill>
              <a:latin typeface="Century Gothic" panose="020B0502020202020204" pitchFamily="34" charset="0"/>
            </a:rPr>
            <a:t>Diese Funktion kannst du zum Beispiel auch nutzen, um ein </a:t>
          </a:r>
          <a:r>
            <a:rPr lang="de-DE" sz="1200" b="1" baseline="0">
              <a:solidFill>
                <a:schemeClr val="tx2"/>
              </a:solidFill>
              <a:latin typeface="Century Gothic" panose="020B0502020202020204" pitchFamily="34" charset="0"/>
            </a:rPr>
            <a:t>Szenario für den Mieterwechsel </a:t>
          </a:r>
          <a:r>
            <a:rPr lang="de-DE" sz="1200" b="0" baseline="0">
              <a:solidFill>
                <a:schemeClr val="tx2"/>
              </a:solidFill>
              <a:latin typeface="Century Gothic" panose="020B0502020202020204" pitchFamily="34" charset="0"/>
            </a:rPr>
            <a:t>durchzurechnen.</a:t>
          </a:r>
        </a:p>
      </xdr:txBody>
    </xdr:sp>
    <xdr:clientData/>
  </xdr:twoCellAnchor>
  <xdr:twoCellAnchor>
    <xdr:from>
      <xdr:col>10</xdr:col>
      <xdr:colOff>114300</xdr:colOff>
      <xdr:row>28</xdr:row>
      <xdr:rowOff>276225</xdr:rowOff>
    </xdr:from>
    <xdr:to>
      <xdr:col>12</xdr:col>
      <xdr:colOff>304800</xdr:colOff>
      <xdr:row>30</xdr:row>
      <xdr:rowOff>9525</xdr:rowOff>
    </xdr:to>
    <xdr:sp macro="" textlink="">
      <xdr:nvSpPr>
        <xdr:cNvPr id="13" name="Arrow: Right 12">
          <a:hlinkClick xmlns:r="http://schemas.openxmlformats.org/officeDocument/2006/relationships" r:id="rId4"/>
          <a:extLst>
            <a:ext uri="{FF2B5EF4-FFF2-40B4-BE49-F238E27FC236}">
              <a16:creationId xmlns:a16="http://schemas.microsoft.com/office/drawing/2014/main" id="{22D01C10-A09B-45EC-AF31-891BD01CD05E}"/>
            </a:ext>
          </a:extLst>
        </xdr:cNvPr>
        <xdr:cNvSpPr/>
      </xdr:nvSpPr>
      <xdr:spPr>
        <a:xfrm>
          <a:off x="6534150" y="8743950"/>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 Interpretation</a:t>
          </a:r>
        </a:p>
      </xdr:txBody>
    </xdr:sp>
    <xdr:clientData/>
  </xdr:twoCellAnchor>
  <xdr:twoCellAnchor editAs="absolute">
    <xdr:from>
      <xdr:col>6</xdr:col>
      <xdr:colOff>590550</xdr:colOff>
      <xdr:row>3</xdr:row>
      <xdr:rowOff>138113</xdr:rowOff>
    </xdr:from>
    <xdr:to>
      <xdr:col>18</xdr:col>
      <xdr:colOff>37532</xdr:colOff>
      <xdr:row>5</xdr:row>
      <xdr:rowOff>241698</xdr:rowOff>
    </xdr:to>
    <xdr:grpSp>
      <xdr:nvGrpSpPr>
        <xdr:cNvPr id="14" name="Group 13">
          <a:extLst>
            <a:ext uri="{FF2B5EF4-FFF2-40B4-BE49-F238E27FC236}">
              <a16:creationId xmlns:a16="http://schemas.microsoft.com/office/drawing/2014/main" id="{15FCD037-382A-4FA8-B07C-CB8EB973EB0C}"/>
            </a:ext>
          </a:extLst>
        </xdr:cNvPr>
        <xdr:cNvGrpSpPr/>
      </xdr:nvGrpSpPr>
      <xdr:grpSpPr>
        <a:xfrm>
          <a:off x="4902200" y="646113"/>
          <a:ext cx="8159182" cy="573485"/>
          <a:chOff x="4705350" y="652463"/>
          <a:chExt cx="7771832" cy="579835"/>
        </a:xfrm>
      </xdr:grpSpPr>
      <xdr:grpSp>
        <xdr:nvGrpSpPr>
          <xdr:cNvPr id="5" name="Group 4">
            <a:extLst>
              <a:ext uri="{FF2B5EF4-FFF2-40B4-BE49-F238E27FC236}">
                <a16:creationId xmlns:a16="http://schemas.microsoft.com/office/drawing/2014/main" id="{D1E15239-E966-414C-B5F9-39BB6C719D5C}"/>
              </a:ext>
            </a:extLst>
          </xdr:cNvPr>
          <xdr:cNvGrpSpPr/>
        </xdr:nvGrpSpPr>
        <xdr:grpSpPr>
          <a:xfrm>
            <a:off x="4705350" y="652463"/>
            <a:ext cx="7771832" cy="257175"/>
            <a:chOff x="4705350" y="642938"/>
            <a:chExt cx="7771832" cy="257175"/>
          </a:xfrm>
        </xdr:grpSpPr>
        <xdr:sp macro="" textlink="">
          <xdr:nvSpPr>
            <xdr:cNvPr id="6" name="Rectangle 5">
              <a:extLst>
                <a:ext uri="{FF2B5EF4-FFF2-40B4-BE49-F238E27FC236}">
                  <a16:creationId xmlns:a16="http://schemas.microsoft.com/office/drawing/2014/main" id="{C32C1DDD-841D-48D8-AEF1-D00DC31294E5}"/>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7" name="Rectangle 6">
              <a:extLst>
                <a:ext uri="{FF2B5EF4-FFF2-40B4-BE49-F238E27FC236}">
                  <a16:creationId xmlns:a16="http://schemas.microsoft.com/office/drawing/2014/main" id="{79EB48E5-E0AF-4AA7-B342-1D62F4305045}"/>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8" name="Rectangle 7">
              <a:extLst>
                <a:ext uri="{FF2B5EF4-FFF2-40B4-BE49-F238E27FC236}">
                  <a16:creationId xmlns:a16="http://schemas.microsoft.com/office/drawing/2014/main" id="{FC72C598-2968-48A6-84AA-60E11DBE6D95}"/>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9" name="Rectangle 8">
              <a:extLst>
                <a:ext uri="{FF2B5EF4-FFF2-40B4-BE49-F238E27FC236}">
                  <a16:creationId xmlns:a16="http://schemas.microsoft.com/office/drawing/2014/main" id="{7D8299F6-0BBC-4138-A02C-EA6080398846}"/>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EC3382F-E5D1-4A9E-8FAE-ECF174B18616}"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10" name="Rectangle 9">
              <a:extLst>
                <a:ext uri="{FF2B5EF4-FFF2-40B4-BE49-F238E27FC236}">
                  <a16:creationId xmlns:a16="http://schemas.microsoft.com/office/drawing/2014/main" id="{1D189B6F-8D6E-440F-94B4-7679675AB6CC}"/>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9976595-EDCF-4DE7-9AF9-70899FB7BEB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11" name="Rectangle 10">
              <a:extLst>
                <a:ext uri="{FF2B5EF4-FFF2-40B4-BE49-F238E27FC236}">
                  <a16:creationId xmlns:a16="http://schemas.microsoft.com/office/drawing/2014/main" id="{B89AE99D-243D-4200-B91B-A7B8F59B9666}"/>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D3AA434-AF0F-4867-9F13-71C475A3BC4A}"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30" name="Group 29">
            <a:extLst>
              <a:ext uri="{FF2B5EF4-FFF2-40B4-BE49-F238E27FC236}">
                <a16:creationId xmlns:a16="http://schemas.microsoft.com/office/drawing/2014/main" id="{8C2DCC5A-7213-4339-96C8-2F7F18AD3AA5}"/>
              </a:ext>
            </a:extLst>
          </xdr:cNvPr>
          <xdr:cNvGrpSpPr/>
        </xdr:nvGrpSpPr>
        <xdr:grpSpPr>
          <a:xfrm>
            <a:off x="4705350" y="975123"/>
            <a:ext cx="7771832" cy="257175"/>
            <a:chOff x="4705350" y="975123"/>
            <a:chExt cx="7771832" cy="257175"/>
          </a:xfrm>
        </xdr:grpSpPr>
        <xdr:sp macro="" textlink="">
          <xdr:nvSpPr>
            <xdr:cNvPr id="31" name="Rectangle 30">
              <a:extLst>
                <a:ext uri="{FF2B5EF4-FFF2-40B4-BE49-F238E27FC236}">
                  <a16:creationId xmlns:a16="http://schemas.microsoft.com/office/drawing/2014/main" id="{FB198F08-CBBB-4BB0-A5AC-D88B63CABFD4}"/>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32" name="Rectangle 31">
              <a:extLst>
                <a:ext uri="{FF2B5EF4-FFF2-40B4-BE49-F238E27FC236}">
                  <a16:creationId xmlns:a16="http://schemas.microsoft.com/office/drawing/2014/main" id="{9CF48159-E18A-4E57-8AD5-E2F823A1BBDA}"/>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33" name="Rectangle 32">
              <a:extLst>
                <a:ext uri="{FF2B5EF4-FFF2-40B4-BE49-F238E27FC236}">
                  <a16:creationId xmlns:a16="http://schemas.microsoft.com/office/drawing/2014/main" id="{A2688A29-2EF2-409F-B2FA-5C322D73FAD5}"/>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34" name="Rectangle 33">
              <a:extLst>
                <a:ext uri="{FF2B5EF4-FFF2-40B4-BE49-F238E27FC236}">
                  <a16:creationId xmlns:a16="http://schemas.microsoft.com/office/drawing/2014/main" id="{73C7A7A4-DB58-4A77-B214-E0F5135D8FF3}"/>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F81CC35-1D89-4B60-8D84-7DDE04A0D1E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35" name="Rectangle 34">
              <a:extLst>
                <a:ext uri="{FF2B5EF4-FFF2-40B4-BE49-F238E27FC236}">
                  <a16:creationId xmlns:a16="http://schemas.microsoft.com/office/drawing/2014/main" id="{4C48E9AD-0F84-41CE-A07C-252D7F24A9C3}"/>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05BC50A-5360-4B25-8F6B-4965CAEFAFA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36" name="Rectangle 35">
              <a:extLst>
                <a:ext uri="{FF2B5EF4-FFF2-40B4-BE49-F238E27FC236}">
                  <a16:creationId xmlns:a16="http://schemas.microsoft.com/office/drawing/2014/main" id="{8C0E3764-2147-4C31-BA5F-595A9222914E}"/>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A69A1D5-9C77-4973-B148-FA29D405590E}"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6</xdr:col>
      <xdr:colOff>352425</xdr:colOff>
      <xdr:row>28</xdr:row>
      <xdr:rowOff>276225</xdr:rowOff>
    </xdr:from>
    <xdr:to>
      <xdr:col>9</xdr:col>
      <xdr:colOff>495450</xdr:colOff>
      <xdr:row>30</xdr:row>
      <xdr:rowOff>9525</xdr:rowOff>
    </xdr:to>
    <xdr:sp macro="" textlink="">
      <xdr:nvSpPr>
        <xdr:cNvPr id="37" name="Arrow: Right 36">
          <a:hlinkClick xmlns:r="http://schemas.openxmlformats.org/officeDocument/2006/relationships" r:id="rId5"/>
          <a:extLst>
            <a:ext uri="{FF2B5EF4-FFF2-40B4-BE49-F238E27FC236}">
              <a16:creationId xmlns:a16="http://schemas.microsoft.com/office/drawing/2014/main" id="{4C527C95-300E-4B8F-9A5E-45C5365EB108}"/>
            </a:ext>
          </a:extLst>
        </xdr:cNvPr>
        <xdr:cNvSpPr/>
      </xdr:nvSpPr>
      <xdr:spPr>
        <a:xfrm flipH="1">
          <a:off x="4467225" y="8743950"/>
          <a:ext cx="169560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editAs="absolute">
    <xdr:from>
      <xdr:col>4</xdr:col>
      <xdr:colOff>85725</xdr:colOff>
      <xdr:row>0</xdr:row>
      <xdr:rowOff>133350</xdr:rowOff>
    </xdr:from>
    <xdr:to>
      <xdr:col>18</xdr:col>
      <xdr:colOff>76200</xdr:colOff>
      <xdr:row>2</xdr:row>
      <xdr:rowOff>29325</xdr:rowOff>
    </xdr:to>
    <xdr:grpSp>
      <xdr:nvGrpSpPr>
        <xdr:cNvPr id="41" name="Group 40">
          <a:extLst>
            <a:ext uri="{FF2B5EF4-FFF2-40B4-BE49-F238E27FC236}">
              <a16:creationId xmlns:a16="http://schemas.microsoft.com/office/drawing/2014/main" id="{3472C540-AC63-491D-A369-9226C7DC093D}"/>
            </a:ext>
          </a:extLst>
        </xdr:cNvPr>
        <xdr:cNvGrpSpPr/>
      </xdr:nvGrpSpPr>
      <xdr:grpSpPr>
        <a:xfrm>
          <a:off x="3089275" y="133350"/>
          <a:ext cx="10010775" cy="245225"/>
          <a:chOff x="2952750" y="137737"/>
          <a:chExt cx="9563100" cy="248400"/>
        </a:xfrm>
      </xdr:grpSpPr>
      <xdr:sp macro="" textlink="">
        <xdr:nvSpPr>
          <xdr:cNvPr id="42" name="Rectangle 41">
            <a:hlinkClick xmlns:r="http://schemas.openxmlformats.org/officeDocument/2006/relationships" r:id="rId6"/>
            <a:extLst>
              <a:ext uri="{FF2B5EF4-FFF2-40B4-BE49-F238E27FC236}">
                <a16:creationId xmlns:a16="http://schemas.microsoft.com/office/drawing/2014/main" id="{F3E022DC-EB4C-4B9A-A220-392182F8539F}"/>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43" name="Rectangle 42">
            <a:hlinkClick xmlns:r="http://schemas.openxmlformats.org/officeDocument/2006/relationships" r:id="rId7"/>
            <a:extLst>
              <a:ext uri="{FF2B5EF4-FFF2-40B4-BE49-F238E27FC236}">
                <a16:creationId xmlns:a16="http://schemas.microsoft.com/office/drawing/2014/main" id="{7E2310F7-B7DF-45A8-8D8F-70E90FC3A332}"/>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44" name="Rectangle 43">
            <a:hlinkClick xmlns:r="http://schemas.openxmlformats.org/officeDocument/2006/relationships" r:id="rId8"/>
            <a:extLst>
              <a:ext uri="{FF2B5EF4-FFF2-40B4-BE49-F238E27FC236}">
                <a16:creationId xmlns:a16="http://schemas.microsoft.com/office/drawing/2014/main" id="{5341AD6C-2433-415C-90D8-958558EA00EE}"/>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45" name="Rectangle 44">
            <a:hlinkClick xmlns:r="http://schemas.openxmlformats.org/officeDocument/2006/relationships" r:id="rId9"/>
            <a:extLst>
              <a:ext uri="{FF2B5EF4-FFF2-40B4-BE49-F238E27FC236}">
                <a16:creationId xmlns:a16="http://schemas.microsoft.com/office/drawing/2014/main" id="{88D2B678-A597-4148-8A43-0586271084E2}"/>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46" name="Rectangle 45">
            <a:hlinkClick xmlns:r="http://schemas.openxmlformats.org/officeDocument/2006/relationships" r:id="rId10"/>
            <a:extLst>
              <a:ext uri="{FF2B5EF4-FFF2-40B4-BE49-F238E27FC236}">
                <a16:creationId xmlns:a16="http://schemas.microsoft.com/office/drawing/2014/main" id="{759B1417-FC39-4E18-A23F-2653B975CC96}"/>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47" name="Rectangle 46">
            <a:hlinkClick xmlns:r="http://schemas.openxmlformats.org/officeDocument/2006/relationships" r:id="rId11"/>
            <a:extLst>
              <a:ext uri="{FF2B5EF4-FFF2-40B4-BE49-F238E27FC236}">
                <a16:creationId xmlns:a16="http://schemas.microsoft.com/office/drawing/2014/main" id="{9F61C821-F220-470F-8F68-7A6D1A156B78}"/>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cs typeface="Calibri" panose="020F0502020204030204" pitchFamily="34" charset="0"/>
              </a:rPr>
              <a:t> </a:t>
            </a:r>
            <a:r>
              <a:rPr lang="de-DE" sz="1050" u="none">
                <a:solidFill>
                  <a:schemeClr val="bg1"/>
                </a:solidFill>
                <a:latin typeface="+mn-lt"/>
              </a:rPr>
              <a:t>Steuern</a:t>
            </a:r>
          </a:p>
        </xdr:txBody>
      </xdr:sp>
      <xdr:sp macro="" textlink="">
        <xdr:nvSpPr>
          <xdr:cNvPr id="48" name="Rectangle 47">
            <a:hlinkClick xmlns:r="http://schemas.openxmlformats.org/officeDocument/2006/relationships" r:id="rId12"/>
            <a:extLst>
              <a:ext uri="{FF2B5EF4-FFF2-40B4-BE49-F238E27FC236}">
                <a16:creationId xmlns:a16="http://schemas.microsoft.com/office/drawing/2014/main" id="{FFAA40E5-F602-4643-BD68-175C6E6C4907}"/>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Ergebnis</a:t>
            </a:r>
          </a:p>
        </xdr:txBody>
      </xdr:sp>
      <xdr:sp macro="" textlink="">
        <xdr:nvSpPr>
          <xdr:cNvPr id="49" name="Rectangle 48">
            <a:extLst>
              <a:ext uri="{FF2B5EF4-FFF2-40B4-BE49-F238E27FC236}">
                <a16:creationId xmlns:a16="http://schemas.microsoft.com/office/drawing/2014/main" id="{21DBA094-535F-48E4-A088-6F192932462A}"/>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0" name="Rectangle 49">
            <a:extLst>
              <a:ext uri="{FF2B5EF4-FFF2-40B4-BE49-F238E27FC236}">
                <a16:creationId xmlns:a16="http://schemas.microsoft.com/office/drawing/2014/main" id="{BD988113-C71B-4A99-9183-86C75F7BCACD}"/>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1" name="Rectangle 50">
            <a:extLst>
              <a:ext uri="{FF2B5EF4-FFF2-40B4-BE49-F238E27FC236}">
                <a16:creationId xmlns:a16="http://schemas.microsoft.com/office/drawing/2014/main" id="{02FABD9B-8279-4B20-B395-D75CAF4860E9}"/>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2" name="Rectangle 51">
            <a:extLst>
              <a:ext uri="{FF2B5EF4-FFF2-40B4-BE49-F238E27FC236}">
                <a16:creationId xmlns:a16="http://schemas.microsoft.com/office/drawing/2014/main" id="{5F344FD7-0086-43EE-A0D5-976582B66152}"/>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3" name="Rectangle 52">
            <a:extLst>
              <a:ext uri="{FF2B5EF4-FFF2-40B4-BE49-F238E27FC236}">
                <a16:creationId xmlns:a16="http://schemas.microsoft.com/office/drawing/2014/main" id="{95684F74-8CCD-4645-88F7-BD420BBC0CDF}"/>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4" name="Rectangle 53">
            <a:extLst>
              <a:ext uri="{FF2B5EF4-FFF2-40B4-BE49-F238E27FC236}">
                <a16:creationId xmlns:a16="http://schemas.microsoft.com/office/drawing/2014/main" id="{FFC1F283-7288-4018-BC82-F0E3879E0379}"/>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5" name="Rectangle 54">
            <a:extLst>
              <a:ext uri="{FF2B5EF4-FFF2-40B4-BE49-F238E27FC236}">
                <a16:creationId xmlns:a16="http://schemas.microsoft.com/office/drawing/2014/main" id="{75CC9DB2-8AAC-4751-B1BD-2595F0B1AF6A}"/>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6" name="Rectangle: Rounded Corners 55">
            <a:hlinkClick xmlns:r="http://schemas.openxmlformats.org/officeDocument/2006/relationships" r:id="rId13"/>
            <a:extLst>
              <a:ext uri="{FF2B5EF4-FFF2-40B4-BE49-F238E27FC236}">
                <a16:creationId xmlns:a16="http://schemas.microsoft.com/office/drawing/2014/main" id="{95B18181-0B0F-44B2-B092-B6120F7F8EF8}"/>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57" name="Rectangle 56">
            <a:extLst>
              <a:ext uri="{FF2B5EF4-FFF2-40B4-BE49-F238E27FC236}">
                <a16:creationId xmlns:a16="http://schemas.microsoft.com/office/drawing/2014/main" id="{2085CEE1-36B4-4AF9-95C1-765E60DB282F}"/>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58" name="Rectangle: Rounded Corners 57">
            <a:hlinkClick xmlns:r="http://schemas.openxmlformats.org/officeDocument/2006/relationships" r:id="rId14"/>
            <a:extLst>
              <a:ext uri="{FF2B5EF4-FFF2-40B4-BE49-F238E27FC236}">
                <a16:creationId xmlns:a16="http://schemas.microsoft.com/office/drawing/2014/main" id="{EB27D1F8-E424-4F27-9394-73CDA4F3EC7F}"/>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1</xdr:col>
      <xdr:colOff>9525</xdr:colOff>
      <xdr:row>14</xdr:row>
      <xdr:rowOff>190498</xdr:rowOff>
    </xdr:from>
    <xdr:to>
      <xdr:col>17</xdr:col>
      <xdr:colOff>752474</xdr:colOff>
      <xdr:row>21</xdr:row>
      <xdr:rowOff>57151</xdr:rowOff>
    </xdr:to>
    <xdr:sp macro="" textlink="">
      <xdr:nvSpPr>
        <xdr:cNvPr id="59" name="Rectangle: Rounded Corners 58">
          <a:extLst>
            <a:ext uri="{FF2B5EF4-FFF2-40B4-BE49-F238E27FC236}">
              <a16:creationId xmlns:a16="http://schemas.microsoft.com/office/drawing/2014/main" id="{AEFCBF41-34A8-4F4D-B2E6-132589D74B1F}"/>
            </a:ext>
          </a:extLst>
        </xdr:cNvPr>
        <xdr:cNvSpPr/>
      </xdr:nvSpPr>
      <xdr:spPr>
        <a:xfrm>
          <a:off x="228600" y="3771898"/>
          <a:ext cx="12211049" cy="2105028"/>
        </a:xfrm>
        <a:prstGeom prst="roundRect">
          <a:avLst>
            <a:gd name="adj" fmla="val 1797"/>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tIns="90000" rtlCol="0" anchor="t"/>
        <a:lstStyle/>
        <a:p>
          <a:pPr algn="l">
            <a:lnSpc>
              <a:spcPct val="130000"/>
            </a:lnSpc>
            <a:spcAft>
              <a:spcPts val="1800"/>
            </a:spcAft>
          </a:pPr>
          <a:r>
            <a:rPr lang="de-DE" sz="1200" b="0" baseline="0">
              <a:solidFill>
                <a:schemeClr val="tx2"/>
              </a:solidFill>
              <a:latin typeface="Century Gothic" panose="020B0502020202020204" pitchFamily="34" charset="0"/>
            </a:rPr>
            <a:t>„Grün“ ist super. Die Wohnung zahlt sich durch die Miete von Anfang an (fast) von selbst ab. Nach kurzer Zeit bleibt wahrscheinlich schon Geld übrig. </a:t>
          </a:r>
        </a:p>
        <a:p>
          <a:pPr algn="l">
            <a:lnSpc>
              <a:spcPct val="130000"/>
            </a:lnSpc>
            <a:spcAft>
              <a:spcPts val="1800"/>
            </a:spcAft>
          </a:pPr>
          <a:r>
            <a:rPr lang="de-DE" sz="1200" b="0" baseline="0">
              <a:solidFill>
                <a:schemeClr val="tx2"/>
              </a:solidFill>
              <a:latin typeface="Century Gothic" panose="020B0502020202020204" pitchFamily="34" charset="0"/>
            </a:rPr>
            <a:t>„Gelb“ bedeutet, dass du anfangs zwar monatlich etwas mehr drauflegen musst. Aber noch im Rahmen. Die Wohnung unterstützt dich bei deiner Altersvorsorge. Sie ist immer noch viel lukrativer als andere Anlageformen. Und du hast eine zuverlässige Rente im Alter. Wichtig bei „gelb“ ist aber, dass du dir die monatliche Zuzahlung zuverlässig leisten kannst.</a:t>
          </a:r>
        </a:p>
        <a:p>
          <a:pPr algn="l">
            <a:lnSpc>
              <a:spcPct val="130000"/>
            </a:lnSpc>
            <a:spcAft>
              <a:spcPts val="1800"/>
            </a:spcAft>
          </a:pPr>
          <a:r>
            <a:rPr lang="de-DE" sz="1200" b="0" baseline="0">
              <a:solidFill>
                <a:schemeClr val="tx2"/>
              </a:solidFill>
              <a:latin typeface="Century Gothic" panose="020B0502020202020204" pitchFamily="34" charset="0"/>
            </a:rPr>
            <a:t>Bei „rot“ macht die Investition wenig Sinn. Du bezahlst den Kredit überwiegend aus eigener Tasche zurück. Die Mieteinnahmen der Wohnung reichen nicht für viel mehr als die Bewirtschaftungskosten und Zinsen.</a:t>
          </a:r>
        </a:p>
      </xdr:txBody>
    </xdr:sp>
    <xdr:clientData/>
  </xdr:twoCellAnchor>
  <xdr:twoCellAnchor editAs="absolute">
    <xdr:from>
      <xdr:col>1</xdr:col>
      <xdr:colOff>9525</xdr:colOff>
      <xdr:row>22</xdr:row>
      <xdr:rowOff>57150</xdr:rowOff>
    </xdr:from>
    <xdr:to>
      <xdr:col>18</xdr:col>
      <xdr:colOff>9525</xdr:colOff>
      <xdr:row>23</xdr:row>
      <xdr:rowOff>276225</xdr:rowOff>
    </xdr:to>
    <xdr:sp macro="" textlink="">
      <xdr:nvSpPr>
        <xdr:cNvPr id="61" name="Rectangle: Rounded Corners 60">
          <a:hlinkClick xmlns:r="http://schemas.openxmlformats.org/officeDocument/2006/relationships" r:id="rId15"/>
          <a:extLst>
            <a:ext uri="{FF2B5EF4-FFF2-40B4-BE49-F238E27FC236}">
              <a16:creationId xmlns:a16="http://schemas.microsoft.com/office/drawing/2014/main" id="{E6706CC9-4A93-4F47-BB20-42D200BB2500}"/>
            </a:ext>
          </a:extLst>
        </xdr:cNvPr>
        <xdr:cNvSpPr/>
      </xdr:nvSpPr>
      <xdr:spPr>
        <a:xfrm>
          <a:off x="228600" y="6200775"/>
          <a:ext cx="12220575" cy="885825"/>
        </a:xfrm>
        <a:prstGeom prst="roundRect">
          <a:avLst>
            <a:gd name="adj" fmla="val 8180"/>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pPr>
          <a:r>
            <a:rPr lang="de-DE" sz="1200">
              <a:solidFill>
                <a:schemeClr val="tx2"/>
              </a:solidFill>
              <a:latin typeface="Century Gothic" panose="020B0502020202020204" pitchFamily="34" charset="0"/>
            </a:rPr>
            <a:t>Bitte beachte, dass auch eine Wohnung mit positivem Cashflow</a:t>
          </a:r>
          <a:r>
            <a:rPr lang="de-DE" sz="1200" baseline="0">
              <a:solidFill>
                <a:schemeClr val="tx2"/>
              </a:solidFill>
              <a:latin typeface="Century Gothic" panose="020B0502020202020204" pitchFamily="34" charset="0"/>
            </a:rPr>
            <a:t> (Überschuss) nicht zwingend ein guter Kauf ist. Ob eine Wohnung als Geldanlage optimal funktioniert, hängt auch von der Zukunftssicherheit des Standortes und weiteren Faktoren ab. Wir beschreiben in </a:t>
          </a:r>
          <a:r>
            <a:rPr lang="de-DE" sz="1200">
              <a:solidFill>
                <a:schemeClr val="tx2"/>
              </a:solidFill>
              <a:latin typeface="Century Gothic" panose="020B0502020202020204" pitchFamily="34" charset="0"/>
            </a:rPr>
            <a:t>unserer Gebrauchsanleitung</a:t>
          </a:r>
          <a:r>
            <a:rPr lang="de-DE" sz="1200" baseline="0">
              <a:solidFill>
                <a:schemeClr val="tx2"/>
              </a:solidFill>
              <a:latin typeface="Century Gothic" panose="020B0502020202020204" pitchFamily="34" charset="0"/>
            </a:rPr>
            <a:t> für den Wohnungskauf im Detail, wie du am Ende eine gute Kaufentscheidung treffen kannst. </a:t>
          </a:r>
          <a:r>
            <a:rPr lang="de-DE" sz="1200" u="sng" baseline="0">
              <a:solidFill>
                <a:schemeClr val="tx2"/>
              </a:solidFill>
              <a:latin typeface="Century Gothic" panose="020B0502020202020204" pitchFamily="34" charset="0"/>
            </a:rPr>
            <a:t>Du findest die Anleitung hier (immocation Buch).</a:t>
          </a:r>
        </a:p>
      </xdr:txBody>
    </xdr:sp>
    <xdr:clientData/>
  </xdr:twoCellAnchor>
  <xdr:twoCellAnchor editAs="oneCell">
    <xdr:from>
      <xdr:col>1</xdr:col>
      <xdr:colOff>152400</xdr:colOff>
      <xdr:row>25</xdr:row>
      <xdr:rowOff>180975</xdr:rowOff>
    </xdr:from>
    <xdr:to>
      <xdr:col>2</xdr:col>
      <xdr:colOff>85725</xdr:colOff>
      <xdr:row>26</xdr:row>
      <xdr:rowOff>9525</xdr:rowOff>
    </xdr:to>
    <xdr:pic>
      <xdr:nvPicPr>
        <xdr:cNvPr id="15" name="Picture 14">
          <a:extLst>
            <a:ext uri="{FF2B5EF4-FFF2-40B4-BE49-F238E27FC236}">
              <a16:creationId xmlns:a16="http://schemas.microsoft.com/office/drawing/2014/main" id="{E41B8C34-C607-4E7D-85A1-2C63C763A0F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71475" y="7534275"/>
          <a:ext cx="295275" cy="295275"/>
        </a:xfrm>
        <a:prstGeom prst="rect">
          <a:avLst/>
        </a:prstGeom>
      </xdr:spPr>
    </xdr:pic>
    <xdr:clientData/>
  </xdr:twoCellAnchor>
  <xdr:twoCellAnchor>
    <xdr:from>
      <xdr:col>5</xdr:col>
      <xdr:colOff>0</xdr:colOff>
      <xdr:row>7</xdr:row>
      <xdr:rowOff>76200</xdr:rowOff>
    </xdr:from>
    <xdr:to>
      <xdr:col>17</xdr:col>
      <xdr:colOff>742951</xdr:colOff>
      <xdr:row>13</xdr:row>
      <xdr:rowOff>95250</xdr:rowOff>
    </xdr:to>
    <xdr:sp macro="" textlink="">
      <xdr:nvSpPr>
        <xdr:cNvPr id="66" name="Rectangle: Rounded Corners 75">
          <a:extLst>
            <a:ext uri="{FF2B5EF4-FFF2-40B4-BE49-F238E27FC236}">
              <a16:creationId xmlns:a16="http://schemas.microsoft.com/office/drawing/2014/main" id="{0994D966-545E-4A5F-8817-6DAF95360549}"/>
            </a:ext>
          </a:extLst>
        </xdr:cNvPr>
        <xdr:cNvSpPr/>
      </xdr:nvSpPr>
      <xdr:spPr>
        <a:xfrm>
          <a:off x="3971925" y="1724025"/>
          <a:ext cx="8458201" cy="1676400"/>
        </a:xfrm>
        <a:prstGeom prst="roundRect">
          <a:avLst>
            <a:gd name="adj" fmla="val 3635"/>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0" tIns="90000" rIns="180000" bIns="90000" rtlCol="0" anchor="t"/>
        <a:lstStyle/>
        <a:p>
          <a:pPr algn="l">
            <a:lnSpc>
              <a:spcPct val="130000"/>
            </a:lnSpc>
            <a:spcAft>
              <a:spcPts val="1200"/>
            </a:spcAft>
          </a:pPr>
          <a:endParaRPr lang="de-DE" sz="1400" b="0" baseline="0">
            <a:solidFill>
              <a:schemeClr val="tx2"/>
            </a:solidFill>
            <a:latin typeface="Century Gothic" panose="020B0502020202020204" pitchFamily="34" charset="0"/>
          </a:endParaRPr>
        </a:p>
      </xdr:txBody>
    </xdr:sp>
    <xdr:clientData/>
  </xdr:twoCellAnchor>
  <xdr:twoCellAnchor>
    <xdr:from>
      <xdr:col>1</xdr:col>
      <xdr:colOff>9524</xdr:colOff>
      <xdr:row>7</xdr:row>
      <xdr:rowOff>76200</xdr:rowOff>
    </xdr:from>
    <xdr:to>
      <xdr:col>4</xdr:col>
      <xdr:colOff>685799</xdr:colOff>
      <xdr:row>13</xdr:row>
      <xdr:rowOff>114300</xdr:rowOff>
    </xdr:to>
    <xdr:sp macro="" textlink="">
      <xdr:nvSpPr>
        <xdr:cNvPr id="67" name="Rectangle: Rounded Corners 76">
          <a:extLst>
            <a:ext uri="{FF2B5EF4-FFF2-40B4-BE49-F238E27FC236}">
              <a16:creationId xmlns:a16="http://schemas.microsoft.com/office/drawing/2014/main" id="{E245B875-1340-4850-BEE0-2485CF33603D}"/>
            </a:ext>
          </a:extLst>
        </xdr:cNvPr>
        <xdr:cNvSpPr/>
      </xdr:nvSpPr>
      <xdr:spPr>
        <a:xfrm>
          <a:off x="228599" y="1724025"/>
          <a:ext cx="3324225" cy="1695450"/>
        </a:xfrm>
        <a:prstGeom prst="roundRect">
          <a:avLst>
            <a:gd name="adj" fmla="val 3635"/>
          </a:avLst>
        </a:prstGeom>
        <a:solidFill>
          <a:schemeClr val="tx2"/>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tIns="90000" rIns="180000" bIns="90000" rtlCol="0" anchor="t"/>
        <a:lstStyle/>
        <a:p>
          <a:pPr algn="ctr">
            <a:lnSpc>
              <a:spcPct val="130000"/>
            </a:lnSpc>
            <a:spcAft>
              <a:spcPts val="1200"/>
            </a:spcAft>
          </a:pPr>
          <a:r>
            <a:rPr lang="de-DE" sz="1800" b="0" baseline="0">
              <a:solidFill>
                <a:schemeClr val="bg1"/>
              </a:solidFill>
              <a:latin typeface="Century Gothic" panose="020B0502020202020204" pitchFamily="34" charset="0"/>
            </a:rPr>
            <a:t>Dein monatlicher Überschuss nach Steuern:</a:t>
          </a:r>
          <a:endParaRPr lang="de-DE" sz="3200" b="0" baseline="0">
            <a:solidFill>
              <a:schemeClr val="bg1"/>
            </a:solidFill>
            <a:latin typeface="Century Gothic" panose="020B0502020202020204" pitchFamily="34" charset="0"/>
          </a:endParaRPr>
        </a:p>
      </xdr:txBody>
    </xdr:sp>
    <xdr:clientData/>
  </xdr:twoCellAnchor>
  <xdr:twoCellAnchor>
    <xdr:from>
      <xdr:col>6</xdr:col>
      <xdr:colOff>120627</xdr:colOff>
      <xdr:row>8</xdr:row>
      <xdr:rowOff>200029</xdr:rowOff>
    </xdr:from>
    <xdr:to>
      <xdr:col>7</xdr:col>
      <xdr:colOff>561974</xdr:colOff>
      <xdr:row>12</xdr:row>
      <xdr:rowOff>90396</xdr:rowOff>
    </xdr:to>
    <xdr:pic>
      <xdr:nvPicPr>
        <xdr:cNvPr id="68" name="Picture 8">
          <a:extLst>
            <a:ext uri="{FF2B5EF4-FFF2-40B4-BE49-F238E27FC236}">
              <a16:creationId xmlns:a16="http://schemas.microsoft.com/office/drawing/2014/main" id="{0018B232-4894-421C-85E0-9EAB50B9E8E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35427" y="2124079"/>
          <a:ext cx="1050947" cy="995267"/>
        </a:xfrm>
        <a:prstGeom prst="rect">
          <a:avLst/>
        </a:prstGeom>
      </xdr:spPr>
    </xdr:pic>
    <xdr:clientData/>
  </xdr:twoCellAnchor>
  <xdr:twoCellAnchor>
    <xdr:from>
      <xdr:col>2</xdr:col>
      <xdr:colOff>628649</xdr:colOff>
      <xdr:row>10</xdr:row>
      <xdr:rowOff>228604</xdr:rowOff>
    </xdr:from>
    <xdr:to>
      <xdr:col>3</xdr:col>
      <xdr:colOff>647699</xdr:colOff>
      <xdr:row>12</xdr:row>
      <xdr:rowOff>209554</xdr:rowOff>
    </xdr:to>
    <xdr:sp macro="" textlink="cnfg_rf!G10">
      <xdr:nvSpPr>
        <xdr:cNvPr id="69" name="Rectangle 13">
          <a:extLst>
            <a:ext uri="{FF2B5EF4-FFF2-40B4-BE49-F238E27FC236}">
              <a16:creationId xmlns:a16="http://schemas.microsoft.com/office/drawing/2014/main" id="{9B666409-AF12-4A89-B627-F13BB08FC9E0}"/>
            </a:ext>
          </a:extLst>
        </xdr:cNvPr>
        <xdr:cNvSpPr/>
      </xdr:nvSpPr>
      <xdr:spPr>
        <a:xfrm>
          <a:off x="1209674" y="2705104"/>
          <a:ext cx="1381125" cy="5334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8BA56E8-6537-4455-AF18-491507FD7070}" type="TxLink">
            <a:rPr lang="en-US" sz="3600" b="0" i="0" u="none" strike="noStrike">
              <a:solidFill>
                <a:schemeClr val="bg1"/>
              </a:solidFill>
              <a:latin typeface="Century Gothic" panose="020B0502020202020204" pitchFamily="34" charset="0"/>
              <a:cs typeface="Calibri"/>
            </a:rPr>
            <a:pPr algn="ctr"/>
            <a:t>-</a:t>
          </a:fld>
          <a:endParaRPr lang="de-DE" sz="3600">
            <a:solidFill>
              <a:schemeClr val="bg1"/>
            </a:solidFill>
            <a:latin typeface="Century Gothic" panose="020B0502020202020204" pitchFamily="34" charset="0"/>
          </a:endParaRPr>
        </a:p>
      </xdr:txBody>
    </xdr:sp>
    <xdr:clientData/>
  </xdr:twoCellAnchor>
  <xdr:twoCellAnchor>
    <xdr:from>
      <xdr:col>7</xdr:col>
      <xdr:colOff>736705</xdr:colOff>
      <xdr:row>7</xdr:row>
      <xdr:rowOff>219079</xdr:rowOff>
    </xdr:from>
    <xdr:to>
      <xdr:col>17</xdr:col>
      <xdr:colOff>542925</xdr:colOff>
      <xdr:row>8</xdr:row>
      <xdr:rowOff>257179</xdr:rowOff>
    </xdr:to>
    <xdr:sp macro="" textlink="txt_rf!E12">
      <xdr:nvSpPr>
        <xdr:cNvPr id="70" name="Rectangle 15">
          <a:extLst>
            <a:ext uri="{FF2B5EF4-FFF2-40B4-BE49-F238E27FC236}">
              <a16:creationId xmlns:a16="http://schemas.microsoft.com/office/drawing/2014/main" id="{BB7CBFBB-E759-4ACF-B288-402954C91C24}"/>
            </a:ext>
          </a:extLst>
        </xdr:cNvPr>
        <xdr:cNvSpPr/>
      </xdr:nvSpPr>
      <xdr:spPr>
        <a:xfrm>
          <a:off x="5461105" y="1866904"/>
          <a:ext cx="676899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6CF8F4F-79B4-44F8-8A55-BCF807E14F85}" type="TxLink">
            <a:rPr lang="en-US" sz="1200" b="1" i="0" u="none" strike="noStrike">
              <a:solidFill>
                <a:schemeClr val="tx2"/>
              </a:solidFill>
              <a:latin typeface="Century Gothic" panose="020B0502020202020204" pitchFamily="34" charset="0"/>
              <a:cs typeface="Calibri"/>
            </a:rPr>
            <a:pPr algn="l"/>
            <a:t> </a:t>
          </a:fld>
          <a:endParaRPr lang="de-DE" sz="1200" b="1">
            <a:solidFill>
              <a:schemeClr val="tx2"/>
            </a:solidFill>
            <a:latin typeface="Century Gothic" panose="020B0502020202020204" pitchFamily="34" charset="0"/>
          </a:endParaRPr>
        </a:p>
      </xdr:txBody>
    </xdr:sp>
    <xdr:clientData/>
  </xdr:twoCellAnchor>
  <xdr:twoCellAnchor>
    <xdr:from>
      <xdr:col>7</xdr:col>
      <xdr:colOff>733425</xdr:colOff>
      <xdr:row>9</xdr:row>
      <xdr:rowOff>47629</xdr:rowOff>
    </xdr:from>
    <xdr:to>
      <xdr:col>17</xdr:col>
      <xdr:colOff>638175</xdr:colOff>
      <xdr:row>11</xdr:row>
      <xdr:rowOff>85729</xdr:rowOff>
    </xdr:to>
    <xdr:sp macro="" textlink="txt_rf!E13">
      <xdr:nvSpPr>
        <xdr:cNvPr id="71" name="Rectangle 78">
          <a:extLst>
            <a:ext uri="{FF2B5EF4-FFF2-40B4-BE49-F238E27FC236}">
              <a16:creationId xmlns:a16="http://schemas.microsoft.com/office/drawing/2014/main" id="{C7022356-D36F-4230-B082-003B439DB39E}"/>
            </a:ext>
          </a:extLst>
        </xdr:cNvPr>
        <xdr:cNvSpPr/>
      </xdr:nvSpPr>
      <xdr:spPr>
        <a:xfrm>
          <a:off x="5457825" y="2247904"/>
          <a:ext cx="6867525" cy="590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9EE8973-15FF-45EC-99E4-12F2C14546C6}" type="TxLink">
            <a:rPr lang="en-US" sz="1200" b="0" i="0" u="none" strike="noStrike">
              <a:solidFill>
                <a:schemeClr val="tx2"/>
              </a:solidFill>
              <a:latin typeface="Century Gothic" panose="020B0502020202020204" pitchFamily="34" charset="0"/>
              <a:cs typeface="Calibri"/>
            </a:rPr>
            <a:pPr algn="l"/>
            <a:t>Bitte fülle alle Eingabefelder, um den Cashflow nach Steuern zu berechnen.</a:t>
          </a:fld>
          <a:endParaRPr lang="de-DE" sz="2000" b="1">
            <a:solidFill>
              <a:schemeClr val="tx2"/>
            </a:solidFill>
            <a:latin typeface="Century Gothic" panose="020B0502020202020204" pitchFamily="34" charset="0"/>
          </a:endParaRPr>
        </a:p>
      </xdr:txBody>
    </xdr:sp>
    <xdr:clientData/>
  </xdr:twoCellAnchor>
  <xdr:twoCellAnchor>
    <xdr:from>
      <xdr:col>7</xdr:col>
      <xdr:colOff>732770</xdr:colOff>
      <xdr:row>10</xdr:row>
      <xdr:rowOff>161929</xdr:rowOff>
    </xdr:from>
    <xdr:to>
      <xdr:col>16</xdr:col>
      <xdr:colOff>447676</xdr:colOff>
      <xdr:row>13</xdr:row>
      <xdr:rowOff>114304</xdr:rowOff>
    </xdr:to>
    <xdr:sp macro="" textlink="txt_rf!E15">
      <xdr:nvSpPr>
        <xdr:cNvPr id="72" name="Rectangle 79">
          <a:extLst>
            <a:ext uri="{FF2B5EF4-FFF2-40B4-BE49-F238E27FC236}">
              <a16:creationId xmlns:a16="http://schemas.microsoft.com/office/drawing/2014/main" id="{65440558-F676-4747-8B2E-6D28176CFBE9}"/>
            </a:ext>
          </a:extLst>
        </xdr:cNvPr>
        <xdr:cNvSpPr/>
      </xdr:nvSpPr>
      <xdr:spPr>
        <a:xfrm>
          <a:off x="5457170" y="2638429"/>
          <a:ext cx="5925206" cy="781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BAE3F40-08F7-4E3A-8929-93534F70FE71}" type="TxLink">
            <a:rPr lang="en-US" sz="1200" b="0" i="0" u="none" strike="noStrike">
              <a:solidFill>
                <a:schemeClr val="tx2"/>
              </a:solidFill>
              <a:latin typeface="Century Gothic" panose="020B0502020202020204" pitchFamily="34" charset="0"/>
              <a:cs typeface="Calibri"/>
            </a:rPr>
            <a:pPr algn="l"/>
            <a:t> </a:t>
          </a:fld>
          <a:endParaRPr lang="de-DE" sz="2000" b="1">
            <a:solidFill>
              <a:schemeClr val="tx2"/>
            </a:solidFill>
            <a:latin typeface="Century Gothic" panose="020B0502020202020204" pitchFamily="34" charset="0"/>
          </a:endParaRPr>
        </a:p>
      </xdr:txBody>
    </xdr:sp>
    <xdr:clientData/>
  </xdr:twoCellAnchor>
  <xdr:twoCellAnchor>
    <xdr:from>
      <xdr:col>3</xdr:col>
      <xdr:colOff>828675</xdr:colOff>
      <xdr:row>10</xdr:row>
      <xdr:rowOff>209550</xdr:rowOff>
    </xdr:from>
    <xdr:to>
      <xdr:col>4</xdr:col>
      <xdr:colOff>514350</xdr:colOff>
      <xdr:row>12</xdr:row>
      <xdr:rowOff>266700</xdr:rowOff>
    </xdr:to>
    <xdr:grpSp>
      <xdr:nvGrpSpPr>
        <xdr:cNvPr id="18" name="Group 17">
          <a:extLst>
            <a:ext uri="{FF2B5EF4-FFF2-40B4-BE49-F238E27FC236}">
              <a16:creationId xmlns:a16="http://schemas.microsoft.com/office/drawing/2014/main" id="{62018243-EF99-48BB-9505-B132819349CD}"/>
            </a:ext>
          </a:extLst>
        </xdr:cNvPr>
        <xdr:cNvGrpSpPr/>
      </xdr:nvGrpSpPr>
      <xdr:grpSpPr>
        <a:xfrm>
          <a:off x="2867025" y="2660650"/>
          <a:ext cx="650875" cy="603250"/>
          <a:chOff x="2771775" y="2714625"/>
          <a:chExt cx="609600" cy="609600"/>
        </a:xfrm>
      </xdr:grpSpPr>
      <mc:AlternateContent xmlns:mc="http://schemas.openxmlformats.org/markup-compatibility/2006" xmlns:a14="http://schemas.microsoft.com/office/drawing/2010/main">
        <mc:Choice Requires="a14">
          <xdr:pic>
            <xdr:nvPicPr>
              <xdr:cNvPr id="62" name="Picture 61">
                <a:extLst>
                  <a:ext uri="{FF2B5EF4-FFF2-40B4-BE49-F238E27FC236}">
                    <a16:creationId xmlns:a16="http://schemas.microsoft.com/office/drawing/2014/main" id="{AE7A12A4-9372-42AC-AFCA-7964A4E87FE3}"/>
                  </a:ext>
                </a:extLst>
              </xdr:cNvPr>
              <xdr:cNvPicPr>
                <a:picLocks noChangeAspect="1" noChangeArrowheads="1"/>
                <a:extLst>
                  <a:ext uri="{84589F7E-364E-4C9E-8A38-B11213B215E9}">
                    <a14:cameraTool cellRange="cnfg_rf!F29" spid="_x0000_s16458"/>
                  </a:ext>
                </a:extLst>
              </xdr:cNvPicPr>
            </xdr:nvPicPr>
            <xdr:blipFill>
              <a:blip xmlns:r="http://schemas.openxmlformats.org/officeDocument/2006/relationships" r:embed="rId18"/>
              <a:srcRect/>
              <a:stretch>
                <a:fillRect/>
              </a:stretch>
            </xdr:blipFill>
            <xdr:spPr bwMode="auto">
              <a:xfrm>
                <a:off x="2800349" y="2752725"/>
                <a:ext cx="523875" cy="523873"/>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a:solidFill>
                      <a:srgbClr val="FFFFFF"/>
                    </a:solidFill>
                  </a14:hiddenFill>
                </a:ext>
              </a:extLst>
            </xdr:spPr>
          </xdr:pic>
        </mc:Choice>
        <mc:Fallback xmlns=""/>
      </mc:AlternateContent>
      <xdr:sp macro="" textlink="">
        <xdr:nvSpPr>
          <xdr:cNvPr id="3" name="Circle: Hollow 2">
            <a:extLst>
              <a:ext uri="{FF2B5EF4-FFF2-40B4-BE49-F238E27FC236}">
                <a16:creationId xmlns:a16="http://schemas.microsoft.com/office/drawing/2014/main" id="{DAB22CBF-D850-4EE7-ADF2-137A86C40989}"/>
              </a:ext>
            </a:extLst>
          </xdr:cNvPr>
          <xdr:cNvSpPr/>
        </xdr:nvSpPr>
        <xdr:spPr>
          <a:xfrm>
            <a:off x="2771775" y="2714625"/>
            <a:ext cx="609600" cy="609600"/>
          </a:xfrm>
          <a:prstGeom prst="donu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solidFill>
                <a:schemeClr val="tx1"/>
              </a:solidFill>
            </a:endParaRPr>
          </a:p>
        </xdr:txBody>
      </xdr:sp>
    </xdr:grpSp>
    <xdr:clientData/>
  </xdr:twoCellAnchor>
  <xdr:twoCellAnchor>
    <xdr:from>
      <xdr:col>1</xdr:col>
      <xdr:colOff>142874</xdr:colOff>
      <xdr:row>15</xdr:row>
      <xdr:rowOff>19050</xdr:rowOff>
    </xdr:from>
    <xdr:to>
      <xdr:col>2</xdr:col>
      <xdr:colOff>66674</xdr:colOff>
      <xdr:row>16</xdr:row>
      <xdr:rowOff>28575</xdr:rowOff>
    </xdr:to>
    <xdr:sp macro="" textlink="">
      <xdr:nvSpPr>
        <xdr:cNvPr id="19" name="Oval 18">
          <a:extLst>
            <a:ext uri="{FF2B5EF4-FFF2-40B4-BE49-F238E27FC236}">
              <a16:creationId xmlns:a16="http://schemas.microsoft.com/office/drawing/2014/main" id="{417D25CF-ACBF-40B0-95A0-CFE789B421CA}"/>
            </a:ext>
          </a:extLst>
        </xdr:cNvPr>
        <xdr:cNvSpPr>
          <a:spLocks noChangeAspect="1"/>
        </xdr:cNvSpPr>
      </xdr:nvSpPr>
      <xdr:spPr>
        <a:xfrm>
          <a:off x="361949" y="3876675"/>
          <a:ext cx="285750" cy="285750"/>
        </a:xfrm>
        <a:prstGeom prst="ellipse">
          <a:avLst/>
        </a:prstGeom>
        <a:solidFill>
          <a:schemeClr val="accent4"/>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142874</xdr:colOff>
      <xdr:row>16</xdr:row>
      <xdr:rowOff>238125</xdr:rowOff>
    </xdr:from>
    <xdr:to>
      <xdr:col>2</xdr:col>
      <xdr:colOff>66674</xdr:colOff>
      <xdr:row>17</xdr:row>
      <xdr:rowOff>247650</xdr:rowOff>
    </xdr:to>
    <xdr:sp macro="" textlink="">
      <xdr:nvSpPr>
        <xdr:cNvPr id="63" name="Oval 62">
          <a:extLst>
            <a:ext uri="{FF2B5EF4-FFF2-40B4-BE49-F238E27FC236}">
              <a16:creationId xmlns:a16="http://schemas.microsoft.com/office/drawing/2014/main" id="{FC96DC43-BA0C-478C-9BB8-8766F307CA57}"/>
            </a:ext>
          </a:extLst>
        </xdr:cNvPr>
        <xdr:cNvSpPr>
          <a:spLocks noChangeAspect="1"/>
        </xdr:cNvSpPr>
      </xdr:nvSpPr>
      <xdr:spPr>
        <a:xfrm>
          <a:off x="361949" y="4371975"/>
          <a:ext cx="285750" cy="285750"/>
        </a:xfrm>
        <a:prstGeom prst="ellipse">
          <a:avLst/>
        </a:prstGeom>
        <a:solidFill>
          <a:srgbClr val="FFFF00"/>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142874</xdr:colOff>
      <xdr:row>19</xdr:row>
      <xdr:rowOff>323850</xdr:rowOff>
    </xdr:from>
    <xdr:to>
      <xdr:col>2</xdr:col>
      <xdr:colOff>66674</xdr:colOff>
      <xdr:row>19</xdr:row>
      <xdr:rowOff>609600</xdr:rowOff>
    </xdr:to>
    <xdr:sp macro="" textlink="">
      <xdr:nvSpPr>
        <xdr:cNvPr id="64" name="Oval 63">
          <a:extLst>
            <a:ext uri="{FF2B5EF4-FFF2-40B4-BE49-F238E27FC236}">
              <a16:creationId xmlns:a16="http://schemas.microsoft.com/office/drawing/2014/main" id="{5AA5C86B-3F98-4023-BB5F-710FC7C83A51}"/>
            </a:ext>
          </a:extLst>
        </xdr:cNvPr>
        <xdr:cNvSpPr>
          <a:spLocks noChangeAspect="1"/>
        </xdr:cNvSpPr>
      </xdr:nvSpPr>
      <xdr:spPr>
        <a:xfrm>
          <a:off x="361949" y="5286375"/>
          <a:ext cx="285750" cy="285750"/>
        </a:xfrm>
        <a:prstGeom prst="ellipse">
          <a:avLst/>
        </a:prstGeom>
        <a:solidFill>
          <a:schemeClr val="accent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152400</xdr:colOff>
      <xdr:row>22</xdr:row>
      <xdr:rowOff>180975</xdr:rowOff>
    </xdr:from>
    <xdr:to>
      <xdr:col>2</xdr:col>
      <xdr:colOff>95249</xdr:colOff>
      <xdr:row>22</xdr:row>
      <xdr:rowOff>447952</xdr:rowOff>
    </xdr:to>
    <xdr:pic>
      <xdr:nvPicPr>
        <xdr:cNvPr id="75" name="Picture 74" descr="Warnung, Vorsicht, Anmelden, Symbol">
          <a:extLst>
            <a:ext uri="{FF2B5EF4-FFF2-40B4-BE49-F238E27FC236}">
              <a16:creationId xmlns:a16="http://schemas.microsoft.com/office/drawing/2014/main" id="{BE5BD87A-5039-40CC-9243-B2967AABD2D7}"/>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71475" y="6324600"/>
          <a:ext cx="304799" cy="266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533400</xdr:colOff>
      <xdr:row>11</xdr:row>
      <xdr:rowOff>190500</xdr:rowOff>
    </xdr:from>
    <xdr:to>
      <xdr:col>17</xdr:col>
      <xdr:colOff>666750</xdr:colOff>
      <xdr:row>13</xdr:row>
      <xdr:rowOff>15093</xdr:rowOff>
    </xdr:to>
    <xdr:pic>
      <xdr:nvPicPr>
        <xdr:cNvPr id="17" name="Picture 16">
          <a:hlinkClick xmlns:r="http://schemas.openxmlformats.org/officeDocument/2006/relationships" r:id="rId20"/>
          <a:extLst>
            <a:ext uri="{FF2B5EF4-FFF2-40B4-BE49-F238E27FC236}">
              <a16:creationId xmlns:a16="http://schemas.microsoft.com/office/drawing/2014/main" id="{CE56E23A-F5CA-43CD-A88D-26D9F87B564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1468100" y="2943225"/>
          <a:ext cx="885825" cy="37704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190501</xdr:colOff>
      <xdr:row>4</xdr:row>
      <xdr:rowOff>209550</xdr:rowOff>
    </xdr:from>
    <xdr:to>
      <xdr:col>18</xdr:col>
      <xdr:colOff>9526</xdr:colOff>
      <xdr:row>5</xdr:row>
      <xdr:rowOff>257175</xdr:rowOff>
    </xdr:to>
    <xdr:sp macro="" textlink="">
      <xdr:nvSpPr>
        <xdr:cNvPr id="49" name="Rectangle 48">
          <a:extLst>
            <a:ext uri="{FF2B5EF4-FFF2-40B4-BE49-F238E27FC236}">
              <a16:creationId xmlns:a16="http://schemas.microsoft.com/office/drawing/2014/main" id="{3523B304-849F-4D18-9ADE-E03733007B0D}"/>
            </a:ext>
          </a:extLst>
        </xdr:cNvPr>
        <xdr:cNvSpPr/>
      </xdr:nvSpPr>
      <xdr:spPr>
        <a:xfrm>
          <a:off x="10372726" y="962025"/>
          <a:ext cx="2076450" cy="285750"/>
        </a:xfrm>
        <a:prstGeom prst="rect">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190501</xdr:colOff>
      <xdr:row>3</xdr:row>
      <xdr:rowOff>123825</xdr:rowOff>
    </xdr:from>
    <xdr:to>
      <xdr:col>18</xdr:col>
      <xdr:colOff>9526</xdr:colOff>
      <xdr:row>4</xdr:row>
      <xdr:rowOff>171450</xdr:rowOff>
    </xdr:to>
    <xdr:sp macro="" textlink="">
      <xdr:nvSpPr>
        <xdr:cNvPr id="48" name="Rectangle 47">
          <a:extLst>
            <a:ext uri="{FF2B5EF4-FFF2-40B4-BE49-F238E27FC236}">
              <a16:creationId xmlns:a16="http://schemas.microsoft.com/office/drawing/2014/main" id="{70C1D04D-F107-4148-B91C-36B142D63720}"/>
            </a:ext>
          </a:extLst>
        </xdr:cNvPr>
        <xdr:cNvSpPr/>
      </xdr:nvSpPr>
      <xdr:spPr>
        <a:xfrm>
          <a:off x="10372726" y="638175"/>
          <a:ext cx="2076450" cy="285750"/>
        </a:xfrm>
        <a:prstGeom prst="rect">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285749</xdr:colOff>
      <xdr:row>4</xdr:row>
      <xdr:rowOff>209550</xdr:rowOff>
    </xdr:from>
    <xdr:to>
      <xdr:col>14</xdr:col>
      <xdr:colOff>619125</xdr:colOff>
      <xdr:row>5</xdr:row>
      <xdr:rowOff>257175</xdr:rowOff>
    </xdr:to>
    <xdr:sp macro="" textlink="">
      <xdr:nvSpPr>
        <xdr:cNvPr id="47" name="Rectangle 46">
          <a:extLst>
            <a:ext uri="{FF2B5EF4-FFF2-40B4-BE49-F238E27FC236}">
              <a16:creationId xmlns:a16="http://schemas.microsoft.com/office/drawing/2014/main" id="{2354E583-2C9B-4DA3-B57F-1C1E180DA9BC}"/>
            </a:ext>
          </a:extLst>
        </xdr:cNvPr>
        <xdr:cNvSpPr/>
      </xdr:nvSpPr>
      <xdr:spPr>
        <a:xfrm>
          <a:off x="7458074" y="962025"/>
          <a:ext cx="2590801" cy="285750"/>
        </a:xfrm>
        <a:prstGeom prst="rect">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600075</xdr:colOff>
      <xdr:row>3</xdr:row>
      <xdr:rowOff>123825</xdr:rowOff>
    </xdr:from>
    <xdr:to>
      <xdr:col>10</xdr:col>
      <xdr:colOff>714375</xdr:colOff>
      <xdr:row>4</xdr:row>
      <xdr:rowOff>171450</xdr:rowOff>
    </xdr:to>
    <xdr:sp macro="" textlink="">
      <xdr:nvSpPr>
        <xdr:cNvPr id="4" name="Rectangle 3">
          <a:extLst>
            <a:ext uri="{FF2B5EF4-FFF2-40B4-BE49-F238E27FC236}">
              <a16:creationId xmlns:a16="http://schemas.microsoft.com/office/drawing/2014/main" id="{2F651444-E1BF-447D-ABCA-28A03BF8981D}"/>
            </a:ext>
          </a:extLst>
        </xdr:cNvPr>
        <xdr:cNvSpPr/>
      </xdr:nvSpPr>
      <xdr:spPr>
        <a:xfrm>
          <a:off x="4714875" y="638175"/>
          <a:ext cx="2419350" cy="285750"/>
        </a:xfrm>
        <a:prstGeom prst="rect">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88788C45-F71E-4B2C-A71D-63C15447D8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3" name="Diagramm 7">
          <a:extLst>
            <a:ext uri="{FF2B5EF4-FFF2-40B4-BE49-F238E27FC236}">
              <a16:creationId xmlns:a16="http://schemas.microsoft.com/office/drawing/2014/main" id="{F86BBB74-D1FC-4901-986D-5B6665527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114300</xdr:colOff>
      <xdr:row>22</xdr:row>
      <xdr:rowOff>342900</xdr:rowOff>
    </xdr:from>
    <xdr:to>
      <xdr:col>12</xdr:col>
      <xdr:colOff>304800</xdr:colOff>
      <xdr:row>23</xdr:row>
      <xdr:rowOff>57150</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54F5D1C4-7813-4AD2-A93D-4B94E0FC85E0}"/>
            </a:ext>
          </a:extLst>
        </xdr:cNvPr>
        <xdr:cNvSpPr/>
      </xdr:nvSpPr>
      <xdr:spPr>
        <a:xfrm>
          <a:off x="6534150" y="648652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weiter</a:t>
          </a:r>
        </a:p>
      </xdr:txBody>
    </xdr:sp>
    <xdr:clientData/>
  </xdr:twoCellAnchor>
  <xdr:twoCellAnchor editAs="absolute">
    <xdr:from>
      <xdr:col>6</xdr:col>
      <xdr:colOff>590550</xdr:colOff>
      <xdr:row>3</xdr:row>
      <xdr:rowOff>138113</xdr:rowOff>
    </xdr:from>
    <xdr:to>
      <xdr:col>18</xdr:col>
      <xdr:colOff>37532</xdr:colOff>
      <xdr:row>5</xdr:row>
      <xdr:rowOff>241698</xdr:rowOff>
    </xdr:to>
    <xdr:grpSp>
      <xdr:nvGrpSpPr>
        <xdr:cNvPr id="6" name="Group 5">
          <a:extLst>
            <a:ext uri="{FF2B5EF4-FFF2-40B4-BE49-F238E27FC236}">
              <a16:creationId xmlns:a16="http://schemas.microsoft.com/office/drawing/2014/main" id="{F51FC55A-D1A1-41F9-9D1B-CF2009F7B74B}"/>
            </a:ext>
          </a:extLst>
        </xdr:cNvPr>
        <xdr:cNvGrpSpPr/>
      </xdr:nvGrpSpPr>
      <xdr:grpSpPr>
        <a:xfrm>
          <a:off x="4902200" y="646113"/>
          <a:ext cx="8159182" cy="573485"/>
          <a:chOff x="4705350" y="652463"/>
          <a:chExt cx="7771832" cy="579835"/>
        </a:xfrm>
      </xdr:grpSpPr>
      <xdr:grpSp>
        <xdr:nvGrpSpPr>
          <xdr:cNvPr id="7" name="Group 6">
            <a:extLst>
              <a:ext uri="{FF2B5EF4-FFF2-40B4-BE49-F238E27FC236}">
                <a16:creationId xmlns:a16="http://schemas.microsoft.com/office/drawing/2014/main" id="{4CDEAC66-2CD9-464E-936F-52CCB48ED3FD}"/>
              </a:ext>
            </a:extLst>
          </xdr:cNvPr>
          <xdr:cNvGrpSpPr/>
        </xdr:nvGrpSpPr>
        <xdr:grpSpPr>
          <a:xfrm>
            <a:off x="4705350" y="652463"/>
            <a:ext cx="7771832" cy="257175"/>
            <a:chOff x="4705350" y="642938"/>
            <a:chExt cx="7771832" cy="257175"/>
          </a:xfrm>
        </xdr:grpSpPr>
        <xdr:sp macro="" textlink="">
          <xdr:nvSpPr>
            <xdr:cNvPr id="15" name="Rectangle 14">
              <a:extLst>
                <a:ext uri="{FF2B5EF4-FFF2-40B4-BE49-F238E27FC236}">
                  <a16:creationId xmlns:a16="http://schemas.microsoft.com/office/drawing/2014/main" id="{98376410-3722-4F69-B60C-34DC08843C8E}"/>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16" name="Rectangle 15">
              <a:extLst>
                <a:ext uri="{FF2B5EF4-FFF2-40B4-BE49-F238E27FC236}">
                  <a16:creationId xmlns:a16="http://schemas.microsoft.com/office/drawing/2014/main" id="{60065F6D-689A-4D52-916B-75232A3FF93F}"/>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17" name="Rectangle 16">
              <a:extLst>
                <a:ext uri="{FF2B5EF4-FFF2-40B4-BE49-F238E27FC236}">
                  <a16:creationId xmlns:a16="http://schemas.microsoft.com/office/drawing/2014/main" id="{CC3FEDDE-683D-4586-9F92-F315BE6EF6B1}"/>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18" name="Rectangle 17">
              <a:extLst>
                <a:ext uri="{FF2B5EF4-FFF2-40B4-BE49-F238E27FC236}">
                  <a16:creationId xmlns:a16="http://schemas.microsoft.com/office/drawing/2014/main" id="{60E338B7-9933-4539-B70E-B391AF07F242}"/>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EC3382F-E5D1-4A9E-8FAE-ECF174B18616}"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19" name="Rectangle 18">
              <a:extLst>
                <a:ext uri="{FF2B5EF4-FFF2-40B4-BE49-F238E27FC236}">
                  <a16:creationId xmlns:a16="http://schemas.microsoft.com/office/drawing/2014/main" id="{DB8B469D-6536-4D8E-8CAC-E1E3D05D4C36}"/>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9976595-EDCF-4DE7-9AF9-70899FB7BEB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20" name="Rectangle 19">
              <a:extLst>
                <a:ext uri="{FF2B5EF4-FFF2-40B4-BE49-F238E27FC236}">
                  <a16:creationId xmlns:a16="http://schemas.microsoft.com/office/drawing/2014/main" id="{8C9D4C97-E0E6-48B1-94B7-91F43A16A47D}"/>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D3AA434-AF0F-4867-9F13-71C475A3BC4A}"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8" name="Group 7">
            <a:extLst>
              <a:ext uri="{FF2B5EF4-FFF2-40B4-BE49-F238E27FC236}">
                <a16:creationId xmlns:a16="http://schemas.microsoft.com/office/drawing/2014/main" id="{34C32909-323F-46D7-8EFD-3D76B702E307}"/>
              </a:ext>
            </a:extLst>
          </xdr:cNvPr>
          <xdr:cNvGrpSpPr/>
        </xdr:nvGrpSpPr>
        <xdr:grpSpPr>
          <a:xfrm>
            <a:off x="4705350" y="975123"/>
            <a:ext cx="7771832" cy="257175"/>
            <a:chOff x="4705350" y="975123"/>
            <a:chExt cx="7771832" cy="257175"/>
          </a:xfrm>
        </xdr:grpSpPr>
        <xdr:sp macro="" textlink="">
          <xdr:nvSpPr>
            <xdr:cNvPr id="9" name="Rectangle 8">
              <a:extLst>
                <a:ext uri="{FF2B5EF4-FFF2-40B4-BE49-F238E27FC236}">
                  <a16:creationId xmlns:a16="http://schemas.microsoft.com/office/drawing/2014/main" id="{1D096242-1308-4026-8F37-0D8B1D40AC12}"/>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10" name="Rectangle 9">
              <a:extLst>
                <a:ext uri="{FF2B5EF4-FFF2-40B4-BE49-F238E27FC236}">
                  <a16:creationId xmlns:a16="http://schemas.microsoft.com/office/drawing/2014/main" id="{459A754A-B33A-4042-BD85-638A252D0836}"/>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11" name="Rectangle 10">
              <a:extLst>
                <a:ext uri="{FF2B5EF4-FFF2-40B4-BE49-F238E27FC236}">
                  <a16:creationId xmlns:a16="http://schemas.microsoft.com/office/drawing/2014/main" id="{43B07BDD-0D97-48AD-B3BA-500C83CFE78D}"/>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12" name="Rectangle 11">
              <a:extLst>
                <a:ext uri="{FF2B5EF4-FFF2-40B4-BE49-F238E27FC236}">
                  <a16:creationId xmlns:a16="http://schemas.microsoft.com/office/drawing/2014/main" id="{165C2732-717D-4961-9D97-D993285E257A}"/>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F81CC35-1D89-4B60-8D84-7DDE04A0D1E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13" name="Rectangle 12">
              <a:extLst>
                <a:ext uri="{FF2B5EF4-FFF2-40B4-BE49-F238E27FC236}">
                  <a16:creationId xmlns:a16="http://schemas.microsoft.com/office/drawing/2014/main" id="{F934D4B7-78F1-4146-BEF6-3613006139AA}"/>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05BC50A-5360-4B25-8F6B-4965CAEFAFA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14" name="Rectangle 13">
              <a:extLst>
                <a:ext uri="{FF2B5EF4-FFF2-40B4-BE49-F238E27FC236}">
                  <a16:creationId xmlns:a16="http://schemas.microsoft.com/office/drawing/2014/main" id="{E4C68B24-4159-4E0D-A852-87AA3CF20FB7}"/>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A69A1D5-9C77-4973-B148-FA29D405590E}"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6</xdr:col>
      <xdr:colOff>352425</xdr:colOff>
      <xdr:row>22</xdr:row>
      <xdr:rowOff>342900</xdr:rowOff>
    </xdr:from>
    <xdr:to>
      <xdr:col>9</xdr:col>
      <xdr:colOff>495450</xdr:colOff>
      <xdr:row>23</xdr:row>
      <xdr:rowOff>57150</xdr:rowOff>
    </xdr:to>
    <xdr:sp macro="" textlink="">
      <xdr:nvSpPr>
        <xdr:cNvPr id="21" name="Arrow: Right 20">
          <a:hlinkClick xmlns:r="http://schemas.openxmlformats.org/officeDocument/2006/relationships" r:id="rId4"/>
          <a:extLst>
            <a:ext uri="{FF2B5EF4-FFF2-40B4-BE49-F238E27FC236}">
              <a16:creationId xmlns:a16="http://schemas.microsoft.com/office/drawing/2014/main" id="{1C6C142B-4805-46A9-BE3C-F03A8D1B7297}"/>
            </a:ext>
          </a:extLst>
        </xdr:cNvPr>
        <xdr:cNvSpPr/>
      </xdr:nvSpPr>
      <xdr:spPr>
        <a:xfrm flipH="1">
          <a:off x="4467225" y="6486525"/>
          <a:ext cx="169560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editAs="absolute">
    <xdr:from>
      <xdr:col>4</xdr:col>
      <xdr:colOff>85725</xdr:colOff>
      <xdr:row>0</xdr:row>
      <xdr:rowOff>133350</xdr:rowOff>
    </xdr:from>
    <xdr:to>
      <xdr:col>18</xdr:col>
      <xdr:colOff>76200</xdr:colOff>
      <xdr:row>2</xdr:row>
      <xdr:rowOff>29325</xdr:rowOff>
    </xdr:to>
    <xdr:grpSp>
      <xdr:nvGrpSpPr>
        <xdr:cNvPr id="22" name="Group 21">
          <a:extLst>
            <a:ext uri="{FF2B5EF4-FFF2-40B4-BE49-F238E27FC236}">
              <a16:creationId xmlns:a16="http://schemas.microsoft.com/office/drawing/2014/main" id="{D37C7818-C21E-4CA6-81F9-F8717F33B2A9}"/>
            </a:ext>
          </a:extLst>
        </xdr:cNvPr>
        <xdr:cNvGrpSpPr/>
      </xdr:nvGrpSpPr>
      <xdr:grpSpPr>
        <a:xfrm>
          <a:off x="3089275" y="133350"/>
          <a:ext cx="10010775" cy="245225"/>
          <a:chOff x="2952750" y="137737"/>
          <a:chExt cx="9563100" cy="248400"/>
        </a:xfrm>
      </xdr:grpSpPr>
      <xdr:sp macro="" textlink="">
        <xdr:nvSpPr>
          <xdr:cNvPr id="23" name="Rectangle 22">
            <a:hlinkClick xmlns:r="http://schemas.openxmlformats.org/officeDocument/2006/relationships" r:id="rId5"/>
            <a:extLst>
              <a:ext uri="{FF2B5EF4-FFF2-40B4-BE49-F238E27FC236}">
                <a16:creationId xmlns:a16="http://schemas.microsoft.com/office/drawing/2014/main" id="{3F98F712-9530-40B3-9233-BAADFEB3F06B}"/>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24" name="Rectangle 23">
            <a:hlinkClick xmlns:r="http://schemas.openxmlformats.org/officeDocument/2006/relationships" r:id="rId6"/>
            <a:extLst>
              <a:ext uri="{FF2B5EF4-FFF2-40B4-BE49-F238E27FC236}">
                <a16:creationId xmlns:a16="http://schemas.microsoft.com/office/drawing/2014/main" id="{2C4B8AAA-0481-4152-A0CA-B117E2F29E57}"/>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25" name="Rectangle 24">
            <a:hlinkClick xmlns:r="http://schemas.openxmlformats.org/officeDocument/2006/relationships" r:id="rId7"/>
            <a:extLst>
              <a:ext uri="{FF2B5EF4-FFF2-40B4-BE49-F238E27FC236}">
                <a16:creationId xmlns:a16="http://schemas.microsoft.com/office/drawing/2014/main" id="{53CFFCFA-12F4-4E50-9206-91BE97ADB675}"/>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26" name="Rectangle 25">
            <a:hlinkClick xmlns:r="http://schemas.openxmlformats.org/officeDocument/2006/relationships" r:id="rId8"/>
            <a:extLst>
              <a:ext uri="{FF2B5EF4-FFF2-40B4-BE49-F238E27FC236}">
                <a16:creationId xmlns:a16="http://schemas.microsoft.com/office/drawing/2014/main" id="{7E3B22B2-6118-4FCA-8721-2F0994EE7C74}"/>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27" name="Rectangle 26">
            <a:hlinkClick xmlns:r="http://schemas.openxmlformats.org/officeDocument/2006/relationships" r:id="rId9"/>
            <a:extLst>
              <a:ext uri="{FF2B5EF4-FFF2-40B4-BE49-F238E27FC236}">
                <a16:creationId xmlns:a16="http://schemas.microsoft.com/office/drawing/2014/main" id="{8C213045-B32D-4E1D-B653-CA96A8FCFFE3}"/>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28" name="Rectangle 27">
            <a:hlinkClick xmlns:r="http://schemas.openxmlformats.org/officeDocument/2006/relationships" r:id="rId10"/>
            <a:extLst>
              <a:ext uri="{FF2B5EF4-FFF2-40B4-BE49-F238E27FC236}">
                <a16:creationId xmlns:a16="http://schemas.microsoft.com/office/drawing/2014/main" id="{296046C3-9A91-430F-89FA-91CBA96AA7ED}"/>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cs typeface="Calibri" panose="020F0502020204030204" pitchFamily="34" charset="0"/>
              </a:rPr>
              <a:t> </a:t>
            </a:r>
            <a:r>
              <a:rPr lang="de-DE" sz="1050" u="none">
                <a:solidFill>
                  <a:schemeClr val="bg1"/>
                </a:solidFill>
                <a:latin typeface="+mn-lt"/>
              </a:rPr>
              <a:t>Steuern</a:t>
            </a:r>
          </a:p>
        </xdr:txBody>
      </xdr:sp>
      <xdr:sp macro="" textlink="">
        <xdr:nvSpPr>
          <xdr:cNvPr id="29" name="Rectangle 28">
            <a:hlinkClick xmlns:r="http://schemas.openxmlformats.org/officeDocument/2006/relationships" r:id="rId4"/>
            <a:extLst>
              <a:ext uri="{FF2B5EF4-FFF2-40B4-BE49-F238E27FC236}">
                <a16:creationId xmlns:a16="http://schemas.microsoft.com/office/drawing/2014/main" id="{94322459-B7B6-4B3A-A6C8-5A7002ABC3E0}"/>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Ergebnis</a:t>
            </a:r>
          </a:p>
        </xdr:txBody>
      </xdr:sp>
      <xdr:sp macro="" textlink="">
        <xdr:nvSpPr>
          <xdr:cNvPr id="30" name="Rectangle 29">
            <a:extLst>
              <a:ext uri="{FF2B5EF4-FFF2-40B4-BE49-F238E27FC236}">
                <a16:creationId xmlns:a16="http://schemas.microsoft.com/office/drawing/2014/main" id="{595849AD-E48D-493D-9E93-937D1CF72E67}"/>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1" name="Rectangle 30">
            <a:extLst>
              <a:ext uri="{FF2B5EF4-FFF2-40B4-BE49-F238E27FC236}">
                <a16:creationId xmlns:a16="http://schemas.microsoft.com/office/drawing/2014/main" id="{489F2DD2-95A8-49A6-BDEA-41377D8BD6B4}"/>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2" name="Rectangle 31">
            <a:extLst>
              <a:ext uri="{FF2B5EF4-FFF2-40B4-BE49-F238E27FC236}">
                <a16:creationId xmlns:a16="http://schemas.microsoft.com/office/drawing/2014/main" id="{ECB8DF80-48AF-4D26-B4EC-6540B279B9F3}"/>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3" name="Rectangle 32">
            <a:extLst>
              <a:ext uri="{FF2B5EF4-FFF2-40B4-BE49-F238E27FC236}">
                <a16:creationId xmlns:a16="http://schemas.microsoft.com/office/drawing/2014/main" id="{3A5B73A6-B76C-4C0D-A62D-9BC6D0F51615}"/>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4" name="Rectangle 33">
            <a:extLst>
              <a:ext uri="{FF2B5EF4-FFF2-40B4-BE49-F238E27FC236}">
                <a16:creationId xmlns:a16="http://schemas.microsoft.com/office/drawing/2014/main" id="{DEEF3542-8B3D-4F59-BA5C-944E5205213C}"/>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5" name="Rectangle 34">
            <a:extLst>
              <a:ext uri="{FF2B5EF4-FFF2-40B4-BE49-F238E27FC236}">
                <a16:creationId xmlns:a16="http://schemas.microsoft.com/office/drawing/2014/main" id="{2B589D33-3368-45B0-9D06-FEAEE53DC8A7}"/>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6" name="Rectangle 35">
            <a:extLst>
              <a:ext uri="{FF2B5EF4-FFF2-40B4-BE49-F238E27FC236}">
                <a16:creationId xmlns:a16="http://schemas.microsoft.com/office/drawing/2014/main" id="{C5C692CB-51D9-4C3B-A66C-49B0A213532F}"/>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575078F0-B142-485C-BF18-BCA61D03EBE8}"/>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38" name="Rectangle 37">
            <a:extLst>
              <a:ext uri="{FF2B5EF4-FFF2-40B4-BE49-F238E27FC236}">
                <a16:creationId xmlns:a16="http://schemas.microsoft.com/office/drawing/2014/main" id="{39E0A883-D61E-4C45-B6D6-CAB2B4424E9E}"/>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9" name="Rectangle: Rounded Corners 38">
            <a:hlinkClick xmlns:r="http://schemas.openxmlformats.org/officeDocument/2006/relationships" r:id="rId12"/>
            <a:extLst>
              <a:ext uri="{FF2B5EF4-FFF2-40B4-BE49-F238E27FC236}">
                <a16:creationId xmlns:a16="http://schemas.microsoft.com/office/drawing/2014/main" id="{007B23D1-FB0C-46FD-9206-37A95097226B}"/>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xdr:from>
      <xdr:col>1</xdr:col>
      <xdr:colOff>9525</xdr:colOff>
      <xdr:row>7</xdr:row>
      <xdr:rowOff>76200</xdr:rowOff>
    </xdr:from>
    <xdr:to>
      <xdr:col>18</xdr:col>
      <xdr:colOff>9525</xdr:colOff>
      <xdr:row>22</xdr:row>
      <xdr:rowOff>104775</xdr:rowOff>
    </xdr:to>
    <xdr:grpSp>
      <xdr:nvGrpSpPr>
        <xdr:cNvPr id="57" name="Group 56">
          <a:extLst>
            <a:ext uri="{FF2B5EF4-FFF2-40B4-BE49-F238E27FC236}">
              <a16:creationId xmlns:a16="http://schemas.microsoft.com/office/drawing/2014/main" id="{6CFAFB83-E186-4ACD-A867-B9A70BADC514}"/>
            </a:ext>
          </a:extLst>
        </xdr:cNvPr>
        <xdr:cNvGrpSpPr/>
      </xdr:nvGrpSpPr>
      <xdr:grpSpPr>
        <a:xfrm>
          <a:off x="238125" y="1708150"/>
          <a:ext cx="12795250" cy="4486275"/>
          <a:chOff x="228600" y="7400925"/>
          <a:chExt cx="12220575" cy="4524375"/>
        </a:xfrm>
      </xdr:grpSpPr>
      <xdr:sp macro="" textlink="">
        <xdr:nvSpPr>
          <xdr:cNvPr id="58" name="Rectangle: Rounded Corners 57">
            <a:extLst>
              <a:ext uri="{FF2B5EF4-FFF2-40B4-BE49-F238E27FC236}">
                <a16:creationId xmlns:a16="http://schemas.microsoft.com/office/drawing/2014/main" id="{9B6E97DE-D1A1-48B6-AB16-10504906C190}"/>
              </a:ext>
            </a:extLst>
          </xdr:cNvPr>
          <xdr:cNvSpPr/>
        </xdr:nvSpPr>
        <xdr:spPr>
          <a:xfrm>
            <a:off x="228600" y="7400925"/>
            <a:ext cx="12220575" cy="4524375"/>
          </a:xfrm>
          <a:prstGeom prst="roundRect">
            <a:avLst>
              <a:gd name="adj" fmla="val 1654"/>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tlCol="0" anchor="t"/>
          <a:lstStyle/>
          <a:p>
            <a:pPr algn="l">
              <a:lnSpc>
                <a:spcPct val="130000"/>
              </a:lnSpc>
              <a:spcAft>
                <a:spcPts val="1200"/>
              </a:spcAft>
            </a:pPr>
            <a:r>
              <a:rPr lang="de-DE" sz="1200" b="1">
                <a:solidFill>
                  <a:schemeClr val="tx2"/>
                </a:solidFill>
                <a:latin typeface="Century Gothic" panose="020B0502020202020204" pitchFamily="34" charset="0"/>
              </a:rPr>
              <a:t>Interpretationshilfe</a:t>
            </a:r>
          </a:p>
          <a:p>
            <a:pPr algn="l">
              <a:lnSpc>
                <a:spcPct val="130000"/>
              </a:lnSpc>
              <a:spcAft>
                <a:spcPts val="1200"/>
              </a:spcAft>
            </a:pPr>
            <a:r>
              <a:rPr lang="de-DE" sz="1200">
                <a:solidFill>
                  <a:schemeClr val="tx2"/>
                </a:solidFill>
                <a:latin typeface="Century Gothic" panose="020B0502020202020204" pitchFamily="34" charset="0"/>
              </a:rPr>
              <a:t>Neben dem monatlichen Cashflow (Überschuss) nach Steuern, hast du mittlerweile auch weitere Kennzahlen berechnet. Du findest diese am oberen Bildschirmrand.</a:t>
            </a:r>
          </a:p>
          <a:p>
            <a:pPr algn="l">
              <a:lnSpc>
                <a:spcPct val="130000"/>
              </a:lnSpc>
              <a:spcAft>
                <a:spcPts val="1200"/>
              </a:spcAft>
            </a:pPr>
            <a:r>
              <a:rPr lang="de-DE" sz="1200" u="sng" baseline="0">
                <a:solidFill>
                  <a:schemeClr val="tx2"/>
                </a:solidFill>
                <a:latin typeface="Century Gothic" panose="020B0502020202020204" pitchFamily="34" charset="0"/>
              </a:rPr>
              <a:t>Eigenkapitelbedarf:</a:t>
            </a:r>
            <a:r>
              <a:rPr lang="de-DE" sz="1200" u="none" baseline="0">
                <a:solidFill>
                  <a:schemeClr val="tx2"/>
                </a:solidFill>
                <a:latin typeface="Century Gothic" panose="020B0502020202020204" pitchFamily="34" charset="0"/>
              </a:rPr>
              <a:t> Um alle geplanten Kosten zu decken, ergibt sich nach Abzug deiner Darlehenssumme dieser Eigenkapitalbedarf. Du solltest danach noch einen ausreichenden Puffer auf deinem Konto übrig behalten, um unvohergesehene Kosten tragen zu können.</a:t>
            </a:r>
          </a:p>
          <a:p>
            <a:pPr algn="l">
              <a:lnSpc>
                <a:spcPct val="130000"/>
              </a:lnSpc>
              <a:spcAft>
                <a:spcPts val="1200"/>
              </a:spcAft>
            </a:pPr>
            <a:endParaRPr lang="de-DE" sz="1200" u="none" baseline="0">
              <a:solidFill>
                <a:schemeClr val="tx2"/>
              </a:solidFill>
              <a:latin typeface="Century Gothic" panose="020B0502020202020204" pitchFamily="34" charset="0"/>
            </a:endParaRPr>
          </a:p>
          <a:p>
            <a:pPr algn="l">
              <a:lnSpc>
                <a:spcPct val="130000"/>
              </a:lnSpc>
              <a:spcAft>
                <a:spcPts val="1200"/>
              </a:spcAft>
            </a:pPr>
            <a:r>
              <a:rPr lang="de-DE" sz="1200" u="sng" baseline="0">
                <a:solidFill>
                  <a:schemeClr val="tx2"/>
                </a:solidFill>
                <a:latin typeface="Century Gothic" panose="020B0502020202020204" pitchFamily="34" charset="0"/>
              </a:rPr>
              <a:t>Gleiche Rate in x Jahren:</a:t>
            </a:r>
            <a:r>
              <a:rPr lang="de-DE" sz="1200" u="none" baseline="0">
                <a:solidFill>
                  <a:schemeClr val="tx2"/>
                </a:solidFill>
                <a:latin typeface="Century Gothic" panose="020B0502020202020204" pitchFamily="34" charset="0"/>
              </a:rPr>
              <a:t> Bei diesem Zinssatz bleibt deine Rate bei einer Anschlussfinanzierung in x Jahren genau so hoch, wie jetzt am Anfang. Darüber steigt sie an und du musst möglicherweise monatlich (mehr) zuzahlen. Um dir bei der Anschlussfinanzierung höhere Zinsen leisten zu können, kannst du bspw. eine längere Laufzeit vereinbaren oder von Beginn an mehr tilgen.</a:t>
            </a:r>
          </a:p>
          <a:p>
            <a:pPr algn="l">
              <a:lnSpc>
                <a:spcPct val="130000"/>
              </a:lnSpc>
              <a:spcAft>
                <a:spcPts val="1200"/>
              </a:spcAft>
            </a:pPr>
            <a:r>
              <a:rPr lang="de-DE" sz="1200" u="sng" baseline="0">
                <a:solidFill>
                  <a:schemeClr val="tx2"/>
                </a:solidFill>
                <a:latin typeface="Century Gothic" panose="020B0502020202020204" pitchFamily="34" charset="0"/>
              </a:rPr>
              <a:t>Schuldenfrei:</a:t>
            </a:r>
            <a:r>
              <a:rPr lang="de-DE" sz="1200" u="none" baseline="0">
                <a:solidFill>
                  <a:schemeClr val="tx2"/>
                </a:solidFill>
                <a:latin typeface="Century Gothic" panose="020B0502020202020204" pitchFamily="34" charset="0"/>
              </a:rPr>
              <a:t> In so vielen Jahren zahlst du den letzten Euro deines Darlehens zurück. Die Wohnung gehört dann vollständig dir. Je mehr du von Beginn an tilgst, desto früher bist du schuldenfrei. </a:t>
            </a:r>
          </a:p>
          <a:p>
            <a:pPr algn="l">
              <a:lnSpc>
                <a:spcPct val="130000"/>
              </a:lnSpc>
              <a:spcAft>
                <a:spcPts val="1200"/>
              </a:spcAft>
            </a:pPr>
            <a:r>
              <a:rPr lang="de-DE" sz="1200" u="sng" baseline="0">
                <a:solidFill>
                  <a:schemeClr val="tx2"/>
                </a:solidFill>
                <a:latin typeface="Century Gothic" panose="020B0502020202020204" pitchFamily="34" charset="0"/>
              </a:rPr>
              <a:t>Zusätzliche Rente:</a:t>
            </a:r>
            <a:r>
              <a:rPr lang="de-DE" sz="1200" u="none" baseline="0">
                <a:solidFill>
                  <a:schemeClr val="tx2"/>
                </a:solidFill>
                <a:latin typeface="Century Gothic" panose="020B0502020202020204" pitchFamily="34" charset="0"/>
              </a:rPr>
              <a:t>  Sobald du die Wohnung vollständig abbezahlt hast (siehe "schuldenfrei"), entfällt deine monatliche Rate an die Bank. Von der Miete bleibt jetzt viel mehr übrig. Wir haben hier ausgerechnet, wie viel zusätzliche monatliche Rente die Wohnung bringt, sobald sie vollständig abbezahlt ist. Wir haben dabei bereits 25% Steuern berücksichtigt, was im Renten-Alter eine realistische Annahme ist.</a:t>
            </a:r>
          </a:p>
          <a:p>
            <a:pPr algn="l">
              <a:lnSpc>
                <a:spcPct val="130000"/>
              </a:lnSpc>
              <a:spcAft>
                <a:spcPts val="1200"/>
              </a:spcAft>
            </a:pPr>
            <a:endParaRPr lang="de-DE" sz="1200" u="none" baseline="0">
              <a:solidFill>
                <a:schemeClr val="tx2"/>
              </a:solidFill>
              <a:latin typeface="Century Gothic" panose="020B0502020202020204" pitchFamily="34" charset="0"/>
            </a:endParaRPr>
          </a:p>
          <a:p>
            <a:pPr algn="l">
              <a:lnSpc>
                <a:spcPct val="130000"/>
              </a:lnSpc>
              <a:spcAft>
                <a:spcPts val="1200"/>
              </a:spcAft>
            </a:pPr>
            <a:endParaRPr lang="de-DE" sz="1200" u="none" baseline="0">
              <a:solidFill>
                <a:schemeClr val="tx2"/>
              </a:solidFill>
              <a:latin typeface="Century Gothic" panose="020B0502020202020204" pitchFamily="34" charset="0"/>
            </a:endParaRPr>
          </a:p>
        </xdr:txBody>
      </xdr:sp>
      <xdr:pic>
        <xdr:nvPicPr>
          <xdr:cNvPr id="59" name="Picture 58" descr="http://de.seaicons.com/wp-content/uploads/2015/11/15-Light-Bulb-icon.png">
            <a:extLst>
              <a:ext uri="{FF2B5EF4-FFF2-40B4-BE49-F238E27FC236}">
                <a16:creationId xmlns:a16="http://schemas.microsoft.com/office/drawing/2014/main" id="{D9F89CE3-F48A-4E16-AB15-F721559B4C1F}"/>
              </a:ext>
            </a:extLst>
          </xdr:cNvPr>
          <xdr:cNvPicPr>
            <a:picLocks noChangeAspect="1" noChangeArrowheads="1"/>
          </xdr:cNvPicPr>
        </xdr:nvPicPr>
        <xdr:blipFill>
          <a:blip xmlns:r="http://schemas.openxmlformats.org/officeDocument/2006/relationships" r:embed="rId13"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333375" y="7496175"/>
            <a:ext cx="342900" cy="342900"/>
          </a:xfrm>
          <a:prstGeom prst="rect">
            <a:avLst/>
          </a:prstGeom>
          <a:noFill/>
          <a:extLst>
            <a:ext uri="{909E8E84-426E-40DD-AFC4-6F175D3DCCD1}">
              <a14:hiddenFill xmlns:a14="http://schemas.microsoft.com/office/drawing/2010/main">
                <a:solidFill>
                  <a:srgbClr val="FFFFFF"/>
                </a:solidFill>
              </a14:hiddenFill>
            </a:ext>
          </a:extLst>
        </xdr:spPr>
      </xdr:pic>
      <xdr:sp macro="" textlink="txt_rf!E18">
        <xdr:nvSpPr>
          <xdr:cNvPr id="60" name="Rectangle 59">
            <a:extLst>
              <a:ext uri="{FF2B5EF4-FFF2-40B4-BE49-F238E27FC236}">
                <a16:creationId xmlns:a16="http://schemas.microsoft.com/office/drawing/2014/main" id="{9C65777A-C91B-434C-AB26-5DD819A26A77}"/>
              </a:ext>
            </a:extLst>
          </xdr:cNvPr>
          <xdr:cNvSpPr/>
        </xdr:nvSpPr>
        <xdr:spPr>
          <a:xfrm>
            <a:off x="695325" y="8982075"/>
            <a:ext cx="11591925"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024295B-1388-4F96-AB88-2D22B5E8E4C3}" type="TxLink">
              <a:rPr lang="en-US" sz="1200" b="0" i="0" u="none" strike="noStrike">
                <a:solidFill>
                  <a:schemeClr val="tx2"/>
                </a:solidFill>
                <a:latin typeface="Century Gothic" panose="020B0502020202020204" pitchFamily="34" charset="0"/>
                <a:cs typeface="Calibri"/>
              </a:rPr>
              <a:pPr algn="l"/>
              <a:t> </a:t>
            </a:fld>
            <a:endParaRPr lang="de-DE" sz="1200">
              <a:solidFill>
                <a:schemeClr val="tx2"/>
              </a:solidFill>
              <a:latin typeface="Century Gothic" panose="020B0502020202020204" pitchFamily="34" charset="0"/>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66676</xdr:colOff>
      <xdr:row>0</xdr:row>
      <xdr:rowOff>76201</xdr:rowOff>
    </xdr:from>
    <xdr:to>
      <xdr:col>1</xdr:col>
      <xdr:colOff>253468</xdr:colOff>
      <xdr:row>2</xdr:row>
      <xdr:rowOff>104776</xdr:rowOff>
    </xdr:to>
    <xdr:pic>
      <xdr:nvPicPr>
        <xdr:cNvPr id="2" name="Picture 1">
          <a:extLst>
            <a:ext uri="{FF2B5EF4-FFF2-40B4-BE49-F238E27FC236}">
              <a16:creationId xmlns:a16="http://schemas.microsoft.com/office/drawing/2014/main" id="{D3915869-F21A-4054-8204-1B714B613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absolute">
    <xdr:from>
      <xdr:col>1</xdr:col>
      <xdr:colOff>323848</xdr:colOff>
      <xdr:row>3</xdr:row>
      <xdr:rowOff>1</xdr:rowOff>
    </xdr:from>
    <xdr:to>
      <xdr:col>6</xdr:col>
      <xdr:colOff>200025</xdr:colOff>
      <xdr:row>5</xdr:row>
      <xdr:rowOff>361951</xdr:rowOff>
    </xdr:to>
    <xdr:graphicFrame macro="">
      <xdr:nvGraphicFramePr>
        <xdr:cNvPr id="3" name="Diagramm 7">
          <a:extLst>
            <a:ext uri="{FF2B5EF4-FFF2-40B4-BE49-F238E27FC236}">
              <a16:creationId xmlns:a16="http://schemas.microsoft.com/office/drawing/2014/main" id="{1A149BED-8958-46C0-A635-FF96B3657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276225</xdr:colOff>
      <xdr:row>8</xdr:row>
      <xdr:rowOff>57148</xdr:rowOff>
    </xdr:from>
    <xdr:to>
      <xdr:col>18</xdr:col>
      <xdr:colOff>66675</xdr:colOff>
      <xdr:row>22</xdr:row>
      <xdr:rowOff>209550</xdr:rowOff>
    </xdr:to>
    <xdr:sp macro="" textlink="">
      <xdr:nvSpPr>
        <xdr:cNvPr id="4" name="Rectangle: Rounded Corners 3">
          <a:extLst>
            <a:ext uri="{FF2B5EF4-FFF2-40B4-BE49-F238E27FC236}">
              <a16:creationId xmlns:a16="http://schemas.microsoft.com/office/drawing/2014/main" id="{3E43CCD5-32CF-4F34-A483-2CE7B2037F9F}"/>
            </a:ext>
          </a:extLst>
        </xdr:cNvPr>
        <xdr:cNvSpPr/>
      </xdr:nvSpPr>
      <xdr:spPr>
        <a:xfrm>
          <a:off x="495300" y="1895473"/>
          <a:ext cx="12011025" cy="4229102"/>
        </a:xfrm>
        <a:prstGeom prst="roundRect">
          <a:avLst>
            <a:gd name="adj" fmla="val 2281"/>
          </a:avLst>
        </a:prstGeom>
        <a:solidFill>
          <a:srgbClr val="FBFFFD"/>
        </a:solidFill>
        <a:ln>
          <a:solidFill>
            <a:schemeClr val="tx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540000" rIns="180000" rtlCol="0" anchor="t"/>
        <a:lstStyle/>
        <a:p>
          <a:pPr algn="l">
            <a:lnSpc>
              <a:spcPct val="130000"/>
            </a:lnSpc>
            <a:spcAft>
              <a:spcPts val="1200"/>
            </a:spcAft>
          </a:pPr>
          <a:r>
            <a:rPr lang="de-DE" sz="1200" b="0" baseline="0">
              <a:solidFill>
                <a:schemeClr val="tx2"/>
              </a:solidFill>
              <a:latin typeface="Century Gothic" panose="020B0502020202020204" pitchFamily="34" charset="0"/>
            </a:rPr>
            <a:t>Mit der Berechnung des Cashflows nach Steuern hast du das </a:t>
          </a:r>
          <a:r>
            <a:rPr lang="de-DE" sz="1200" b="1" baseline="0">
              <a:solidFill>
                <a:schemeClr val="tx2"/>
              </a:solidFill>
              <a:latin typeface="Century Gothic" panose="020B0502020202020204" pitchFamily="34" charset="0"/>
            </a:rPr>
            <a:t>Ende des roten Fadens </a:t>
          </a:r>
          <a:r>
            <a:rPr lang="de-DE" sz="1200" b="0" baseline="0">
              <a:solidFill>
                <a:schemeClr val="tx2"/>
              </a:solidFill>
              <a:latin typeface="Century Gothic" panose="020B0502020202020204" pitchFamily="34" charset="0"/>
            </a:rPr>
            <a:t>erreicht.</a:t>
          </a:r>
        </a:p>
        <a:p>
          <a:pPr algn="l">
            <a:lnSpc>
              <a:spcPct val="130000"/>
            </a:lnSpc>
            <a:spcAft>
              <a:spcPts val="1200"/>
            </a:spcAft>
          </a:pPr>
          <a:r>
            <a:rPr lang="de-DE" sz="1200" b="0" baseline="0">
              <a:solidFill>
                <a:schemeClr val="tx2"/>
              </a:solidFill>
              <a:latin typeface="Century Gothic" panose="020B0502020202020204" pitchFamily="34" charset="0"/>
            </a:rPr>
            <a:t>Das Kalkulationstool hat allerdings noch viel mehr zu bieten. Nach einem Klick auf "zum Cockpit" befindest dich im immocation </a:t>
          </a:r>
          <a:r>
            <a:rPr lang="de-DE" sz="1200" b="1" baseline="0">
              <a:solidFill>
                <a:schemeClr val="tx2"/>
              </a:solidFill>
              <a:latin typeface="Century Gothic" panose="020B0502020202020204" pitchFamily="34" charset="0"/>
            </a:rPr>
            <a:t>Kalkulations-Cockpit</a:t>
          </a:r>
          <a:r>
            <a:rPr lang="de-DE" sz="1200" b="0" baseline="0">
              <a:solidFill>
                <a:schemeClr val="tx2"/>
              </a:solidFill>
              <a:latin typeface="Century Gothic" panose="020B0502020202020204" pitchFamily="34" charset="0"/>
            </a:rPr>
            <a:t>.</a:t>
          </a:r>
        </a:p>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endParaRPr lang="de-DE" sz="1200" b="0" baseline="0">
            <a:solidFill>
              <a:schemeClr val="tx2"/>
            </a:solidFill>
            <a:latin typeface="Century Gothic" panose="020B0502020202020204" pitchFamily="34" charset="0"/>
          </a:endParaRPr>
        </a:p>
        <a:p>
          <a:pPr algn="l">
            <a:lnSpc>
              <a:spcPct val="130000"/>
            </a:lnSpc>
            <a:spcAft>
              <a:spcPts val="1200"/>
            </a:spcAft>
          </a:pPr>
          <a:r>
            <a:rPr lang="de-DE" sz="1200" b="0" baseline="0">
              <a:solidFill>
                <a:schemeClr val="tx2"/>
              </a:solidFill>
              <a:latin typeface="Century Gothic" panose="020B0502020202020204" pitchFamily="34" charset="0"/>
            </a:rPr>
            <a:t>Dort findest du </a:t>
          </a:r>
          <a:r>
            <a:rPr lang="de-DE" sz="1200" b="1" baseline="0">
              <a:solidFill>
                <a:schemeClr val="tx2"/>
              </a:solidFill>
              <a:latin typeface="Century Gothic" panose="020B0502020202020204" pitchFamily="34" charset="0"/>
            </a:rPr>
            <a:t>viele weitere Kennzahlen und Informationen </a:t>
          </a:r>
          <a:r>
            <a:rPr lang="de-DE" sz="1200" b="0" baseline="0">
              <a:solidFill>
                <a:schemeClr val="tx2"/>
              </a:solidFill>
              <a:latin typeface="Century Gothic" panose="020B0502020202020204" pitchFamily="34" charset="0"/>
            </a:rPr>
            <a:t>zu deiner Wohnung. Alle deine Eingaben aus dem roten Faden sind bereits vorausgefüllt. Alle hellblauen Zellen kannst du ändern. Jede Zahl ist mit einer Erkärung versehen. Diese erscheint, sobald du die entsprechende Zelle anklickst.</a:t>
          </a:r>
        </a:p>
        <a:p>
          <a:pPr algn="l">
            <a:lnSpc>
              <a:spcPct val="130000"/>
            </a:lnSpc>
            <a:spcAft>
              <a:spcPts val="1200"/>
            </a:spcAft>
          </a:pPr>
          <a:r>
            <a:rPr lang="de-DE" sz="1200" b="0" baseline="0">
              <a:solidFill>
                <a:schemeClr val="tx2"/>
              </a:solidFill>
              <a:latin typeface="Century Gothic" panose="020B0502020202020204" pitchFamily="34" charset="0"/>
            </a:rPr>
            <a:t>Über das Menü am oberen Bildschirmrand kannst du zu weiteren Bereichen des Tools navigieren. Am besten schaust du dich einfach einmal in Ruhe um.</a:t>
          </a:r>
        </a:p>
        <a:p>
          <a:pPr algn="l">
            <a:lnSpc>
              <a:spcPct val="130000"/>
            </a:lnSpc>
            <a:spcAft>
              <a:spcPts val="1200"/>
            </a:spcAft>
          </a:pPr>
          <a:r>
            <a:rPr lang="de-DE" sz="1200" b="0" baseline="0">
              <a:solidFill>
                <a:schemeClr val="tx2"/>
              </a:solidFill>
              <a:latin typeface="Century Gothic" panose="020B0502020202020204" pitchFamily="34" charset="0"/>
            </a:rPr>
            <a:t>Mit einem Klick auf "Roter Faden" gelangst du jederzeit wieder </a:t>
          </a:r>
          <a:r>
            <a:rPr lang="de-DE" sz="1200" b="1" baseline="0">
              <a:solidFill>
                <a:schemeClr val="tx2"/>
              </a:solidFill>
              <a:latin typeface="Century Gothic" panose="020B0502020202020204" pitchFamily="34" charset="0"/>
            </a:rPr>
            <a:t>zurück zum roten Faden</a:t>
          </a:r>
          <a:r>
            <a:rPr lang="de-DE" sz="1200" b="0" baseline="0">
              <a:solidFill>
                <a:schemeClr val="tx2"/>
              </a:solidFill>
              <a:latin typeface="Century Gothic" panose="020B0502020202020204" pitchFamily="34" charset="0"/>
            </a:rPr>
            <a:t>.</a:t>
          </a:r>
        </a:p>
      </xdr:txBody>
    </xdr:sp>
    <xdr:clientData/>
  </xdr:twoCellAnchor>
  <xdr:twoCellAnchor>
    <xdr:from>
      <xdr:col>10</xdr:col>
      <xdr:colOff>257175</xdr:colOff>
      <xdr:row>24</xdr:row>
      <xdr:rowOff>0</xdr:rowOff>
    </xdr:from>
    <xdr:to>
      <xdr:col>12</xdr:col>
      <xdr:colOff>447675</xdr:colOff>
      <xdr:row>25</xdr:row>
      <xdr:rowOff>161925</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2B6336BB-8457-4EBE-A3A3-CD294500383B}"/>
            </a:ext>
          </a:extLst>
        </xdr:cNvPr>
        <xdr:cNvSpPr/>
      </xdr:nvSpPr>
      <xdr:spPr>
        <a:xfrm>
          <a:off x="6677025" y="6353175"/>
          <a:ext cx="169545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zum Cockpit</a:t>
          </a:r>
        </a:p>
      </xdr:txBody>
    </xdr:sp>
    <xdr:clientData/>
  </xdr:twoCellAnchor>
  <xdr:twoCellAnchor editAs="absolute">
    <xdr:from>
      <xdr:col>6</xdr:col>
      <xdr:colOff>590550</xdr:colOff>
      <xdr:row>3</xdr:row>
      <xdr:rowOff>138113</xdr:rowOff>
    </xdr:from>
    <xdr:to>
      <xdr:col>18</xdr:col>
      <xdr:colOff>37532</xdr:colOff>
      <xdr:row>5</xdr:row>
      <xdr:rowOff>241698</xdr:rowOff>
    </xdr:to>
    <xdr:grpSp>
      <xdr:nvGrpSpPr>
        <xdr:cNvPr id="6" name="Group 5">
          <a:extLst>
            <a:ext uri="{FF2B5EF4-FFF2-40B4-BE49-F238E27FC236}">
              <a16:creationId xmlns:a16="http://schemas.microsoft.com/office/drawing/2014/main" id="{137711B7-2930-4956-B76E-7AB4EE172FBF}"/>
            </a:ext>
          </a:extLst>
        </xdr:cNvPr>
        <xdr:cNvGrpSpPr/>
      </xdr:nvGrpSpPr>
      <xdr:grpSpPr>
        <a:xfrm>
          <a:off x="4902200" y="646113"/>
          <a:ext cx="8159182" cy="573485"/>
          <a:chOff x="4705350" y="652463"/>
          <a:chExt cx="7771832" cy="579835"/>
        </a:xfrm>
      </xdr:grpSpPr>
      <xdr:grpSp>
        <xdr:nvGrpSpPr>
          <xdr:cNvPr id="7" name="Group 6">
            <a:extLst>
              <a:ext uri="{FF2B5EF4-FFF2-40B4-BE49-F238E27FC236}">
                <a16:creationId xmlns:a16="http://schemas.microsoft.com/office/drawing/2014/main" id="{3F499619-E7B6-4A0F-BCE4-3AF0D1B8F654}"/>
              </a:ext>
            </a:extLst>
          </xdr:cNvPr>
          <xdr:cNvGrpSpPr/>
        </xdr:nvGrpSpPr>
        <xdr:grpSpPr>
          <a:xfrm>
            <a:off x="4705350" y="652463"/>
            <a:ext cx="7771832" cy="257175"/>
            <a:chOff x="4705350" y="642938"/>
            <a:chExt cx="7771832" cy="257175"/>
          </a:xfrm>
        </xdr:grpSpPr>
        <xdr:sp macro="" textlink="">
          <xdr:nvSpPr>
            <xdr:cNvPr id="15" name="Rectangle 14">
              <a:extLst>
                <a:ext uri="{FF2B5EF4-FFF2-40B4-BE49-F238E27FC236}">
                  <a16:creationId xmlns:a16="http://schemas.microsoft.com/office/drawing/2014/main" id="{23F788E4-52D0-4B88-AC68-C73260CE314B}"/>
                </a:ext>
              </a:extLst>
            </xdr:cNvPr>
            <xdr:cNvSpPr/>
          </xdr:nvSpPr>
          <xdr:spPr>
            <a:xfrm>
              <a:off x="4705350" y="642938"/>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Eigenkapitalbedarf:</a:t>
              </a:r>
            </a:p>
          </xdr:txBody>
        </xdr:sp>
        <xdr:sp macro="" textlink="">
          <xdr:nvSpPr>
            <xdr:cNvPr id="16" name="Rectangle 15">
              <a:extLst>
                <a:ext uri="{FF2B5EF4-FFF2-40B4-BE49-F238E27FC236}">
                  <a16:creationId xmlns:a16="http://schemas.microsoft.com/office/drawing/2014/main" id="{BB9B2DD6-A2A0-4C5C-A58C-975DD108CDAC}"/>
                </a:ext>
              </a:extLst>
            </xdr:cNvPr>
            <xdr:cNvSpPr/>
          </xdr:nvSpPr>
          <xdr:spPr>
            <a:xfrm>
              <a:off x="7434919" y="642938"/>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nach Steuern:</a:t>
              </a:r>
            </a:p>
          </xdr:txBody>
        </xdr:sp>
        <xdr:sp macro="" textlink="">
          <xdr:nvSpPr>
            <xdr:cNvPr id="17" name="Rectangle 16">
              <a:extLst>
                <a:ext uri="{FF2B5EF4-FFF2-40B4-BE49-F238E27FC236}">
                  <a16:creationId xmlns:a16="http://schemas.microsoft.com/office/drawing/2014/main" id="{03315425-B8FE-4D9E-85B2-E778B2EB7D05}"/>
                </a:ext>
              </a:extLst>
            </xdr:cNvPr>
            <xdr:cNvSpPr/>
          </xdr:nvSpPr>
          <xdr:spPr>
            <a:xfrm>
              <a:off x="10359441" y="642938"/>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Schuldenfrei:</a:t>
              </a:r>
            </a:p>
          </xdr:txBody>
        </xdr:sp>
        <xdr:sp macro="" textlink="cnfg_rf!$G$7">
          <xdr:nvSpPr>
            <xdr:cNvPr id="18" name="Rectangle 17">
              <a:extLst>
                <a:ext uri="{FF2B5EF4-FFF2-40B4-BE49-F238E27FC236}">
                  <a16:creationId xmlns:a16="http://schemas.microsoft.com/office/drawing/2014/main" id="{D461F59F-1085-4E1A-A6D0-F85FA63D9E0D}"/>
                </a:ext>
              </a:extLst>
            </xdr:cNvPr>
            <xdr:cNvSpPr/>
          </xdr:nvSpPr>
          <xdr:spPr>
            <a:xfrm>
              <a:off x="6276975" y="642938"/>
              <a:ext cx="85886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5EC3382F-E5D1-4A9E-8FAE-ECF174B18616}" type="TxLink">
                <a:rPr lang="en-US" sz="1200" b="0" i="0" u="none" strike="noStrike">
                  <a:solidFill>
                    <a:schemeClr val="tx2"/>
                  </a:solidFill>
                  <a:latin typeface="Century Gothic" panose="020B0502020202020204" pitchFamily="34" charset="0"/>
                  <a:cs typeface="Calibri"/>
                </a:rPr>
                <a:pPr algn="r"/>
                <a:t>-</a:t>
              </a:fld>
              <a:endParaRPr lang="en-US" sz="1200">
                <a:solidFill>
                  <a:schemeClr val="tx2"/>
                </a:solidFill>
                <a:latin typeface="Century Gothic" panose="020B0502020202020204" pitchFamily="34" charset="0"/>
              </a:endParaRPr>
            </a:p>
          </xdr:txBody>
        </xdr:sp>
        <xdr:sp macro="" textlink="cnfg_rf!$G$10">
          <xdr:nvSpPr>
            <xdr:cNvPr id="19" name="Rectangle 18">
              <a:extLst>
                <a:ext uri="{FF2B5EF4-FFF2-40B4-BE49-F238E27FC236}">
                  <a16:creationId xmlns:a16="http://schemas.microsoft.com/office/drawing/2014/main" id="{18226179-FA36-4128-BB47-D41479E26E25}"/>
                </a:ext>
              </a:extLst>
            </xdr:cNvPr>
            <xdr:cNvSpPr/>
          </xdr:nvSpPr>
          <xdr:spPr>
            <a:xfrm>
              <a:off x="9239250" y="642938"/>
              <a:ext cx="82370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09976595-EDCF-4DE7-9AF9-70899FB7BEBE}"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8">
          <xdr:nvSpPr>
            <xdr:cNvPr id="20" name="Rectangle 19">
              <a:extLst>
                <a:ext uri="{FF2B5EF4-FFF2-40B4-BE49-F238E27FC236}">
                  <a16:creationId xmlns:a16="http://schemas.microsoft.com/office/drawing/2014/main" id="{59525BCD-DF78-413D-A84D-D619DAF35384}"/>
                </a:ext>
              </a:extLst>
            </xdr:cNvPr>
            <xdr:cNvSpPr/>
          </xdr:nvSpPr>
          <xdr:spPr>
            <a:xfrm>
              <a:off x="11277600" y="642938"/>
              <a:ext cx="11995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2D3AA434-AF0F-4867-9F13-71C475A3BC4A}"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grpSp>
      <xdr:grpSp>
        <xdr:nvGrpSpPr>
          <xdr:cNvPr id="8" name="Group 7">
            <a:extLst>
              <a:ext uri="{FF2B5EF4-FFF2-40B4-BE49-F238E27FC236}">
                <a16:creationId xmlns:a16="http://schemas.microsoft.com/office/drawing/2014/main" id="{190AC0C8-D8E7-4BBF-9568-DCEF70D7D39E}"/>
              </a:ext>
            </a:extLst>
          </xdr:cNvPr>
          <xdr:cNvGrpSpPr/>
        </xdr:nvGrpSpPr>
        <xdr:grpSpPr>
          <a:xfrm>
            <a:off x="4705350" y="975123"/>
            <a:ext cx="7771832" cy="257175"/>
            <a:chOff x="4705350" y="975123"/>
            <a:chExt cx="7771832" cy="257175"/>
          </a:xfrm>
        </xdr:grpSpPr>
        <xdr:sp macro="" textlink="">
          <xdr:nvSpPr>
            <xdr:cNvPr id="9" name="Rectangle 8">
              <a:extLst>
                <a:ext uri="{FF2B5EF4-FFF2-40B4-BE49-F238E27FC236}">
                  <a16:creationId xmlns:a16="http://schemas.microsoft.com/office/drawing/2014/main" id="{9E768B9F-F87F-4E2C-921E-CC6B3D977912}"/>
                </a:ext>
              </a:extLst>
            </xdr:cNvPr>
            <xdr:cNvSpPr/>
          </xdr:nvSpPr>
          <xdr:spPr>
            <a:xfrm>
              <a:off x="4705350" y="975123"/>
              <a:ext cx="1800226"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Cashflow vor Steuern:</a:t>
              </a:r>
            </a:p>
          </xdr:txBody>
        </xdr:sp>
        <xdr:sp macro="" textlink="calc_rf!$B$9">
          <xdr:nvSpPr>
            <xdr:cNvPr id="10" name="Rectangle 9">
              <a:extLst>
                <a:ext uri="{FF2B5EF4-FFF2-40B4-BE49-F238E27FC236}">
                  <a16:creationId xmlns:a16="http://schemas.microsoft.com/office/drawing/2014/main" id="{7CE39894-0E95-4416-AB00-CF0B26D2464D}"/>
                </a:ext>
              </a:extLst>
            </xdr:cNvPr>
            <xdr:cNvSpPr/>
          </xdr:nvSpPr>
          <xdr:spPr>
            <a:xfrm>
              <a:off x="7434919" y="975123"/>
              <a:ext cx="212818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C64DFFA-D33A-402A-A0A0-50A628B83CE7}" type="TxLink">
                <a:rPr lang="en-US" sz="1200" b="0" i="0" u="none" strike="noStrike">
                  <a:solidFill>
                    <a:schemeClr val="tx2"/>
                  </a:solidFill>
                  <a:latin typeface="Century Gothic" panose="020B0502020202020204" pitchFamily="34" charset="0"/>
                  <a:cs typeface="Calibri"/>
                </a:rPr>
                <a:pPr algn="l"/>
                <a:t>Gleiche Rate in 1 Jahr:</a:t>
              </a:fld>
              <a:endParaRPr lang="de-DE" sz="1200">
                <a:solidFill>
                  <a:schemeClr val="tx2"/>
                </a:solidFill>
                <a:latin typeface="Century Gothic" panose="020B0502020202020204" pitchFamily="34" charset="0"/>
              </a:endParaRPr>
            </a:p>
          </xdr:txBody>
        </xdr:sp>
        <xdr:sp macro="" textlink="">
          <xdr:nvSpPr>
            <xdr:cNvPr id="11" name="Rectangle 10">
              <a:extLst>
                <a:ext uri="{FF2B5EF4-FFF2-40B4-BE49-F238E27FC236}">
                  <a16:creationId xmlns:a16="http://schemas.microsoft.com/office/drawing/2014/main" id="{A16AA0A4-B206-4370-A083-F19D8015B4CC}"/>
                </a:ext>
              </a:extLst>
            </xdr:cNvPr>
            <xdr:cNvSpPr/>
          </xdr:nvSpPr>
          <xdr:spPr>
            <a:xfrm>
              <a:off x="10359441" y="975123"/>
              <a:ext cx="1518234"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a:solidFill>
                    <a:schemeClr val="tx2"/>
                  </a:solidFill>
                  <a:latin typeface="Century Gothic" panose="020B0502020202020204" pitchFamily="34" charset="0"/>
                </a:rPr>
                <a:t>Zusätzliche Rente:</a:t>
              </a:r>
            </a:p>
          </xdr:txBody>
        </xdr:sp>
        <xdr:sp macro="" textlink="cnfg_rf!$G$9">
          <xdr:nvSpPr>
            <xdr:cNvPr id="12" name="Rectangle 11">
              <a:extLst>
                <a:ext uri="{FF2B5EF4-FFF2-40B4-BE49-F238E27FC236}">
                  <a16:creationId xmlns:a16="http://schemas.microsoft.com/office/drawing/2014/main" id="{446438A6-E7EF-43AA-95E8-31BA714248F8}"/>
                </a:ext>
              </a:extLst>
            </xdr:cNvPr>
            <xdr:cNvSpPr/>
          </xdr:nvSpPr>
          <xdr:spPr>
            <a:xfrm>
              <a:off x="6343650" y="975123"/>
              <a:ext cx="80118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4F81CC35-1D89-4B60-8D84-7DDE04A0D1E0}" type="TxLink">
                <a:rPr lang="en-US" sz="1200" b="0" i="0" u="none" strike="noStrike">
                  <a:solidFill>
                    <a:schemeClr val="tx2"/>
                  </a:solidFill>
                  <a:latin typeface="Century Gothic" panose="020B0502020202020204" pitchFamily="34" charset="0"/>
                  <a:cs typeface="Calibri"/>
                </a:rPr>
                <a:pPr algn="r"/>
                <a:t>-</a:t>
              </a:fld>
              <a:endParaRPr lang="de-DE" sz="1200">
                <a:solidFill>
                  <a:schemeClr val="tx2"/>
                </a:solidFill>
                <a:latin typeface="Century Gothic" panose="020B0502020202020204" pitchFamily="34" charset="0"/>
              </a:endParaRPr>
            </a:p>
          </xdr:txBody>
        </xdr:sp>
        <xdr:sp macro="" textlink="cnfg_rf!$G$11">
          <xdr:nvSpPr>
            <xdr:cNvPr id="13" name="Rectangle 12">
              <a:extLst>
                <a:ext uri="{FF2B5EF4-FFF2-40B4-BE49-F238E27FC236}">
                  <a16:creationId xmlns:a16="http://schemas.microsoft.com/office/drawing/2014/main" id="{0AB4B8D0-BAE8-44D0-88C0-5F130A5DC264}"/>
                </a:ext>
              </a:extLst>
            </xdr:cNvPr>
            <xdr:cNvSpPr/>
          </xdr:nvSpPr>
          <xdr:spPr>
            <a:xfrm>
              <a:off x="11715750" y="975123"/>
              <a:ext cx="761432"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D05BC50A-5360-4B25-8F6B-4965CAEFAFA1}"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endParaRPr>
            </a:p>
          </xdr:txBody>
        </xdr:sp>
        <xdr:sp macro="" textlink="cnfg_rf!$G$12">
          <xdr:nvSpPr>
            <xdr:cNvPr id="14" name="Rectangle 13">
              <a:extLst>
                <a:ext uri="{FF2B5EF4-FFF2-40B4-BE49-F238E27FC236}">
                  <a16:creationId xmlns:a16="http://schemas.microsoft.com/office/drawing/2014/main" id="{486F5FC7-F38A-4892-A0AB-0A9D32FBA77C}"/>
                </a:ext>
              </a:extLst>
            </xdr:cNvPr>
            <xdr:cNvSpPr/>
          </xdr:nvSpPr>
          <xdr:spPr>
            <a:xfrm>
              <a:off x="9296400" y="975123"/>
              <a:ext cx="766553"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FA69A1D5-9C77-4973-B148-FA29D405590E}" type="TxLink">
                <a:rPr lang="en-US" sz="1200" b="0" i="0" u="none" strike="noStrike">
                  <a:solidFill>
                    <a:schemeClr val="tx2"/>
                  </a:solidFill>
                  <a:latin typeface="Century Gothic" panose="020B0502020202020204" pitchFamily="34" charset="0"/>
                  <a:cs typeface="Calibri"/>
                </a:rPr>
                <a:pPr algn="r"/>
                <a:t>-</a:t>
              </a:fld>
              <a:endParaRPr lang="en-US" sz="1200" b="0" i="0" u="none" strike="noStrike">
                <a:solidFill>
                  <a:schemeClr val="tx2"/>
                </a:solidFill>
                <a:latin typeface="Century Gothic" panose="020B0502020202020204" pitchFamily="34" charset="0"/>
                <a:cs typeface="Calibri"/>
              </a:endParaRPr>
            </a:p>
          </xdr:txBody>
        </xdr:sp>
      </xdr:grpSp>
    </xdr:grpSp>
    <xdr:clientData/>
  </xdr:twoCellAnchor>
  <xdr:twoCellAnchor>
    <xdr:from>
      <xdr:col>6</xdr:col>
      <xdr:colOff>514350</xdr:colOff>
      <xdr:row>24</xdr:row>
      <xdr:rowOff>0</xdr:rowOff>
    </xdr:from>
    <xdr:to>
      <xdr:col>9</xdr:col>
      <xdr:colOff>657375</xdr:colOff>
      <xdr:row>25</xdr:row>
      <xdr:rowOff>161925</xdr:rowOff>
    </xdr:to>
    <xdr:sp macro="" textlink="">
      <xdr:nvSpPr>
        <xdr:cNvPr id="21" name="Arrow: Right 20">
          <a:hlinkClick xmlns:r="http://schemas.openxmlformats.org/officeDocument/2006/relationships" r:id="rId4"/>
          <a:extLst>
            <a:ext uri="{FF2B5EF4-FFF2-40B4-BE49-F238E27FC236}">
              <a16:creationId xmlns:a16="http://schemas.microsoft.com/office/drawing/2014/main" id="{4DD0130E-0038-4023-AA70-BCC63B7CECB7}"/>
            </a:ext>
          </a:extLst>
        </xdr:cNvPr>
        <xdr:cNvSpPr/>
      </xdr:nvSpPr>
      <xdr:spPr>
        <a:xfrm flipH="1">
          <a:off x="4629150" y="6353175"/>
          <a:ext cx="1695600" cy="381000"/>
        </a:xfrm>
        <a:prstGeom prst="rightArrow">
          <a:avLst>
            <a:gd name="adj1" fmla="val 54651"/>
            <a:gd name="adj2" fmla="val 50000"/>
          </a:avLst>
        </a:prstGeom>
        <a:solidFill>
          <a:schemeClr val="accent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0" rIns="180000" rtlCol="0" anchor="ctr"/>
        <a:lstStyle/>
        <a:p>
          <a:pPr algn="ctr"/>
          <a:r>
            <a:rPr lang="de-DE" sz="1050">
              <a:latin typeface="Unit"/>
            </a:rPr>
            <a:t>zurück</a:t>
          </a:r>
        </a:p>
      </xdr:txBody>
    </xdr:sp>
    <xdr:clientData/>
  </xdr:twoCellAnchor>
  <xdr:twoCellAnchor editAs="oneCell">
    <xdr:from>
      <xdr:col>2</xdr:col>
      <xdr:colOff>28575</xdr:colOff>
      <xdr:row>8</xdr:row>
      <xdr:rowOff>161925</xdr:rowOff>
    </xdr:from>
    <xdr:to>
      <xdr:col>2</xdr:col>
      <xdr:colOff>371475</xdr:colOff>
      <xdr:row>9</xdr:row>
      <xdr:rowOff>180975</xdr:rowOff>
    </xdr:to>
    <xdr:pic>
      <xdr:nvPicPr>
        <xdr:cNvPr id="22" name="Picture 21" descr="http://de.seaicons.com/wp-content/uploads/2015/11/15-Light-Bulb-icon.png">
          <a:extLst>
            <a:ext uri="{FF2B5EF4-FFF2-40B4-BE49-F238E27FC236}">
              <a16:creationId xmlns:a16="http://schemas.microsoft.com/office/drawing/2014/main" id="{774763EB-A9C5-4104-873C-3C4DE2B0C7A9}"/>
            </a:ext>
          </a:extLst>
        </xdr:cNvPr>
        <xdr:cNvPicPr>
          <a:picLocks noChangeAspect="1" noChangeArrowheads="1"/>
        </xdr:cNvPicPr>
      </xdr:nvPicPr>
      <xdr:blipFill>
        <a:blip xmlns:r="http://schemas.openxmlformats.org/officeDocument/2006/relationships" r:embed="rId5" cstate="print">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609600" y="200025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4</xdr:col>
      <xdr:colOff>85725</xdr:colOff>
      <xdr:row>0</xdr:row>
      <xdr:rowOff>133350</xdr:rowOff>
    </xdr:from>
    <xdr:to>
      <xdr:col>18</xdr:col>
      <xdr:colOff>76200</xdr:colOff>
      <xdr:row>2</xdr:row>
      <xdr:rowOff>29325</xdr:rowOff>
    </xdr:to>
    <xdr:grpSp>
      <xdr:nvGrpSpPr>
        <xdr:cNvPr id="24" name="Group 23">
          <a:extLst>
            <a:ext uri="{FF2B5EF4-FFF2-40B4-BE49-F238E27FC236}">
              <a16:creationId xmlns:a16="http://schemas.microsoft.com/office/drawing/2014/main" id="{DF27AD1D-8D2C-49A1-9283-6E09690A257D}"/>
            </a:ext>
          </a:extLst>
        </xdr:cNvPr>
        <xdr:cNvGrpSpPr/>
      </xdr:nvGrpSpPr>
      <xdr:grpSpPr>
        <a:xfrm>
          <a:off x="3089275" y="133350"/>
          <a:ext cx="10010775" cy="245225"/>
          <a:chOff x="2952750" y="137737"/>
          <a:chExt cx="9563100" cy="248400"/>
        </a:xfrm>
      </xdr:grpSpPr>
      <xdr:sp macro="" textlink="">
        <xdr:nvSpPr>
          <xdr:cNvPr id="25" name="Rectangle 24">
            <a:hlinkClick xmlns:r="http://schemas.openxmlformats.org/officeDocument/2006/relationships" r:id="rId6"/>
            <a:extLst>
              <a:ext uri="{FF2B5EF4-FFF2-40B4-BE49-F238E27FC236}">
                <a16:creationId xmlns:a16="http://schemas.microsoft.com/office/drawing/2014/main" id="{9B9B4389-6417-46EB-A58D-E2EE41B544F4}"/>
              </a:ext>
            </a:extLst>
          </xdr:cNvPr>
          <xdr:cNvSpPr/>
        </xdr:nvSpPr>
        <xdr:spPr>
          <a:xfrm>
            <a:off x="5092994" y="138112"/>
            <a:ext cx="117237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Kaufnebenkosten</a:t>
            </a:r>
          </a:p>
        </xdr:txBody>
      </xdr:sp>
      <xdr:sp macro="" textlink="">
        <xdr:nvSpPr>
          <xdr:cNvPr id="26" name="Rectangle 25">
            <a:hlinkClick xmlns:r="http://schemas.openxmlformats.org/officeDocument/2006/relationships" r:id="rId7"/>
            <a:extLst>
              <a:ext uri="{FF2B5EF4-FFF2-40B4-BE49-F238E27FC236}">
                <a16:creationId xmlns:a16="http://schemas.microsoft.com/office/drawing/2014/main" id="{91B676FD-FA7A-4E75-ABC3-5ACCFE301FC8}"/>
              </a:ext>
            </a:extLst>
          </xdr:cNvPr>
          <xdr:cNvSpPr/>
        </xdr:nvSpPr>
        <xdr:spPr>
          <a:xfrm>
            <a:off x="6433300" y="138112"/>
            <a:ext cx="879674"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Maßnahmen</a:t>
            </a:r>
          </a:p>
        </xdr:txBody>
      </xdr:sp>
      <xdr:sp macro="" textlink="">
        <xdr:nvSpPr>
          <xdr:cNvPr id="27" name="Rectangle 26">
            <a:hlinkClick xmlns:r="http://schemas.openxmlformats.org/officeDocument/2006/relationships" r:id="rId8"/>
            <a:extLst>
              <a:ext uri="{FF2B5EF4-FFF2-40B4-BE49-F238E27FC236}">
                <a16:creationId xmlns:a16="http://schemas.microsoft.com/office/drawing/2014/main" id="{909D11E5-A00F-4228-9D04-AC6640B5761E}"/>
              </a:ext>
            </a:extLst>
          </xdr:cNvPr>
          <xdr:cNvSpPr/>
        </xdr:nvSpPr>
        <xdr:spPr>
          <a:xfrm>
            <a:off x="7480909" y="138112"/>
            <a:ext cx="88464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Finanzierung</a:t>
            </a:r>
          </a:p>
        </xdr:txBody>
      </xdr:sp>
      <xdr:sp macro="" textlink="">
        <xdr:nvSpPr>
          <xdr:cNvPr id="28" name="Rectangle 27">
            <a:hlinkClick xmlns:r="http://schemas.openxmlformats.org/officeDocument/2006/relationships" r:id="rId9"/>
            <a:extLst>
              <a:ext uri="{FF2B5EF4-FFF2-40B4-BE49-F238E27FC236}">
                <a16:creationId xmlns:a16="http://schemas.microsoft.com/office/drawing/2014/main" id="{AE1120D4-42AF-4E20-ADDD-9E891446C54C}"/>
              </a:ext>
            </a:extLst>
          </xdr:cNvPr>
          <xdr:cNvSpPr/>
        </xdr:nvSpPr>
        <xdr:spPr>
          <a:xfrm>
            <a:off x="8533489" y="138112"/>
            <a:ext cx="139215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Hausgeld &amp;</a:t>
            </a:r>
            <a:r>
              <a:rPr lang="de-DE" sz="1050" u="none" baseline="0">
                <a:solidFill>
                  <a:schemeClr val="bg1"/>
                </a:solidFill>
                <a:latin typeface="+mn-lt"/>
              </a:rPr>
              <a:t> Rücklagen</a:t>
            </a:r>
            <a:endParaRPr lang="de-DE" sz="1050" u="none">
              <a:solidFill>
                <a:schemeClr val="bg1"/>
              </a:solidFill>
              <a:latin typeface="+mn-lt"/>
            </a:endParaRPr>
          </a:p>
        </xdr:txBody>
      </xdr:sp>
      <xdr:sp macro="" textlink="">
        <xdr:nvSpPr>
          <xdr:cNvPr id="29" name="Rectangle 28">
            <a:hlinkClick xmlns:r="http://schemas.openxmlformats.org/officeDocument/2006/relationships" r:id="rId10"/>
            <a:extLst>
              <a:ext uri="{FF2B5EF4-FFF2-40B4-BE49-F238E27FC236}">
                <a16:creationId xmlns:a16="http://schemas.microsoft.com/office/drawing/2014/main" id="{84552E50-078B-4D39-B1AB-46F72C300A08}"/>
              </a:ext>
            </a:extLst>
          </xdr:cNvPr>
          <xdr:cNvSpPr/>
        </xdr:nvSpPr>
        <xdr:spPr>
          <a:xfrm>
            <a:off x="10093583" y="138112"/>
            <a:ext cx="712807"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Zinsrisiko</a:t>
            </a:r>
          </a:p>
        </xdr:txBody>
      </xdr:sp>
      <xdr:sp macro="" textlink="">
        <xdr:nvSpPr>
          <xdr:cNvPr id="30" name="Rectangle 29">
            <a:hlinkClick xmlns:r="http://schemas.openxmlformats.org/officeDocument/2006/relationships" r:id="rId11"/>
            <a:extLst>
              <a:ext uri="{FF2B5EF4-FFF2-40B4-BE49-F238E27FC236}">
                <a16:creationId xmlns:a16="http://schemas.microsoft.com/office/drawing/2014/main" id="{56EEA479-859C-4E99-A81E-FC92718364EB}"/>
              </a:ext>
            </a:extLst>
          </xdr:cNvPr>
          <xdr:cNvSpPr/>
        </xdr:nvSpPr>
        <xdr:spPr>
          <a:xfrm>
            <a:off x="10974325" y="138112"/>
            <a:ext cx="65922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cs typeface="Calibri" panose="020F0502020204030204" pitchFamily="34" charset="0"/>
              </a:rPr>
              <a:t> </a:t>
            </a:r>
            <a:r>
              <a:rPr lang="de-DE" sz="1050" u="none">
                <a:solidFill>
                  <a:schemeClr val="bg1"/>
                </a:solidFill>
                <a:latin typeface="+mn-lt"/>
              </a:rPr>
              <a:t>Steuern</a:t>
            </a:r>
          </a:p>
        </xdr:txBody>
      </xdr:sp>
      <xdr:sp macro="" textlink="">
        <xdr:nvSpPr>
          <xdr:cNvPr id="31" name="Rectangle 30">
            <a:hlinkClick xmlns:r="http://schemas.openxmlformats.org/officeDocument/2006/relationships" r:id="rId12"/>
            <a:extLst>
              <a:ext uri="{FF2B5EF4-FFF2-40B4-BE49-F238E27FC236}">
                <a16:creationId xmlns:a16="http://schemas.microsoft.com/office/drawing/2014/main" id="{5B4B358D-E533-4169-A054-FDC4DABE5CD9}"/>
              </a:ext>
            </a:extLst>
          </xdr:cNvPr>
          <xdr:cNvSpPr/>
        </xdr:nvSpPr>
        <xdr:spPr>
          <a:xfrm>
            <a:off x="11801475" y="138112"/>
            <a:ext cx="7143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 </a:t>
            </a:r>
            <a:r>
              <a:rPr lang="de-DE" sz="1050" u="sng">
                <a:solidFill>
                  <a:schemeClr val="bg1"/>
                </a:solidFill>
                <a:latin typeface="+mn-lt"/>
              </a:rPr>
              <a:t>Ergebnis</a:t>
            </a:r>
          </a:p>
        </xdr:txBody>
      </xdr:sp>
      <xdr:sp macro="" textlink="">
        <xdr:nvSpPr>
          <xdr:cNvPr id="32" name="Rectangle 31">
            <a:extLst>
              <a:ext uri="{FF2B5EF4-FFF2-40B4-BE49-F238E27FC236}">
                <a16:creationId xmlns:a16="http://schemas.microsoft.com/office/drawing/2014/main" id="{E27222A1-9C9B-4FB1-8ABB-00AF6B5DDAF5}"/>
              </a:ext>
            </a:extLst>
          </xdr:cNvPr>
          <xdr:cNvSpPr/>
        </xdr:nvSpPr>
        <xdr:spPr>
          <a:xfrm>
            <a:off x="4849912"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3" name="Rectangle 32">
            <a:extLst>
              <a:ext uri="{FF2B5EF4-FFF2-40B4-BE49-F238E27FC236}">
                <a16:creationId xmlns:a16="http://schemas.microsoft.com/office/drawing/2014/main" id="{0FA7A6D7-26DE-4A4C-8068-16C19F42AFC4}"/>
              </a:ext>
            </a:extLst>
          </xdr:cNvPr>
          <xdr:cNvSpPr/>
        </xdr:nvSpPr>
        <xdr:spPr>
          <a:xfrm>
            <a:off x="6190218"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4" name="Rectangle 33">
            <a:extLst>
              <a:ext uri="{FF2B5EF4-FFF2-40B4-BE49-F238E27FC236}">
                <a16:creationId xmlns:a16="http://schemas.microsoft.com/office/drawing/2014/main" id="{EE426294-9DE7-43F5-8AF8-EF19F1034057}"/>
              </a:ext>
            </a:extLst>
          </xdr:cNvPr>
          <xdr:cNvSpPr/>
        </xdr:nvSpPr>
        <xdr:spPr>
          <a:xfrm>
            <a:off x="723782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5" name="Rectangle 34">
            <a:extLst>
              <a:ext uri="{FF2B5EF4-FFF2-40B4-BE49-F238E27FC236}">
                <a16:creationId xmlns:a16="http://schemas.microsoft.com/office/drawing/2014/main" id="{74B7CDD2-CF46-4DC6-8413-EA23F668FBAC}"/>
              </a:ext>
            </a:extLst>
          </xdr:cNvPr>
          <xdr:cNvSpPr/>
        </xdr:nvSpPr>
        <xdr:spPr>
          <a:xfrm>
            <a:off x="8290407"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6" name="Rectangle 35">
            <a:extLst>
              <a:ext uri="{FF2B5EF4-FFF2-40B4-BE49-F238E27FC236}">
                <a16:creationId xmlns:a16="http://schemas.microsoft.com/office/drawing/2014/main" id="{F780AEC9-E863-4CBE-B7B2-D8DEC1CAE3A9}"/>
              </a:ext>
            </a:extLst>
          </xdr:cNvPr>
          <xdr:cNvSpPr/>
        </xdr:nvSpPr>
        <xdr:spPr>
          <a:xfrm>
            <a:off x="9850501"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7" name="Rectangle 36">
            <a:extLst>
              <a:ext uri="{FF2B5EF4-FFF2-40B4-BE49-F238E27FC236}">
                <a16:creationId xmlns:a16="http://schemas.microsoft.com/office/drawing/2014/main" id="{51DCCD4D-13F4-4A00-A45B-3D3DD33EC887}"/>
              </a:ext>
            </a:extLst>
          </xdr:cNvPr>
          <xdr:cNvSpPr/>
        </xdr:nvSpPr>
        <xdr:spPr>
          <a:xfrm>
            <a:off x="1073124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8" name="Rectangle 37">
            <a:extLst>
              <a:ext uri="{FF2B5EF4-FFF2-40B4-BE49-F238E27FC236}">
                <a16:creationId xmlns:a16="http://schemas.microsoft.com/office/drawing/2014/main" id="{C8117AFC-62E0-4EA6-B3C1-BD7296493B22}"/>
              </a:ext>
            </a:extLst>
          </xdr:cNvPr>
          <xdr:cNvSpPr/>
        </xdr:nvSpPr>
        <xdr:spPr>
          <a:xfrm>
            <a:off x="11558399"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881B1B77-5ED6-4B2E-8B18-2E64506E5FA4}"/>
              </a:ext>
            </a:extLst>
          </xdr:cNvPr>
          <xdr:cNvSpPr/>
        </xdr:nvSpPr>
        <xdr:spPr>
          <a:xfrm>
            <a:off x="3615985" y="137737"/>
            <a:ext cx="1309074"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Kaufpreis und Miete</a:t>
            </a:r>
          </a:p>
        </xdr:txBody>
      </xdr:sp>
      <xdr:sp macro="" textlink="">
        <xdr:nvSpPr>
          <xdr:cNvPr id="40" name="Rectangle 39">
            <a:extLst>
              <a:ext uri="{FF2B5EF4-FFF2-40B4-BE49-F238E27FC236}">
                <a16:creationId xmlns:a16="http://schemas.microsoft.com/office/drawing/2014/main" id="{56853DA3-D378-4074-B71C-60D68A462CD5}"/>
              </a:ext>
            </a:extLst>
          </xdr:cNvPr>
          <xdr:cNvSpPr/>
        </xdr:nvSpPr>
        <xdr:spPr>
          <a:xfrm>
            <a:off x="3372903" y="138112"/>
            <a:ext cx="318229"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a:solidFill>
                  <a:schemeClr val="bg1"/>
                </a:solidFill>
                <a:latin typeface="+mn-lt"/>
                <a:cs typeface="Calibri" panose="020F0502020204030204" pitchFamily="34" charset="0"/>
              </a:rPr>
              <a:t>→</a:t>
            </a:r>
            <a:endParaRPr lang="de-DE" sz="1050">
              <a:solidFill>
                <a:schemeClr val="bg1"/>
              </a:solidFill>
              <a:latin typeface="+mn-lt"/>
            </a:endParaRPr>
          </a:p>
        </xdr:txBody>
      </xdr:sp>
      <xdr:sp macro="" textlink="">
        <xdr:nvSpPr>
          <xdr:cNvPr id="41" name="Rectangle: Rounded Corners 40">
            <a:hlinkClick xmlns:r="http://schemas.openxmlformats.org/officeDocument/2006/relationships" r:id="rId14"/>
            <a:extLst>
              <a:ext uri="{FF2B5EF4-FFF2-40B4-BE49-F238E27FC236}">
                <a16:creationId xmlns:a16="http://schemas.microsoft.com/office/drawing/2014/main" id="{47AB9E6C-ED07-48E3-8DEF-2E8A7B2B9281}"/>
              </a:ext>
            </a:extLst>
          </xdr:cNvPr>
          <xdr:cNvSpPr/>
        </xdr:nvSpPr>
        <xdr:spPr>
          <a:xfrm>
            <a:off x="2952750" y="137737"/>
            <a:ext cx="495300" cy="248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50" u="none">
                <a:solidFill>
                  <a:schemeClr val="bg1"/>
                </a:solidFill>
                <a:latin typeface="+mn-lt"/>
              </a:rPr>
              <a:t>Start</a:t>
            </a:r>
          </a:p>
        </xdr:txBody>
      </xdr:sp>
    </xdr:grpSp>
    <xdr:clientData/>
  </xdr:twoCellAnchor>
  <xdr:twoCellAnchor editAs="oneCell">
    <xdr:from>
      <xdr:col>2</xdr:col>
      <xdr:colOff>466724</xdr:colOff>
      <xdr:row>10</xdr:row>
      <xdr:rowOff>91431</xdr:rowOff>
    </xdr:from>
    <xdr:to>
      <xdr:col>6</xdr:col>
      <xdr:colOff>128988</xdr:colOff>
      <xdr:row>15</xdr:row>
      <xdr:rowOff>15230</xdr:rowOff>
    </xdr:to>
    <xdr:pic>
      <xdr:nvPicPr>
        <xdr:cNvPr id="44" name="Picture 43">
          <a:extLst>
            <a:ext uri="{FF2B5EF4-FFF2-40B4-BE49-F238E27FC236}">
              <a16:creationId xmlns:a16="http://schemas.microsoft.com/office/drawing/2014/main" id="{84A76402-570C-465F-89AF-2098721196CF}"/>
            </a:ext>
          </a:extLst>
        </xdr:cNvPr>
        <xdr:cNvPicPr>
          <a:picLocks noChangeAspect="1"/>
        </xdr:cNvPicPr>
      </xdr:nvPicPr>
      <xdr:blipFill>
        <a:blip xmlns:r="http://schemas.openxmlformats.org/officeDocument/2006/relationships" r:embed="rId15"/>
        <a:stretch>
          <a:fillRect/>
        </a:stretch>
      </xdr:blipFill>
      <xdr:spPr>
        <a:xfrm>
          <a:off x="1047749" y="2920356"/>
          <a:ext cx="3196039" cy="1476374"/>
        </a:xfrm>
        <a:prstGeom prst="rect">
          <a:avLst/>
        </a:prstGeom>
      </xdr:spPr>
    </xdr:pic>
    <xdr:clientData/>
  </xdr:twoCellAnchor>
  <xdr:twoCellAnchor editAs="oneCell">
    <xdr:from>
      <xdr:col>7</xdr:col>
      <xdr:colOff>164507</xdr:colOff>
      <xdr:row>10</xdr:row>
      <xdr:rowOff>91431</xdr:rowOff>
    </xdr:from>
    <xdr:to>
      <xdr:col>12</xdr:col>
      <xdr:colOff>183557</xdr:colOff>
      <xdr:row>15</xdr:row>
      <xdr:rowOff>40807</xdr:rowOff>
    </xdr:to>
    <xdr:pic>
      <xdr:nvPicPr>
        <xdr:cNvPr id="45" name="Picture 44">
          <a:extLst>
            <a:ext uri="{FF2B5EF4-FFF2-40B4-BE49-F238E27FC236}">
              <a16:creationId xmlns:a16="http://schemas.microsoft.com/office/drawing/2014/main" id="{3FAE3C5A-7E0A-4D51-944D-286EC37F0253}"/>
            </a:ext>
          </a:extLst>
        </xdr:cNvPr>
        <xdr:cNvPicPr>
          <a:picLocks noChangeAspect="1"/>
        </xdr:cNvPicPr>
      </xdr:nvPicPr>
      <xdr:blipFill>
        <a:blip xmlns:r="http://schemas.openxmlformats.org/officeDocument/2006/relationships" r:embed="rId16"/>
        <a:stretch>
          <a:fillRect/>
        </a:stretch>
      </xdr:blipFill>
      <xdr:spPr>
        <a:xfrm>
          <a:off x="4888907" y="2920356"/>
          <a:ext cx="3219450" cy="1501951"/>
        </a:xfrm>
        <a:prstGeom prst="rect">
          <a:avLst/>
        </a:prstGeom>
      </xdr:spPr>
    </xdr:pic>
    <xdr:clientData/>
  </xdr:twoCellAnchor>
  <xdr:twoCellAnchor editAs="oneCell">
    <xdr:from>
      <xdr:col>13</xdr:col>
      <xdr:colOff>76201</xdr:colOff>
      <xdr:row>10</xdr:row>
      <xdr:rowOff>91431</xdr:rowOff>
    </xdr:from>
    <xdr:to>
      <xdr:col>17</xdr:col>
      <xdr:colOff>548341</xdr:colOff>
      <xdr:row>15</xdr:row>
      <xdr:rowOff>57150</xdr:rowOff>
    </xdr:to>
    <xdr:pic>
      <xdr:nvPicPr>
        <xdr:cNvPr id="46" name="Picture 45">
          <a:extLst>
            <a:ext uri="{FF2B5EF4-FFF2-40B4-BE49-F238E27FC236}">
              <a16:creationId xmlns:a16="http://schemas.microsoft.com/office/drawing/2014/main" id="{338616E2-D5BF-42EB-BAAE-1D974BB1C76B}"/>
            </a:ext>
          </a:extLst>
        </xdr:cNvPr>
        <xdr:cNvPicPr>
          <a:picLocks noChangeAspect="1"/>
        </xdr:cNvPicPr>
      </xdr:nvPicPr>
      <xdr:blipFill>
        <a:blip xmlns:r="http://schemas.openxmlformats.org/officeDocument/2006/relationships" r:embed="rId17"/>
        <a:stretch>
          <a:fillRect/>
        </a:stretch>
      </xdr:blipFill>
      <xdr:spPr>
        <a:xfrm>
          <a:off x="8753476" y="2920356"/>
          <a:ext cx="3482040" cy="151829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361950</xdr:colOff>
      <xdr:row>0</xdr:row>
      <xdr:rowOff>85725</xdr:rowOff>
    </xdr:from>
    <xdr:to>
      <xdr:col>15</xdr:col>
      <xdr:colOff>695325</xdr:colOff>
      <xdr:row>2</xdr:row>
      <xdr:rowOff>95250</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2411075" y="85725"/>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66676</xdr:colOff>
      <xdr:row>0</xdr:row>
      <xdr:rowOff>76201</xdr:rowOff>
    </xdr:from>
    <xdr:to>
      <xdr:col>1</xdr:col>
      <xdr:colOff>243943</xdr:colOff>
      <xdr:row>2</xdr:row>
      <xdr:rowOff>104776</xdr:rowOff>
    </xdr:to>
    <xdr:pic>
      <xdr:nvPicPr>
        <xdr:cNvPr id="3" name="Picture 2">
          <a:extLst>
            <a:ext uri="{FF2B5EF4-FFF2-40B4-BE49-F238E27FC236}">
              <a16:creationId xmlns:a16="http://schemas.microsoft.com/office/drawing/2014/main" id="{26531806-6F43-44C9-8204-593B8856AB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6" y="76201"/>
          <a:ext cx="405867" cy="381000"/>
        </a:xfrm>
        <a:prstGeom prst="rect">
          <a:avLst/>
        </a:prstGeom>
      </xdr:spPr>
    </xdr:pic>
    <xdr:clientData/>
  </xdr:twoCellAnchor>
  <xdr:twoCellAnchor editAs="oneCell">
    <xdr:from>
      <xdr:col>15</xdr:col>
      <xdr:colOff>85725</xdr:colOff>
      <xdr:row>0</xdr:row>
      <xdr:rowOff>152400</xdr:rowOff>
    </xdr:from>
    <xdr:to>
      <xdr:col>15</xdr:col>
      <xdr:colOff>323850</xdr:colOff>
      <xdr:row>2</xdr:row>
      <xdr:rowOff>38100</xdr:rowOff>
    </xdr:to>
    <xdr:pic>
      <xdr:nvPicPr>
        <xdr:cNvPr id="8" name="Picture 7">
          <a:hlinkClick xmlns:r="http://schemas.openxmlformats.org/officeDocument/2006/relationships" r:id="rId3"/>
          <a:extLst>
            <a:ext uri="{FF2B5EF4-FFF2-40B4-BE49-F238E27FC236}">
              <a16:creationId xmlns:a16="http://schemas.microsoft.com/office/drawing/2014/main" id="{EA3DD53D-2F4D-44BB-A985-6C2D7D5412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134850" y="152400"/>
          <a:ext cx="238125" cy="2381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28575</xdr:colOff>
      <xdr:row>0</xdr:row>
      <xdr:rowOff>66675</xdr:rowOff>
    </xdr:from>
    <xdr:to>
      <xdr:col>2</xdr:col>
      <xdr:colOff>5817</xdr:colOff>
      <xdr:row>2</xdr:row>
      <xdr:rowOff>95250</xdr:rowOff>
    </xdr:to>
    <xdr:pic>
      <xdr:nvPicPr>
        <xdr:cNvPr id="8" name="Picture 7">
          <a:extLst>
            <a:ext uri="{FF2B5EF4-FFF2-40B4-BE49-F238E27FC236}">
              <a16:creationId xmlns:a16="http://schemas.microsoft.com/office/drawing/2014/main" id="{82561F04-1134-4D5D-93AC-B617D8895E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575" y="66675"/>
          <a:ext cx="405867" cy="381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47625</xdr:colOff>
      <xdr:row>0</xdr:row>
      <xdr:rowOff>66675</xdr:rowOff>
    </xdr:from>
    <xdr:to>
      <xdr:col>1</xdr:col>
      <xdr:colOff>224892</xdr:colOff>
      <xdr:row>2</xdr:row>
      <xdr:rowOff>95250</xdr:rowOff>
    </xdr:to>
    <xdr:pic>
      <xdr:nvPicPr>
        <xdr:cNvPr id="3" name="Picture 2">
          <a:extLst>
            <a:ext uri="{FF2B5EF4-FFF2-40B4-BE49-F238E27FC236}">
              <a16:creationId xmlns:a16="http://schemas.microsoft.com/office/drawing/2014/main" id="{A903991C-1917-4474-B0CC-A40EDF855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66675"/>
          <a:ext cx="405867" cy="381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9525</xdr:colOff>
      <xdr:row>21</xdr:row>
      <xdr:rowOff>171450</xdr:rowOff>
    </xdr:from>
    <xdr:to>
      <xdr:col>18</xdr:col>
      <xdr:colOff>9525</xdr:colOff>
      <xdr:row>39</xdr:row>
      <xdr:rowOff>9525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19051</xdr:colOff>
      <xdr:row>60</xdr:row>
      <xdr:rowOff>0</xdr:rowOff>
    </xdr:from>
    <xdr:to>
      <xdr:col>18</xdr:col>
      <xdr:colOff>28576</xdr:colOff>
      <xdr:row>74</xdr:row>
      <xdr:rowOff>76200</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39</xdr:row>
      <xdr:rowOff>180975</xdr:rowOff>
    </xdr:from>
    <xdr:to>
      <xdr:col>18</xdr:col>
      <xdr:colOff>19050</xdr:colOff>
      <xdr:row>59</xdr:row>
      <xdr:rowOff>11250</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742949</xdr:colOff>
      <xdr:row>6</xdr:row>
      <xdr:rowOff>114300</xdr:rowOff>
    </xdr:from>
    <xdr:to>
      <xdr:col>17</xdr:col>
      <xdr:colOff>400049</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0</xdr:row>
      <xdr:rowOff>66675</xdr:rowOff>
    </xdr:from>
    <xdr:to>
      <xdr:col>0</xdr:col>
      <xdr:colOff>482067</xdr:colOff>
      <xdr:row>2</xdr:row>
      <xdr:rowOff>95250</xdr:rowOff>
    </xdr:to>
    <xdr:pic>
      <xdr:nvPicPr>
        <xdr:cNvPr id="9" name="Picture 8">
          <a:extLst>
            <a:ext uri="{FF2B5EF4-FFF2-40B4-BE49-F238E27FC236}">
              <a16:creationId xmlns:a16="http://schemas.microsoft.com/office/drawing/2014/main" id="{0D865651-323B-48CF-936D-DF0952A8CCB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 y="66675"/>
          <a:ext cx="405867" cy="381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47625</xdr:colOff>
      <xdr:row>0</xdr:row>
      <xdr:rowOff>76200</xdr:rowOff>
    </xdr:from>
    <xdr:to>
      <xdr:col>1</xdr:col>
      <xdr:colOff>177267</xdr:colOff>
      <xdr:row>2</xdr:row>
      <xdr:rowOff>104775</xdr:rowOff>
    </xdr:to>
    <xdr:pic>
      <xdr:nvPicPr>
        <xdr:cNvPr id="3" name="Picture 2">
          <a:extLst>
            <a:ext uri="{FF2B5EF4-FFF2-40B4-BE49-F238E27FC236}">
              <a16:creationId xmlns:a16="http://schemas.microsoft.com/office/drawing/2014/main" id="{32AFEF22-4C0E-4E66-942D-43890E98B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463017</xdr:colOff>
      <xdr:row>2</xdr:row>
      <xdr:rowOff>85725</xdr:rowOff>
    </xdr:to>
    <xdr:pic>
      <xdr:nvPicPr>
        <xdr:cNvPr id="4" name="Picture 3">
          <a:extLst>
            <a:ext uri="{FF2B5EF4-FFF2-40B4-BE49-F238E27FC236}">
              <a16:creationId xmlns:a16="http://schemas.microsoft.com/office/drawing/2014/main" id="{E99BB9B7-CAF0-4D3E-9D9F-008D566E9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57150"/>
          <a:ext cx="405867" cy="381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76200</xdr:colOff>
      <xdr:row>0</xdr:row>
      <xdr:rowOff>66675</xdr:rowOff>
    </xdr:from>
    <xdr:to>
      <xdr:col>0</xdr:col>
      <xdr:colOff>482067</xdr:colOff>
      <xdr:row>2</xdr:row>
      <xdr:rowOff>95250</xdr:rowOff>
    </xdr:to>
    <xdr:pic>
      <xdr:nvPicPr>
        <xdr:cNvPr id="3" name="Picture 2">
          <a:extLst>
            <a:ext uri="{FF2B5EF4-FFF2-40B4-BE49-F238E27FC236}">
              <a16:creationId xmlns:a16="http://schemas.microsoft.com/office/drawing/2014/main" id="{2D1B038E-D29C-4217-ACAA-58A5C5627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66675"/>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C42" sqref="C42:L42"/>
    </sheetView>
  </sheetViews>
  <sheetFormatPr defaultColWidth="9.1796875" defaultRowHeight="14.5"/>
  <cols>
    <col min="1" max="1" width="9.1796875" style="5"/>
    <col min="2" max="2" width="8" style="5" customWidth="1"/>
    <col min="3" max="3" width="33.7265625" style="5" customWidth="1"/>
    <col min="4" max="12" width="10.7265625" style="5" customWidth="1"/>
    <col min="13" max="16384" width="9.1796875" style="5"/>
  </cols>
  <sheetData>
    <row r="1" spans="2:29" s="113" customFormat="1" ht="12.75" customHeight="1">
      <c r="B1" s="425" t="s">
        <v>254</v>
      </c>
      <c r="C1" s="425"/>
      <c r="K1" s="110"/>
      <c r="L1" s="110"/>
      <c r="M1" s="425"/>
      <c r="N1" s="425"/>
      <c r="O1" s="425"/>
      <c r="P1" s="425"/>
      <c r="Q1" s="425"/>
      <c r="U1" s="177"/>
      <c r="X1" s="177"/>
      <c r="AB1" s="425"/>
      <c r="AC1" s="426"/>
    </row>
    <row r="2" spans="2:29" s="113" customFormat="1" ht="15" customHeight="1">
      <c r="B2" s="425"/>
      <c r="C2" s="425"/>
      <c r="K2" s="110"/>
      <c r="L2" s="110"/>
      <c r="M2" s="425"/>
      <c r="N2" s="425"/>
      <c r="O2" s="425"/>
      <c r="P2" s="425"/>
      <c r="Q2" s="425"/>
      <c r="U2" s="177"/>
      <c r="X2" s="177"/>
      <c r="AB2" s="425"/>
      <c r="AC2" s="426"/>
    </row>
    <row r="3" spans="2:29" s="113" customFormat="1" ht="12.75" customHeight="1">
      <c r="B3" s="425"/>
      <c r="C3" s="425"/>
      <c r="K3" s="110"/>
      <c r="L3" s="110"/>
      <c r="M3" s="425"/>
      <c r="N3" s="425"/>
      <c r="O3" s="425"/>
      <c r="P3" s="425"/>
      <c r="Q3" s="425"/>
      <c r="U3" s="177"/>
      <c r="X3" s="177"/>
      <c r="AB3" s="425"/>
      <c r="AC3" s="426"/>
    </row>
    <row r="4" spans="2:29" ht="18.75" customHeight="1">
      <c r="U4" s="4"/>
      <c r="V4" s="4"/>
      <c r="W4" s="4"/>
      <c r="X4" s="4"/>
    </row>
    <row r="5" spans="2:29" ht="12.75" customHeight="1" thickBot="1"/>
    <row r="6" spans="2:29">
      <c r="B6" s="178"/>
      <c r="C6" s="179"/>
      <c r="D6" s="179"/>
      <c r="E6" s="179"/>
      <c r="F6" s="179"/>
      <c r="G6" s="179"/>
      <c r="H6" s="179"/>
      <c r="I6" s="179"/>
      <c r="J6" s="179"/>
      <c r="K6" s="179"/>
      <c r="L6" s="179"/>
      <c r="M6" s="180"/>
    </row>
    <row r="7" spans="2:29" ht="32.5">
      <c r="B7" s="181"/>
      <c r="C7" s="427" t="s">
        <v>275</v>
      </c>
      <c r="D7" s="427"/>
      <c r="E7" s="427"/>
      <c r="F7" s="427"/>
      <c r="G7" s="427"/>
      <c r="H7" s="427"/>
      <c r="I7" s="427"/>
      <c r="J7" s="427"/>
      <c r="K7" s="427"/>
      <c r="L7" s="427"/>
      <c r="M7" s="182"/>
    </row>
    <row r="8" spans="2:29">
      <c r="B8" s="181"/>
      <c r="C8"/>
      <c r="D8"/>
      <c r="E8"/>
      <c r="F8"/>
      <c r="G8"/>
      <c r="H8"/>
      <c r="I8"/>
      <c r="J8"/>
      <c r="K8"/>
      <c r="L8"/>
      <c r="M8" s="182"/>
    </row>
    <row r="9" spans="2:29">
      <c r="B9" s="181"/>
      <c r="C9"/>
      <c r="D9"/>
      <c r="E9"/>
      <c r="F9"/>
      <c r="G9"/>
      <c r="H9"/>
      <c r="I9"/>
      <c r="J9"/>
      <c r="K9"/>
      <c r="L9"/>
      <c r="M9" s="182"/>
    </row>
    <row r="10" spans="2:29">
      <c r="B10" s="181"/>
      <c r="C10"/>
      <c r="D10"/>
      <c r="E10"/>
      <c r="F10"/>
      <c r="G10"/>
      <c r="H10"/>
      <c r="I10"/>
      <c r="J10"/>
      <c r="K10"/>
      <c r="L10"/>
      <c r="M10" s="182"/>
    </row>
    <row r="11" spans="2:29">
      <c r="B11" s="181"/>
      <c r="C11"/>
      <c r="D11"/>
      <c r="E11"/>
      <c r="F11"/>
      <c r="G11"/>
      <c r="H11"/>
      <c r="I11"/>
      <c r="J11"/>
      <c r="K11"/>
      <c r="L11"/>
      <c r="M11" s="182"/>
    </row>
    <row r="12" spans="2:29">
      <c r="B12" s="181"/>
      <c r="C12"/>
      <c r="D12"/>
      <c r="E12"/>
      <c r="F12"/>
      <c r="G12"/>
      <c r="H12"/>
      <c r="I12"/>
      <c r="J12"/>
      <c r="K12"/>
      <c r="L12"/>
      <c r="M12" s="182"/>
    </row>
    <row r="13" spans="2:29">
      <c r="B13" s="181"/>
      <c r="C13"/>
      <c r="D13"/>
      <c r="E13"/>
      <c r="F13"/>
      <c r="G13"/>
      <c r="H13"/>
      <c r="I13"/>
      <c r="J13"/>
      <c r="K13"/>
      <c r="L13"/>
      <c r="M13" s="182"/>
    </row>
    <row r="14" spans="2:29">
      <c r="B14" s="181"/>
      <c r="C14"/>
      <c r="D14"/>
      <c r="E14"/>
      <c r="F14"/>
      <c r="G14"/>
      <c r="H14"/>
      <c r="I14"/>
      <c r="J14"/>
      <c r="K14"/>
      <c r="L14"/>
      <c r="M14" s="182"/>
    </row>
    <row r="15" spans="2:29">
      <c r="B15" s="181"/>
      <c r="C15"/>
      <c r="D15"/>
      <c r="E15"/>
      <c r="F15"/>
      <c r="G15"/>
      <c r="H15"/>
      <c r="I15"/>
      <c r="J15"/>
      <c r="K15"/>
      <c r="L15"/>
      <c r="M15" s="182"/>
    </row>
    <row r="16" spans="2:29">
      <c r="B16" s="181"/>
      <c r="C16"/>
      <c r="D16"/>
      <c r="E16"/>
      <c r="F16"/>
      <c r="G16"/>
      <c r="H16"/>
      <c r="I16"/>
      <c r="J16"/>
      <c r="K16"/>
      <c r="L16"/>
      <c r="M16" s="182"/>
    </row>
    <row r="17" spans="2:13" ht="22.5" customHeight="1">
      <c r="B17" s="181"/>
      <c r="C17"/>
      <c r="D17"/>
      <c r="E17"/>
      <c r="F17"/>
      <c r="G17"/>
      <c r="H17"/>
      <c r="I17"/>
      <c r="J17"/>
      <c r="K17"/>
      <c r="L17"/>
      <c r="M17" s="182"/>
    </row>
    <row r="18" spans="2:13" ht="15" customHeight="1">
      <c r="B18" s="181"/>
      <c r="C18" s="431" t="s">
        <v>277</v>
      </c>
      <c r="D18" s="431"/>
      <c r="E18" s="431"/>
      <c r="F18" s="431"/>
      <c r="G18" s="431"/>
      <c r="H18" s="431"/>
      <c r="I18" s="431"/>
      <c r="J18" s="431"/>
      <c r="K18" s="431"/>
      <c r="L18" s="431"/>
      <c r="M18" s="182"/>
    </row>
    <row r="19" spans="2:13">
      <c r="B19" s="181"/>
      <c r="C19" s="431"/>
      <c r="D19" s="431"/>
      <c r="E19" s="431"/>
      <c r="F19" s="431"/>
      <c r="G19" s="431"/>
      <c r="H19" s="431"/>
      <c r="I19" s="431"/>
      <c r="J19" s="431"/>
      <c r="K19" s="431"/>
      <c r="L19" s="431"/>
      <c r="M19" s="182"/>
    </row>
    <row r="20" spans="2:13">
      <c r="B20" s="181"/>
      <c r="C20" s="431"/>
      <c r="D20" s="431"/>
      <c r="E20" s="431"/>
      <c r="F20" s="431"/>
      <c r="G20" s="431"/>
      <c r="H20" s="431"/>
      <c r="I20" s="431"/>
      <c r="J20" s="431"/>
      <c r="K20" s="431"/>
      <c r="L20" s="431"/>
      <c r="M20" s="182"/>
    </row>
    <row r="21" spans="2:13">
      <c r="B21" s="181"/>
      <c r="C21" s="431"/>
      <c r="D21" s="431"/>
      <c r="E21" s="431"/>
      <c r="F21" s="431"/>
      <c r="G21" s="431"/>
      <c r="H21" s="431"/>
      <c r="I21" s="431"/>
      <c r="J21" s="431"/>
      <c r="K21" s="431"/>
      <c r="L21" s="431"/>
      <c r="M21" s="182"/>
    </row>
    <row r="22" spans="2:13">
      <c r="B22" s="181"/>
      <c r="C22" s="431"/>
      <c r="D22" s="431"/>
      <c r="E22" s="431"/>
      <c r="F22" s="431"/>
      <c r="G22" s="431"/>
      <c r="H22" s="431"/>
      <c r="I22" s="431"/>
      <c r="J22" s="431"/>
      <c r="K22" s="431"/>
      <c r="L22" s="431"/>
      <c r="M22" s="182"/>
    </row>
    <row r="23" spans="2:13">
      <c r="B23" s="181"/>
      <c r="C23" s="431"/>
      <c r="D23" s="431"/>
      <c r="E23" s="431"/>
      <c r="F23" s="431"/>
      <c r="G23" s="431"/>
      <c r="H23" s="431"/>
      <c r="I23" s="431"/>
      <c r="J23" s="431"/>
      <c r="K23" s="431"/>
      <c r="L23" s="431"/>
      <c r="M23" s="182"/>
    </row>
    <row r="24" spans="2:13">
      <c r="B24" s="181"/>
      <c r="C24" s="431"/>
      <c r="D24" s="431"/>
      <c r="E24" s="431"/>
      <c r="F24" s="431"/>
      <c r="G24" s="431"/>
      <c r="H24" s="431"/>
      <c r="I24" s="431"/>
      <c r="J24" s="431"/>
      <c r="K24" s="431"/>
      <c r="L24" s="431"/>
      <c r="M24" s="182"/>
    </row>
    <row r="25" spans="2:13">
      <c r="B25" s="181"/>
      <c r="C25" s="431"/>
      <c r="D25" s="431"/>
      <c r="E25" s="431"/>
      <c r="F25" s="431"/>
      <c r="G25" s="431"/>
      <c r="H25" s="431"/>
      <c r="I25" s="431"/>
      <c r="J25" s="431"/>
      <c r="K25" s="431"/>
      <c r="L25" s="431"/>
      <c r="M25" s="182"/>
    </row>
    <row r="26" spans="2:13">
      <c r="B26" s="181"/>
      <c r="C26" s="431"/>
      <c r="D26" s="431"/>
      <c r="E26" s="431"/>
      <c r="F26" s="431"/>
      <c r="G26" s="431"/>
      <c r="H26" s="431"/>
      <c r="I26" s="431"/>
      <c r="J26" s="431"/>
      <c r="K26" s="431"/>
      <c r="L26" s="431"/>
      <c r="M26" s="182"/>
    </row>
    <row r="27" spans="2:13">
      <c r="B27" s="181"/>
      <c r="C27" s="431"/>
      <c r="D27" s="431"/>
      <c r="E27" s="431"/>
      <c r="F27" s="431"/>
      <c r="G27" s="431"/>
      <c r="H27" s="431"/>
      <c r="I27" s="431"/>
      <c r="J27" s="431"/>
      <c r="K27" s="431"/>
      <c r="L27" s="431"/>
      <c r="M27" s="182"/>
    </row>
    <row r="28" spans="2:13">
      <c r="B28" s="181"/>
      <c r="C28" s="431"/>
      <c r="D28" s="431"/>
      <c r="E28" s="431"/>
      <c r="F28" s="431"/>
      <c r="G28" s="431"/>
      <c r="H28" s="431"/>
      <c r="I28" s="431"/>
      <c r="J28" s="431"/>
      <c r="K28" s="431"/>
      <c r="L28" s="431"/>
      <c r="M28" s="182"/>
    </row>
    <row r="29" spans="2:13">
      <c r="B29" s="181"/>
      <c r="C29" s="431"/>
      <c r="D29" s="431"/>
      <c r="E29" s="431"/>
      <c r="F29" s="431"/>
      <c r="G29" s="431"/>
      <c r="H29" s="431"/>
      <c r="I29" s="431"/>
      <c r="J29" s="431"/>
      <c r="K29" s="431"/>
      <c r="L29" s="431"/>
      <c r="M29" s="182"/>
    </row>
    <row r="30" spans="2:13">
      <c r="B30" s="181"/>
      <c r="C30" s="431"/>
      <c r="D30" s="431"/>
      <c r="E30" s="431"/>
      <c r="F30" s="431"/>
      <c r="G30" s="431"/>
      <c r="H30" s="431"/>
      <c r="I30" s="431"/>
      <c r="J30" s="431"/>
      <c r="K30" s="431"/>
      <c r="L30" s="431"/>
      <c r="M30" s="182"/>
    </row>
    <row r="31" spans="2:13">
      <c r="B31" s="181"/>
      <c r="C31" s="431"/>
      <c r="D31" s="431"/>
      <c r="E31" s="431"/>
      <c r="F31" s="431"/>
      <c r="G31" s="431"/>
      <c r="H31" s="431"/>
      <c r="I31" s="431"/>
      <c r="J31" s="431"/>
      <c r="K31" s="431"/>
      <c r="L31" s="431"/>
      <c r="M31" s="182"/>
    </row>
    <row r="32" spans="2:13">
      <c r="B32" s="181"/>
      <c r="C32" s="431"/>
      <c r="D32" s="431"/>
      <c r="E32" s="431"/>
      <c r="F32" s="431"/>
      <c r="G32" s="431"/>
      <c r="H32" s="431"/>
      <c r="I32" s="431"/>
      <c r="J32" s="431"/>
      <c r="K32" s="431"/>
      <c r="L32" s="431"/>
      <c r="M32" s="182"/>
    </row>
    <row r="33" spans="2:13">
      <c r="B33" s="181"/>
      <c r="C33" s="431"/>
      <c r="D33" s="431"/>
      <c r="E33" s="431"/>
      <c r="F33" s="431"/>
      <c r="G33" s="431"/>
      <c r="H33" s="431"/>
      <c r="I33" s="431"/>
      <c r="J33" s="431"/>
      <c r="K33" s="431"/>
      <c r="L33" s="431"/>
      <c r="M33" s="182"/>
    </row>
    <row r="34" spans="2:13">
      <c r="B34" s="181"/>
      <c r="C34" s="431"/>
      <c r="D34" s="431"/>
      <c r="E34" s="431"/>
      <c r="F34" s="431"/>
      <c r="G34" s="431"/>
      <c r="H34" s="431"/>
      <c r="I34" s="431"/>
      <c r="J34" s="431"/>
      <c r="K34" s="431"/>
      <c r="L34" s="431"/>
      <c r="M34" s="182"/>
    </row>
    <row r="35" spans="2:13">
      <c r="B35" s="181"/>
      <c r="C35" s="431"/>
      <c r="D35" s="431"/>
      <c r="E35" s="431"/>
      <c r="F35" s="431"/>
      <c r="G35" s="431"/>
      <c r="H35" s="431"/>
      <c r="I35" s="431"/>
      <c r="J35" s="431"/>
      <c r="K35" s="431"/>
      <c r="L35" s="431"/>
      <c r="M35" s="182"/>
    </row>
    <row r="36" spans="2:13">
      <c r="B36" s="181"/>
      <c r="C36" s="431"/>
      <c r="D36" s="431"/>
      <c r="E36" s="431"/>
      <c r="F36" s="431"/>
      <c r="G36" s="431"/>
      <c r="H36" s="431"/>
      <c r="I36" s="431"/>
      <c r="J36" s="431"/>
      <c r="K36" s="431"/>
      <c r="L36" s="431"/>
      <c r="M36" s="182"/>
    </row>
    <row r="37" spans="2:13">
      <c r="B37" s="181"/>
      <c r="C37" s="431"/>
      <c r="D37" s="431"/>
      <c r="E37" s="431"/>
      <c r="F37" s="431"/>
      <c r="G37" s="431"/>
      <c r="H37" s="431"/>
      <c r="I37" s="431"/>
      <c r="J37" s="431"/>
      <c r="K37" s="431"/>
      <c r="L37" s="431"/>
      <c r="M37" s="182"/>
    </row>
    <row r="38" spans="2:13">
      <c r="B38" s="181"/>
      <c r="C38" s="431"/>
      <c r="D38" s="431"/>
      <c r="E38" s="431"/>
      <c r="F38" s="431"/>
      <c r="G38" s="431"/>
      <c r="H38" s="431"/>
      <c r="I38" s="431"/>
      <c r="J38" s="431"/>
      <c r="K38" s="431"/>
      <c r="L38" s="431"/>
      <c r="M38" s="182"/>
    </row>
    <row r="39" spans="2:13">
      <c r="B39" s="181"/>
      <c r="C39" s="431"/>
      <c r="D39" s="431"/>
      <c r="E39" s="431"/>
      <c r="F39" s="431"/>
      <c r="G39" s="431"/>
      <c r="H39" s="431"/>
      <c r="I39" s="431"/>
      <c r="J39" s="431"/>
      <c r="K39" s="431"/>
      <c r="L39" s="431"/>
      <c r="M39" s="182"/>
    </row>
    <row r="40" spans="2:13">
      <c r="B40" s="181"/>
      <c r="C40" s="428"/>
      <c r="D40" s="428"/>
      <c r="E40" s="428"/>
      <c r="F40" s="428"/>
      <c r="G40" s="428"/>
      <c r="H40" s="428"/>
      <c r="I40" s="428"/>
      <c r="J40" s="428"/>
      <c r="K40" s="428"/>
      <c r="L40" s="428"/>
      <c r="M40" s="182"/>
    </row>
    <row r="41" spans="2:13">
      <c r="B41" s="181"/>
      <c r="C41" s="429" t="s">
        <v>422</v>
      </c>
      <c r="D41" s="429"/>
      <c r="E41" s="429"/>
      <c r="F41" s="429"/>
      <c r="G41" s="429"/>
      <c r="H41" s="429"/>
      <c r="I41" s="429"/>
      <c r="J41" s="429"/>
      <c r="K41" s="429"/>
      <c r="L41" s="429"/>
      <c r="M41" s="182"/>
    </row>
    <row r="42" spans="2:13">
      <c r="B42" s="181"/>
      <c r="C42" s="430" t="s">
        <v>276</v>
      </c>
      <c r="D42" s="430"/>
      <c r="E42" s="430"/>
      <c r="F42" s="430"/>
      <c r="G42" s="430"/>
      <c r="H42" s="430"/>
      <c r="I42" s="430"/>
      <c r="J42" s="430"/>
      <c r="K42" s="430"/>
      <c r="L42" s="430"/>
      <c r="M42" s="182"/>
    </row>
    <row r="43" spans="2:13" ht="15" thickBot="1">
      <c r="B43" s="183"/>
      <c r="C43" s="184"/>
      <c r="D43" s="184"/>
      <c r="E43" s="184"/>
      <c r="F43" s="184"/>
      <c r="G43" s="184"/>
      <c r="H43" s="184"/>
      <c r="I43" s="184"/>
      <c r="J43" s="184"/>
      <c r="K43" s="184"/>
      <c r="L43" s="184"/>
      <c r="M43" s="185"/>
    </row>
  </sheetData>
  <sheetProtection algorithmName="SHA-512" hashValue="evHHKk5g3lfvaYfA66DkKk4aQ1V2PGBa/oohpfOUVRhGKoIdgIwtOOEd8aCS3m3JxcYnr5gNBpxsDEWJRT1f5Q==" saltValue="RmLRUlSsNZlUSP+SfjnZyQ==" spinCount="100000" sheet="1" objects="1" scenarios="1"/>
  <mergeCells count="10">
    <mergeCell ref="C7:L7"/>
    <mergeCell ref="C40:L40"/>
    <mergeCell ref="C41:L41"/>
    <mergeCell ref="C42:L42"/>
    <mergeCell ref="C18:L39"/>
    <mergeCell ref="P1:Q3"/>
    <mergeCell ref="AB1:AB3"/>
    <mergeCell ref="AC1:AC3"/>
    <mergeCell ref="M1:O3"/>
    <mergeCell ref="B1:C3"/>
  </mergeCells>
  <hyperlinks>
    <hyperlink ref="C42" r:id="rId1" xr:uid="{00000000-0004-0000-0000-000000000000}"/>
    <hyperlink ref="B1:C3" location="Cockpit!A1" display="zurück zum Cockpit"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W39"/>
  <sheetViews>
    <sheetView showGridLines="0" showRowColHeaders="0" tabSelected="1" zoomScaleNormal="100" workbookViewId="0">
      <pane ySplit="6" topLeftCell="A7" activePane="bottomLeft" state="frozen"/>
      <selection pane="bottomLeft" activeCell="J20" sqref="J20"/>
    </sheetView>
  </sheetViews>
  <sheetFormatPr defaultColWidth="9.1796875" defaultRowHeight="14.5"/>
  <cols>
    <col min="1" max="1" width="3.26953125" style="420" customWidth="1"/>
    <col min="2" max="2" width="5.453125" style="420" customWidth="1"/>
    <col min="3" max="3" width="20.453125" style="420" customWidth="1"/>
    <col min="4" max="4" width="13.81640625" style="420" customWidth="1"/>
    <col min="5" max="5" width="16.54296875" style="420" customWidth="1"/>
    <col min="6" max="6" width="2.1796875" style="420" customWidth="1"/>
    <col min="7" max="7" width="9.1796875" style="420" customWidth="1"/>
    <col min="8" max="12" width="11.26953125" style="420" customWidth="1"/>
    <col min="13" max="16" width="11.26953125" style="421" customWidth="1"/>
    <col min="17" max="21" width="11.26953125" style="420" customWidth="1"/>
    <col min="22" max="22" width="27.453125" style="420" customWidth="1"/>
    <col min="23" max="24" width="11.26953125" style="420" customWidth="1"/>
    <col min="25" max="16384" width="9.1796875" style="420"/>
  </cols>
  <sheetData>
    <row r="1" spans="1:23" s="412" customFormat="1" ht="12.75" customHeight="1">
      <c r="A1" s="411" t="s">
        <v>396</v>
      </c>
      <c r="C1" s="435" t="s">
        <v>278</v>
      </c>
      <c r="D1" s="435"/>
      <c r="H1" s="432"/>
      <c r="I1" s="432"/>
      <c r="J1" s="413"/>
      <c r="K1" s="436"/>
      <c r="L1" s="436"/>
      <c r="M1" s="414"/>
      <c r="N1" s="432"/>
      <c r="O1" s="432"/>
      <c r="P1" s="414"/>
      <c r="Q1" s="433"/>
      <c r="R1" s="433"/>
      <c r="T1" s="432"/>
      <c r="U1" s="432"/>
    </row>
    <row r="2" spans="1:23" s="412" customFormat="1" ht="15" customHeight="1">
      <c r="A2" s="411"/>
      <c r="C2" s="435"/>
      <c r="D2" s="435"/>
      <c r="H2" s="432"/>
      <c r="I2" s="432"/>
      <c r="J2" s="413"/>
      <c r="K2" s="436"/>
      <c r="L2" s="436"/>
      <c r="M2" s="414"/>
      <c r="N2" s="432"/>
      <c r="O2" s="432"/>
      <c r="P2" s="414"/>
      <c r="Q2" s="433"/>
      <c r="R2" s="433"/>
      <c r="T2" s="432"/>
      <c r="U2" s="432"/>
    </row>
    <row r="3" spans="1:23" s="412" customFormat="1" ht="12.75" customHeight="1">
      <c r="A3" s="411"/>
      <c r="C3" s="435"/>
      <c r="D3" s="435"/>
      <c r="H3" s="432"/>
      <c r="I3" s="432"/>
      <c r="J3" s="413"/>
      <c r="K3" s="436"/>
      <c r="L3" s="436"/>
      <c r="M3" s="414"/>
      <c r="N3" s="432"/>
      <c r="O3" s="432"/>
      <c r="P3" s="414"/>
      <c r="Q3" s="433"/>
      <c r="R3" s="433"/>
      <c r="T3" s="432"/>
      <c r="U3" s="432"/>
    </row>
    <row r="4" spans="1:23" s="415" customFormat="1" ht="18.75" customHeight="1">
      <c r="W4" s="416"/>
    </row>
    <row r="5" spans="1:23" s="415" customFormat="1" ht="18.75" customHeight="1">
      <c r="H5" s="417"/>
      <c r="S5" s="418"/>
      <c r="U5" s="417"/>
    </row>
    <row r="6" spans="1:23" s="419" customFormat="1" ht="30" customHeight="1"/>
    <row r="7" spans="1:23" ht="21.75" customHeight="1"/>
    <row r="8" spans="1:23" ht="21.75" customHeight="1">
      <c r="B8" s="422"/>
    </row>
    <row r="9" spans="1:23" ht="21.75" customHeight="1">
      <c r="B9" s="422"/>
    </row>
    <row r="10" spans="1:23" ht="33" customHeight="1"/>
    <row r="11" spans="1:23">
      <c r="M11" s="420"/>
      <c r="N11" s="420"/>
      <c r="O11" s="420"/>
      <c r="P11" s="420"/>
    </row>
    <row r="12" spans="1:23">
      <c r="M12" s="420"/>
      <c r="N12" s="420"/>
      <c r="O12" s="420"/>
      <c r="P12" s="420"/>
    </row>
    <row r="13" spans="1:23">
      <c r="M13" s="420"/>
      <c r="N13" s="420"/>
      <c r="O13" s="420"/>
      <c r="P13" s="420"/>
    </row>
    <row r="14" spans="1:23">
      <c r="M14" s="420"/>
      <c r="N14" s="420"/>
      <c r="O14" s="420"/>
      <c r="P14" s="420"/>
    </row>
    <row r="15" spans="1:23">
      <c r="M15" s="420"/>
      <c r="N15" s="420"/>
      <c r="O15" s="420"/>
      <c r="P15" s="420"/>
    </row>
    <row r="16" spans="1:23">
      <c r="K16" s="423"/>
      <c r="M16" s="420"/>
      <c r="N16" s="420"/>
      <c r="O16" s="420"/>
      <c r="P16" s="420"/>
    </row>
    <row r="17" spans="2:16">
      <c r="M17" s="420"/>
      <c r="N17" s="420"/>
      <c r="O17" s="420"/>
      <c r="P17" s="420"/>
    </row>
    <row r="18" spans="2:16">
      <c r="M18" s="420"/>
      <c r="N18" s="420"/>
      <c r="O18" s="420"/>
      <c r="P18" s="420"/>
    </row>
    <row r="19" spans="2:16">
      <c r="M19" s="420"/>
      <c r="N19" s="420"/>
      <c r="O19" s="420"/>
      <c r="P19" s="420"/>
    </row>
    <row r="20" spans="2:16">
      <c r="M20" s="420"/>
      <c r="N20" s="420"/>
      <c r="O20" s="420"/>
      <c r="P20" s="420"/>
    </row>
    <row r="21" spans="2:16">
      <c r="M21" s="420"/>
      <c r="N21" s="420"/>
      <c r="O21" s="420"/>
      <c r="P21" s="420"/>
    </row>
    <row r="22" spans="2:16">
      <c r="M22" s="420"/>
      <c r="N22" s="420"/>
      <c r="O22" s="420"/>
      <c r="P22" s="420"/>
    </row>
    <row r="23" spans="2:16">
      <c r="M23" s="420"/>
      <c r="N23" s="420"/>
      <c r="O23" s="420"/>
      <c r="P23" s="420"/>
    </row>
    <row r="24" spans="2:16">
      <c r="M24" s="420"/>
      <c r="N24" s="420"/>
      <c r="O24" s="420"/>
      <c r="P24" s="420"/>
    </row>
    <row r="25" spans="2:16">
      <c r="M25" s="420"/>
      <c r="N25" s="420"/>
      <c r="O25" s="420"/>
      <c r="P25" s="420"/>
    </row>
    <row r="26" spans="2:16">
      <c r="M26" s="420"/>
      <c r="N26" s="420"/>
      <c r="O26" s="420"/>
      <c r="P26" s="420"/>
    </row>
    <row r="27" spans="2:16">
      <c r="M27" s="420"/>
      <c r="N27" s="420"/>
      <c r="O27" s="420"/>
      <c r="P27" s="420"/>
    </row>
    <row r="28" spans="2:16">
      <c r="M28" s="420"/>
      <c r="N28" s="420"/>
      <c r="O28" s="420"/>
      <c r="P28" s="420"/>
    </row>
    <row r="29" spans="2:16">
      <c r="M29" s="420"/>
      <c r="N29" s="420"/>
      <c r="O29" s="420"/>
      <c r="P29" s="420"/>
    </row>
    <row r="30" spans="2:16">
      <c r="B30" s="434" t="s">
        <v>269</v>
      </c>
      <c r="C30" s="434"/>
      <c r="D30" s="434"/>
      <c r="E30" s="434"/>
      <c r="F30" s="434"/>
      <c r="G30" s="434"/>
      <c r="H30" s="434"/>
      <c r="I30" s="434"/>
      <c r="J30" s="434"/>
      <c r="K30" s="434"/>
      <c r="M30" s="420"/>
      <c r="N30" s="420"/>
      <c r="O30" s="420"/>
      <c r="P30" s="420"/>
    </row>
    <row r="31" spans="2:16">
      <c r="M31" s="420"/>
      <c r="N31" s="420"/>
      <c r="O31" s="420"/>
    </row>
    <row r="32" spans="2:16">
      <c r="M32" s="420"/>
      <c r="N32" s="420"/>
      <c r="O32" s="420"/>
    </row>
    <row r="33" spans="13:19">
      <c r="M33" s="420"/>
      <c r="N33" s="420"/>
      <c r="O33" s="420"/>
    </row>
    <row r="34" spans="13:19">
      <c r="N34" s="420"/>
      <c r="O34" s="420"/>
      <c r="S34" s="424"/>
    </row>
    <row r="35" spans="13:19">
      <c r="N35" s="420"/>
      <c r="O35" s="420"/>
    </row>
    <row r="36" spans="13:19">
      <c r="N36" s="420"/>
      <c r="O36" s="420"/>
    </row>
    <row r="37" spans="13:19">
      <c r="N37" s="420"/>
      <c r="O37" s="420"/>
    </row>
    <row r="38" spans="13:19">
      <c r="N38" s="420"/>
      <c r="O38" s="420"/>
    </row>
    <row r="39" spans="13:19">
      <c r="N39" s="420"/>
      <c r="O39" s="420"/>
    </row>
  </sheetData>
  <sheetProtection algorithmName="SHA-512" hashValue="H26gYIgb6KPhPuaifpysZqsxEV//jn8wVk927Q7MPhjLxKF+GqOszO3O/qOFHZuaX9OyBh4QiT+Qd9N22aZDaw==" saltValue="FvRVLn/EnePlg3uolXVMFQ==" spinCount="100000" sheet="1" objects="1" scenarios="1"/>
  <mergeCells count="7">
    <mergeCell ref="N1:O3"/>
    <mergeCell ref="Q1:R3"/>
    <mergeCell ref="T1:U3"/>
    <mergeCell ref="B30:K30"/>
    <mergeCell ref="C1:D3"/>
    <mergeCell ref="H1:I3"/>
    <mergeCell ref="K1:L3"/>
  </mergeCells>
  <hyperlinks>
    <hyperlink ref="B30" location="Deckblatt!A1" display="Keine Gewähr für die Richtigkeit der Angaben. Dieses Tool ersetzt keine fundierte Rechts-, Steuer- oder Finanzberatung. Mehr Details hier." xr:uid="{00000000-0004-0000-0100-000000000000}"/>
  </hyperlinks>
  <pageMargins left="0.25" right="0.25" top="0.75" bottom="0.75" header="0.3" footer="0.3"/>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W33"/>
  <sheetViews>
    <sheetView showGridLines="0" showRowColHeaders="0" zoomScaleNormal="100" workbookViewId="0">
      <pane ySplit="6" topLeftCell="A7" activePane="bottomLeft" state="frozen"/>
      <selection pane="bottomLeft" activeCell="E12" sqref="E12"/>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397</v>
      </c>
      <c r="C8" s="266"/>
      <c r="D8" s="266"/>
      <c r="E8" s="278"/>
      <c r="F8" s="278"/>
    </row>
    <row r="9" spans="1:23" ht="3.75" customHeight="1">
      <c r="B9" s="268"/>
      <c r="C9" s="268"/>
      <c r="D9" s="268"/>
      <c r="E9" s="270"/>
      <c r="F9" s="270"/>
      <c r="M9" s="5"/>
      <c r="N9" s="5"/>
      <c r="O9" s="5"/>
      <c r="P9" s="5"/>
    </row>
    <row r="10" spans="1:23" s="13" customFormat="1" ht="25.5" customHeight="1">
      <c r="B10" s="438"/>
      <c r="C10" s="439"/>
      <c r="D10" s="439"/>
      <c r="E10" s="440"/>
      <c r="F10" s="278"/>
    </row>
    <row r="11" spans="1:23" ht="25.5" customHeight="1">
      <c r="B11" s="268"/>
      <c r="C11" s="268"/>
      <c r="D11" s="268"/>
      <c r="E11" s="270"/>
      <c r="F11" s="270"/>
      <c r="M11" s="5"/>
      <c r="N11" s="5"/>
      <c r="O11" s="5"/>
      <c r="P11" s="5"/>
    </row>
    <row r="12" spans="1:23" s="13" customFormat="1" ht="25.5" customHeight="1">
      <c r="B12" s="265" t="s">
        <v>11</v>
      </c>
      <c r="C12" s="266"/>
      <c r="D12" s="266"/>
      <c r="E12" s="314"/>
      <c r="F12" s="278"/>
    </row>
    <row r="13" spans="1:23" ht="25.5" customHeight="1">
      <c r="B13" s="268"/>
      <c r="C13" s="268"/>
      <c r="D13" s="268"/>
      <c r="E13" s="270"/>
      <c r="F13" s="270"/>
      <c r="M13" s="5"/>
      <c r="N13" s="5"/>
      <c r="O13" s="5"/>
      <c r="P13" s="5"/>
    </row>
    <row r="14" spans="1:23" s="13" customFormat="1" ht="25.5" customHeight="1">
      <c r="B14" s="265" t="s">
        <v>318</v>
      </c>
      <c r="C14" s="266"/>
      <c r="D14" s="266"/>
      <c r="E14" s="315">
        <f ca="1">TODAY()</f>
        <v>45215</v>
      </c>
      <c r="F14" s="277"/>
      <c r="G14" s="276"/>
    </row>
    <row r="15" spans="1:23">
      <c r="M15" s="5"/>
      <c r="N15" s="5"/>
      <c r="O15" s="5"/>
      <c r="P15" s="5"/>
    </row>
    <row r="16" spans="1:23">
      <c r="M16" s="5"/>
      <c r="N16" s="5"/>
      <c r="O16" s="5"/>
      <c r="P16" s="5"/>
    </row>
    <row r="17" spans="1:23">
      <c r="M17" s="5"/>
      <c r="N17" s="5"/>
      <c r="O17" s="5"/>
      <c r="P17" s="5"/>
    </row>
    <row r="18" spans="1:23">
      <c r="M18" s="5"/>
      <c r="N18" s="5"/>
      <c r="O18" s="5"/>
      <c r="P18" s="5"/>
    </row>
    <row r="19" spans="1:23">
      <c r="M19" s="5"/>
      <c r="N19" s="5"/>
      <c r="O19" s="5"/>
      <c r="P19" s="5"/>
    </row>
    <row r="20" spans="1:23">
      <c r="K20"/>
      <c r="M20" s="5"/>
      <c r="N20" s="5"/>
      <c r="O20" s="5"/>
      <c r="P20" s="5"/>
    </row>
    <row r="21" spans="1:23">
      <c r="M21" s="5"/>
      <c r="N21" s="5"/>
      <c r="O21" s="5"/>
      <c r="P21" s="5"/>
    </row>
    <row r="22" spans="1:23">
      <c r="M22" s="5"/>
      <c r="N22" s="5"/>
      <c r="O22" s="5"/>
      <c r="P22" s="5"/>
    </row>
    <row r="23" spans="1:23">
      <c r="M23" s="5"/>
      <c r="N23" s="5"/>
      <c r="O23" s="5"/>
      <c r="P23" s="5"/>
    </row>
    <row r="24" spans="1:23">
      <c r="B24" s="441" t="s">
        <v>269</v>
      </c>
      <c r="C24" s="441"/>
      <c r="D24" s="441"/>
      <c r="E24" s="441"/>
      <c r="F24" s="441"/>
      <c r="G24" s="441"/>
      <c r="H24" s="441"/>
      <c r="I24" s="441"/>
      <c r="J24" s="441"/>
      <c r="K24" s="441"/>
      <c r="M24" s="5"/>
      <c r="N24" s="5"/>
      <c r="O24" s="5"/>
      <c r="P24" s="5"/>
    </row>
    <row r="25" spans="1:23">
      <c r="M25" s="5"/>
      <c r="N25" s="5"/>
      <c r="O25" s="5"/>
    </row>
    <row r="26" spans="1:23">
      <c r="M26" s="5"/>
      <c r="N26" s="5"/>
      <c r="O26" s="5"/>
    </row>
    <row r="27" spans="1:23">
      <c r="M27" s="5"/>
      <c r="N27" s="5"/>
      <c r="O27" s="5"/>
    </row>
    <row r="28" spans="1:23">
      <c r="N28" s="5"/>
      <c r="O28" s="5"/>
      <c r="S28" s="6"/>
    </row>
    <row r="29" spans="1:23">
      <c r="N29" s="5"/>
      <c r="O29" s="5"/>
    </row>
    <row r="30" spans="1:23" s="4" customFormat="1">
      <c r="A30" s="5"/>
      <c r="B30" s="5"/>
      <c r="C30" s="5"/>
      <c r="D30" s="5"/>
      <c r="E30" s="5"/>
      <c r="F30" s="5"/>
      <c r="G30" s="5"/>
      <c r="H30" s="5"/>
      <c r="I30" s="5"/>
      <c r="J30" s="5"/>
      <c r="K30" s="5"/>
      <c r="L30" s="5"/>
      <c r="N30" s="5"/>
      <c r="O30" s="5"/>
      <c r="Q30" s="5"/>
      <c r="R30" s="5"/>
      <c r="S30" s="5"/>
      <c r="T30" s="5"/>
      <c r="U30" s="5"/>
      <c r="V30" s="5"/>
      <c r="W30" s="5"/>
    </row>
    <row r="31" spans="1:23" s="4" customFormat="1">
      <c r="A31" s="5"/>
      <c r="B31" s="5"/>
      <c r="C31" s="5"/>
      <c r="D31" s="5"/>
      <c r="E31" s="5"/>
      <c r="F31" s="5"/>
      <c r="G31" s="5"/>
      <c r="H31" s="5"/>
      <c r="I31" s="5"/>
      <c r="J31" s="5"/>
      <c r="K31" s="5"/>
      <c r="L31" s="5"/>
      <c r="N31" s="5"/>
      <c r="O31" s="5"/>
      <c r="Q31" s="5"/>
      <c r="R31" s="5"/>
      <c r="S31" s="5"/>
      <c r="T31" s="5"/>
      <c r="U31" s="5"/>
      <c r="V31" s="5"/>
      <c r="W31" s="5"/>
    </row>
    <row r="32" spans="1:23" s="4" customFormat="1">
      <c r="A32" s="5"/>
      <c r="B32" s="5"/>
      <c r="C32" s="5"/>
      <c r="D32" s="5"/>
      <c r="E32" s="5"/>
      <c r="F32" s="5"/>
      <c r="G32" s="5"/>
      <c r="H32" s="5"/>
      <c r="I32" s="5"/>
      <c r="J32" s="5"/>
      <c r="K32" s="5"/>
      <c r="L32" s="5"/>
      <c r="N32" s="5"/>
      <c r="O32" s="5"/>
      <c r="Q32" s="5"/>
      <c r="R32" s="5"/>
      <c r="S32" s="5"/>
      <c r="T32" s="5"/>
      <c r="U32" s="5"/>
      <c r="V32" s="5"/>
      <c r="W32" s="5"/>
    </row>
    <row r="33" spans="1:23" s="4" customFormat="1">
      <c r="A33" s="5"/>
      <c r="B33" s="5"/>
      <c r="C33" s="5"/>
      <c r="D33" s="5"/>
      <c r="E33" s="5"/>
      <c r="F33" s="5"/>
      <c r="G33" s="5"/>
      <c r="H33" s="5"/>
      <c r="I33" s="5"/>
      <c r="J33" s="5"/>
      <c r="K33" s="5"/>
      <c r="L33" s="5"/>
      <c r="N33" s="5"/>
      <c r="O33" s="5"/>
      <c r="Q33" s="5"/>
      <c r="R33" s="5"/>
      <c r="S33" s="5"/>
      <c r="T33" s="5"/>
      <c r="U33" s="5"/>
      <c r="V33" s="5"/>
      <c r="W33" s="5"/>
    </row>
  </sheetData>
  <sheetProtection algorithmName="SHA-512" hashValue="t4r9/Bg4+GOJKPv43kX81wb4t8Rqu0cX1HdXuVXq+2EVjUX1JOXvjY6z3Fb0gGFBGjV/JOvjzsnX1CT5NplFTg==" saltValue="ULCm8EMR67v/5GDOgmTKzQ==" spinCount="100000" sheet="1" objects="1" scenarios="1"/>
  <mergeCells count="8">
    <mergeCell ref="N1:O3"/>
    <mergeCell ref="Q1:R3"/>
    <mergeCell ref="T1:U3"/>
    <mergeCell ref="B10:E10"/>
    <mergeCell ref="B24:K24"/>
    <mergeCell ref="C1:D3"/>
    <mergeCell ref="H1:I3"/>
    <mergeCell ref="K1:L3"/>
  </mergeCells>
  <dataValidations count="4">
    <dataValidation type="decimal" operator="greaterThan" allowBlank="1" showInputMessage="1" showErrorMessage="1" errorTitle="Wohnfläche" error="Bitte gib die Wohnfläche in m² ein. Bspw. 31 für 31 m²." promptTitle="Wohnfläche" prompt="Bitte gib die Wohnfläche der Wohnung in m² ein. Für 31 m², gib bitte 31 ein." sqref="E12" xr:uid="{00000000-0002-0000-0200-000000000000}">
      <formula1>0</formula1>
    </dataValidation>
    <dataValidation type="date" operator="greaterThanOrEqual" allowBlank="1" showInputMessage="1" showErrorMessage="1" errorTitle="Kauf-Datum" error="Bitte gib ein Datum ab dem 01.01.1900 ein." promptTitle="Kauf-Datum" prompt="Bitte gib hier ein, wann du die Wohnung kaufst oder gekauft hast. Du kannst zu Beginn auch einfach das Datum der Berechnung stehen lassen." sqref="E14" xr:uid="{00000000-0002-0000-0200-000001000000}">
      <formula1>1</formula1>
    </dataValidation>
    <dataValidation operator="lessThan" allowBlank="1" showInputMessage="1" errorTitle="Wo liegt die Wohnung" error="Bitte verwende nicht mehr als 60 Zeichen. Sonst passt die Adresse später nicht vernünftig auf die Ausdrucke der Bankunterlagen." promptTitle="Adresse" prompt="Bitte gib hier ein, wo die Wohnung liegt." sqref="B10:E10" xr:uid="{00000000-0002-0000-0200-000002000000}"/>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200-000003000000}">
      <formula1>0</formula1>
    </dataValidation>
  </dataValidations>
  <hyperlinks>
    <hyperlink ref="B24" location="Deckblatt!A1" display="Keine Gewähr für die Richtigkeit der Angaben. Dieses Tool ersetzt keine fundierte Rechts-, Steuer- oder Finanzberatung. Mehr Details hier." xr:uid="{00000000-0004-0000-0200-000000000000}"/>
  </hyperlinks>
  <pageMargins left="0.25" right="0.25" top="0.75" bottom="0.75" header="0.3" footer="0.3"/>
  <pageSetup paperSize="9" scale="7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W30"/>
  <sheetViews>
    <sheetView showGridLines="0" showRowColHeaders="0" zoomScaleNormal="100" workbookViewId="0">
      <pane ySplit="6" topLeftCell="A7" activePane="bottomLeft" state="frozen"/>
      <selection pane="bottomLeft" activeCell="E10" sqref="E10"/>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1</v>
      </c>
      <c r="C8" s="266"/>
      <c r="D8" s="267"/>
      <c r="E8" s="316"/>
      <c r="F8" s="278"/>
    </row>
    <row r="9" spans="1:23" ht="16">
      <c r="B9" s="268"/>
      <c r="C9" s="268"/>
      <c r="D9" s="268"/>
      <c r="E9" s="269"/>
      <c r="F9" s="270"/>
      <c r="M9" s="5"/>
      <c r="N9" s="5"/>
      <c r="O9" s="5"/>
      <c r="P9" s="5"/>
    </row>
    <row r="10" spans="1:23" s="13" customFormat="1" ht="25.5" customHeight="1">
      <c r="B10" s="265" t="s">
        <v>317</v>
      </c>
      <c r="C10" s="266"/>
      <c r="D10" s="266"/>
      <c r="E10" s="316"/>
      <c r="F10" s="278"/>
    </row>
    <row r="11" spans="1:23" ht="16">
      <c r="B11" s="268"/>
      <c r="C11" s="268"/>
      <c r="D11" s="268"/>
      <c r="E11" s="270"/>
      <c r="F11" s="270"/>
      <c r="M11" s="5"/>
      <c r="N11" s="5"/>
      <c r="O11" s="5"/>
      <c r="P11" s="5"/>
    </row>
    <row r="12" spans="1:23" ht="21" customHeight="1">
      <c r="B12" s="268"/>
      <c r="C12" s="268"/>
      <c r="D12" s="268"/>
      <c r="E12" s="270"/>
      <c r="F12" s="270"/>
      <c r="M12" s="5"/>
      <c r="N12" s="5"/>
      <c r="O12" s="5"/>
      <c r="P12" s="5"/>
    </row>
    <row r="13" spans="1:23" s="13" customFormat="1" ht="25.5" customHeight="1">
      <c r="B13" s="265" t="s">
        <v>17</v>
      </c>
      <c r="C13" s="266"/>
      <c r="D13" s="266"/>
      <c r="E13" s="277" t="str">
        <f>IF(AND(E8&gt;0,E10&gt;0),Cockpit!Q14,"-")</f>
        <v>-</v>
      </c>
      <c r="F13" s="372"/>
      <c r="G13" s="276" t="str">
        <f>E13</f>
        <v>-</v>
      </c>
    </row>
    <row r="14" spans="1:23">
      <c r="M14" s="5"/>
      <c r="N14" s="5"/>
      <c r="O14" s="5"/>
      <c r="P14" s="5"/>
    </row>
    <row r="15" spans="1:23" ht="15" customHeight="1">
      <c r="M15" s="5"/>
      <c r="N15" s="5"/>
      <c r="O15" s="5"/>
      <c r="P15" s="5"/>
    </row>
    <row r="16" spans="1:23" ht="15" customHeight="1">
      <c r="B16" s="444" t="str">
        <f>IF(AND(E8&gt;0,E10&gt;0),IF(E13&lt;0.04,"Bei der Wohnung musst du wahrscheinlich monatlich ordentlich Geld drauflegen.",IF(E13&lt;0.06,"Die Wohnung könnte finanziell interessant sein. Ein genauerer Blick lohnt sich.","Die Wohnung ist finanziell sehr interessant. Du hast gute Chancen, dass sie sich von selbst abbezahlt.")),"")</f>
        <v/>
      </c>
      <c r="C16" s="444"/>
      <c r="D16" s="444"/>
      <c r="E16" s="444"/>
      <c r="M16" s="5"/>
      <c r="N16" s="5"/>
      <c r="O16" s="5"/>
      <c r="P16" s="5"/>
    </row>
    <row r="17" spans="2:19">
      <c r="B17" s="444"/>
      <c r="C17" s="444"/>
      <c r="D17" s="444"/>
      <c r="E17" s="444"/>
      <c r="M17" s="5"/>
      <c r="N17" s="5"/>
      <c r="O17" s="5"/>
      <c r="P17" s="5"/>
    </row>
    <row r="18" spans="2:19">
      <c r="B18" s="444"/>
      <c r="C18" s="444"/>
      <c r="D18" s="444"/>
      <c r="E18" s="444"/>
      <c r="M18" s="5"/>
      <c r="N18" s="5"/>
      <c r="O18" s="5"/>
      <c r="P18" s="5"/>
    </row>
    <row r="19" spans="2:19">
      <c r="K19"/>
      <c r="M19" s="5"/>
      <c r="N19" s="5"/>
      <c r="O19" s="5"/>
      <c r="P19" s="5"/>
    </row>
    <row r="20" spans="2:19">
      <c r="M20" s="5"/>
      <c r="N20" s="5"/>
      <c r="O20" s="5"/>
      <c r="P20" s="5"/>
    </row>
    <row r="21" spans="2:19">
      <c r="B21" s="441" t="s">
        <v>269</v>
      </c>
      <c r="C21" s="441"/>
      <c r="D21" s="441"/>
      <c r="E21" s="441"/>
      <c r="F21" s="441"/>
      <c r="G21" s="441"/>
      <c r="H21" s="441"/>
      <c r="I21" s="441"/>
      <c r="J21" s="441"/>
      <c r="K21" s="441"/>
      <c r="M21" s="5"/>
      <c r="N21" s="5"/>
      <c r="O21" s="5"/>
      <c r="P21" s="5"/>
    </row>
    <row r="22" spans="2:19">
      <c r="M22" s="5"/>
      <c r="N22" s="5"/>
      <c r="O22" s="5"/>
    </row>
    <row r="23" spans="2:19">
      <c r="M23" s="5"/>
      <c r="N23" s="5"/>
      <c r="O23" s="5"/>
    </row>
    <row r="24" spans="2:19">
      <c r="M24" s="5"/>
      <c r="N24" s="5"/>
      <c r="O24" s="5"/>
    </row>
    <row r="25" spans="2:19">
      <c r="N25" s="5"/>
      <c r="O25" s="5"/>
      <c r="S25" s="6"/>
    </row>
    <row r="26" spans="2:19">
      <c r="N26" s="5"/>
      <c r="O26" s="5"/>
    </row>
    <row r="27" spans="2:19">
      <c r="N27" s="5"/>
      <c r="O27" s="5"/>
    </row>
    <row r="28" spans="2:19">
      <c r="N28" s="5"/>
      <c r="O28" s="5"/>
    </row>
    <row r="29" spans="2:19">
      <c r="N29" s="5"/>
      <c r="O29" s="5"/>
    </row>
    <row r="30" spans="2:19">
      <c r="N30" s="5"/>
      <c r="O30" s="5"/>
    </row>
  </sheetData>
  <sheetProtection algorithmName="SHA-512" hashValue="tBNtQZ6IGcn/QrNuXJal8t9r7Q/9TJue2s3rpX8jSJTd745H0VtTRCmOhEJaIYWi3gQHph4Fuzbxb9Ymj5M3xw==" saltValue="p93ZYWAh8oIsttfHM+mUUg==" spinCount="100000" sheet="1" objects="1" scenarios="1"/>
  <mergeCells count="8">
    <mergeCell ref="B21:K21"/>
    <mergeCell ref="T1:U3"/>
    <mergeCell ref="C1:D3"/>
    <mergeCell ref="H1:I3"/>
    <mergeCell ref="K1:L3"/>
    <mergeCell ref="N1:O3"/>
    <mergeCell ref="Q1:R3"/>
    <mergeCell ref="B16:E18"/>
  </mergeCells>
  <dataValidations count="2">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E8:F8" xr:uid="{00000000-0002-0000-0300-000000000000}">
      <formula1>0</formula1>
    </dataValidation>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E10:F10" xr:uid="{00000000-0002-0000-0300-000001000000}">
      <formula1>0</formula1>
    </dataValidation>
  </dataValidations>
  <hyperlinks>
    <hyperlink ref="B21" location="Deckblatt!A1" display="Keine Gewähr für die Richtigkeit der Angaben. Dieses Tool ersetzt keine fundierte Rechts-, Steuer- oder Finanzberatung. Mehr Details hier." xr:uid="{00000000-0004-0000-0300-000000000000}"/>
  </hyperlinks>
  <pageMargins left="0.25" right="0.25" top="0.75" bottom="0.75" header="0.3" footer="0.3"/>
  <pageSetup paperSize="9" scale="73"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 id="{9D207AB9-1012-4AC9-BDF7-7B60430AA8A2}">
            <x14:iconSet showValue="0">
              <x14:cfvo type="percent">
                <xm:f>0</xm:f>
              </x14:cfvo>
              <x14:cfvo type="formula">
                <xm:f>Konfiguration!$D$8</xm:f>
              </x14:cfvo>
              <x14:cfvo type="formula">
                <xm:f>Konfiguration!$C$8</xm:f>
              </x14:cfvo>
            </x14:iconSet>
          </x14:cfRule>
          <xm:sqref>G13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pageSetUpPr fitToPage="1"/>
  </sheetPr>
  <dimension ref="A1:W33"/>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299</v>
      </c>
      <c r="C8" s="266"/>
      <c r="D8" s="445" t="s">
        <v>356</v>
      </c>
      <c r="E8" s="446"/>
      <c r="F8" s="278"/>
    </row>
    <row r="9" spans="1:23" ht="16">
      <c r="B9" s="268"/>
      <c r="C9" s="268"/>
      <c r="D9" s="268"/>
      <c r="E9" s="270"/>
      <c r="F9" s="270"/>
      <c r="M9" s="5"/>
      <c r="N9" s="5"/>
      <c r="O9" s="5"/>
      <c r="P9" s="5"/>
    </row>
    <row r="10" spans="1:23" s="13" customFormat="1" ht="25.5" customHeight="1">
      <c r="B10" s="265" t="s">
        <v>281</v>
      </c>
      <c r="C10" s="266"/>
      <c r="D10" s="266"/>
      <c r="E10" s="395">
        <f>IFERROR(VLOOKUP(D8,Konfiguration!B15:C31,2,FALSE),0)</f>
        <v>0</v>
      </c>
      <c r="F10" s="278"/>
    </row>
    <row r="11" spans="1:23" ht="16">
      <c r="B11" s="268"/>
      <c r="C11" s="268"/>
      <c r="D11" s="268"/>
      <c r="E11" s="270"/>
      <c r="F11" s="270"/>
      <c r="M11" s="5"/>
      <c r="N11" s="5"/>
      <c r="O11" s="5"/>
      <c r="P11" s="5"/>
    </row>
    <row r="12" spans="1:23" s="13" customFormat="1" ht="25.5" customHeight="1">
      <c r="B12" s="265" t="s">
        <v>4</v>
      </c>
      <c r="C12" s="266"/>
      <c r="D12" s="266"/>
      <c r="E12" s="313"/>
      <c r="F12" s="281"/>
    </row>
    <row r="13" spans="1:23" ht="17.25" customHeight="1">
      <c r="F13" s="270"/>
      <c r="M13" s="5"/>
      <c r="N13" s="5"/>
      <c r="O13" s="5"/>
      <c r="P13" s="5"/>
    </row>
    <row r="14" spans="1:23" s="13" customFormat="1" ht="25.5" customHeight="1">
      <c r="B14" s="265" t="s">
        <v>5</v>
      </c>
      <c r="C14" s="266"/>
      <c r="D14" s="267"/>
      <c r="E14" s="313"/>
      <c r="F14" s="281"/>
    </row>
    <row r="15" spans="1:23" ht="17.25" customHeight="1">
      <c r="B15" s="268"/>
      <c r="C15" s="268"/>
      <c r="D15" s="268"/>
      <c r="E15" s="269"/>
      <c r="F15" s="270"/>
      <c r="M15" s="5"/>
      <c r="N15" s="5"/>
      <c r="O15" s="5"/>
      <c r="P15" s="5"/>
    </row>
    <row r="16" spans="1:23" s="13" customFormat="1" ht="25.5" customHeight="1">
      <c r="B16" s="265" t="s">
        <v>249</v>
      </c>
      <c r="C16" s="266"/>
      <c r="D16" s="266"/>
      <c r="E16" s="313"/>
      <c r="F16" s="281"/>
    </row>
    <row r="17" spans="2:19" ht="17.25" customHeight="1">
      <c r="B17" s="268"/>
      <c r="C17" s="268"/>
      <c r="D17" s="268"/>
      <c r="E17" s="270"/>
      <c r="F17" s="270"/>
      <c r="M17" s="5"/>
      <c r="N17" s="5"/>
      <c r="O17" s="5"/>
      <c r="P17" s="5"/>
    </row>
    <row r="18" spans="2:19" s="13" customFormat="1" ht="25.5" customHeight="1">
      <c r="B18" s="265" t="s">
        <v>8</v>
      </c>
      <c r="C18" s="266"/>
      <c r="D18" s="266"/>
      <c r="E18" s="313"/>
      <c r="F18" s="281"/>
    </row>
    <row r="19" spans="2:19" ht="17.25" customHeight="1">
      <c r="B19" s="268"/>
      <c r="C19" s="268"/>
      <c r="D19" s="268"/>
      <c r="E19" s="270"/>
      <c r="F19" s="270"/>
      <c r="M19" s="5"/>
      <c r="N19" s="5"/>
      <c r="O19" s="5"/>
      <c r="P19" s="5"/>
    </row>
    <row r="20" spans="2:19" s="13" customFormat="1" ht="25.5" customHeight="1">
      <c r="B20" s="265" t="s">
        <v>282</v>
      </c>
      <c r="C20" s="266"/>
      <c r="D20" s="266"/>
      <c r="E20" s="396">
        <f>Cockpit!E21</f>
        <v>0</v>
      </c>
      <c r="F20" s="277"/>
      <c r="G20" s="276"/>
    </row>
    <row r="21" spans="2:19">
      <c r="M21" s="5"/>
      <c r="N21" s="5"/>
      <c r="O21" s="5"/>
      <c r="P21" s="5"/>
    </row>
    <row r="22" spans="2:19">
      <c r="M22" s="5"/>
      <c r="N22" s="5"/>
      <c r="O22" s="5"/>
      <c r="P22" s="5"/>
    </row>
    <row r="23" spans="2:19">
      <c r="M23" s="5"/>
      <c r="N23" s="5"/>
      <c r="O23" s="5"/>
      <c r="P23" s="5"/>
    </row>
    <row r="24" spans="2:19">
      <c r="B24" s="441" t="s">
        <v>269</v>
      </c>
      <c r="C24" s="441"/>
      <c r="D24" s="441"/>
      <c r="E24" s="441"/>
      <c r="F24" s="441"/>
      <c r="G24" s="441"/>
      <c r="H24" s="441"/>
      <c r="I24" s="441"/>
      <c r="J24" s="441"/>
      <c r="K24" s="441"/>
      <c r="M24" s="5"/>
      <c r="N24" s="5"/>
      <c r="O24" s="5"/>
      <c r="P24" s="5"/>
    </row>
    <row r="25" spans="2:19">
      <c r="M25" s="5"/>
      <c r="N25" s="5"/>
      <c r="O25" s="5"/>
    </row>
    <row r="26" spans="2:19">
      <c r="M26" s="5"/>
      <c r="N26" s="5"/>
      <c r="O26" s="5"/>
    </row>
    <row r="27" spans="2:19">
      <c r="M27" s="5"/>
      <c r="N27" s="5"/>
      <c r="O27" s="5"/>
    </row>
    <row r="28" spans="2:19">
      <c r="N28" s="5"/>
      <c r="O28" s="5"/>
      <c r="S28" s="6"/>
    </row>
    <row r="29" spans="2:19">
      <c r="N29" s="5"/>
      <c r="O29" s="5"/>
    </row>
    <row r="30" spans="2:19">
      <c r="N30" s="5"/>
      <c r="O30" s="5"/>
    </row>
    <row r="31" spans="2:19">
      <c r="N31" s="5"/>
      <c r="O31" s="5"/>
    </row>
    <row r="32" spans="2:19">
      <c r="N32" s="5"/>
      <c r="O32" s="5"/>
    </row>
    <row r="33" spans="14:15">
      <c r="N33" s="5"/>
      <c r="O33" s="5"/>
    </row>
  </sheetData>
  <sheetProtection algorithmName="SHA-512" hashValue="QBEybbsrvCKNg/J3d5emls+m353BQ0MeDVvNXEtOBez+sL1kXn1hIsFEulOdZTtwEv5sdxUgKuv/P0Yarat5vw==" saltValue="ZO+RZ6NbTZu7otRhDRxGWQ==" spinCount="100000" sheet="1" objects="1" scenarios="1"/>
  <mergeCells count="8">
    <mergeCell ref="N1:O3"/>
    <mergeCell ref="Q1:R3"/>
    <mergeCell ref="T1:U3"/>
    <mergeCell ref="B24:K24"/>
    <mergeCell ref="D8:E8"/>
    <mergeCell ref="C1:D3"/>
    <mergeCell ref="H1:I3"/>
    <mergeCell ref="K1:L3"/>
  </mergeCells>
  <dataValidations count="8">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0" xr:uid="{00000000-0002-0000-0400-000000000000}">
      <formula1>0</formula1>
    </dataValidation>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400-000001000000}">
      <formula1>0</formula1>
    </dataValidation>
    <dataValidation type="decimal" allowBlank="1" showInputMessage="1" showErrorMessage="1" errorTitle="Notar-Kosten" error="Bitte gib die Notariats-Gebühren als Prozent-Zahl zwischen 0% und 100% ein." promptTitle="Notar-Gebühren" prompt="Bitte gib hier die Notariats-Gebhren in % des Kaufpreises ein. Bspw. 1,5%." sqref="E14" xr:uid="{00000000-0002-0000-0400-000002000000}">
      <formula1>0</formula1>
      <formula2>1</formula2>
    </dataValidation>
    <dataValidation type="decimal" allowBlank="1" showInputMessage="1" showErrorMessage="1" errorTitle="Grundbuch Amt - Gebühren" error="Bitte gib die Gebühren für das Grundbuch Amt als Prozent-Zahl zwischen 0% und 100% ein." promptTitle="Grundbuch Amt - Gebühren" prompt="Bitte gib hier die Gebühren für das Grundbuch Amt in % des Kaufpreises ein. Bspw. 0,5%." sqref="E16" xr:uid="{00000000-0002-0000-0400-000003000000}">
      <formula1>0</formula1>
      <formula2>1</formula2>
    </dataValidation>
    <dataValidation type="decimal" allowBlank="1" showInputMessage="1" showErrorMessage="1" errorTitle="Makler-Provision" error="Bitte gib die Makler-Provision als Prozent Zahl zwischen 0% und 100% ein." promptTitle="Makler-Provision" prompt="Bitte gib hier die Makler-Provision in % des Kaufpreises ein. Bspw. 3,57%. Wenn kein Makler involviert ist, trage einfach eine 0 ein." sqref="E12" xr:uid="{00000000-0002-0000-0400-000004000000}">
      <formula1>0</formula1>
      <formula2>1</formula2>
    </dataValidation>
    <dataValidation type="decimal" allowBlank="1" showInputMessage="1" showErrorMessage="1" errorTitle="Sonstige Kosten" error="Bitte gib die sonstigen Kaufnebenkosten als Prozent-Zahl zwischen 0% und 100% ein." promptTitle="Sonstige Kosten" prompt="Bitte gib hier sonstige Kaufnebenkosten in % des Kaufpreises ein." sqref="E18" xr:uid="{00000000-0002-0000-0400-000005000000}">
      <formula1>0</formula1>
      <formula2>1</formula2>
    </dataValidation>
    <dataValidation allowBlank="1" showInputMessage="1" errorTitle="Makler-Provision" error="Bitte gib die Makler-Provision als Prozent Zahl zwischen 0% und 100% ein." promptTitle="Grunderwerbsteuer" prompt="Diese Grunderwerbsteuer (in % des Kaufpreises) wird in dem ausgewählten Bundesland fällig." sqref="E10" xr:uid="{00000000-0002-0000-0400-000006000000}"/>
    <dataValidation type="list" allowBlank="1" showInputMessage="1" errorTitle="Makler-Provision" error="Bitte gib die Makler-Provision als Prozent Zahl zwischen 0% und 100% ein." promptTitle="Bundesland" prompt="Bitte wähle das Bundesland aus, in dem die Wohnung liegt. Das Tool ergänzt dann automatisch, wie hoch die Grunderwerbsteuer in dem Bundesland ist." sqref="D8:E8" xr:uid="{00000000-0002-0000-0400-000007000000}">
      <formula1>"bitte wählen,Baden-Württemberg,Bayern,Berlin,Brandenburg,Bremen,Hamburg,Hessen,Mecklenburg-Vorpommern,Niedersachsen,Nordrhein-Westfalen,Rheinland-Pfalz,Saarland,Sachsen,Sachsen-Anhalt,Schleswig-Holstein,Thüringen"</formula1>
    </dataValidation>
  </dataValidations>
  <hyperlinks>
    <hyperlink ref="B24" location="Deckblatt!A1" display="Keine Gewähr für die Richtigkeit der Angaben. Dieses Tool ersetzt keine fundierte Rechts-, Steuer- oder Finanzberatung. Mehr Details hier." xr:uid="{00000000-0004-0000-0400-000000000000}"/>
  </hyperlinks>
  <pageMargins left="0.25" right="0.25" top="0.75" bottom="0.75" header="0.3" footer="0.3"/>
  <pageSetup paperSize="9" scale="7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A1:W32"/>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301</v>
      </c>
      <c r="C8" s="266"/>
      <c r="D8" s="268"/>
      <c r="E8" s="317"/>
      <c r="F8" s="278"/>
    </row>
    <row r="9" spans="1:23" ht="16">
      <c r="B9" s="268"/>
      <c r="C9" s="268"/>
      <c r="D9" s="268"/>
      <c r="E9" s="270"/>
      <c r="F9" s="270"/>
      <c r="M9" s="5"/>
      <c r="N9" s="5"/>
      <c r="O9" s="5"/>
      <c r="P9" s="5"/>
    </row>
    <row r="10" spans="1:23" ht="25.5" customHeight="1">
      <c r="B10" s="265" t="s">
        <v>304</v>
      </c>
      <c r="C10" s="266"/>
      <c r="D10" s="268"/>
      <c r="E10" s="317"/>
      <c r="F10" s="270"/>
      <c r="M10" s="5"/>
      <c r="N10" s="5"/>
      <c r="O10" s="5"/>
      <c r="P10" s="5"/>
    </row>
    <row r="11" spans="1:23" ht="16">
      <c r="B11" s="268"/>
      <c r="C11" s="268"/>
      <c r="D11" s="268"/>
      <c r="E11" s="270"/>
      <c r="F11" s="270"/>
      <c r="M11" s="5"/>
      <c r="N11" s="5"/>
      <c r="O11" s="5"/>
      <c r="P11" s="5"/>
    </row>
    <row r="12" spans="1:23" s="13" customFormat="1" ht="25.5" customHeight="1">
      <c r="B12" s="288" t="s">
        <v>303</v>
      </c>
      <c r="C12" s="266"/>
      <c r="D12" s="266"/>
      <c r="E12" s="397">
        <f>Cockpit!D14+Cockpit!E21</f>
        <v>0</v>
      </c>
      <c r="F12" s="278"/>
    </row>
    <row r="13" spans="1:23" ht="16">
      <c r="B13" s="268"/>
      <c r="C13" s="268"/>
      <c r="D13" s="268"/>
      <c r="E13" s="270"/>
      <c r="F13" s="270"/>
      <c r="M13" s="5"/>
      <c r="N13" s="5"/>
      <c r="O13" s="5"/>
      <c r="P13" s="5"/>
    </row>
    <row r="14" spans="1:23" s="13" customFormat="1" ht="25.5" customHeight="1">
      <c r="B14" s="288" t="s">
        <v>305</v>
      </c>
      <c r="C14" s="266"/>
      <c r="D14" s="266"/>
      <c r="E14" s="397">
        <f>E8+E10+E12</f>
        <v>0</v>
      </c>
      <c r="F14" s="281"/>
    </row>
    <row r="15" spans="1:23" ht="36.75" customHeight="1">
      <c r="F15" s="270"/>
      <c r="M15" s="5"/>
      <c r="N15" s="5"/>
      <c r="O15" s="5"/>
      <c r="P15" s="5"/>
    </row>
    <row r="16" spans="1:23" s="13" customFormat="1" ht="25.5" customHeight="1">
      <c r="B16" s="265" t="s">
        <v>302</v>
      </c>
      <c r="C16" s="266"/>
      <c r="D16" s="267"/>
      <c r="E16" s="317"/>
      <c r="F16" s="281"/>
    </row>
    <row r="17" spans="1:23" ht="17.25" customHeight="1">
      <c r="B17" s="268"/>
      <c r="C17" s="268"/>
      <c r="D17" s="268"/>
      <c r="E17" s="269"/>
      <c r="F17" s="270"/>
      <c r="M17" s="5"/>
      <c r="N17" s="5"/>
      <c r="O17" s="5"/>
      <c r="P17" s="5"/>
    </row>
    <row r="18" spans="1:23" s="13" customFormat="1" ht="25.5" customHeight="1">
      <c r="B18" s="5"/>
      <c r="C18" s="5"/>
      <c r="D18" s="5"/>
      <c r="E18" s="5"/>
      <c r="F18" s="5"/>
    </row>
    <row r="19" spans="1:23" ht="17.25" customHeight="1">
      <c r="B19" s="268"/>
      <c r="C19" s="268"/>
      <c r="D19" s="268"/>
      <c r="E19" s="270"/>
      <c r="F19" s="270"/>
      <c r="M19" s="5"/>
      <c r="N19" s="5"/>
      <c r="O19" s="5"/>
      <c r="P19" s="5"/>
    </row>
    <row r="20" spans="1:23" s="13" customFormat="1" ht="25.5" customHeight="1">
      <c r="B20" s="5"/>
      <c r="C20" s="5"/>
      <c r="D20" s="5"/>
      <c r="E20" s="5"/>
      <c r="F20" s="5"/>
    </row>
    <row r="21" spans="1:23" ht="17.25" customHeight="1">
      <c r="B21" s="268"/>
      <c r="C21" s="268"/>
      <c r="D21" s="268"/>
      <c r="E21" s="270"/>
      <c r="F21" s="270"/>
      <c r="M21" s="5"/>
      <c r="N21" s="5"/>
      <c r="O21" s="5"/>
      <c r="P21" s="5"/>
    </row>
    <row r="22" spans="1:23">
      <c r="M22" s="5"/>
      <c r="N22" s="5"/>
      <c r="O22" s="5"/>
      <c r="P22" s="5"/>
    </row>
    <row r="23" spans="1:23">
      <c r="B23" s="441" t="s">
        <v>269</v>
      </c>
      <c r="C23" s="441"/>
      <c r="D23" s="441"/>
      <c r="E23" s="441"/>
      <c r="F23" s="441"/>
      <c r="G23" s="441"/>
      <c r="H23" s="441"/>
      <c r="I23" s="441"/>
      <c r="J23" s="441"/>
      <c r="K23" s="441"/>
      <c r="M23" s="5"/>
      <c r="N23" s="5"/>
      <c r="O23" s="5"/>
      <c r="P23" s="5"/>
    </row>
    <row r="24" spans="1:23">
      <c r="M24" s="5"/>
      <c r="N24" s="5"/>
      <c r="O24" s="5"/>
    </row>
    <row r="25" spans="1:23">
      <c r="M25" s="5"/>
      <c r="N25" s="5"/>
      <c r="O25" s="5"/>
    </row>
    <row r="26" spans="1:23">
      <c r="M26" s="5"/>
      <c r="N26" s="5"/>
      <c r="O26" s="5"/>
    </row>
    <row r="27" spans="1:23">
      <c r="N27" s="5"/>
      <c r="O27" s="5"/>
      <c r="S27" s="6"/>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row r="30" spans="1:23" s="4" customFormat="1">
      <c r="A30" s="5"/>
      <c r="B30" s="5"/>
      <c r="C30" s="5"/>
      <c r="D30" s="5"/>
      <c r="E30" s="5"/>
      <c r="F30" s="5"/>
      <c r="G30" s="5"/>
      <c r="H30" s="5"/>
      <c r="I30" s="5"/>
      <c r="J30" s="5"/>
      <c r="K30" s="5"/>
      <c r="L30" s="5"/>
      <c r="N30" s="5"/>
      <c r="O30" s="5"/>
      <c r="Q30" s="5"/>
      <c r="R30" s="5"/>
      <c r="S30" s="5"/>
      <c r="T30" s="5"/>
      <c r="U30" s="5"/>
      <c r="V30" s="5"/>
      <c r="W30" s="5"/>
    </row>
    <row r="31" spans="1:23" s="4" customFormat="1">
      <c r="A31" s="5"/>
      <c r="B31" s="5"/>
      <c r="C31" s="5"/>
      <c r="D31" s="5"/>
      <c r="E31" s="5"/>
      <c r="F31" s="5"/>
      <c r="G31" s="5"/>
      <c r="H31" s="5"/>
      <c r="I31" s="5"/>
      <c r="J31" s="5"/>
      <c r="K31" s="5"/>
      <c r="L31" s="5"/>
      <c r="N31" s="5"/>
      <c r="O31" s="5"/>
      <c r="Q31" s="5"/>
      <c r="R31" s="5"/>
      <c r="S31" s="5"/>
      <c r="T31" s="5"/>
      <c r="U31" s="5"/>
      <c r="V31" s="5"/>
      <c r="W31" s="5"/>
    </row>
    <row r="32" spans="1:23" s="4" customFormat="1">
      <c r="A32" s="5"/>
      <c r="B32" s="5"/>
      <c r="C32" s="5"/>
      <c r="D32" s="5"/>
      <c r="E32" s="5"/>
      <c r="F32" s="5"/>
      <c r="G32" s="5"/>
      <c r="H32" s="5"/>
      <c r="I32" s="5"/>
      <c r="J32" s="5"/>
      <c r="K32" s="5"/>
      <c r="L32" s="5"/>
      <c r="N32" s="5"/>
      <c r="O32" s="5"/>
      <c r="Q32" s="5"/>
      <c r="R32" s="5"/>
      <c r="S32" s="5"/>
      <c r="T32" s="5"/>
      <c r="U32" s="5"/>
      <c r="V32" s="5"/>
      <c r="W32" s="5"/>
    </row>
  </sheetData>
  <sheetProtection algorithmName="SHA-512" hashValue="Ce91Ff1CbvcCetCl3g1BZpuxOOuCSwunQx/TRDdx+aHvauDhFz+XyQCvwTiKfz1EPhgaMaSzFZTYQLZBKOKxOQ==" saltValue="A4sD92BhIW9T1aPhoijQ4A==" spinCount="100000" sheet="1" objects="1" scenarios="1"/>
  <mergeCells count="7">
    <mergeCell ref="Q1:R3"/>
    <mergeCell ref="T1:U3"/>
    <mergeCell ref="B23:K23"/>
    <mergeCell ref="C1:D3"/>
    <mergeCell ref="H1:I3"/>
    <mergeCell ref="K1:L3"/>
    <mergeCell ref="N1:O3"/>
  </mergeCells>
  <dataValidations count="6">
    <dataValidation allowBlank="1" showInputMessage="1" errorTitle="Makler-Provision" error="Bitte gib die Makler-Provision als Prozent Zahl zwischen 0% und 100% ein." promptTitle="Grunderwerbsteuer" prompt="Diese Grunderwerbsteuer (in % des Kaufpreises) wird in dem ausgewählten Bundesland fällig." sqref="E12 E14" xr:uid="{00000000-0002-0000-0500-000000000000}"/>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500-000001000000}">
      <formula1>0</formula1>
    </dataValidation>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2" xr:uid="{00000000-0002-0000-0500-000002000000}">
      <formula1>0</formula1>
    </dataValidation>
    <dataValidation type="decimal" operator="greaterThanOrEqual" allowBlank="1" showInputMessage="1" showErrorMessage="1" errorTitle="Maßnahmen Sofort" error="Bitte gib den Betrag für sofort nötige Maßnahmen als positiven Euro-Betrag ein." promptTitle="Maßnahmen bei Mieterwechsel" prompt="Wie viel Geld musst du für Maßnahmen einplanen, die sofort nötig sind, um die Miete weiterhin zu erhalten? Bitte gib den Betrag in Euro ein." sqref="E16" xr:uid="{00000000-0002-0000-0500-000003000000}">
      <formula1>0</formula1>
    </dataValidation>
    <dataValidation type="decimal" operator="greaterThanOrEqual" allowBlank="1" showInputMessage="1" showErrorMessage="1" errorTitle="Geplante Sonderumlagen" error="Bitte gib den Betrag für geplante Sonderumlagen als positiven Euro-Betrag ein." promptTitle="Geplante Sonderumlagen" prompt="Gib hier eine geplante Sonderumlage ein, die du im Kapitalbedarf berücksichtigen möchtest. Wenn die Umlage für mehrere Jahre beschlossen wurde, plane den Betrag für den gesamten Zeitraum ein." sqref="E10" xr:uid="{00000000-0002-0000-0500-000004000000}">
      <formula1>0</formula1>
    </dataValidation>
    <dataValidation type="decimal" operator="greaterThanOrEqual" allowBlank="1" showInputMessage="1" showErrorMessage="1" errorTitle="Maßnahmen Sofort" error="Bitte gib den Betrag für sofort nötige Maßnahmen als positiven Euro-Betrag ein." promptTitle="Maßnahmen Sofort" prompt="Wie viel Geld musst du für Maßnahmen einplanen, die sofort nötig sind, um die Miete weiterhin zu erhalten? Bitte gib den Betrag in Euro ein." sqref="E8" xr:uid="{00000000-0002-0000-0500-000005000000}">
      <formula1>0</formula1>
    </dataValidation>
  </dataValidations>
  <hyperlinks>
    <hyperlink ref="B23" location="Deckblatt!A1" display="Keine Gewähr für die Richtigkeit der Angaben. Dieses Tool ersetzt keine fundierte Rechts-, Steuer- oder Finanzberatung. Mehr Details hier." xr:uid="{00000000-0004-0000-0500-000000000000}"/>
  </hyperlinks>
  <pageMargins left="0.25" right="0.25" top="0.75" bottom="0.75" header="0.3" footer="0.3"/>
  <pageSetup paperSize="9" scale="7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pageSetUpPr fitToPage="1"/>
  </sheetPr>
  <dimension ref="A1:W29"/>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306</v>
      </c>
      <c r="C8" s="266"/>
      <c r="D8" s="268"/>
      <c r="E8" s="318"/>
      <c r="F8" s="278"/>
    </row>
    <row r="9" spans="1:23" ht="16">
      <c r="B9" s="268"/>
      <c r="C9" s="268"/>
      <c r="D9" s="268"/>
      <c r="E9" s="270"/>
      <c r="F9" s="270"/>
      <c r="M9" s="5"/>
      <c r="N9" s="5"/>
      <c r="O9" s="5"/>
      <c r="P9" s="5"/>
    </row>
    <row r="10" spans="1:23" ht="25.5" customHeight="1">
      <c r="B10" s="265" t="s">
        <v>23</v>
      </c>
      <c r="C10" s="266"/>
      <c r="D10" s="268"/>
      <c r="E10" s="397">
        <f>Cockpit!N17</f>
        <v>0</v>
      </c>
      <c r="F10" s="270"/>
      <c r="M10" s="5"/>
      <c r="N10" s="5"/>
      <c r="O10" s="5"/>
      <c r="P10" s="5"/>
    </row>
    <row r="11" spans="1:23" ht="84" customHeight="1">
      <c r="B11" s="268"/>
      <c r="C11" s="268"/>
      <c r="D11" s="268"/>
      <c r="E11" s="270"/>
      <c r="F11" s="270"/>
      <c r="M11" s="5"/>
      <c r="N11" s="5"/>
      <c r="O11" s="5"/>
      <c r="P11" s="5"/>
    </row>
    <row r="12" spans="1:23" s="13" customFormat="1" ht="25.5" customHeight="1">
      <c r="B12" s="288" t="s">
        <v>307</v>
      </c>
      <c r="C12" s="266"/>
      <c r="D12" s="266"/>
      <c r="E12" s="313"/>
      <c r="F12" s="278"/>
    </row>
    <row r="13" spans="1:23" ht="16">
      <c r="B13" s="268"/>
      <c r="C13" s="268"/>
      <c r="D13" s="268"/>
      <c r="E13" s="270"/>
      <c r="F13" s="270"/>
      <c r="M13" s="5"/>
      <c r="N13" s="5"/>
      <c r="O13" s="5"/>
      <c r="P13" s="5"/>
    </row>
    <row r="14" spans="1:23" s="13" customFormat="1" ht="25.5" customHeight="1">
      <c r="B14" s="288" t="s">
        <v>25</v>
      </c>
      <c r="C14" s="266"/>
      <c r="D14" s="266"/>
      <c r="E14" s="313"/>
      <c r="F14" s="281"/>
    </row>
    <row r="15" spans="1:23" ht="36.75" customHeight="1">
      <c r="E15" s="268"/>
      <c r="F15" s="270"/>
      <c r="M15" s="5"/>
      <c r="N15" s="5"/>
      <c r="O15" s="5"/>
      <c r="P15" s="5"/>
    </row>
    <row r="16" spans="1:23" s="13" customFormat="1" ht="25.5" customHeight="1">
      <c r="B16" s="5"/>
      <c r="C16" s="268"/>
      <c r="D16" s="268"/>
      <c r="E16" s="268"/>
      <c r="F16" s="270"/>
    </row>
    <row r="17" spans="1:23" ht="17.25" customHeight="1">
      <c r="B17" s="268"/>
      <c r="C17" s="268"/>
      <c r="D17" s="268"/>
      <c r="E17" s="270"/>
      <c r="F17" s="270"/>
      <c r="M17" s="5"/>
      <c r="N17" s="5"/>
      <c r="O17" s="5"/>
      <c r="P17" s="5"/>
    </row>
    <row r="18" spans="1:23" s="13" customFormat="1" ht="25.5" customHeight="1">
      <c r="B18" s="5"/>
      <c r="C18" s="5"/>
      <c r="D18" s="5"/>
      <c r="E18" s="5"/>
      <c r="F18" s="5"/>
    </row>
    <row r="19" spans="1:23">
      <c r="M19" s="5"/>
      <c r="N19" s="5"/>
      <c r="O19" s="5"/>
      <c r="P19" s="5"/>
    </row>
    <row r="20" spans="1:23">
      <c r="B20" s="441" t="s">
        <v>269</v>
      </c>
      <c r="C20" s="441"/>
      <c r="D20" s="441"/>
      <c r="E20" s="441"/>
      <c r="F20" s="441"/>
      <c r="G20" s="441"/>
      <c r="H20" s="441"/>
      <c r="I20" s="441"/>
      <c r="J20" s="441"/>
      <c r="K20" s="441"/>
      <c r="M20" s="5"/>
      <c r="N20" s="5"/>
      <c r="O20" s="5"/>
      <c r="P20" s="5"/>
    </row>
    <row r="21" spans="1:23">
      <c r="M21" s="5"/>
      <c r="N21" s="5"/>
      <c r="O21" s="5"/>
    </row>
    <row r="22" spans="1:23">
      <c r="M22" s="5"/>
      <c r="N22" s="5"/>
      <c r="O22" s="5"/>
    </row>
    <row r="23" spans="1:23">
      <c r="M23" s="5"/>
      <c r="N23" s="5"/>
      <c r="O23" s="5"/>
    </row>
    <row r="24" spans="1:23">
      <c r="N24" s="5"/>
      <c r="O24" s="5"/>
      <c r="S24" s="6"/>
    </row>
    <row r="25" spans="1:23" s="4" customFormat="1">
      <c r="A25" s="5"/>
      <c r="B25" s="5"/>
      <c r="C25" s="5"/>
      <c r="D25" s="5"/>
      <c r="E25" s="5"/>
      <c r="F25" s="5"/>
      <c r="G25" s="5"/>
      <c r="H25" s="5"/>
      <c r="I25" s="5"/>
      <c r="J25" s="5"/>
      <c r="K25" s="5"/>
      <c r="L25" s="5"/>
      <c r="N25" s="5"/>
      <c r="O25" s="5"/>
      <c r="Q25" s="5"/>
      <c r="R25" s="5"/>
      <c r="S25" s="5"/>
      <c r="T25" s="5"/>
      <c r="U25" s="5"/>
      <c r="V25" s="5"/>
      <c r="W25" s="5"/>
    </row>
    <row r="26" spans="1:23" s="4" customFormat="1">
      <c r="A26" s="5"/>
      <c r="B26" s="5"/>
      <c r="C26" s="5"/>
      <c r="D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sheetData>
  <sheetProtection algorithmName="SHA-512" hashValue="wQOl/l94Eio+6N1abEwtbl7I3qa6pDX+CLCVLK3pr1hRPPMp25Vlls3BxCzNqOQZM3V3OOb1L849IIOQi/KXrQ==" saltValue="5cqdZ7aiIMBBaZIGvK/Fzw==" spinCount="100000" sheet="1" objects="1" scenarios="1"/>
  <mergeCells count="7">
    <mergeCell ref="Q1:R3"/>
    <mergeCell ref="T1:U3"/>
    <mergeCell ref="B20:K20"/>
    <mergeCell ref="C1:D3"/>
    <mergeCell ref="H1:I3"/>
    <mergeCell ref="K1:L3"/>
    <mergeCell ref="N1:O3"/>
  </mergeCells>
  <dataValidations count="6">
    <dataValidation type="decimal" allowBlank="1" showInputMessage="1" showErrorMessage="1" errorTitle="Darlehenssumme vom Kaufpreis" error="Bitte gib die Darlehenssumme in % des Kaufpreises ein, bspw. 80%. Der Wert darf nicht negativ sein und ist auf 1000% beschränkt. Bitte gib das Darlehen nicht als Euro-Betrag ein." promptTitle="Darlehenssumme vom Kaufpreis" prompt="Wie viel % du den Kaufpreis möchtest du finanzieren? Du kannst auch einen Wert über 100% eingeben._x000a__x000a_Format: Darlehenssumme in % des Kaufpreises, bspw. 80%." sqref="E8" xr:uid="{00000000-0002-0000-0600-000000000000}">
      <formula1>0</formula1>
      <formula2>10</formula2>
    </dataValidation>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2" xr:uid="{00000000-0002-0000-0600-000001000000}">
      <formula1>0</formula1>
    </dataValidation>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600-000002000000}">
      <formula1>0</formula1>
    </dataValidation>
    <dataValidation type="decimal" operator="greaterThanOrEqual" allowBlank="1" showInputMessage="1" showErrorMessage="1" errorTitle="Anfängliche Tilgung" error="Bitte gib die anfängliche Tilgung als positive Prozent-Zahl ein." promptTitle="Anfängliche Tilgung" prompt="Gib hier die anfängliche Tilgung ein, mit der du das Darlehen zurückzahlen willst. Bspw. 2%." sqref="E14" xr:uid="{00000000-0002-0000-0600-000003000000}">
      <formula1>0</formula1>
    </dataValidation>
    <dataValidation allowBlank="1" showInputMessage="1" promptTitle="Darlehenshöhe" prompt="Diese Darlehenssumme ergibt sich aus dem Prozentsatz, den du oben festgelegt hast." sqref="E10" xr:uid="{00000000-0002-0000-0600-000004000000}"/>
    <dataValidation type="decimal" operator="greaterThanOrEqual" allowBlank="1" showInputMessage="1" showErrorMessage="1" errorTitle="Zinsen pro Jahr" error="Bitte gib den Zinssatz in Prozent als positive Zahl ein. Bspw. 2%." promptTitle="Zinsen pro Jahr" prompt="Gib hier den Zinssatz ein, mit dem du das Darlehen berechnen möchtest. Bspw. 2%." sqref="E12" xr:uid="{00000000-0002-0000-0600-000005000000}">
      <formula1>0</formula1>
    </dataValidation>
  </dataValidations>
  <hyperlinks>
    <hyperlink ref="B20" location="Deckblatt!A1" display="Keine Gewähr für die Richtigkeit der Angaben. Dieses Tool ersetzt keine fundierte Rechts-, Steuer- oder Finanzberatung. Mehr Details hier." xr:uid="{00000000-0004-0000-0600-000000000000}"/>
  </hyperlinks>
  <pageMargins left="0.25" right="0.25" top="0.75" bottom="0.75" header="0.3" footer="0.3"/>
  <pageSetup paperSize="9" scale="73" orientation="landscape"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pageSetUpPr fitToPage="1"/>
  </sheetPr>
  <dimension ref="A1:W27"/>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308</v>
      </c>
      <c r="C8" s="266"/>
      <c r="D8" s="268"/>
      <c r="E8" s="397">
        <f>Cockpit!N13</f>
        <v>0</v>
      </c>
      <c r="F8" s="278"/>
    </row>
    <row r="9" spans="1:23" ht="49.5" customHeight="1">
      <c r="B9" s="268"/>
      <c r="C9" s="268"/>
      <c r="D9" s="268"/>
      <c r="E9" s="270"/>
      <c r="F9" s="270"/>
      <c r="M9" s="5"/>
      <c r="N9" s="5"/>
      <c r="O9" s="5"/>
      <c r="P9" s="5"/>
    </row>
    <row r="10" spans="1:23" ht="25.5" customHeight="1">
      <c r="B10" s="265" t="s">
        <v>309</v>
      </c>
      <c r="C10" s="266"/>
      <c r="D10" s="268"/>
      <c r="E10" s="398" t="str">
        <f ca="1">calc_rf!C7</f>
        <v>sofort</v>
      </c>
      <c r="F10" s="270"/>
      <c r="M10" s="5"/>
      <c r="N10" s="5"/>
      <c r="O10" s="5"/>
      <c r="P10" s="5"/>
    </row>
    <row r="11" spans="1:23" ht="67.5" customHeight="1">
      <c r="B11" s="268"/>
      <c r="C11" s="268"/>
      <c r="D11" s="268"/>
      <c r="E11" s="270"/>
      <c r="F11" s="270"/>
      <c r="M11" s="5"/>
      <c r="N11" s="5"/>
      <c r="O11" s="5"/>
      <c r="P11" s="5"/>
    </row>
    <row r="12" spans="1:23" s="13" customFormat="1" ht="25.5" customHeight="1">
      <c r="B12" s="288" t="s">
        <v>310</v>
      </c>
      <c r="C12" s="266"/>
      <c r="D12" s="266"/>
      <c r="E12" s="397">
        <f>calc_rf!C8</f>
        <v>0</v>
      </c>
      <c r="F12" s="278"/>
    </row>
    <row r="13" spans="1:23" ht="16">
      <c r="B13" s="268"/>
      <c r="C13" s="268"/>
      <c r="D13" s="268"/>
      <c r="E13" s="270"/>
      <c r="F13" s="270"/>
      <c r="M13" s="5"/>
      <c r="N13" s="5"/>
      <c r="O13" s="5"/>
      <c r="P13" s="5"/>
    </row>
    <row r="14" spans="1:23" ht="36.75" customHeight="1">
      <c r="E14" s="268"/>
      <c r="F14" s="270"/>
      <c r="M14" s="5"/>
      <c r="N14" s="5"/>
      <c r="O14" s="5"/>
      <c r="P14" s="5"/>
    </row>
    <row r="15" spans="1:23" s="13" customFormat="1" ht="25.5" customHeight="1">
      <c r="B15" s="5"/>
      <c r="C15" s="268"/>
      <c r="D15" s="268"/>
      <c r="E15" s="268"/>
      <c r="F15" s="270"/>
    </row>
    <row r="16" spans="1:23">
      <c r="M16" s="5"/>
      <c r="N16" s="5"/>
      <c r="O16" s="5"/>
      <c r="P16" s="5"/>
    </row>
    <row r="17" spans="1:23">
      <c r="M17" s="5"/>
      <c r="N17" s="5"/>
      <c r="O17" s="5"/>
      <c r="P17" s="5"/>
    </row>
    <row r="18" spans="1:23">
      <c r="B18" s="441" t="s">
        <v>269</v>
      </c>
      <c r="C18" s="441"/>
      <c r="D18" s="441"/>
      <c r="E18" s="441"/>
      <c r="F18" s="441"/>
      <c r="G18" s="441"/>
      <c r="H18" s="441"/>
      <c r="I18" s="441"/>
      <c r="J18" s="441"/>
      <c r="K18" s="441"/>
      <c r="M18" s="5"/>
      <c r="N18" s="5"/>
      <c r="O18" s="5"/>
      <c r="P18" s="5"/>
    </row>
    <row r="19" spans="1:23">
      <c r="M19" s="5"/>
      <c r="N19" s="5"/>
      <c r="O19" s="5"/>
    </row>
    <row r="20" spans="1:23">
      <c r="M20" s="5"/>
      <c r="N20" s="5"/>
      <c r="O20" s="5"/>
    </row>
    <row r="21" spans="1:23">
      <c r="M21" s="5"/>
      <c r="N21" s="5"/>
      <c r="O21" s="5"/>
    </row>
    <row r="22" spans="1:23">
      <c r="N22" s="5"/>
      <c r="O22" s="5"/>
      <c r="S22" s="6"/>
    </row>
    <row r="23" spans="1:23" s="4" customFormat="1">
      <c r="A23" s="5"/>
      <c r="B23" s="5"/>
      <c r="C23" s="5"/>
      <c r="D23" s="5"/>
      <c r="E23" s="5"/>
      <c r="F23" s="5"/>
      <c r="G23" s="5"/>
      <c r="H23" s="5"/>
      <c r="I23" s="5"/>
      <c r="J23" s="5"/>
      <c r="K23" s="5"/>
      <c r="L23" s="5"/>
      <c r="N23" s="5"/>
      <c r="O23" s="5"/>
      <c r="Q23" s="5"/>
      <c r="R23" s="5"/>
      <c r="S23" s="5"/>
      <c r="T23" s="5"/>
      <c r="U23" s="5"/>
      <c r="V23" s="5"/>
      <c r="W23" s="5"/>
    </row>
    <row r="24" spans="1:23" s="4" customFormat="1">
      <c r="A24" s="5"/>
      <c r="B24" s="5"/>
      <c r="C24" s="5"/>
      <c r="D24" s="5"/>
      <c r="E24" s="5"/>
      <c r="F24" s="5"/>
      <c r="G24" s="5"/>
      <c r="H24" s="5"/>
      <c r="I24" s="5"/>
      <c r="J24" s="5"/>
      <c r="K24" s="5"/>
      <c r="L24" s="5"/>
      <c r="N24" s="5"/>
      <c r="O24" s="5"/>
      <c r="Q24" s="5"/>
      <c r="R24" s="5"/>
      <c r="S24" s="5"/>
      <c r="T24" s="5"/>
      <c r="U24" s="5"/>
      <c r="V24" s="5"/>
      <c r="W24" s="5"/>
    </row>
    <row r="25" spans="1:23" s="4" customFormat="1">
      <c r="A25" s="5"/>
      <c r="B25" s="5"/>
      <c r="C25" s="5"/>
      <c r="D25" s="5"/>
      <c r="E25" s="5"/>
      <c r="F25" s="5"/>
      <c r="G25" s="5"/>
      <c r="H25" s="5"/>
      <c r="I25" s="5"/>
      <c r="J25" s="5"/>
      <c r="K25" s="5"/>
      <c r="L25" s="5"/>
      <c r="N25" s="5"/>
      <c r="O25" s="5"/>
      <c r="Q25" s="5"/>
      <c r="R25" s="5"/>
      <c r="S25" s="5"/>
      <c r="T25" s="5"/>
      <c r="U25" s="5"/>
      <c r="V25" s="5"/>
      <c r="W25" s="5"/>
    </row>
    <row r="26" spans="1:23" s="4" customFormat="1">
      <c r="A26" s="5"/>
      <c r="B26" s="5"/>
      <c r="C26" s="5"/>
      <c r="D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sheetData>
  <sheetProtection algorithmName="SHA-512" hashValue="2VBcbqzYn8M4oD79BltLTRFebBNcciZpIKh8/mb1z+ThgYqwwpXZr/4aqnNXeUA+r6OdQr60b4LumKlL+BzLIg==" saltValue="gLKZpu79B/xOCMN35rLNRg==" spinCount="100000" sheet="1" objects="1" scenarios="1"/>
  <mergeCells count="7">
    <mergeCell ref="Q1:R3"/>
    <mergeCell ref="T1:U3"/>
    <mergeCell ref="B18:K18"/>
    <mergeCell ref="C1:D3"/>
    <mergeCell ref="H1:I3"/>
    <mergeCell ref="K1:L3"/>
    <mergeCell ref="N1:O3"/>
  </mergeCells>
  <dataValidations count="5">
    <dataValidation allowBlank="1" showInputMessage="1" promptTitle="Schuldenfrei" prompt="In so vielen Jahren bist du schuldenfrei. Das heißt, in dem entsprechenden Jahr zahlst du deinen letzten Euro Kredit zurück." sqref="E10" xr:uid="{00000000-0002-0000-0700-000000000000}"/>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700-000001000000}">
      <formula1>0</formula1>
    </dataValidation>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2" xr:uid="{00000000-0002-0000-0700-000002000000}">
      <formula1>0</formula1>
    </dataValidation>
    <dataValidation allowBlank="1" showInputMessage="1" promptTitle="Rate an die Bank" prompt="Diese monatliche Rate an die Bank ergibt sich aus der Darlehenshöhe, dem Zinssatz und der anfänglichen Tilgung. Sie bleibt bis zur Anschlussfinanzierung gleich hoch." sqref="E8" xr:uid="{00000000-0002-0000-0700-000003000000}"/>
    <dataValidation allowBlank="1" showInputMessage="1" promptTitle="Eigenkapitalbedarf" prompt="So viel Eigenkapital brauchst du, um nach Abzug deiner Darlehenssumme alle übrigen Kosten zu decken. Du solltest danach noch einen ausreichenden Puffer haben." sqref="E12" xr:uid="{00000000-0002-0000-0700-000004000000}"/>
  </dataValidations>
  <hyperlinks>
    <hyperlink ref="B18" location="Deckblatt!A1" display="Keine Gewähr für die Richtigkeit der Angaben. Dieses Tool ersetzt keine fundierte Rechts-, Steuer- oder Finanzberatung. Mehr Details hier." xr:uid="{00000000-0004-0000-0700-000000000000}"/>
  </hyperlinks>
  <pageMargins left="0.25" right="0.25" top="0.75" bottom="0.75" header="0.3" footer="0.3"/>
  <pageSetup paperSize="9" scale="73"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W29"/>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311</v>
      </c>
      <c r="C8" s="266"/>
      <c r="D8" s="268"/>
      <c r="E8" s="317"/>
      <c r="F8" s="278"/>
    </row>
    <row r="9" spans="1:23" ht="52.5" customHeight="1">
      <c r="B9" s="268"/>
      <c r="C9" s="268"/>
      <c r="D9" s="268"/>
      <c r="E9" s="270"/>
      <c r="F9" s="270"/>
      <c r="M9" s="5"/>
      <c r="N9" s="5"/>
      <c r="O9" s="5"/>
      <c r="P9" s="5"/>
    </row>
    <row r="10" spans="1:23" ht="15" customHeight="1">
      <c r="B10" s="268"/>
      <c r="C10" s="268"/>
      <c r="D10" s="268"/>
      <c r="E10" s="270"/>
      <c r="F10" s="270"/>
      <c r="M10" s="5"/>
      <c r="N10" s="5"/>
      <c r="O10" s="5"/>
      <c r="P10" s="5"/>
    </row>
    <row r="11" spans="1:23" s="13" customFormat="1" ht="25.5" customHeight="1">
      <c r="B11" s="288" t="s">
        <v>312</v>
      </c>
      <c r="C11" s="266"/>
      <c r="D11" s="266"/>
      <c r="E11" s="318"/>
      <c r="F11" s="278"/>
    </row>
    <row r="12" spans="1:23" ht="52.5" customHeight="1">
      <c r="B12" s="268"/>
      <c r="C12" s="268"/>
      <c r="D12" s="268"/>
      <c r="E12" s="270"/>
      <c r="F12" s="270"/>
      <c r="M12" s="5"/>
      <c r="N12" s="5"/>
      <c r="O12" s="5"/>
      <c r="P12" s="5"/>
    </row>
    <row r="13" spans="1:23" s="13" customFormat="1" ht="25.5" customHeight="1">
      <c r="B13" s="288" t="s">
        <v>313</v>
      </c>
      <c r="C13" s="266"/>
      <c r="D13" s="266"/>
      <c r="E13" s="319"/>
      <c r="F13" s="278"/>
    </row>
    <row r="14" spans="1:23" ht="16">
      <c r="B14" s="268"/>
      <c r="C14" s="268"/>
      <c r="D14" s="268"/>
      <c r="E14" s="270"/>
      <c r="F14" s="270"/>
      <c r="M14" s="5"/>
      <c r="N14" s="5"/>
      <c r="O14" s="5"/>
      <c r="P14" s="5"/>
    </row>
    <row r="15" spans="1:23" ht="36.75" customHeight="1">
      <c r="E15" s="268"/>
      <c r="F15" s="270"/>
      <c r="M15" s="5"/>
      <c r="N15" s="5"/>
      <c r="O15" s="5"/>
      <c r="P15" s="5"/>
    </row>
    <row r="16" spans="1:23" s="13" customFormat="1" ht="25.5" customHeight="1">
      <c r="B16" s="5"/>
      <c r="C16" s="268"/>
      <c r="D16" s="268"/>
      <c r="E16" s="268"/>
      <c r="F16" s="270"/>
    </row>
    <row r="17" spans="1:23" ht="17.25" customHeight="1">
      <c r="B17" s="268"/>
      <c r="C17" s="268"/>
      <c r="D17" s="268"/>
      <c r="E17" s="270"/>
      <c r="F17" s="270"/>
      <c r="M17" s="5"/>
      <c r="N17" s="5"/>
      <c r="O17" s="5"/>
      <c r="P17" s="5"/>
    </row>
    <row r="18" spans="1:23" s="13" customFormat="1" ht="25.5" customHeight="1">
      <c r="B18" s="5"/>
      <c r="C18" s="5"/>
      <c r="D18" s="5"/>
      <c r="E18" s="5"/>
      <c r="F18" s="5"/>
    </row>
    <row r="19" spans="1:23" ht="17.25" customHeight="1">
      <c r="B19" s="268"/>
      <c r="C19" s="268"/>
      <c r="D19" s="268"/>
      <c r="E19" s="270"/>
      <c r="F19" s="270"/>
      <c r="M19" s="5"/>
      <c r="N19" s="5"/>
      <c r="O19" s="5"/>
      <c r="P19" s="5"/>
    </row>
    <row r="20" spans="1:23">
      <c r="B20" s="441" t="s">
        <v>269</v>
      </c>
      <c r="C20" s="441"/>
      <c r="D20" s="441"/>
      <c r="E20" s="441"/>
      <c r="F20" s="441"/>
      <c r="G20" s="441"/>
      <c r="H20" s="441"/>
      <c r="I20" s="441"/>
      <c r="J20" s="441"/>
      <c r="K20" s="441"/>
      <c r="M20" s="5"/>
      <c r="N20" s="5"/>
      <c r="O20" s="5"/>
      <c r="P20" s="5"/>
    </row>
    <row r="21" spans="1:23">
      <c r="M21" s="5"/>
      <c r="N21" s="5"/>
      <c r="O21" s="5"/>
    </row>
    <row r="22" spans="1:23">
      <c r="M22" s="5"/>
      <c r="N22" s="5"/>
      <c r="O22" s="5"/>
    </row>
    <row r="23" spans="1:23">
      <c r="M23" s="5"/>
      <c r="N23" s="5"/>
      <c r="O23" s="5"/>
    </row>
    <row r="24" spans="1:23">
      <c r="N24" s="5"/>
      <c r="O24" s="5"/>
      <c r="S24" s="6"/>
    </row>
    <row r="25" spans="1:23" s="4" customFormat="1">
      <c r="A25" s="5"/>
      <c r="B25" s="5"/>
      <c r="C25" s="5"/>
      <c r="D25" s="5"/>
      <c r="E25" s="5"/>
      <c r="F25" s="5"/>
      <c r="G25" s="5"/>
      <c r="H25" s="5"/>
      <c r="I25" s="5"/>
      <c r="J25" s="5"/>
      <c r="K25" s="5"/>
      <c r="L25" s="5"/>
      <c r="N25" s="5"/>
      <c r="O25" s="5"/>
      <c r="Q25" s="5"/>
      <c r="R25" s="5"/>
      <c r="S25" s="5"/>
      <c r="T25" s="5"/>
      <c r="U25" s="5"/>
      <c r="V25" s="5"/>
      <c r="W25" s="5"/>
    </row>
    <row r="26" spans="1:23" s="4" customFormat="1">
      <c r="A26" s="5"/>
      <c r="B26" s="5"/>
      <c r="C26" s="5"/>
      <c r="D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sheetData>
  <sheetProtection algorithmName="SHA-512" hashValue="j5eqUj5Lq44xjWRqP+tsAeLo8BGJ6W05wrw2fNNAc0GRiQaobIDaaLluT2HUoBwz5p3fQtl6wROHQ+fB6Jbwog==" saltValue="AnMKTfjC334p6RO6r74MrQ==" spinCount="100000" sheet="1" objects="1" scenarios="1"/>
  <mergeCells count="7">
    <mergeCell ref="Q1:R3"/>
    <mergeCell ref="T1:U3"/>
    <mergeCell ref="B20:K20"/>
    <mergeCell ref="C1:D3"/>
    <mergeCell ref="H1:I3"/>
    <mergeCell ref="K1:L3"/>
    <mergeCell ref="N1:O3"/>
  </mergeCells>
  <dataValidations count="5">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1 F13" xr:uid="{00000000-0002-0000-0800-000000000000}">
      <formula1>0</formula1>
    </dataValidation>
    <dataValidation type="decimal" operator="greaterThan" allowBlank="1" showInputMessage="1" showErrorMessage="1" errorTitle="Kaufpreis" error="Bitte gib den Kaufpreis als Zahl &gt; 0 ein." promptTitle="Kaufpreis" prompt="Bitte gib hier den Kaufpreis ein, mit dem du kalkulieren möchtest. Bspw. 55000 für 55 Tausend Euro." sqref="F8" xr:uid="{00000000-0002-0000-0800-000001000000}">
      <formula1>0</formula1>
    </dataValidation>
    <dataValidation type="decimal" operator="greaterThanOrEqual" allowBlank="1" showInputMessage="1" showErrorMessage="1" errorTitle="Nicht umlagefähiges Hausgeld" error="Bitte gib das Hausgeld pro Monat in Euro ein, bspw. 49. Der Wert darf nicht negativ sein." promptTitle="Nicht umlagefähiges Hausgeld" prompt="Gib hier die Höhe des nicht umlagefähigen Anteils des Hausgeldes ein. Du findest dieses bspw. im aktuellen Wirtschaftsplan der Wohnung." sqref="E8" xr:uid="{00000000-0002-0000-0800-000002000000}">
      <formula1>0</formula1>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Eine übliche Annahme sind 10€ pro m&quot; Wohnfläche und Jahr. Gib die Rücklage als Euro Betrag ein, bspw. 10." sqref="E13" xr:uid="{00000000-0002-0000-0800-000003000000}">
      <formula1>0</formula1>
    </dataValidation>
    <dataValidation type="decimal" allowBlank="1" showInputMessage="1" showErrorMessage="1" errorTitle="Rücklage für Mietausfall" error="Bitte gib die Höhe der Rücklage für Mietausfall in % ein. Der Wert muss zwischen 0% und 100% liegen." promptTitle="Rücklage für Mietausfall" prompt="Hier gibst du ein, wie viel % der Warmmiete du für zukünftigen Mietausfall zurücklegen möchtest. Die richtige Höhe hängt von der Lage und Vermietbarkeit der Immobilie ab. Unsere Standard-Annahme sind 3%._x000a__x000a_Format: Rücklage in % der Warmmiete, bspw. 3%." sqref="E11" xr:uid="{00000000-0002-0000-0800-000004000000}">
      <formula1>0</formula1>
      <formula2>1</formula2>
    </dataValidation>
  </dataValidations>
  <hyperlinks>
    <hyperlink ref="B20" location="Deckblatt!A1" display="Keine Gewähr für die Richtigkeit der Angaben. Dieses Tool ersetzt keine fundierte Rechts-, Steuer- oder Finanzberatung. Mehr Details hier." xr:uid="{00000000-0004-0000-0800-000000000000}"/>
  </hyperlinks>
  <pageMargins left="0.25" right="0.25" top="0.75" bottom="0.75" header="0.3" footer="0.3"/>
  <pageSetup paperSize="9" scale="73"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pageSetUpPr fitToPage="1"/>
  </sheetPr>
  <dimension ref="A1:W30"/>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51.75" customHeight="1"/>
    <row r="10" spans="1:23" s="13" customFormat="1" ht="25.5" customHeight="1">
      <c r="G10" s="5"/>
    </row>
    <row r="11" spans="1:23" ht="22.5">
      <c r="B11" s="293"/>
      <c r="C11" s="268"/>
      <c r="D11" s="268"/>
      <c r="F11" s="375"/>
      <c r="I11" s="13"/>
      <c r="J11" s="13"/>
    </row>
    <row r="12" spans="1:23" ht="15" customHeight="1">
      <c r="B12" s="268"/>
      <c r="M12" s="5"/>
      <c r="N12" s="5"/>
      <c r="O12" s="5"/>
      <c r="P12" s="5"/>
    </row>
    <row r="13" spans="1:23" s="13" customFormat="1" ht="25.5" customHeight="1">
      <c r="B13" s="268"/>
      <c r="C13" s="268"/>
      <c r="D13" s="270"/>
      <c r="E13" s="270"/>
      <c r="F13" s="278"/>
    </row>
    <row r="14" spans="1:23" ht="52.5" customHeight="1">
      <c r="B14" s="268"/>
      <c r="C14" s="268"/>
      <c r="D14" s="268"/>
      <c r="E14" s="270"/>
      <c r="F14" s="270"/>
      <c r="H14" s="376"/>
      <c r="M14" s="5"/>
      <c r="N14" s="5"/>
      <c r="O14" s="5"/>
      <c r="P14" s="5"/>
    </row>
    <row r="15" spans="1:23" ht="17.25" customHeight="1">
      <c r="B15" s="268"/>
      <c r="C15" s="268"/>
      <c r="D15" s="268"/>
      <c r="E15" s="270"/>
      <c r="F15" s="270"/>
      <c r="M15" s="5"/>
      <c r="N15" s="5"/>
      <c r="O15" s="5"/>
      <c r="P15" s="5"/>
    </row>
    <row r="16" spans="1:23" ht="17.25" customHeight="1">
      <c r="B16" s="268"/>
      <c r="C16" s="268"/>
      <c r="D16" s="268"/>
      <c r="E16" s="270"/>
      <c r="F16" s="270"/>
      <c r="M16" s="5"/>
      <c r="N16" s="5"/>
      <c r="O16" s="5"/>
      <c r="P16" s="5"/>
    </row>
    <row r="17" spans="1:23" ht="17.25" customHeight="1">
      <c r="B17" s="268"/>
      <c r="C17" s="268"/>
      <c r="D17" s="268"/>
      <c r="E17" s="270"/>
      <c r="F17" s="270"/>
      <c r="M17" s="5"/>
      <c r="N17" s="5"/>
      <c r="O17" s="5"/>
      <c r="P17" s="5"/>
    </row>
    <row r="18" spans="1:23" ht="17.25" customHeight="1">
      <c r="B18" s="268"/>
      <c r="C18" s="268"/>
      <c r="D18" s="268"/>
      <c r="E18" s="270"/>
      <c r="F18" s="270"/>
      <c r="M18" s="5"/>
      <c r="N18" s="5"/>
      <c r="O18" s="5"/>
      <c r="P18" s="5"/>
    </row>
    <row r="19" spans="1:23" ht="17.25" customHeight="1">
      <c r="B19" s="268"/>
      <c r="C19" s="268"/>
      <c r="D19" s="268"/>
      <c r="E19" s="270"/>
      <c r="F19" s="270"/>
      <c r="M19" s="5"/>
      <c r="N19" s="5"/>
      <c r="O19" s="5"/>
      <c r="P19" s="5"/>
    </row>
    <row r="20" spans="1:23">
      <c r="M20" s="5"/>
      <c r="N20" s="5"/>
      <c r="O20" s="5"/>
      <c r="P20" s="5"/>
    </row>
    <row r="21" spans="1:23">
      <c r="B21" s="441" t="s">
        <v>269</v>
      </c>
      <c r="C21" s="441"/>
      <c r="D21" s="441"/>
      <c r="E21" s="441"/>
      <c r="F21" s="441"/>
      <c r="G21" s="441"/>
      <c r="H21" s="441"/>
      <c r="I21" s="441"/>
      <c r="J21" s="441"/>
      <c r="K21" s="441"/>
      <c r="M21" s="5"/>
      <c r="N21" s="5"/>
      <c r="O21" s="5"/>
      <c r="P21" s="5"/>
    </row>
    <row r="22" spans="1:23">
      <c r="M22" s="5"/>
      <c r="N22" s="5"/>
      <c r="O22" s="5"/>
    </row>
    <row r="23" spans="1:23">
      <c r="M23" s="5"/>
      <c r="N23" s="5"/>
      <c r="O23" s="5"/>
    </row>
    <row r="24" spans="1:23">
      <c r="M24" s="5"/>
      <c r="N24" s="5"/>
      <c r="O24" s="5"/>
    </row>
    <row r="25" spans="1:23">
      <c r="N25" s="5"/>
      <c r="O25" s="5"/>
      <c r="S25" s="6"/>
    </row>
    <row r="26" spans="1:23" s="4" customFormat="1">
      <c r="A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row r="30" spans="1:23" s="4" customFormat="1">
      <c r="A30" s="5"/>
      <c r="B30" s="5"/>
      <c r="C30" s="5"/>
      <c r="D30" s="5"/>
      <c r="E30" s="5"/>
      <c r="F30" s="5"/>
      <c r="G30" s="5"/>
      <c r="H30" s="5"/>
      <c r="I30" s="5"/>
      <c r="J30" s="5"/>
      <c r="K30" s="5"/>
      <c r="L30" s="5"/>
      <c r="N30" s="5"/>
      <c r="O30" s="5"/>
      <c r="Q30" s="5"/>
      <c r="R30" s="5"/>
      <c r="S30" s="5"/>
      <c r="T30" s="5"/>
      <c r="U30" s="5"/>
      <c r="V30" s="5"/>
      <c r="W30" s="5"/>
    </row>
  </sheetData>
  <sheetProtection algorithmName="SHA-512" hashValue="7ZHni0i/6lKqU3LjGgYVLdTbUTzWbytRvqREt6NesP3bIEy6gEhYfa8JEYWz0W+FzHlkxJBEfefvJT7cGeL2Pw==" saltValue="3qwtjraqVjY9gRVYayQmPQ==" spinCount="100000" sheet="1" objects="1" scenarios="1"/>
  <mergeCells count="7">
    <mergeCell ref="N1:O3"/>
    <mergeCell ref="Q1:R3"/>
    <mergeCell ref="T1:U3"/>
    <mergeCell ref="B21:K21"/>
    <mergeCell ref="C1:D3"/>
    <mergeCell ref="H1:I3"/>
    <mergeCell ref="K1:L3"/>
  </mergeCells>
  <dataValidations disablePrompts="1" count="1">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3" xr:uid="{00000000-0002-0000-0900-000000000000}">
      <formula1>0</formula1>
    </dataValidation>
  </dataValidations>
  <hyperlinks>
    <hyperlink ref="B21" location="Deckblatt!A1" display="Keine Gewähr für die Richtigkeit der Angaben. Dieses Tool ersetzt keine fundierte Rechts-, Steuer- oder Finanzberatung. Mehr Details hier." xr:uid="{00000000-0004-0000-0900-000000000000}"/>
  </hyperlinks>
  <pageMargins left="0.25" right="0.25" top="0.75" bottom="0.75" header="0.3" footer="0.3"/>
  <pageSetup paperSize="9" scale="73"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pageSetUpPr fitToPage="1"/>
  </sheetPr>
  <dimension ref="A1:W27"/>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ht="124.5" customHeight="1"/>
    <row r="9" spans="1:23" ht="21.75" customHeight="1"/>
    <row r="10" spans="1:23" s="13" customFormat="1" ht="25.5" customHeight="1">
      <c r="B10" s="265" t="s">
        <v>421</v>
      </c>
      <c r="C10" s="266"/>
      <c r="D10" s="268"/>
      <c r="E10" s="410"/>
      <c r="G10" s="295"/>
      <c r="H10" s="295"/>
    </row>
    <row r="11" spans="1:23" ht="85.5" customHeight="1">
      <c r="B11" s="293"/>
      <c r="C11" s="268"/>
      <c r="D11" s="268"/>
      <c r="E11" s="270"/>
      <c r="F11" s="270"/>
      <c r="M11" s="5"/>
      <c r="N11" s="5"/>
      <c r="O11" s="5"/>
      <c r="P11" s="5"/>
    </row>
    <row r="12" spans="1:23" ht="25.5" customHeight="1">
      <c r="B12" s="265" t="str">
        <f>CONCATENATE("Gleiche Rate in ",IF(calc_rf!C9=1,"einem Jahr",CONCATENATE(calc_rf!C9," Jahren"))," bei:")</f>
        <v>Gleiche Rate in einem Jahr bei:</v>
      </c>
      <c r="C12" s="268"/>
      <c r="D12" s="268"/>
      <c r="E12" s="399" t="str">
        <f ca="1">calc_rf!C11</f>
        <v>-</v>
      </c>
      <c r="F12" s="270"/>
      <c r="M12" s="5"/>
      <c r="N12" s="5"/>
      <c r="O12" s="5"/>
      <c r="P12" s="5"/>
    </row>
    <row r="13" spans="1:23" s="13" customFormat="1" ht="25.5" customHeight="1">
      <c r="B13" s="268"/>
      <c r="C13" s="268"/>
      <c r="D13" s="270"/>
      <c r="E13" s="270"/>
      <c r="F13" s="278"/>
      <c r="I13" s="298"/>
    </row>
    <row r="14" spans="1:23" ht="52.5" customHeight="1">
      <c r="B14" s="268"/>
      <c r="C14" s="268"/>
      <c r="D14" s="268"/>
      <c r="E14" s="270"/>
      <c r="F14" s="270"/>
      <c r="M14" s="5"/>
      <c r="N14" s="5"/>
      <c r="O14" s="5"/>
      <c r="P14" s="5"/>
    </row>
    <row r="15" spans="1:23" s="13" customFormat="1" ht="25.5" customHeight="1">
      <c r="B15" s="268"/>
      <c r="C15" s="268"/>
      <c r="D15" s="268"/>
      <c r="E15" s="270"/>
      <c r="F15" s="270"/>
    </row>
    <row r="16" spans="1:23" ht="16">
      <c r="B16" s="268"/>
      <c r="C16" s="268"/>
      <c r="D16" s="268"/>
      <c r="E16" s="270"/>
      <c r="F16" s="270"/>
      <c r="M16" s="5"/>
      <c r="N16" s="5"/>
      <c r="O16" s="5"/>
      <c r="P16" s="5"/>
    </row>
    <row r="17" spans="1:23">
      <c r="M17" s="5"/>
      <c r="N17" s="5"/>
      <c r="O17" s="5"/>
      <c r="P17" s="5"/>
    </row>
    <row r="18" spans="1:23">
      <c r="B18" s="441" t="s">
        <v>269</v>
      </c>
      <c r="C18" s="441"/>
      <c r="D18" s="441"/>
      <c r="E18" s="441"/>
      <c r="F18" s="441"/>
      <c r="G18" s="441"/>
      <c r="H18" s="441"/>
      <c r="I18" s="441"/>
      <c r="J18" s="441"/>
      <c r="K18" s="441"/>
      <c r="M18" s="5"/>
      <c r="N18" s="5"/>
      <c r="O18" s="5"/>
      <c r="P18" s="5"/>
    </row>
    <row r="19" spans="1:23">
      <c r="M19" s="5"/>
      <c r="N19" s="5"/>
      <c r="O19" s="5"/>
    </row>
    <row r="20" spans="1:23">
      <c r="M20" s="5"/>
      <c r="N20" s="5"/>
      <c r="O20" s="5"/>
    </row>
    <row r="21" spans="1:23">
      <c r="M21" s="5"/>
      <c r="N21" s="5"/>
      <c r="O21" s="5"/>
    </row>
    <row r="22" spans="1:23">
      <c r="N22" s="5"/>
      <c r="O22" s="5"/>
      <c r="S22" s="6"/>
    </row>
    <row r="23" spans="1:23" s="4" customFormat="1">
      <c r="A23" s="5"/>
      <c r="B23" s="5"/>
      <c r="C23" s="5"/>
      <c r="D23" s="5"/>
      <c r="E23" s="5"/>
      <c r="F23" s="5"/>
      <c r="G23" s="5"/>
      <c r="H23" s="5"/>
      <c r="I23" s="5"/>
      <c r="J23" s="5"/>
      <c r="K23" s="5"/>
      <c r="L23" s="5"/>
      <c r="N23" s="5"/>
      <c r="O23" s="5"/>
      <c r="Q23" s="5"/>
      <c r="R23" s="5"/>
      <c r="S23" s="5"/>
      <c r="T23" s="5"/>
      <c r="U23" s="5"/>
      <c r="V23" s="5"/>
      <c r="W23" s="5"/>
    </row>
    <row r="24" spans="1:23" s="4" customFormat="1">
      <c r="A24" s="5"/>
      <c r="B24" s="5"/>
      <c r="C24" s="5"/>
      <c r="D24" s="5"/>
      <c r="E24" s="5"/>
      <c r="F24" s="5"/>
      <c r="G24" s="5"/>
      <c r="H24" s="5"/>
      <c r="I24" s="5"/>
      <c r="J24" s="5"/>
      <c r="K24" s="5"/>
      <c r="L24" s="5"/>
      <c r="N24" s="5"/>
      <c r="O24" s="5"/>
      <c r="Q24" s="5"/>
      <c r="R24" s="5"/>
      <c r="S24" s="5"/>
      <c r="T24" s="5"/>
      <c r="U24" s="5"/>
      <c r="V24" s="5"/>
      <c r="W24" s="5"/>
    </row>
    <row r="25" spans="1:23" s="4" customFormat="1">
      <c r="A25" s="5"/>
      <c r="B25" s="5"/>
      <c r="C25" s="5"/>
      <c r="D25" s="5"/>
      <c r="E25" s="5"/>
      <c r="F25" s="5"/>
      <c r="G25" s="5"/>
      <c r="H25" s="5"/>
      <c r="I25" s="5"/>
      <c r="J25" s="5"/>
      <c r="K25" s="5"/>
      <c r="L25" s="5"/>
      <c r="N25" s="5"/>
      <c r="O25" s="5"/>
      <c r="Q25" s="5"/>
      <c r="R25" s="5"/>
      <c r="S25" s="5"/>
      <c r="T25" s="5"/>
      <c r="U25" s="5"/>
      <c r="V25" s="5"/>
      <c r="W25" s="5"/>
    </row>
    <row r="26" spans="1:23" s="4" customFormat="1">
      <c r="A26" s="5"/>
      <c r="B26" s="5"/>
      <c r="C26" s="5"/>
      <c r="D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sheetData>
  <sheetProtection algorithmName="SHA-512" hashValue="/rYME0NUD34+cBnq1ZXEtDGsC3tGeGAYr3wElAMNShPhmI5a8T+PiOOlJS8KKuCVbb42q7OH4m/xDn8rzFhhqw==" saltValue="38F++9/xOzI8Xl3xXPGBJA==" spinCount="100000" sheet="1" objects="1" scenarios="1"/>
  <mergeCells count="7">
    <mergeCell ref="N1:O3"/>
    <mergeCell ref="Q1:R3"/>
    <mergeCell ref="T1:U3"/>
    <mergeCell ref="B18:K18"/>
    <mergeCell ref="C1:D3"/>
    <mergeCell ref="H1:I3"/>
    <mergeCell ref="K1:L3"/>
  </mergeCells>
  <dataValidations count="3">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3" xr:uid="{00000000-0002-0000-0A00-000000000000}">
      <formula1>0</formula1>
    </dataValidation>
    <dataValidation operator="greaterThanOrEqual" allowBlank="1" showInputMessage="1" errorTitle="Zinsfestschreibung" error="Bitte gib die Dauer der Festschreibung in Jahren ein. Bspw. 15 für 15 Jahre." promptTitle="Zins für gleiche Rate" prompt="Bei dieserm Zinssatz bleibt deine Rate an die Bank bei der Anschlussfinanzierung gleich hoch." sqref="E12" xr:uid="{00000000-0002-0000-0A00-000001000000}"/>
    <dataValidation type="whole" operator="greaterThanOrEqual" allowBlank="1" showInputMessage="1" showErrorMessage="1" errorTitle="Zinsfestschreibung" error="Bitte gib die Dauer der Festschreibung in ganzen Jahren ein. Bspw. 15 für 15 Jahre." promptTitle="Zinsfestschreibung" prompt="Hier gibst du ein, für wie viele Jahre du im Darlehen die Zinsen festschreiben lassen willst." sqref="E10" xr:uid="{00000000-0002-0000-0A00-000002000000}">
      <formula1>0</formula1>
    </dataValidation>
  </dataValidations>
  <hyperlinks>
    <hyperlink ref="B18" location="Deckblatt!A1" display="Keine Gewähr für die Richtigkeit der Angaben. Dieses Tool ersetzt keine fundierte Rechts-, Steuer- oder Finanzberatung. Mehr Details hier." xr:uid="{00000000-0004-0000-0A00-000000000000}"/>
  </hyperlinks>
  <pageMargins left="0.25" right="0.25" top="0.75" bottom="0.75" header="0.3" footer="0.3"/>
  <pageSetup paperSize="9" scale="73"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pageSetUpPr fitToPage="1"/>
  </sheetPr>
  <dimension ref="A1:W31"/>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93"/>
      <c r="C8" s="268"/>
      <c r="D8" s="268"/>
      <c r="E8" s="270"/>
      <c r="G8" s="295"/>
      <c r="H8" s="295"/>
    </row>
    <row r="9" spans="1:23" ht="67.5" customHeight="1">
      <c r="B9" s="293"/>
      <c r="C9" s="268"/>
      <c r="D9" s="268"/>
      <c r="E9" s="270"/>
      <c r="F9" s="270"/>
      <c r="M9" s="5"/>
      <c r="N9" s="5"/>
      <c r="O9" s="5"/>
      <c r="P9" s="5"/>
    </row>
    <row r="10" spans="1:23" ht="25.5" customHeight="1">
      <c r="B10" s="293"/>
      <c r="C10" s="268"/>
      <c r="D10" s="268"/>
      <c r="E10" s="270"/>
      <c r="F10" s="270"/>
      <c r="M10" s="5"/>
      <c r="N10" s="5"/>
      <c r="O10" s="5"/>
      <c r="P10" s="5"/>
    </row>
    <row r="11" spans="1:23" s="13" customFormat="1" ht="25.5" customHeight="1">
      <c r="B11" s="268"/>
      <c r="C11" s="268"/>
      <c r="D11" s="270"/>
      <c r="E11" s="270"/>
      <c r="F11" s="278"/>
      <c r="I11" s="298"/>
    </row>
    <row r="12" spans="1:23" ht="52.5" customHeight="1">
      <c r="B12" s="268"/>
      <c r="C12" s="268"/>
      <c r="D12" s="268"/>
      <c r="E12" s="270"/>
      <c r="F12" s="270"/>
      <c r="M12" s="5"/>
      <c r="N12" s="5"/>
      <c r="O12" s="5"/>
      <c r="P12" s="5"/>
    </row>
    <row r="13" spans="1:23" ht="16">
      <c r="B13" s="268"/>
      <c r="C13" s="268"/>
      <c r="D13" s="268"/>
      <c r="E13" s="270"/>
      <c r="F13" s="270"/>
      <c r="M13" s="5"/>
      <c r="N13" s="5"/>
      <c r="O13" s="5"/>
      <c r="P13" s="5"/>
    </row>
    <row r="14" spans="1:23" ht="16">
      <c r="B14" s="268"/>
      <c r="C14" s="268"/>
      <c r="D14" s="268"/>
      <c r="E14" s="270"/>
      <c r="F14" s="270"/>
      <c r="M14" s="5"/>
      <c r="N14" s="5"/>
      <c r="O14" s="5"/>
      <c r="P14" s="5"/>
    </row>
    <row r="15" spans="1:23">
      <c r="M15" s="5"/>
      <c r="N15" s="5"/>
      <c r="O15" s="5"/>
      <c r="P15" s="5"/>
    </row>
    <row r="16" spans="1:23">
      <c r="M16" s="5"/>
      <c r="N16" s="5"/>
      <c r="O16" s="5"/>
      <c r="P16" s="5"/>
    </row>
    <row r="17" spans="1:23">
      <c r="M17" s="5"/>
      <c r="N17" s="5"/>
      <c r="O17" s="5"/>
      <c r="P17" s="5"/>
    </row>
    <row r="18" spans="1:23">
      <c r="M18" s="5"/>
      <c r="N18" s="5"/>
      <c r="O18" s="5"/>
      <c r="P18" s="5"/>
    </row>
    <row r="19" spans="1:23">
      <c r="M19" s="5"/>
      <c r="N19" s="5"/>
      <c r="O19" s="5"/>
      <c r="P19" s="5"/>
    </row>
    <row r="20" spans="1:23">
      <c r="M20" s="5"/>
      <c r="N20" s="5"/>
      <c r="O20" s="5"/>
      <c r="P20" s="5"/>
    </row>
    <row r="21" spans="1:23">
      <c r="M21" s="5"/>
      <c r="N21" s="5"/>
      <c r="O21" s="5"/>
      <c r="P21" s="5"/>
    </row>
    <row r="22" spans="1:23">
      <c r="B22" s="441" t="s">
        <v>269</v>
      </c>
      <c r="C22" s="441"/>
      <c r="D22" s="441"/>
      <c r="E22" s="441"/>
      <c r="F22" s="441"/>
      <c r="G22" s="441"/>
      <c r="H22" s="441"/>
      <c r="I22" s="441"/>
      <c r="J22" s="441"/>
      <c r="K22" s="441"/>
      <c r="M22" s="5"/>
      <c r="N22" s="5"/>
      <c r="O22" s="5"/>
      <c r="P22" s="5"/>
    </row>
    <row r="23" spans="1:23">
      <c r="M23" s="5"/>
      <c r="N23" s="5"/>
      <c r="O23" s="5"/>
    </row>
    <row r="24" spans="1:23">
      <c r="M24" s="5"/>
      <c r="N24" s="5"/>
      <c r="O24" s="5"/>
    </row>
    <row r="25" spans="1:23">
      <c r="M25" s="5"/>
      <c r="N25" s="5"/>
      <c r="O25" s="5"/>
    </row>
    <row r="26" spans="1:23">
      <c r="N26" s="5"/>
      <c r="O26" s="5"/>
      <c r="S26" s="6"/>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row r="30" spans="1:23" s="4" customFormat="1">
      <c r="A30" s="5"/>
      <c r="B30" s="5"/>
      <c r="C30" s="5"/>
      <c r="D30" s="5"/>
      <c r="E30" s="5"/>
      <c r="F30" s="5"/>
      <c r="G30" s="5"/>
      <c r="H30" s="5"/>
      <c r="I30" s="5"/>
      <c r="J30" s="5"/>
      <c r="K30" s="5"/>
      <c r="L30" s="5"/>
      <c r="N30" s="5"/>
      <c r="O30" s="5"/>
      <c r="Q30" s="5"/>
      <c r="R30" s="5"/>
      <c r="S30" s="5"/>
      <c r="T30" s="5"/>
      <c r="U30" s="5"/>
      <c r="V30" s="5"/>
      <c r="W30" s="5"/>
    </row>
    <row r="31" spans="1:23" s="4" customFormat="1">
      <c r="A31" s="5"/>
      <c r="B31" s="5"/>
      <c r="C31" s="5"/>
      <c r="D31" s="5"/>
      <c r="E31" s="5"/>
      <c r="F31" s="5"/>
      <c r="G31" s="5"/>
      <c r="H31" s="5"/>
      <c r="I31" s="5"/>
      <c r="J31" s="5"/>
      <c r="K31" s="5"/>
      <c r="L31" s="5"/>
      <c r="N31" s="5"/>
      <c r="O31" s="5"/>
      <c r="Q31" s="5"/>
      <c r="R31" s="5"/>
      <c r="S31" s="5"/>
      <c r="T31" s="5"/>
      <c r="U31" s="5"/>
      <c r="V31" s="5"/>
      <c r="W31" s="5"/>
    </row>
  </sheetData>
  <sheetProtection algorithmName="SHA-512" hashValue="lel0e7VDAOJkEZMXX4wopDrOOQHUoG0rCF48RLOiOMWCsqAB8Jj9x2GCBAfS76R412vOx6W/iyICGAD3IzGR/A==" saltValue="c93liqECyID0YCDX73B6cg==" spinCount="100000" sheet="1" objects="1" scenarios="1"/>
  <mergeCells count="7">
    <mergeCell ref="Q1:R3"/>
    <mergeCell ref="T1:U3"/>
    <mergeCell ref="B22:K22"/>
    <mergeCell ref="C1:D3"/>
    <mergeCell ref="H1:I3"/>
    <mergeCell ref="K1:L3"/>
    <mergeCell ref="N1:O3"/>
  </mergeCells>
  <dataValidations count="1">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1" xr:uid="{00000000-0002-0000-0B00-000000000000}">
      <formula1>0</formula1>
    </dataValidation>
  </dataValidations>
  <hyperlinks>
    <hyperlink ref="B22" location="Deckblatt!A1" display="Keine Gewähr für die Richtigkeit der Angaben. Dieses Tool ersetzt keine fundierte Rechts-, Steuer- oder Finanzberatung. Mehr Details hier." xr:uid="{00000000-0004-0000-0B00-000000000000}"/>
  </hyperlinks>
  <pageMargins left="0.25" right="0.25" top="0.75" bottom="0.75" header="0.3" footer="0.3"/>
  <pageSetup paperSize="9" scale="73"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pageSetUpPr fitToPage="1"/>
  </sheetPr>
  <dimension ref="A1:W29"/>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316</v>
      </c>
      <c r="C8" s="265"/>
      <c r="D8" s="265"/>
      <c r="H8" s="447"/>
      <c r="I8" s="448"/>
    </row>
    <row r="9" spans="1:23" ht="16">
      <c r="B9" s="293"/>
      <c r="C9" s="293"/>
      <c r="D9" s="293"/>
      <c r="E9" s="270"/>
      <c r="F9" s="270"/>
      <c r="M9" s="5"/>
      <c r="N9" s="5"/>
      <c r="O9" s="5"/>
      <c r="P9" s="5"/>
    </row>
    <row r="10" spans="1:23" s="13" customFormat="1" ht="25.5" customHeight="1">
      <c r="B10" s="268"/>
      <c r="C10" s="268"/>
      <c r="D10" s="270"/>
      <c r="E10" s="270"/>
      <c r="F10" s="278"/>
      <c r="I10" s="298"/>
    </row>
    <row r="11" spans="1:23" ht="52.5" customHeight="1">
      <c r="B11" s="268"/>
      <c r="C11" s="268"/>
      <c r="D11" s="268"/>
      <c r="E11" s="270"/>
      <c r="F11" s="270"/>
      <c r="M11" s="5"/>
      <c r="N11" s="5"/>
      <c r="O11" s="5"/>
      <c r="P11" s="5"/>
    </row>
    <row r="12" spans="1:23" s="13" customFormat="1" ht="25.5" customHeight="1">
      <c r="B12" s="268"/>
      <c r="C12" s="268"/>
      <c r="D12" s="268"/>
      <c r="E12" s="270"/>
      <c r="F12" s="270"/>
    </row>
    <row r="13" spans="1:23" ht="16">
      <c r="B13" s="268"/>
      <c r="C13" s="268"/>
      <c r="D13" s="268"/>
      <c r="E13" s="270"/>
      <c r="F13" s="270"/>
      <c r="M13" s="5"/>
      <c r="N13" s="5"/>
      <c r="O13" s="5"/>
      <c r="P13" s="5"/>
      <c r="T13"/>
    </row>
    <row r="14" spans="1:23" ht="36.75" customHeight="1">
      <c r="E14" s="268"/>
      <c r="F14" s="270"/>
      <c r="H14" s="298" t="s">
        <v>315</v>
      </c>
      <c r="K14"/>
      <c r="M14" s="5"/>
      <c r="N14" s="5"/>
      <c r="O14" s="5"/>
      <c r="P14" s="5"/>
      <c r="S14"/>
    </row>
    <row r="15" spans="1:23" s="13" customFormat="1" ht="25.5" customHeight="1">
      <c r="B15" s="5"/>
      <c r="C15" s="268"/>
      <c r="D15" s="268"/>
      <c r="E15" s="268"/>
      <c r="F15" s="270"/>
    </row>
    <row r="16" spans="1:23" ht="17.25" customHeight="1">
      <c r="B16" s="268"/>
      <c r="C16" s="268"/>
      <c r="D16" s="268"/>
      <c r="E16" s="270"/>
      <c r="F16" s="270"/>
      <c r="M16" s="5"/>
      <c r="N16" s="5"/>
      <c r="O16" s="5"/>
      <c r="P16" s="5"/>
    </row>
    <row r="17" spans="1:23" s="13" customFormat="1" ht="16.5" customHeight="1">
      <c r="B17" s="5"/>
      <c r="C17" s="5"/>
      <c r="D17" s="5"/>
      <c r="E17" s="5"/>
      <c r="F17" s="5"/>
    </row>
    <row r="18" spans="1:23" ht="17.25" customHeight="1">
      <c r="B18" s="268"/>
      <c r="C18" s="268"/>
      <c r="D18" s="268"/>
      <c r="E18" s="270"/>
      <c r="F18" s="270"/>
      <c r="M18" s="5"/>
      <c r="N18" s="5"/>
      <c r="O18" s="5"/>
      <c r="P18" s="5"/>
    </row>
    <row r="19" spans="1:23" s="13" customFormat="1" ht="25.5" customHeight="1">
      <c r="B19" s="5"/>
      <c r="C19" s="5"/>
      <c r="D19" s="5"/>
      <c r="E19" s="5"/>
      <c r="F19" s="5"/>
    </row>
    <row r="20" spans="1:23">
      <c r="B20" s="441" t="s">
        <v>269</v>
      </c>
      <c r="C20" s="441"/>
      <c r="D20" s="441"/>
      <c r="E20" s="441"/>
      <c r="F20" s="441"/>
      <c r="G20" s="441"/>
      <c r="H20" s="441"/>
      <c r="I20" s="441"/>
      <c r="J20" s="441"/>
      <c r="K20" s="441"/>
      <c r="M20" s="5"/>
      <c r="N20" s="5"/>
      <c r="O20" s="5"/>
      <c r="P20" s="5"/>
    </row>
    <row r="21" spans="1:23">
      <c r="M21" s="5"/>
      <c r="N21" s="5"/>
      <c r="O21" s="5"/>
    </row>
    <row r="22" spans="1:23">
      <c r="M22" s="5"/>
      <c r="N22" s="5"/>
      <c r="O22" s="5"/>
    </row>
    <row r="23" spans="1:23">
      <c r="M23" s="5"/>
      <c r="N23" s="5"/>
      <c r="O23" s="5"/>
    </row>
    <row r="24" spans="1:23">
      <c r="N24" s="5"/>
      <c r="O24" s="5"/>
      <c r="S24" s="6"/>
    </row>
    <row r="25" spans="1:23" s="4" customFormat="1">
      <c r="A25" s="5"/>
      <c r="B25" s="5"/>
      <c r="C25" s="5"/>
      <c r="D25" s="5"/>
      <c r="E25" s="5"/>
      <c r="F25" s="5"/>
      <c r="G25" s="5"/>
      <c r="H25" s="5"/>
      <c r="I25" s="5"/>
      <c r="J25" s="5"/>
      <c r="K25" s="5"/>
      <c r="L25" s="5"/>
      <c r="N25" s="5"/>
      <c r="O25" s="5"/>
      <c r="Q25" s="5"/>
      <c r="R25" s="5"/>
      <c r="S25" s="5"/>
      <c r="T25" s="5"/>
      <c r="U25" s="5"/>
      <c r="V25" s="5"/>
      <c r="W25" s="5"/>
    </row>
    <row r="26" spans="1:23" s="4" customFormat="1">
      <c r="A26" s="5"/>
      <c r="B26" s="5"/>
      <c r="C26" s="5"/>
      <c r="D26" s="5"/>
      <c r="E26" s="5"/>
      <c r="F26" s="5"/>
      <c r="G26" s="5"/>
      <c r="H26" s="5"/>
      <c r="I26" s="5"/>
      <c r="J26" s="5"/>
      <c r="K26" s="5"/>
      <c r="L26" s="5"/>
      <c r="N26" s="5"/>
      <c r="O26" s="5"/>
      <c r="Q26" s="5"/>
      <c r="R26" s="5"/>
      <c r="S26" s="5"/>
      <c r="T26" s="5"/>
      <c r="U26" s="5"/>
      <c r="V26" s="5"/>
      <c r="W26" s="5"/>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sheetData>
  <sheetProtection algorithmName="SHA-512" hashValue="nhd8lv77/tM5j2XbNRCDZHAdieGxgPq8oDxo80kwGMR6twWlYZFXLjQhlNk9iptRdroCssp9bYfOF5NB/BmFew==" saltValue="7wJ3w6GyICaFYvsN4lF8Jg==" spinCount="100000" sheet="1" objects="1" scenarios="1"/>
  <mergeCells count="8">
    <mergeCell ref="N1:O3"/>
    <mergeCell ref="Q1:R3"/>
    <mergeCell ref="T1:U3"/>
    <mergeCell ref="B20:K20"/>
    <mergeCell ref="H8:I8"/>
    <mergeCell ref="C1:D3"/>
    <mergeCell ref="H1:I3"/>
    <mergeCell ref="K1:L3"/>
  </mergeCells>
  <dataValidations count="2">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0" xr:uid="{00000000-0002-0000-0C00-000000000000}">
      <formula1>0</formula1>
    </dataValidation>
    <dataValidation type="list" operator="greaterThanOrEqual" allowBlank="1" showInputMessage="1" showErrorMessage="1" errorTitle="Grund und Boden" error="Bitte klicke auf den Pfeil nach unten (rechts neben diesem Eingabefeld) und wähle den Gebäudetyp aus, der am ehesten zu deiner Wohnung passt." promptTitle="Grund und Boden" prompt="Bitte wähle aus, wie viel Grund und Boden zu deiner Wohnung gehört. Du kannst dich an den drei Gebäude-Typen unten orientieren. Bitte wähle dann einen Wert aus der Dropdown Liste aus. Klicke dazu auf den kleinen Pfeil (nach unten) rechts des Eingabefelds." sqref="H8:I8" xr:uid="{00000000-0002-0000-0C00-000001000000}">
      <formula1>"Besonders wenig,Ganz normal,Besonders viel"</formula1>
    </dataValidation>
  </dataValidations>
  <hyperlinks>
    <hyperlink ref="B20" location="Deckblatt!A1" display="Keine Gewähr für die Richtigkeit der Angaben. Dieses Tool ersetzt keine fundierte Rechts-, Steuer- oder Finanzberatung. Mehr Details hier." xr:uid="{00000000-0004-0000-0C00-000000000000}"/>
  </hyperlinks>
  <pageMargins left="0.25" right="0.25" top="0.75" bottom="0.75" header="0.3" footer="0.3"/>
  <pageSetup paperSize="9" scale="73"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pageSetUpPr fitToPage="1"/>
  </sheetPr>
  <dimension ref="A1:W32"/>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398</v>
      </c>
      <c r="C8" s="266"/>
      <c r="D8" s="268"/>
      <c r="E8" s="318"/>
      <c r="G8" s="295"/>
      <c r="H8" s="295"/>
    </row>
    <row r="9" spans="1:23" ht="26.25" customHeight="1">
      <c r="B9" s="293"/>
      <c r="C9" s="268"/>
      <c r="D9" s="268"/>
      <c r="E9" s="270"/>
      <c r="F9" s="270"/>
      <c r="M9" s="5"/>
      <c r="N9" s="5"/>
      <c r="O9" s="5"/>
      <c r="P9" s="5"/>
    </row>
    <row r="10" spans="1:23" ht="25.5" customHeight="1">
      <c r="B10" s="265" t="s">
        <v>351</v>
      </c>
      <c r="E10" s="377"/>
      <c r="F10" s="270"/>
      <c r="M10" s="5"/>
      <c r="N10" s="5"/>
      <c r="O10" s="5"/>
      <c r="P10" s="5"/>
    </row>
    <row r="11" spans="1:23" s="13" customFormat="1" ht="25.5" customHeight="1">
      <c r="B11" s="268"/>
      <c r="C11" s="268"/>
      <c r="D11" s="270"/>
      <c r="E11" s="270"/>
      <c r="F11" s="278"/>
      <c r="I11" s="5"/>
    </row>
    <row r="12" spans="1:23" ht="25.5" customHeight="1">
      <c r="B12" s="265" t="s">
        <v>319</v>
      </c>
      <c r="C12" s="266"/>
      <c r="D12" s="268"/>
      <c r="E12" s="400">
        <f>calc_rf!C21</f>
        <v>0</v>
      </c>
      <c r="F12" s="270"/>
      <c r="M12" s="5"/>
      <c r="N12" s="5"/>
      <c r="O12" s="5"/>
      <c r="P12" s="5"/>
    </row>
    <row r="13" spans="1:23" ht="16">
      <c r="B13" s="265"/>
      <c r="C13" s="266"/>
      <c r="D13" s="268"/>
      <c r="E13" s="301"/>
      <c r="F13" s="270"/>
      <c r="M13" s="5"/>
      <c r="N13" s="5"/>
      <c r="O13" s="5"/>
      <c r="P13" s="5"/>
    </row>
    <row r="14" spans="1:23" s="13" customFormat="1" ht="25.5" customHeight="1">
      <c r="B14" s="265" t="s">
        <v>322</v>
      </c>
      <c r="C14" s="266"/>
      <c r="D14" s="268"/>
      <c r="E14" s="399">
        <f>IF(E8=cnfg_rf!B6,2.5%,2%)</f>
        <v>0.02</v>
      </c>
      <c r="F14" s="270"/>
    </row>
    <row r="15" spans="1:23" ht="16">
      <c r="B15" s="268"/>
      <c r="C15" s="268"/>
      <c r="D15" s="268"/>
      <c r="E15" s="270"/>
      <c r="F15" s="270"/>
      <c r="M15" s="5"/>
      <c r="N15" s="5"/>
      <c r="O15" s="5"/>
      <c r="P15" s="5"/>
    </row>
    <row r="16" spans="1:23" ht="25.5" customHeight="1">
      <c r="B16" s="265" t="s">
        <v>337</v>
      </c>
      <c r="C16" s="268"/>
      <c r="D16" s="268"/>
      <c r="E16" s="401">
        <f>'Kennzahlen im Verlauf'!D24</f>
        <v>0</v>
      </c>
      <c r="F16" s="270"/>
      <c r="H16" s="298" t="s">
        <v>315</v>
      </c>
      <c r="K16"/>
      <c r="M16" s="5"/>
      <c r="N16" s="5"/>
      <c r="O16" s="5"/>
      <c r="P16" s="5"/>
    </row>
    <row r="17" spans="1:23" s="13" customFormat="1" ht="25.5" customHeight="1">
      <c r="B17" s="5"/>
      <c r="C17" s="268"/>
      <c r="D17" s="268"/>
      <c r="E17" s="268"/>
      <c r="F17" s="270"/>
    </row>
    <row r="18" spans="1:23" ht="11.25" customHeight="1">
      <c r="B18" s="268"/>
      <c r="C18" s="268"/>
      <c r="D18" s="268"/>
      <c r="E18" s="270"/>
      <c r="F18" s="270"/>
      <c r="M18" s="5"/>
      <c r="N18" s="5"/>
      <c r="O18" s="5"/>
      <c r="P18" s="5"/>
    </row>
    <row r="19" spans="1:23" s="13" customFormat="1" ht="25.5" customHeight="1">
      <c r="B19" s="5"/>
      <c r="C19" s="5"/>
      <c r="D19" s="5"/>
      <c r="E19" s="5"/>
      <c r="F19" s="5"/>
    </row>
    <row r="20" spans="1:23" ht="17.25" customHeight="1">
      <c r="B20" s="268"/>
      <c r="C20" s="268"/>
      <c r="D20" s="268"/>
      <c r="E20" s="270"/>
      <c r="F20" s="270"/>
      <c r="M20" s="5"/>
      <c r="N20" s="5"/>
      <c r="O20" s="5"/>
      <c r="P20" s="5"/>
    </row>
    <row r="21" spans="1:23" s="13" customFormat="1" ht="25.5" customHeight="1">
      <c r="B21" s="5"/>
      <c r="C21" s="5"/>
      <c r="D21" s="5"/>
      <c r="E21" s="5"/>
      <c r="F21" s="5"/>
    </row>
    <row r="22" spans="1:23" ht="17.25" customHeight="1">
      <c r="B22" s="268"/>
      <c r="C22" s="268"/>
      <c r="D22" s="268"/>
      <c r="E22" s="270"/>
      <c r="F22" s="270"/>
      <c r="M22" s="5"/>
      <c r="N22" s="5"/>
      <c r="O22" s="5"/>
      <c r="P22" s="5"/>
    </row>
    <row r="23" spans="1:23">
      <c r="B23" s="441" t="s">
        <v>269</v>
      </c>
      <c r="C23" s="441"/>
      <c r="D23" s="441"/>
      <c r="E23" s="441"/>
      <c r="F23" s="441"/>
      <c r="G23" s="441"/>
      <c r="H23" s="441"/>
      <c r="I23" s="441"/>
      <c r="J23" s="441"/>
      <c r="K23" s="441"/>
      <c r="M23" s="5"/>
      <c r="N23" s="5"/>
      <c r="O23" s="5"/>
      <c r="P23" s="5"/>
    </row>
    <row r="24" spans="1:23">
      <c r="M24" s="5"/>
      <c r="N24" s="5"/>
      <c r="O24" s="5"/>
    </row>
    <row r="25" spans="1:23">
      <c r="M25" s="5"/>
      <c r="N25" s="5"/>
      <c r="O25" s="5"/>
    </row>
    <row r="26" spans="1:23">
      <c r="M26" s="5"/>
      <c r="N26" s="5"/>
      <c r="O26" s="5"/>
    </row>
    <row r="27" spans="1:23">
      <c r="N27" s="5"/>
      <c r="O27" s="5"/>
      <c r="S27" s="6"/>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row r="30" spans="1:23" s="4" customFormat="1">
      <c r="A30" s="5"/>
      <c r="B30" s="5"/>
      <c r="C30" s="5"/>
      <c r="D30" s="5"/>
      <c r="E30" s="5"/>
      <c r="F30" s="5"/>
      <c r="G30" s="5"/>
      <c r="H30" s="5"/>
      <c r="I30" s="5"/>
      <c r="J30" s="5"/>
      <c r="K30" s="5"/>
      <c r="L30" s="5"/>
      <c r="N30" s="5"/>
      <c r="O30" s="5"/>
      <c r="Q30" s="5"/>
      <c r="R30" s="5"/>
      <c r="S30" s="5"/>
      <c r="T30" s="5"/>
      <c r="U30" s="5"/>
      <c r="V30" s="5"/>
      <c r="W30" s="5"/>
    </row>
    <row r="31" spans="1:23" s="4" customFormat="1">
      <c r="A31" s="5"/>
      <c r="B31" s="5"/>
      <c r="C31" s="5"/>
      <c r="D31" s="5"/>
      <c r="E31" s="5"/>
      <c r="F31" s="5"/>
      <c r="G31" s="5"/>
      <c r="H31" s="5"/>
      <c r="I31" s="5"/>
      <c r="J31" s="5"/>
      <c r="K31" s="5"/>
      <c r="L31" s="5"/>
      <c r="N31" s="5"/>
      <c r="O31" s="5"/>
      <c r="Q31" s="5"/>
      <c r="R31" s="5"/>
      <c r="S31" s="5"/>
      <c r="T31" s="5"/>
      <c r="U31" s="5"/>
      <c r="V31" s="5"/>
      <c r="W31" s="5"/>
    </row>
    <row r="32" spans="1:23" s="4" customFormat="1">
      <c r="A32" s="5"/>
      <c r="B32" s="5"/>
      <c r="C32" s="5"/>
      <c r="D32" s="5"/>
      <c r="E32" s="5"/>
      <c r="F32" s="5"/>
      <c r="G32" s="5"/>
      <c r="H32" s="5"/>
      <c r="I32" s="5"/>
      <c r="J32" s="5"/>
      <c r="K32" s="5"/>
      <c r="L32" s="5"/>
      <c r="N32" s="5"/>
      <c r="O32" s="5"/>
      <c r="Q32" s="5"/>
      <c r="R32" s="5"/>
      <c r="S32" s="5"/>
      <c r="T32" s="5"/>
      <c r="U32" s="5"/>
      <c r="V32" s="5"/>
      <c r="W32" s="5"/>
    </row>
  </sheetData>
  <sheetProtection algorithmName="SHA-512" hashValue="arDtP65PfMbtrsihMTUAFr+73a7u3WoaSKEZj74H2rdJruGvbgCUDgZXNY4QosAMWSDHKE4WjHDwLCW7v1/wJQ==" saltValue="D5byGsKmNWt19UvM1o7zyw==" spinCount="100000" sheet="1" objects="1" scenarios="1"/>
  <mergeCells count="7">
    <mergeCell ref="Q1:R3"/>
    <mergeCell ref="T1:U3"/>
    <mergeCell ref="B23:K23"/>
    <mergeCell ref="C1:D3"/>
    <mergeCell ref="H1:I3"/>
    <mergeCell ref="K1:L3"/>
    <mergeCell ref="N1:O3"/>
  </mergeCells>
  <dataValidations count="3">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1" xr:uid="{00000000-0002-0000-0D00-000000000000}">
      <formula1>0</formula1>
    </dataValidation>
    <dataValidation type="list" allowBlank="1" showInputMessage="1" showErrorMessage="1" errorTitle="Garage im Kaufpreis enthalten?" error="Bitte wähle entweder Ja oder Nein aus der Dropdown Liste aus. Klicke hierzu auf den kleinen Pfeil neben dem Eingabefeld." promptTitle="Garage im Kaufpreis enthalten?" prompt="Ist im Kaufpreis eine Garage oder ein Tiefgaragenstellplatz enthalten? Dies hat einen Einfluss auf die Steuer-Kalkulation." sqref="E10" xr:uid="{00000000-0002-0000-0D00-000001000000}">
      <formula1>"Ja,Nein"</formula1>
    </dataValidation>
    <dataValidation type="list" allowBlank="1" showInputMessage="1" showErrorMessage="1" errorTitle="Baujahr des Hauses" error="Bitte wähle einen Wert aus der Dropdown Liste aus. Klicke hierzu auf den kleinen Pfeil neben dem Eingabefeld." promptTitle="Baujahr des Hauses" prompt="Wann wurde das Haus, in dem die Wohnung liegt, ca. gebaut?" sqref="E8" xr:uid="{00000000-0002-0000-0D00-000002000000}">
      <formula1>"vor 1925,1925-1950,1951-1960,1961-1970,1971-1980,1981-1990,1991-2000,2001-2010,ab 2010"</formula1>
    </dataValidation>
  </dataValidations>
  <hyperlinks>
    <hyperlink ref="B23" location="Deckblatt!A1" display="Keine Gewähr für die Richtigkeit der Angaben. Dieses Tool ersetzt keine fundierte Rechts-, Steuer- oder Finanzberatung. Mehr Details hier." xr:uid="{00000000-0004-0000-0D00-000000000000}"/>
  </hyperlinks>
  <pageMargins left="0.25" right="0.25" top="0.75" bottom="0.75" header="0.3" footer="0.3"/>
  <pageSetup paperSize="9" scale="73"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pageSetUpPr fitToPage="1"/>
  </sheetPr>
  <dimension ref="A1:W31"/>
  <sheetViews>
    <sheetView showGridLines="0" showRowColHeaders="0" zoomScaleNormal="100" workbookViewId="0">
      <pane ySplit="6" topLeftCell="A7" activePane="bottomLeft" state="frozen"/>
      <selection activeCell="D31" sqref="D31"/>
      <selection pane="bottomLeft" activeCell="E10" sqref="E10"/>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12" width="11.26953125" style="5" customWidth="1"/>
    <col min="13" max="16" width="11.26953125" style="4" customWidth="1"/>
    <col min="17" max="21" width="11.26953125" style="5" customWidth="1"/>
    <col min="22" max="22" width="27.453125" style="5" customWidth="1"/>
    <col min="23" max="24" width="11.26953125" style="5" customWidth="1"/>
    <col min="25" max="16384" width="9.1796875" style="5"/>
  </cols>
  <sheetData>
    <row r="1" spans="1:23" s="113" customFormat="1" ht="12.75" customHeight="1">
      <c r="A1" s="109"/>
      <c r="C1" s="442" t="s">
        <v>278</v>
      </c>
      <c r="D1" s="442"/>
      <c r="H1" s="425"/>
      <c r="I1" s="425"/>
      <c r="J1" s="111"/>
      <c r="K1" s="443"/>
      <c r="L1" s="443"/>
      <c r="M1" s="112"/>
      <c r="N1" s="425"/>
      <c r="O1" s="425"/>
      <c r="P1" s="112"/>
      <c r="Q1" s="437"/>
      <c r="R1" s="437"/>
      <c r="T1" s="425"/>
      <c r="U1" s="425"/>
    </row>
    <row r="2" spans="1:23" s="113" customFormat="1" ht="15" customHeight="1">
      <c r="A2" s="109"/>
      <c r="C2" s="442"/>
      <c r="D2" s="442"/>
      <c r="H2" s="425"/>
      <c r="I2" s="425"/>
      <c r="J2" s="111"/>
      <c r="K2" s="443"/>
      <c r="L2" s="443"/>
      <c r="M2" s="112"/>
      <c r="N2" s="425"/>
      <c r="O2" s="425"/>
      <c r="P2" s="112"/>
      <c r="Q2" s="437"/>
      <c r="R2" s="437"/>
      <c r="T2" s="425"/>
      <c r="U2" s="425"/>
    </row>
    <row r="3" spans="1:23" s="113" customFormat="1" ht="12.75" customHeight="1">
      <c r="A3" s="109"/>
      <c r="C3" s="442"/>
      <c r="D3" s="442"/>
      <c r="H3" s="425"/>
      <c r="I3" s="425"/>
      <c r="J3" s="111"/>
      <c r="K3" s="443"/>
      <c r="L3" s="443"/>
      <c r="M3" s="112"/>
      <c r="N3" s="425"/>
      <c r="O3" s="425"/>
      <c r="P3" s="112"/>
      <c r="Q3" s="437"/>
      <c r="R3" s="437"/>
      <c r="T3" s="425"/>
      <c r="U3" s="425"/>
    </row>
    <row r="4" spans="1:23" s="271" customFormat="1" ht="18.75" customHeight="1">
      <c r="W4" s="279"/>
    </row>
    <row r="5" spans="1:23" s="271" customFormat="1" ht="18.75" customHeight="1">
      <c r="H5" s="272"/>
      <c r="S5" s="273"/>
      <c r="U5" s="272"/>
    </row>
    <row r="6" spans="1:23" s="274" customFormat="1" ht="30" customHeight="1"/>
    <row r="7" spans="1:23" ht="21.75" customHeight="1"/>
    <row r="8" spans="1:23" s="13" customFormat="1" ht="25.5" customHeight="1">
      <c r="B8" s="265" t="s">
        <v>345</v>
      </c>
      <c r="C8" s="5"/>
      <c r="D8" s="449"/>
      <c r="E8" s="450"/>
      <c r="G8" s="295"/>
      <c r="H8" s="295"/>
    </row>
    <row r="9" spans="1:23" ht="16">
      <c r="B9" s="293"/>
      <c r="C9" s="268"/>
      <c r="D9" s="268"/>
      <c r="E9" s="270"/>
      <c r="F9" s="270"/>
      <c r="M9" s="5"/>
      <c r="N9" s="5"/>
      <c r="O9" s="5"/>
      <c r="P9" s="5"/>
      <c r="T9" s="312"/>
    </row>
    <row r="10" spans="1:23" ht="25.5" customHeight="1">
      <c r="B10" s="265" t="s">
        <v>344</v>
      </c>
      <c r="E10" s="317"/>
      <c r="F10" s="270"/>
      <c r="M10" s="5"/>
      <c r="N10" s="5"/>
      <c r="O10" s="5"/>
      <c r="P10" s="5"/>
    </row>
    <row r="11" spans="1:23" s="13" customFormat="1" ht="16">
      <c r="B11" s="268"/>
      <c r="C11" s="268"/>
      <c r="D11" s="270"/>
      <c r="E11" s="270"/>
      <c r="F11" s="278"/>
      <c r="I11" s="5"/>
    </row>
    <row r="12" spans="1:23" ht="25.5" customHeight="1">
      <c r="B12" s="265" t="s">
        <v>346</v>
      </c>
      <c r="C12" s="266"/>
      <c r="D12" s="268"/>
      <c r="E12" s="318"/>
      <c r="F12" s="270"/>
      <c r="M12" s="5"/>
      <c r="N12" s="5"/>
      <c r="O12" s="5"/>
      <c r="P12" s="5"/>
    </row>
    <row r="13" spans="1:23" ht="16">
      <c r="B13" s="265"/>
      <c r="C13" s="266"/>
      <c r="D13" s="268"/>
      <c r="E13" s="301"/>
      <c r="F13" s="270"/>
      <c r="M13" s="5"/>
      <c r="N13" s="5"/>
      <c r="O13" s="5"/>
      <c r="P13" s="5"/>
    </row>
    <row r="14" spans="1:23" s="13" customFormat="1" ht="25.5" customHeight="1">
      <c r="B14" s="265" t="s">
        <v>347</v>
      </c>
      <c r="C14" s="266"/>
      <c r="D14" s="268"/>
      <c r="E14" s="402">
        <f>ekst_rf!C39</f>
        <v>0</v>
      </c>
      <c r="F14" s="270"/>
      <c r="I14" s="298" t="str">
        <f>CONCATENATE("Auf deine Mieteinnahmen zahlst du rechnerisch pro Monat circa ",ROUND(Cockpit!Q34,0)," € Steuern. ")</f>
        <v xml:space="preserve">Auf deine Mieteinnahmen zahlst du rechnerisch pro Monat circa 0 € Steuern. </v>
      </c>
    </row>
    <row r="15" spans="1:23" ht="16">
      <c r="B15" s="268"/>
      <c r="C15" s="268"/>
      <c r="D15" s="268"/>
      <c r="E15" s="270"/>
      <c r="F15" s="270"/>
      <c r="M15" s="5"/>
      <c r="N15" s="5"/>
      <c r="O15" s="5"/>
      <c r="P15" s="5"/>
    </row>
    <row r="16" spans="1:23" ht="25.5" customHeight="1">
      <c r="B16" s="265" t="s">
        <v>343</v>
      </c>
      <c r="C16" s="266"/>
      <c r="D16" s="268"/>
      <c r="E16" s="397">
        <f>Cockpit!Q34</f>
        <v>0</v>
      </c>
      <c r="F16" s="270"/>
      <c r="H16" s="298" t="s">
        <v>315</v>
      </c>
      <c r="I16" s="298" t="str">
        <f>CONCATENATE("Die Steuern ergeben sich, indem du von deinen Mieteinnahmen (",ROUND(Cockpit!H9,0)," €) die nicht umlagefähigen Bewirtschaftungskosten ohne Rücklagen (",ROUND(Cockpit!K29-Cockpit!K26-Cockpit!K27,0)," €), die Zinsen (",ROUND(Cockpit!Q30*-1,0)," €) und die Abschreibung (",ROUND(Cockpit!Q31*-1,0)," €) abziehst.")</f>
        <v>Die Steuern ergeben sich, indem du von deinen Mieteinnahmen (0 €) die nicht umlagefähigen Bewirtschaftungskosten ohne Rücklagen (0 €), die Zinsen (0 €) und die Abschreibung (0 €) abziehst.</v>
      </c>
      <c r="K16"/>
      <c r="M16" s="5"/>
      <c r="N16" s="5"/>
      <c r="O16" s="5"/>
      <c r="P16" s="5"/>
    </row>
    <row r="17" spans="1:23" s="13" customFormat="1" ht="25.5" customHeight="1">
      <c r="B17" s="5"/>
      <c r="C17" s="268"/>
      <c r="D17" s="268"/>
      <c r="E17" s="268"/>
      <c r="F17" s="270"/>
      <c r="I17" s="298" t="str">
        <f>CONCATENATE("Was übrig bleibt (",ROUND(Cockpit!Q32,0)," €), multiplizierst du mit deinem Grenzsteuersatz: ",ROUND(Cockpit!Q32,0)," € * ",ROUND(Cockpit!Q33*100,0),"% = ",ROUND(Cockpit!Q34,0)," € Steuern.")</f>
        <v>Was übrig bleibt (0 €), multiplizierst du mit deinem Grenzsteuersatz: 0 € * 0% = 0 € Steuern.</v>
      </c>
    </row>
    <row r="18" spans="1:23" ht="11.25" customHeight="1">
      <c r="B18" s="268"/>
      <c r="C18" s="268"/>
      <c r="D18" s="268"/>
      <c r="E18" s="270"/>
      <c r="F18" s="270"/>
      <c r="M18" s="5"/>
      <c r="N18" s="5"/>
      <c r="O18" s="5"/>
      <c r="P18" s="5"/>
    </row>
    <row r="19" spans="1:23" s="13" customFormat="1" ht="25.5" customHeight="1">
      <c r="B19" s="5"/>
      <c r="C19" s="5"/>
      <c r="D19" s="5"/>
      <c r="E19" s="5"/>
      <c r="F19" s="5"/>
    </row>
    <row r="20" spans="1:23" ht="17.25" customHeight="1">
      <c r="B20" s="268"/>
      <c r="C20" s="268"/>
      <c r="D20" s="268"/>
      <c r="E20" s="270"/>
      <c r="F20" s="270"/>
      <c r="M20" s="5"/>
      <c r="N20" s="5"/>
      <c r="O20" s="5"/>
      <c r="P20" s="5"/>
    </row>
    <row r="21" spans="1:23" s="13" customFormat="1" ht="25.5" customHeight="1">
      <c r="B21" s="5"/>
      <c r="C21" s="5"/>
      <c r="D21" s="5"/>
      <c r="E21" s="5"/>
      <c r="F21" s="5"/>
    </row>
    <row r="22" spans="1:23">
      <c r="B22" s="441" t="s">
        <v>269</v>
      </c>
      <c r="C22" s="441"/>
      <c r="D22" s="441"/>
      <c r="E22" s="441"/>
      <c r="F22" s="441"/>
      <c r="G22" s="441"/>
      <c r="H22" s="441"/>
      <c r="I22" s="441"/>
      <c r="J22" s="441"/>
      <c r="K22" s="441"/>
      <c r="M22" s="5"/>
      <c r="N22" s="5"/>
      <c r="O22" s="5"/>
      <c r="P22" s="5"/>
    </row>
    <row r="23" spans="1:23">
      <c r="M23" s="5"/>
      <c r="N23" s="5"/>
      <c r="O23" s="5"/>
    </row>
    <row r="24" spans="1:23">
      <c r="M24" s="5"/>
      <c r="N24" s="5"/>
      <c r="O24" s="5"/>
    </row>
    <row r="25" spans="1:23">
      <c r="M25" s="5"/>
      <c r="N25" s="5"/>
      <c r="O25" s="5"/>
    </row>
    <row r="26" spans="1:23">
      <c r="N26" s="5"/>
      <c r="O26" s="5"/>
      <c r="S26" s="6"/>
    </row>
    <row r="27" spans="1:23" s="4" customFormat="1">
      <c r="A27" s="5"/>
      <c r="B27" s="5"/>
      <c r="C27" s="5"/>
      <c r="D27" s="5"/>
      <c r="E27" s="5"/>
      <c r="F27" s="5"/>
      <c r="G27" s="5"/>
      <c r="H27" s="5"/>
      <c r="I27" s="5"/>
      <c r="J27" s="5"/>
      <c r="K27" s="5"/>
      <c r="L27" s="5"/>
      <c r="N27" s="5"/>
      <c r="O27" s="5"/>
      <c r="Q27" s="5"/>
      <c r="R27" s="5"/>
      <c r="S27" s="5"/>
      <c r="T27" s="5"/>
      <c r="U27" s="5"/>
      <c r="V27" s="5"/>
      <c r="W27" s="5"/>
    </row>
    <row r="28" spans="1:23" s="4" customFormat="1">
      <c r="A28" s="5"/>
      <c r="B28" s="5"/>
      <c r="C28" s="5"/>
      <c r="D28" s="5"/>
      <c r="E28" s="5"/>
      <c r="F28" s="5"/>
      <c r="G28" s="5"/>
      <c r="H28" s="5"/>
      <c r="I28" s="5"/>
      <c r="J28" s="5"/>
      <c r="K28" s="5"/>
      <c r="L28" s="5"/>
      <c r="N28" s="5"/>
      <c r="O28" s="5"/>
      <c r="Q28" s="5"/>
      <c r="R28" s="5"/>
      <c r="S28" s="5"/>
      <c r="T28" s="5"/>
      <c r="U28" s="5"/>
      <c r="V28" s="5"/>
      <c r="W28" s="5"/>
    </row>
    <row r="29" spans="1:23" s="4" customFormat="1">
      <c r="A29" s="5"/>
      <c r="B29" s="5"/>
      <c r="C29" s="5"/>
      <c r="D29" s="5"/>
      <c r="E29" s="5"/>
      <c r="F29" s="5"/>
      <c r="G29" s="5"/>
      <c r="H29" s="5"/>
      <c r="I29" s="5"/>
      <c r="J29" s="5"/>
      <c r="K29" s="5"/>
      <c r="L29" s="5"/>
      <c r="N29" s="5"/>
      <c r="O29" s="5"/>
      <c r="Q29" s="5"/>
      <c r="R29" s="5"/>
      <c r="S29" s="5"/>
      <c r="T29" s="5"/>
      <c r="U29" s="5"/>
      <c r="V29" s="5"/>
      <c r="W29" s="5"/>
    </row>
    <row r="30" spans="1:23" s="4" customFormat="1">
      <c r="A30" s="5"/>
      <c r="B30" s="5"/>
      <c r="C30" s="5"/>
      <c r="D30" s="5"/>
      <c r="E30" s="5"/>
      <c r="F30" s="5"/>
      <c r="G30" s="5"/>
      <c r="H30" s="5"/>
      <c r="I30" s="5"/>
      <c r="J30" s="5"/>
      <c r="K30" s="5"/>
      <c r="L30" s="5"/>
      <c r="N30" s="5"/>
      <c r="O30" s="5"/>
      <c r="Q30" s="5"/>
      <c r="R30" s="5"/>
      <c r="S30" s="5"/>
      <c r="T30" s="5"/>
      <c r="U30" s="5"/>
      <c r="V30" s="5"/>
      <c r="W30" s="5"/>
    </row>
    <row r="31" spans="1:23" s="4" customFormat="1">
      <c r="A31" s="5"/>
      <c r="B31" s="5"/>
      <c r="C31" s="5"/>
      <c r="D31" s="5"/>
      <c r="E31" s="5"/>
      <c r="F31" s="5"/>
      <c r="G31" s="5"/>
      <c r="H31" s="5"/>
      <c r="I31" s="5"/>
      <c r="J31" s="5"/>
      <c r="K31" s="5"/>
      <c r="L31" s="5"/>
      <c r="N31" s="5"/>
      <c r="O31" s="5"/>
      <c r="Q31" s="5"/>
      <c r="R31" s="5"/>
      <c r="S31" s="5"/>
      <c r="T31" s="5"/>
      <c r="U31" s="5"/>
      <c r="V31" s="5"/>
      <c r="W31" s="5"/>
    </row>
  </sheetData>
  <sheetProtection algorithmName="SHA-512" hashValue="Qefylu1c07n98z7mxazU6I3CmrHk3OAj0g6t8cfnXkWfK9AtpCPnOhAHeyal2V6iipISagC0AX8taC8vMICijQ==" saltValue="AT4Y4EPXA0KlpGbq4P6hLw==" spinCount="100000" sheet="1" objects="1" scenarios="1"/>
  <mergeCells count="8">
    <mergeCell ref="N1:O3"/>
    <mergeCell ref="Q1:R3"/>
    <mergeCell ref="T1:U3"/>
    <mergeCell ref="B22:K22"/>
    <mergeCell ref="D8:E8"/>
    <mergeCell ref="C1:D3"/>
    <mergeCell ref="H1:I3"/>
    <mergeCell ref="K1:L3"/>
  </mergeCells>
  <dataValidations count="4">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11" xr:uid="{00000000-0002-0000-0E00-000000000000}">
      <formula1>0</formula1>
    </dataValidation>
    <dataValidation type="list" allowBlank="1" showInputMessage="1" showErrorMessage="1" errorTitle="Kirchensteuer" error="Bitte wähle entweder Ja oder Nein aus der Dropdown Liste aus. Klicke hierzu auf den kleinen Pfeil neben dem Eingabefeld." promptTitle="Kirchensteuer" prompt="Soll bei der Ermittlung die Kirchensteuer berücksichtigt werden?" sqref="E12" xr:uid="{00000000-0002-0000-0E00-000001000000}">
      <formula1>"Ja,Nein"</formula1>
    </dataValidation>
    <dataValidation type="decimal" operator="greaterThanOrEqual" allowBlank="1" showInputMessage="1" showErrorMessage="1" errorTitle="Zu versteuerndes Einkommen" error="Bitte gib das zu versteuernde Einkommen in Euro als positive Zahl ein. Bspw. 40000 für 40.000 Euro." promptTitle="Zu versteuerndes Jahreseinkommen" prompt="Für welches Brutto-Einkommen soll der Grenzsteuersatz berechnet werden? Bei gemeinsamer Veranlagung ist dies das gemeinsame Einkommen. Bitte gib das Jahreseinkommen - und nicht das Monatseinkommen - ein." sqref="E10" xr:uid="{00000000-0002-0000-0E00-000002000000}">
      <formula1>0</formula1>
    </dataValidation>
    <dataValidation type="list" allowBlank="1" showInputMessage="1" showErrorMessage="1" errorTitle="Steuerliche Veranlagung" error="Bitte wähle eine der beiden Optionen aus der Dropdown Liste aus. Klicke hierzu auf den kleinen Pfeil neben dem Eingabefeld." promptTitle="Steuerliche Veranlagung" prompt="Bitte wähle aus, ob du steuerlich alleine oder gemeinsam deiner/m Ehepartner/-in (&quot;Ehegatten-Splitting&quot;) veranlagt wirst." sqref="D8:E8" xr:uid="{00000000-0002-0000-0E00-000003000000}">
      <formula1>"Einzeln,Gemeinsam (verheiratet)"</formula1>
    </dataValidation>
  </dataValidations>
  <hyperlinks>
    <hyperlink ref="B22" location="Deckblatt!A1" display="Keine Gewähr für die Richtigkeit der Angaben. Dieses Tool ersetzt keine fundierte Rechts-, Steuer- oder Finanzberatung. Mehr Details hier." xr:uid="{00000000-0004-0000-0E00-000000000000}"/>
  </hyperlinks>
  <pageMargins left="0.25" right="0.25" top="0.75" bottom="0.75" header="0.3" footer="0.3"/>
  <pageSetup paperSize="9" scale="73" orientation="landscape"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pageSetUpPr fitToPage="1"/>
  </sheetPr>
  <dimension ref="A1:X42"/>
  <sheetViews>
    <sheetView showGridLines="0" showRowColHeaders="0" zoomScaleNormal="100" workbookViewId="0">
      <pane ySplit="6" topLeftCell="A7" activePane="bottomLeft" state="frozen"/>
      <selection activeCell="D31" sqref="D31"/>
      <selection pane="bottomLeft" activeCell="U16" sqref="U16"/>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8" width="11.26953125" style="5" customWidth="1"/>
    <col min="9" max="9" width="2.81640625" style="5" customWidth="1"/>
    <col min="10" max="13" width="11.26953125" style="5" customWidth="1"/>
    <col min="14" max="17" width="11.26953125" style="4" customWidth="1"/>
    <col min="18" max="22" width="11.26953125" style="5" customWidth="1"/>
    <col min="23" max="23" width="27.453125" style="5" customWidth="1"/>
    <col min="24" max="25" width="11.26953125" style="5" customWidth="1"/>
    <col min="26" max="16384" width="9.1796875" style="5"/>
  </cols>
  <sheetData>
    <row r="1" spans="1:24" s="113" customFormat="1" ht="12.75" customHeight="1">
      <c r="A1" s="109"/>
      <c r="C1" s="442" t="s">
        <v>278</v>
      </c>
      <c r="D1" s="442"/>
      <c r="H1" s="425"/>
      <c r="I1" s="425"/>
      <c r="J1" s="425"/>
      <c r="K1" s="111"/>
      <c r="L1" s="443"/>
      <c r="M1" s="443"/>
      <c r="N1" s="112"/>
      <c r="O1" s="425"/>
      <c r="P1" s="425"/>
      <c r="Q1" s="112"/>
      <c r="R1" s="437"/>
      <c r="S1" s="437"/>
      <c r="U1" s="425"/>
      <c r="V1" s="425"/>
    </row>
    <row r="2" spans="1:24" s="113" customFormat="1" ht="15" customHeight="1">
      <c r="A2" s="109"/>
      <c r="C2" s="442"/>
      <c r="D2" s="442"/>
      <c r="H2" s="425"/>
      <c r="I2" s="425"/>
      <c r="J2" s="425"/>
      <c r="K2" s="111"/>
      <c r="L2" s="443"/>
      <c r="M2" s="443"/>
      <c r="N2" s="112"/>
      <c r="O2" s="425"/>
      <c r="P2" s="425"/>
      <c r="Q2" s="112"/>
      <c r="R2" s="437"/>
      <c r="S2" s="437"/>
      <c r="U2" s="425"/>
      <c r="V2" s="425"/>
    </row>
    <row r="3" spans="1:24" s="113" customFormat="1" ht="12.75" customHeight="1">
      <c r="A3" s="109"/>
      <c r="C3" s="442"/>
      <c r="D3" s="442"/>
      <c r="H3" s="425"/>
      <c r="I3" s="425"/>
      <c r="J3" s="425"/>
      <c r="K3" s="111"/>
      <c r="L3" s="443"/>
      <c r="M3" s="443"/>
      <c r="N3" s="112"/>
      <c r="O3" s="425"/>
      <c r="P3" s="425"/>
      <c r="Q3" s="112"/>
      <c r="R3" s="437"/>
      <c r="S3" s="437"/>
      <c r="U3" s="425"/>
      <c r="V3" s="425"/>
    </row>
    <row r="4" spans="1:24" s="271" customFormat="1" ht="18.75" customHeight="1">
      <c r="X4" s="279"/>
    </row>
    <row r="5" spans="1:24" s="271" customFormat="1" ht="18.75" customHeight="1">
      <c r="H5" s="272"/>
      <c r="I5" s="272"/>
      <c r="T5" s="273"/>
      <c r="V5" s="272"/>
    </row>
    <row r="6" spans="1:24" s="274" customFormat="1" ht="30" customHeight="1"/>
    <row r="7" spans="1:24" ht="21.75" customHeight="1"/>
    <row r="8" spans="1:24" ht="21.75" customHeight="1"/>
    <row r="9" spans="1:24" ht="21.75" customHeight="1"/>
    <row r="10" spans="1:24" ht="21.75" customHeight="1"/>
    <row r="11" spans="1:24" ht="21.75" customHeight="1"/>
    <row r="12" spans="1:24" ht="21.75" customHeight="1"/>
    <row r="13" spans="1:24" ht="21.75" customHeight="1"/>
    <row r="14" spans="1:24" ht="21.75" customHeight="1"/>
    <row r="15" spans="1:24" ht="21.75" customHeight="1"/>
    <row r="16" spans="1:24" ht="21.75" customHeight="1"/>
    <row r="17" spans="2:17" ht="21.75" customHeight="1"/>
    <row r="18" spans="2:17" ht="21.75" customHeight="1"/>
    <row r="19" spans="2:17" ht="21.75" customHeight="1"/>
    <row r="20" spans="2:17" ht="52.5" customHeight="1">
      <c r="B20" s="293"/>
      <c r="C20" s="268"/>
      <c r="D20" s="268"/>
      <c r="E20" s="270"/>
      <c r="F20" s="270"/>
      <c r="N20" s="5"/>
      <c r="O20" s="5"/>
      <c r="P20" s="5"/>
      <c r="Q20" s="5"/>
    </row>
    <row r="21" spans="2:17" ht="15" customHeight="1">
      <c r="B21" s="268"/>
      <c r="C21" s="268"/>
      <c r="D21" s="268"/>
      <c r="E21" s="270"/>
      <c r="F21" s="270"/>
      <c r="N21" s="5"/>
      <c r="O21" s="5"/>
      <c r="P21" s="5"/>
      <c r="Q21" s="5"/>
    </row>
    <row r="22" spans="2:17" s="13" customFormat="1" ht="25.5" customHeight="1">
      <c r="B22" s="268"/>
      <c r="C22" s="268"/>
      <c r="D22" s="270"/>
      <c r="E22" s="270"/>
      <c r="F22" s="278"/>
    </row>
    <row r="23" spans="2:17" ht="52.5" customHeight="1">
      <c r="B23" s="268"/>
      <c r="C23" s="268"/>
      <c r="D23" s="268"/>
      <c r="E23" s="270"/>
      <c r="F23" s="270"/>
      <c r="N23" s="5"/>
      <c r="O23" s="5"/>
      <c r="P23" s="5"/>
      <c r="Q23" s="5"/>
    </row>
    <row r="24" spans="2:17" s="13" customFormat="1" ht="25.5" customHeight="1">
      <c r="B24" s="268"/>
      <c r="C24" s="268"/>
      <c r="D24" s="268"/>
      <c r="E24" s="270"/>
      <c r="F24" s="270"/>
    </row>
    <row r="25" spans="2:17" ht="16">
      <c r="B25" s="268"/>
      <c r="C25" s="268"/>
      <c r="D25" s="268"/>
      <c r="E25" s="270"/>
      <c r="F25" s="270"/>
      <c r="N25" s="5"/>
      <c r="O25" s="5"/>
      <c r="P25" s="5"/>
      <c r="Q25" s="5"/>
    </row>
    <row r="26" spans="2:17" ht="36.75" customHeight="1">
      <c r="L26"/>
      <c r="N26" s="5"/>
      <c r="O26" s="5"/>
      <c r="P26" s="5"/>
      <c r="Q26" s="5"/>
    </row>
    <row r="27" spans="2:17" s="13" customFormat="1" ht="25.5" customHeight="1">
      <c r="B27" s="5"/>
      <c r="C27" s="268"/>
      <c r="D27" s="268"/>
      <c r="E27" s="268"/>
      <c r="F27" s="270"/>
    </row>
    <row r="28" spans="2:17" s="13" customFormat="1" ht="25.5" customHeight="1">
      <c r="B28" s="5"/>
      <c r="C28" s="268"/>
      <c r="D28" s="268"/>
      <c r="E28" s="268"/>
      <c r="F28" s="270"/>
    </row>
    <row r="29" spans="2:17" s="13" customFormat="1" ht="25.5" customHeight="1">
      <c r="B29" s="5"/>
      <c r="C29" s="268"/>
      <c r="D29" s="268"/>
      <c r="E29" s="268"/>
      <c r="F29" s="270"/>
    </row>
    <row r="30" spans="2:17" s="13" customFormat="1" ht="25.5" customHeight="1">
      <c r="B30" s="5"/>
      <c r="C30" s="268"/>
      <c r="D30" s="268"/>
      <c r="E30" s="268"/>
      <c r="F30" s="270"/>
    </row>
    <row r="31" spans="2:17" s="13" customFormat="1" ht="25.5" customHeight="1">
      <c r="B31" s="5"/>
      <c r="C31" s="268"/>
      <c r="D31" s="268"/>
      <c r="E31" s="268"/>
      <c r="F31" s="270"/>
    </row>
    <row r="32" spans="2:17">
      <c r="N32" s="5"/>
      <c r="O32" s="5"/>
      <c r="P32" s="5"/>
      <c r="Q32" s="5"/>
    </row>
    <row r="33" spans="1:24">
      <c r="B33" s="441" t="s">
        <v>269</v>
      </c>
      <c r="C33" s="441"/>
      <c r="D33" s="441"/>
      <c r="E33" s="441"/>
      <c r="F33" s="441"/>
      <c r="G33" s="441"/>
      <c r="H33" s="441"/>
      <c r="I33" s="441"/>
      <c r="J33" s="441"/>
      <c r="K33" s="441"/>
      <c r="L33" s="441"/>
      <c r="N33" s="5"/>
      <c r="O33" s="5"/>
      <c r="P33" s="5"/>
      <c r="Q33" s="5"/>
    </row>
    <row r="34" spans="1:24">
      <c r="N34" s="5"/>
      <c r="O34" s="5"/>
      <c r="P34" s="5"/>
    </row>
    <row r="35" spans="1:24">
      <c r="N35" s="5"/>
      <c r="O35" s="5"/>
      <c r="P35" s="5"/>
    </row>
    <row r="36" spans="1:24">
      <c r="N36" s="5"/>
      <c r="O36" s="5"/>
      <c r="P36" s="5"/>
    </row>
    <row r="37" spans="1:24">
      <c r="O37" s="5"/>
      <c r="P37" s="5"/>
      <c r="T37" s="6"/>
    </row>
    <row r="38" spans="1:24" s="4" customFormat="1">
      <c r="A38" s="5"/>
      <c r="B38" s="5"/>
      <c r="C38" s="5"/>
      <c r="D38" s="5"/>
      <c r="E38" s="5"/>
      <c r="F38" s="5"/>
      <c r="G38" s="5"/>
      <c r="H38" s="5"/>
      <c r="I38" s="5"/>
      <c r="J38" s="5"/>
      <c r="K38" s="5"/>
      <c r="L38" s="5"/>
      <c r="M38" s="5"/>
      <c r="O38" s="5"/>
      <c r="P38" s="5"/>
      <c r="R38" s="5"/>
      <c r="S38" s="5"/>
      <c r="T38" s="5"/>
      <c r="U38" s="5"/>
      <c r="V38" s="5"/>
      <c r="W38" s="5"/>
      <c r="X38" s="5"/>
    </row>
    <row r="39" spans="1:24" s="4" customFormat="1">
      <c r="A39" s="5"/>
      <c r="B39" s="5"/>
      <c r="C39" s="5"/>
      <c r="D39" s="5"/>
      <c r="E39" s="5"/>
      <c r="F39" s="5"/>
      <c r="G39" s="5"/>
      <c r="H39" s="5"/>
      <c r="I39" s="5"/>
      <c r="J39" s="5"/>
      <c r="K39" s="5"/>
      <c r="L39" s="5"/>
      <c r="M39" s="5"/>
      <c r="O39" s="5"/>
      <c r="P39" s="5"/>
      <c r="R39" s="5"/>
      <c r="S39" s="5"/>
      <c r="T39" s="5"/>
      <c r="U39" s="5"/>
      <c r="V39" s="5"/>
      <c r="W39" s="5"/>
      <c r="X39" s="5"/>
    </row>
    <row r="40" spans="1:24" s="4" customFormat="1">
      <c r="A40" s="5"/>
      <c r="B40" s="5"/>
      <c r="C40" s="5"/>
      <c r="D40" s="5"/>
      <c r="E40" s="5"/>
      <c r="F40" s="5"/>
      <c r="G40" s="5"/>
      <c r="H40" s="5"/>
      <c r="I40" s="5"/>
      <c r="J40" s="5"/>
      <c r="K40" s="5"/>
      <c r="L40" s="5"/>
      <c r="M40" s="5"/>
      <c r="O40" s="5"/>
      <c r="P40" s="5"/>
      <c r="R40" s="5"/>
      <c r="S40" s="5"/>
      <c r="T40" s="5"/>
      <c r="U40" s="5"/>
      <c r="V40" s="5"/>
      <c r="W40" s="5"/>
      <c r="X40" s="5"/>
    </row>
    <row r="41" spans="1:24" s="4" customFormat="1">
      <c r="A41" s="5"/>
      <c r="B41" s="5"/>
      <c r="C41" s="5"/>
      <c r="D41" s="5"/>
      <c r="E41" s="5"/>
      <c r="F41" s="5"/>
      <c r="G41" s="5"/>
      <c r="H41" s="5"/>
      <c r="I41" s="5"/>
      <c r="J41" s="5"/>
      <c r="K41" s="5"/>
      <c r="L41" s="5"/>
      <c r="M41" s="5"/>
      <c r="O41" s="5"/>
      <c r="P41" s="5"/>
      <c r="R41" s="5"/>
      <c r="S41" s="5"/>
      <c r="T41" s="5"/>
      <c r="U41" s="5"/>
      <c r="V41" s="5"/>
      <c r="W41" s="5"/>
      <c r="X41" s="5"/>
    </row>
    <row r="42" spans="1:24" s="4" customFormat="1">
      <c r="A42" s="5"/>
      <c r="B42" s="5"/>
      <c r="C42" s="5"/>
      <c r="D42" s="5"/>
      <c r="E42" s="5"/>
      <c r="F42" s="5"/>
      <c r="G42" s="5"/>
      <c r="H42" s="5"/>
      <c r="I42" s="5"/>
      <c r="J42" s="5"/>
      <c r="K42" s="5"/>
      <c r="L42" s="5"/>
      <c r="M42" s="5"/>
      <c r="O42" s="5"/>
      <c r="P42" s="5"/>
      <c r="R42" s="5"/>
      <c r="S42" s="5"/>
      <c r="T42" s="5"/>
      <c r="U42" s="5"/>
      <c r="V42" s="5"/>
      <c r="W42" s="5"/>
      <c r="X42" s="5"/>
    </row>
  </sheetData>
  <sheetProtection algorithmName="SHA-512" hashValue="Tg6abrSUVqdkw8UMhUFbhvubu9P7izaN9Wro0aavabQ72hOefgAv0Keo5rdhYvreisym1pbBG8WwUHC1SjPfqg==" saltValue="P5znG8cNuuOoxclFxgjc2g==" spinCount="100000" sheet="1" objects="1" scenarios="1"/>
  <mergeCells count="7">
    <mergeCell ref="U1:V3"/>
    <mergeCell ref="B33:L33"/>
    <mergeCell ref="C1:D3"/>
    <mergeCell ref="H1:J3"/>
    <mergeCell ref="L1:M3"/>
    <mergeCell ref="O1:P3"/>
    <mergeCell ref="R1:S3"/>
  </mergeCells>
  <dataValidations count="1">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22" xr:uid="{00000000-0002-0000-0F00-000000000000}">
      <formula1>0</formula1>
    </dataValidation>
  </dataValidations>
  <hyperlinks>
    <hyperlink ref="B33" location="Deckblatt!A1" display="Keine Gewähr für die Richtigkeit der Angaben. Dieses Tool ersetzt keine fundierte Rechts-, Steuer- oder Finanzberatung. Mehr Details hier." xr:uid="{00000000-0004-0000-0F00-000000000000}"/>
  </hyperlinks>
  <pageMargins left="0.25" right="0.25" top="0.75" bottom="0.75" header="0.3" footer="0.3"/>
  <pageSetup paperSize="9" scale="73" orientation="landscape"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pageSetUpPr fitToPage="1"/>
  </sheetPr>
  <dimension ref="A1:X35"/>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8" width="11.26953125" style="5" customWidth="1"/>
    <col min="9" max="9" width="2.81640625" style="5" customWidth="1"/>
    <col min="10" max="13" width="11.26953125" style="5" customWidth="1"/>
    <col min="14" max="17" width="11.26953125" style="4" customWidth="1"/>
    <col min="18" max="22" width="11.26953125" style="5" customWidth="1"/>
    <col min="23" max="23" width="27.453125" style="5" customWidth="1"/>
    <col min="24" max="25" width="11.26953125" style="5" customWidth="1"/>
    <col min="26" max="16384" width="9.1796875" style="5"/>
  </cols>
  <sheetData>
    <row r="1" spans="1:24" s="113" customFormat="1" ht="12.75" customHeight="1">
      <c r="A1" s="109"/>
      <c r="C1" s="442" t="s">
        <v>278</v>
      </c>
      <c r="D1" s="442"/>
      <c r="H1" s="425"/>
      <c r="I1" s="425"/>
      <c r="J1" s="425"/>
      <c r="K1" s="111"/>
      <c r="L1" s="443"/>
      <c r="M1" s="443"/>
      <c r="N1" s="112"/>
      <c r="O1" s="425"/>
      <c r="P1" s="425"/>
      <c r="Q1" s="112"/>
      <c r="R1" s="437"/>
      <c r="S1" s="437"/>
      <c r="U1" s="425"/>
      <c r="V1" s="425"/>
    </row>
    <row r="2" spans="1:24" s="113" customFormat="1" ht="15" customHeight="1">
      <c r="A2" s="109"/>
      <c r="C2" s="442"/>
      <c r="D2" s="442"/>
      <c r="H2" s="425"/>
      <c r="I2" s="425"/>
      <c r="J2" s="425"/>
      <c r="K2" s="111"/>
      <c r="L2" s="443"/>
      <c r="M2" s="443"/>
      <c r="N2" s="112"/>
      <c r="O2" s="425"/>
      <c r="P2" s="425"/>
      <c r="Q2" s="112"/>
      <c r="R2" s="437"/>
      <c r="S2" s="437"/>
      <c r="U2" s="425"/>
      <c r="V2" s="425"/>
    </row>
    <row r="3" spans="1:24" s="113" customFormat="1" ht="12.75" customHeight="1">
      <c r="A3" s="109"/>
      <c r="C3" s="442"/>
      <c r="D3" s="442"/>
      <c r="H3" s="425"/>
      <c r="I3" s="425"/>
      <c r="J3" s="425"/>
      <c r="K3" s="111"/>
      <c r="L3" s="443"/>
      <c r="M3" s="443"/>
      <c r="N3" s="112"/>
      <c r="O3" s="425"/>
      <c r="P3" s="425"/>
      <c r="Q3" s="112"/>
      <c r="R3" s="437"/>
      <c r="S3" s="437"/>
      <c r="U3" s="425"/>
      <c r="V3" s="425"/>
    </row>
    <row r="4" spans="1:24" s="271" customFormat="1" ht="18.75" customHeight="1">
      <c r="X4" s="279"/>
    </row>
    <row r="5" spans="1:24" s="271" customFormat="1" ht="18.75" customHeight="1">
      <c r="H5" s="272"/>
      <c r="I5" s="272"/>
      <c r="T5" s="273"/>
      <c r="V5" s="272"/>
    </row>
    <row r="6" spans="1:24" s="274" customFormat="1" ht="30" customHeight="1"/>
    <row r="7" spans="1:24" ht="21.75" customHeight="1"/>
    <row r="8" spans="1:24" ht="21.75" customHeight="1"/>
    <row r="9" spans="1:24" ht="21.75" customHeight="1"/>
    <row r="10" spans="1:24" ht="21.75" customHeight="1"/>
    <row r="11" spans="1:24" ht="21.75" customHeight="1"/>
    <row r="12" spans="1:24" ht="21.75" customHeight="1"/>
    <row r="13" spans="1:24" ht="21.75" customHeight="1"/>
    <row r="14" spans="1:24" ht="21.75" customHeight="1"/>
    <row r="15" spans="1:24" ht="21.75" customHeight="1"/>
    <row r="16" spans="1:24" ht="21.75" customHeight="1"/>
    <row r="17" spans="1:24" ht="21.75" customHeight="1"/>
    <row r="18" spans="1:24" ht="21.75" customHeight="1"/>
    <row r="19" spans="1:24" ht="21.75" customHeight="1"/>
    <row r="20" spans="1:24" ht="52.5" customHeight="1">
      <c r="B20" s="293"/>
      <c r="C20" s="268"/>
      <c r="D20" s="268"/>
      <c r="E20" s="270"/>
      <c r="F20" s="270"/>
      <c r="N20" s="5"/>
      <c r="O20" s="5"/>
      <c r="P20" s="5"/>
      <c r="Q20" s="5"/>
    </row>
    <row r="21" spans="1:24" ht="15" customHeight="1">
      <c r="B21" s="268"/>
      <c r="C21" s="268"/>
      <c r="D21" s="268"/>
      <c r="E21" s="270"/>
      <c r="F21" s="270"/>
      <c r="N21" s="5"/>
      <c r="O21" s="5"/>
      <c r="P21" s="5"/>
      <c r="Q21" s="5"/>
    </row>
    <row r="22" spans="1:24" s="13" customFormat="1" ht="25.5" customHeight="1">
      <c r="B22" s="268"/>
      <c r="C22" s="268"/>
      <c r="D22" s="270"/>
      <c r="E22" s="270"/>
      <c r="F22" s="278"/>
    </row>
    <row r="23" spans="1:24" ht="52.5" customHeight="1">
      <c r="B23" s="268"/>
      <c r="C23" s="268"/>
      <c r="D23" s="268"/>
      <c r="E23" s="270"/>
      <c r="F23" s="270"/>
      <c r="N23" s="5"/>
      <c r="O23" s="5"/>
      <c r="P23" s="5"/>
      <c r="Q23" s="5"/>
    </row>
    <row r="24" spans="1:24" s="13" customFormat="1" ht="25.5" customHeight="1">
      <c r="B24" s="5"/>
      <c r="C24" s="268"/>
      <c r="D24" s="268"/>
      <c r="E24" s="268"/>
      <c r="F24" s="270"/>
    </row>
    <row r="25" spans="1:24" ht="17.25" customHeight="1">
      <c r="B25" s="268"/>
      <c r="C25" s="268"/>
      <c r="D25" s="268"/>
      <c r="E25" s="270"/>
      <c r="F25" s="270"/>
      <c r="N25" s="5"/>
      <c r="O25" s="5"/>
      <c r="P25" s="5"/>
      <c r="Q25" s="5"/>
    </row>
    <row r="26" spans="1:24">
      <c r="B26" s="441" t="s">
        <v>269</v>
      </c>
      <c r="C26" s="441"/>
      <c r="D26" s="441"/>
      <c r="E26" s="441"/>
      <c r="F26" s="441"/>
      <c r="G26" s="441"/>
      <c r="H26" s="441"/>
      <c r="I26" s="441"/>
      <c r="J26" s="441"/>
      <c r="K26" s="441"/>
      <c r="L26" s="441"/>
      <c r="N26" s="5"/>
      <c r="O26" s="5"/>
      <c r="P26" s="5"/>
      <c r="Q26" s="5"/>
    </row>
    <row r="27" spans="1:24">
      <c r="N27" s="5"/>
      <c r="O27" s="5"/>
      <c r="P27" s="5"/>
    </row>
    <row r="28" spans="1:24">
      <c r="N28" s="5"/>
      <c r="O28" s="5"/>
      <c r="P28" s="5"/>
    </row>
    <row r="29" spans="1:24">
      <c r="N29" s="5"/>
      <c r="O29" s="5"/>
      <c r="P29" s="5"/>
    </row>
    <row r="30" spans="1:24">
      <c r="O30" s="5"/>
      <c r="P30" s="5"/>
      <c r="T30" s="6"/>
    </row>
    <row r="31" spans="1:24" s="4" customFormat="1">
      <c r="A31" s="5"/>
      <c r="B31" s="5"/>
      <c r="C31" s="5"/>
      <c r="D31" s="5"/>
      <c r="E31" s="5"/>
      <c r="F31" s="5"/>
      <c r="G31" s="5"/>
      <c r="H31" s="5"/>
      <c r="I31" s="5"/>
      <c r="J31" s="5"/>
      <c r="K31" s="5"/>
      <c r="L31" s="5"/>
      <c r="M31" s="5"/>
      <c r="O31" s="5"/>
      <c r="P31" s="5"/>
      <c r="R31" s="5"/>
      <c r="S31" s="5"/>
      <c r="T31" s="5"/>
      <c r="U31" s="5"/>
      <c r="V31" s="5"/>
      <c r="W31" s="5"/>
      <c r="X31" s="5"/>
    </row>
    <row r="32" spans="1:24" s="4" customFormat="1">
      <c r="A32" s="5"/>
      <c r="B32" s="5"/>
      <c r="C32" s="5"/>
      <c r="D32" s="5"/>
      <c r="E32" s="5"/>
      <c r="F32" s="5"/>
      <c r="G32" s="5"/>
      <c r="H32" s="5"/>
      <c r="I32" s="5"/>
      <c r="J32" s="5"/>
      <c r="K32" s="5"/>
      <c r="L32" s="5"/>
      <c r="M32" s="5"/>
      <c r="O32" s="5"/>
      <c r="P32" s="5"/>
      <c r="R32" s="5"/>
      <c r="S32" s="5"/>
      <c r="T32" s="5"/>
      <c r="U32" s="5"/>
      <c r="V32" s="5"/>
      <c r="W32" s="5"/>
      <c r="X32" s="5"/>
    </row>
    <row r="33" spans="1:24" s="4" customFormat="1">
      <c r="A33" s="5"/>
      <c r="B33" s="5"/>
      <c r="C33" s="5"/>
      <c r="D33" s="5"/>
      <c r="E33" s="5"/>
      <c r="F33" s="5"/>
      <c r="G33" s="5"/>
      <c r="H33" s="5"/>
      <c r="I33" s="5"/>
      <c r="J33" s="5"/>
      <c r="K33" s="5"/>
      <c r="L33" s="5"/>
      <c r="M33" s="5"/>
      <c r="O33" s="5"/>
      <c r="P33" s="5"/>
      <c r="R33" s="5"/>
      <c r="S33" s="5"/>
      <c r="T33" s="5"/>
      <c r="U33" s="5"/>
      <c r="V33" s="5"/>
      <c r="W33" s="5"/>
      <c r="X33" s="5"/>
    </row>
    <row r="34" spans="1:24" s="4" customFormat="1">
      <c r="A34" s="5"/>
      <c r="B34" s="5"/>
      <c r="C34" s="5"/>
      <c r="D34" s="5"/>
      <c r="E34" s="5"/>
      <c r="F34" s="5"/>
      <c r="G34" s="5"/>
      <c r="H34" s="5"/>
      <c r="I34" s="5"/>
      <c r="J34" s="5"/>
      <c r="K34" s="5"/>
      <c r="L34" s="5"/>
      <c r="M34" s="5"/>
      <c r="O34" s="5"/>
      <c r="P34" s="5"/>
      <c r="R34" s="5"/>
      <c r="S34" s="5"/>
      <c r="T34" s="5"/>
      <c r="U34" s="5"/>
      <c r="V34" s="5"/>
      <c r="W34" s="5"/>
      <c r="X34" s="5"/>
    </row>
    <row r="35" spans="1:24" s="4" customFormat="1">
      <c r="A35" s="5"/>
      <c r="B35" s="5"/>
      <c r="C35" s="5"/>
      <c r="D35" s="5"/>
      <c r="E35" s="5"/>
      <c r="F35" s="5"/>
      <c r="G35" s="5"/>
      <c r="H35" s="5"/>
      <c r="I35" s="5"/>
      <c r="J35" s="5"/>
      <c r="K35" s="5"/>
      <c r="L35" s="5"/>
      <c r="M35" s="5"/>
      <c r="O35" s="5"/>
      <c r="P35" s="5"/>
      <c r="R35" s="5"/>
      <c r="S35" s="5"/>
      <c r="T35" s="5"/>
      <c r="U35" s="5"/>
      <c r="V35" s="5"/>
      <c r="W35" s="5"/>
      <c r="X35" s="5"/>
    </row>
  </sheetData>
  <sheetProtection algorithmName="SHA-512" hashValue="IrCDvNjfYz9PXtPgQEgIbiCZ3s1dr6BOe1zBh/BFzJojWHioi6Wls+GCttTXIF+ihJy3xQPLGY9qKc/1j3mCGA==" saltValue="yBxkniAB4JYaC3SXWbu9Kg==" spinCount="100000" sheet="1" objects="1" scenarios="1"/>
  <mergeCells count="7">
    <mergeCell ref="R1:S3"/>
    <mergeCell ref="U1:V3"/>
    <mergeCell ref="B26:L26"/>
    <mergeCell ref="C1:D3"/>
    <mergeCell ref="H1:J3"/>
    <mergeCell ref="L1:M3"/>
    <mergeCell ref="O1:P3"/>
  </mergeCells>
  <dataValidations count="1">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22" xr:uid="{00000000-0002-0000-1000-000000000000}">
      <formula1>0</formula1>
    </dataValidation>
  </dataValidations>
  <hyperlinks>
    <hyperlink ref="B26" location="Deckblatt!A1" display="Keine Gewähr für die Richtigkeit der Angaben. Dieses Tool ersetzt keine fundierte Rechts-, Steuer- oder Finanzberatung. Mehr Details hier." xr:uid="{00000000-0004-0000-1000-000000000000}"/>
  </hyperlinks>
  <pageMargins left="0.25" right="0.25" top="0.75" bottom="0.75" header="0.3" footer="0.3"/>
  <pageSetup paperSize="9" scale="7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pageSetUpPr fitToPage="1"/>
  </sheetPr>
  <dimension ref="A1:X37"/>
  <sheetViews>
    <sheetView showGridLines="0" showRowColHeaders="0" zoomScaleNormal="100" workbookViewId="0">
      <pane ySplit="6" topLeftCell="A7" activePane="bottomLeft" state="frozen"/>
      <selection activeCell="D31" sqref="D31"/>
      <selection pane="bottomLeft"/>
    </sheetView>
  </sheetViews>
  <sheetFormatPr defaultColWidth="9.1796875" defaultRowHeight="14.5"/>
  <cols>
    <col min="1" max="1" width="3.26953125" style="5" customWidth="1"/>
    <col min="2" max="2" width="5.453125" style="5" customWidth="1"/>
    <col min="3" max="3" width="20.453125" style="5" customWidth="1"/>
    <col min="4" max="4" width="13.81640625" style="5" customWidth="1"/>
    <col min="5" max="5" width="16.54296875" style="5" customWidth="1"/>
    <col min="6" max="6" width="2.1796875" style="5" customWidth="1"/>
    <col min="7" max="7" width="9.1796875" style="5" customWidth="1"/>
    <col min="8" max="8" width="11.26953125" style="5" customWidth="1"/>
    <col min="9" max="9" width="2.81640625" style="5" customWidth="1"/>
    <col min="10" max="13" width="11.26953125" style="5" customWidth="1"/>
    <col min="14" max="17" width="11.26953125" style="4" customWidth="1"/>
    <col min="18" max="22" width="11.26953125" style="5" customWidth="1"/>
    <col min="23" max="23" width="27.453125" style="5" customWidth="1"/>
    <col min="24" max="25" width="11.26953125" style="5" customWidth="1"/>
    <col min="26" max="16384" width="9.1796875" style="5"/>
  </cols>
  <sheetData>
    <row r="1" spans="1:24" s="113" customFormat="1" ht="12.75" customHeight="1">
      <c r="A1" s="109"/>
      <c r="C1" s="442" t="s">
        <v>278</v>
      </c>
      <c r="D1" s="442"/>
      <c r="H1" s="425"/>
      <c r="I1" s="425"/>
      <c r="J1" s="425"/>
      <c r="K1" s="111"/>
      <c r="L1" s="443"/>
      <c r="M1" s="443"/>
      <c r="N1" s="112"/>
      <c r="O1" s="425"/>
      <c r="P1" s="425"/>
      <c r="Q1" s="112"/>
      <c r="R1" s="437"/>
      <c r="S1" s="437"/>
      <c r="U1" s="425"/>
      <c r="V1" s="425"/>
    </row>
    <row r="2" spans="1:24" s="113" customFormat="1" ht="15" customHeight="1">
      <c r="A2" s="109"/>
      <c r="C2" s="442"/>
      <c r="D2" s="442"/>
      <c r="H2" s="425"/>
      <c r="I2" s="425"/>
      <c r="J2" s="425"/>
      <c r="K2" s="111"/>
      <c r="L2" s="443"/>
      <c r="M2" s="443"/>
      <c r="N2" s="112"/>
      <c r="O2" s="425"/>
      <c r="P2" s="425"/>
      <c r="Q2" s="112"/>
      <c r="R2" s="437"/>
      <c r="S2" s="437"/>
      <c r="U2" s="425"/>
      <c r="V2" s="425"/>
    </row>
    <row r="3" spans="1:24" s="113" customFormat="1" ht="12.75" customHeight="1">
      <c r="A3" s="109"/>
      <c r="C3" s="442"/>
      <c r="D3" s="442"/>
      <c r="H3" s="425"/>
      <c r="I3" s="425"/>
      <c r="J3" s="425"/>
      <c r="K3" s="111"/>
      <c r="L3" s="443"/>
      <c r="M3" s="443"/>
      <c r="N3" s="112"/>
      <c r="O3" s="425"/>
      <c r="P3" s="425"/>
      <c r="Q3" s="112"/>
      <c r="R3" s="437"/>
      <c r="S3" s="437"/>
      <c r="U3" s="425"/>
      <c r="V3" s="425"/>
    </row>
    <row r="4" spans="1:24" s="271" customFormat="1" ht="18.75" customHeight="1">
      <c r="X4" s="279"/>
    </row>
    <row r="5" spans="1:24" s="271" customFormat="1" ht="18.75" customHeight="1">
      <c r="H5" s="272"/>
      <c r="I5" s="272"/>
      <c r="T5" s="273"/>
      <c r="V5" s="272"/>
    </row>
    <row r="6" spans="1:24" s="274" customFormat="1" ht="30" customHeight="1"/>
    <row r="7" spans="1:24" ht="21.75" customHeight="1"/>
    <row r="8" spans="1:24" ht="15" customHeight="1">
      <c r="B8" s="268"/>
      <c r="C8" s="268"/>
      <c r="D8" s="268"/>
      <c r="E8" s="270"/>
      <c r="F8" s="270"/>
      <c r="N8" s="5"/>
      <c r="O8" s="5"/>
      <c r="P8" s="5"/>
      <c r="Q8" s="5"/>
    </row>
    <row r="9" spans="1:24" s="13" customFormat="1" ht="25.5" customHeight="1">
      <c r="B9" s="268"/>
      <c r="C9" s="268"/>
      <c r="D9" s="270"/>
      <c r="E9" s="270"/>
      <c r="F9" s="278"/>
    </row>
    <row r="10" spans="1:24" ht="52.5" customHeight="1">
      <c r="B10" s="268"/>
      <c r="C10" s="268"/>
      <c r="D10" s="268"/>
      <c r="E10" s="270"/>
      <c r="F10" s="270"/>
      <c r="N10" s="5"/>
      <c r="O10" s="5"/>
      <c r="P10" s="5"/>
      <c r="Q10" s="5"/>
    </row>
    <row r="11" spans="1:24" s="13" customFormat="1" ht="25.5" customHeight="1">
      <c r="B11" s="268"/>
      <c r="C11" s="268"/>
      <c r="D11" s="268"/>
      <c r="E11" s="270"/>
      <c r="F11" s="270"/>
    </row>
    <row r="12" spans="1:24" ht="16">
      <c r="B12" s="268"/>
      <c r="C12" s="268"/>
      <c r="D12" s="268"/>
      <c r="E12" s="270"/>
      <c r="F12" s="270"/>
      <c r="N12" s="5"/>
      <c r="O12" s="5"/>
      <c r="P12" s="5"/>
      <c r="Q12" s="5"/>
    </row>
    <row r="13" spans="1:24" ht="36.75" customHeight="1">
      <c r="L13"/>
      <c r="N13" s="5"/>
      <c r="O13" s="5"/>
      <c r="P13" s="5"/>
      <c r="Q13" s="5"/>
    </row>
    <row r="14" spans="1:24" s="13" customFormat="1" ht="25.5" customHeight="1">
      <c r="B14" s="5"/>
      <c r="C14" s="268"/>
      <c r="D14" s="268"/>
      <c r="E14" s="268"/>
      <c r="F14" s="270"/>
    </row>
    <row r="15" spans="1:24" ht="17.25" customHeight="1">
      <c r="B15" s="268"/>
      <c r="C15" s="268"/>
      <c r="D15" s="268"/>
      <c r="E15" s="270"/>
      <c r="F15" s="270"/>
      <c r="N15" s="5"/>
      <c r="O15" s="5"/>
      <c r="P15" s="5"/>
      <c r="Q15" s="5"/>
    </row>
    <row r="16" spans="1:24" ht="17.25" customHeight="1">
      <c r="B16" s="268"/>
      <c r="C16" s="268"/>
      <c r="D16" s="268"/>
      <c r="E16" s="270"/>
      <c r="F16" s="270"/>
      <c r="N16" s="5"/>
      <c r="O16" s="5"/>
      <c r="P16" s="5"/>
      <c r="Q16" s="5"/>
    </row>
    <row r="17" spans="2:20" ht="17.25" customHeight="1">
      <c r="B17" s="268"/>
      <c r="C17" s="268"/>
      <c r="D17" s="268"/>
      <c r="E17" s="270"/>
      <c r="F17" s="270"/>
      <c r="N17" s="5"/>
      <c r="O17" s="5"/>
      <c r="P17" s="5"/>
      <c r="Q17" s="5"/>
    </row>
    <row r="18" spans="2:20" ht="17.25" customHeight="1">
      <c r="B18" s="268"/>
      <c r="C18" s="268"/>
      <c r="D18" s="268"/>
      <c r="E18" s="270"/>
      <c r="F18" s="270"/>
      <c r="N18" s="5"/>
      <c r="O18" s="5"/>
      <c r="P18" s="5"/>
      <c r="Q18" s="5"/>
    </row>
    <row r="19" spans="2:20" ht="17.25" customHeight="1">
      <c r="B19" s="268"/>
      <c r="C19" s="268"/>
      <c r="D19" s="268"/>
      <c r="E19" s="270"/>
      <c r="F19" s="270"/>
      <c r="N19" s="5"/>
      <c r="O19" s="5"/>
      <c r="P19" s="5"/>
      <c r="Q19" s="5"/>
    </row>
    <row r="20" spans="2:20" ht="17.25" customHeight="1">
      <c r="B20" s="268"/>
      <c r="C20" s="268"/>
      <c r="D20" s="268"/>
      <c r="E20" s="270"/>
      <c r="F20" s="270"/>
      <c r="N20" s="5"/>
      <c r="O20" s="5"/>
      <c r="P20" s="5"/>
      <c r="Q20" s="5"/>
    </row>
    <row r="21" spans="2:20" ht="17.25" customHeight="1">
      <c r="B21" s="268"/>
      <c r="C21" s="268"/>
      <c r="D21" s="268"/>
      <c r="E21" s="270"/>
      <c r="F21" s="270"/>
      <c r="N21" s="5"/>
      <c r="O21" s="5"/>
      <c r="P21" s="5"/>
      <c r="Q21" s="5"/>
    </row>
    <row r="22" spans="2:20" ht="17.25" customHeight="1">
      <c r="B22" s="268"/>
      <c r="C22" s="268"/>
      <c r="D22" s="268"/>
      <c r="E22" s="270"/>
      <c r="F22" s="270"/>
      <c r="N22" s="5"/>
      <c r="O22" s="5"/>
      <c r="P22" s="5"/>
      <c r="Q22" s="5"/>
    </row>
    <row r="23" spans="2:20" ht="17.25" customHeight="1">
      <c r="B23" s="268"/>
      <c r="C23" s="268"/>
      <c r="D23" s="268"/>
      <c r="E23" s="270"/>
      <c r="F23" s="270"/>
      <c r="N23" s="5"/>
      <c r="O23" s="5"/>
      <c r="P23" s="5"/>
      <c r="Q23" s="5"/>
    </row>
    <row r="24" spans="2:20" ht="17.25" customHeight="1">
      <c r="B24" s="268"/>
      <c r="C24" s="268"/>
      <c r="D24" s="268"/>
      <c r="E24" s="270"/>
      <c r="F24" s="270"/>
      <c r="N24" s="5"/>
      <c r="O24" s="5"/>
      <c r="P24" s="5"/>
      <c r="Q24" s="5"/>
    </row>
    <row r="25" spans="2:20" ht="17.25" customHeight="1">
      <c r="B25" s="268"/>
      <c r="C25" s="268"/>
      <c r="D25" s="268"/>
      <c r="E25" s="270"/>
      <c r="F25" s="270"/>
      <c r="N25" s="5"/>
      <c r="O25" s="5"/>
      <c r="P25" s="5"/>
      <c r="Q25" s="5"/>
    </row>
    <row r="26" spans="2:20" ht="17.25" customHeight="1">
      <c r="B26" s="268"/>
      <c r="C26" s="268"/>
      <c r="D26" s="268"/>
      <c r="E26" s="270"/>
      <c r="F26" s="270"/>
      <c r="N26" s="5"/>
      <c r="O26" s="5"/>
      <c r="P26" s="5"/>
      <c r="Q26" s="5"/>
    </row>
    <row r="27" spans="2:20">
      <c r="N27" s="5"/>
      <c r="O27" s="5"/>
      <c r="P27" s="5"/>
      <c r="Q27" s="5"/>
    </row>
    <row r="28" spans="2:20">
      <c r="B28" s="441" t="s">
        <v>269</v>
      </c>
      <c r="C28" s="441"/>
      <c r="D28" s="441"/>
      <c r="E28" s="441"/>
      <c r="F28" s="441"/>
      <c r="G28" s="441"/>
      <c r="H28" s="441"/>
      <c r="I28" s="441"/>
      <c r="J28" s="441"/>
      <c r="K28" s="441"/>
      <c r="L28" s="441"/>
      <c r="N28" s="5"/>
      <c r="O28" s="5"/>
      <c r="P28" s="5"/>
      <c r="Q28" s="5"/>
    </row>
    <row r="29" spans="2:20">
      <c r="N29" s="5"/>
      <c r="O29" s="5"/>
      <c r="P29" s="5"/>
    </row>
    <row r="30" spans="2:20">
      <c r="N30" s="5"/>
      <c r="O30" s="5"/>
      <c r="P30" s="5"/>
    </row>
    <row r="31" spans="2:20">
      <c r="N31" s="5"/>
      <c r="O31" s="5"/>
      <c r="P31" s="5"/>
    </row>
    <row r="32" spans="2:20">
      <c r="O32" s="5"/>
      <c r="P32" s="5"/>
      <c r="T32" s="6"/>
    </row>
    <row r="33" spans="1:24" s="4" customFormat="1">
      <c r="A33" s="5"/>
      <c r="B33" s="5"/>
      <c r="C33" s="5"/>
      <c r="D33" s="5"/>
      <c r="E33" s="5"/>
      <c r="F33" s="5"/>
      <c r="G33" s="5"/>
      <c r="H33" s="5"/>
      <c r="I33" s="5"/>
      <c r="J33" s="5"/>
      <c r="K33" s="5"/>
      <c r="L33" s="5"/>
      <c r="M33" s="5"/>
      <c r="O33" s="5"/>
      <c r="P33" s="5"/>
      <c r="R33" s="5"/>
      <c r="S33" s="5"/>
      <c r="T33" s="5"/>
      <c r="U33" s="5"/>
      <c r="V33" s="5"/>
      <c r="W33" s="5"/>
      <c r="X33" s="5"/>
    </row>
    <row r="34" spans="1:24" s="4" customFormat="1">
      <c r="A34" s="5"/>
      <c r="B34" s="5"/>
      <c r="C34" s="5"/>
      <c r="D34" s="5"/>
      <c r="E34" s="5"/>
      <c r="F34" s="5"/>
      <c r="G34" s="5"/>
      <c r="H34" s="5"/>
      <c r="I34" s="5"/>
      <c r="J34" s="5"/>
      <c r="K34" s="5"/>
      <c r="L34" s="5"/>
      <c r="M34" s="5"/>
      <c r="O34" s="5"/>
      <c r="P34" s="5"/>
      <c r="R34" s="5"/>
      <c r="S34" s="5"/>
      <c r="T34" s="5"/>
      <c r="U34" s="5"/>
      <c r="V34" s="5"/>
      <c r="W34" s="5"/>
      <c r="X34" s="5"/>
    </row>
    <row r="35" spans="1:24" s="4" customFormat="1">
      <c r="A35" s="5"/>
      <c r="B35" s="5"/>
      <c r="C35" s="5"/>
      <c r="D35" s="5"/>
      <c r="E35" s="5"/>
      <c r="F35" s="5"/>
      <c r="G35" s="5"/>
      <c r="H35" s="5"/>
      <c r="I35" s="5"/>
      <c r="J35" s="5"/>
      <c r="K35" s="5"/>
      <c r="L35" s="5"/>
      <c r="M35" s="5"/>
      <c r="O35" s="5"/>
      <c r="P35" s="5"/>
      <c r="R35" s="5"/>
      <c r="S35" s="5"/>
      <c r="T35" s="5"/>
      <c r="U35" s="5"/>
      <c r="V35" s="5"/>
      <c r="W35" s="5"/>
      <c r="X35" s="5"/>
    </row>
    <row r="36" spans="1:24" s="4" customFormat="1">
      <c r="A36" s="5"/>
      <c r="B36" s="5"/>
      <c r="C36" s="5"/>
      <c r="D36" s="5"/>
      <c r="E36" s="5"/>
      <c r="F36" s="5"/>
      <c r="G36" s="5"/>
      <c r="H36" s="5"/>
      <c r="I36" s="5"/>
      <c r="J36" s="5"/>
      <c r="K36" s="5"/>
      <c r="L36" s="5"/>
      <c r="M36" s="5"/>
      <c r="O36" s="5"/>
      <c r="P36" s="5"/>
      <c r="R36" s="5"/>
      <c r="S36" s="5"/>
      <c r="T36" s="5"/>
      <c r="U36" s="5"/>
      <c r="V36" s="5"/>
      <c r="W36" s="5"/>
      <c r="X36" s="5"/>
    </row>
    <row r="37" spans="1:24" s="4" customFormat="1">
      <c r="A37" s="5"/>
      <c r="B37" s="5"/>
      <c r="C37" s="5"/>
      <c r="D37" s="5"/>
      <c r="E37" s="5"/>
      <c r="F37" s="5"/>
      <c r="G37" s="5"/>
      <c r="H37" s="5"/>
      <c r="I37" s="5"/>
      <c r="J37" s="5"/>
      <c r="K37" s="5"/>
      <c r="L37" s="5"/>
      <c r="M37" s="5"/>
      <c r="O37" s="5"/>
      <c r="P37" s="5"/>
      <c r="R37" s="5"/>
      <c r="S37" s="5"/>
      <c r="T37" s="5"/>
      <c r="U37" s="5"/>
      <c r="V37" s="5"/>
      <c r="W37" s="5"/>
      <c r="X37" s="5"/>
    </row>
  </sheetData>
  <sheetProtection algorithmName="SHA-512" hashValue="rore0KIzrCJ+JBesvVjb3XXI/Wfj0p8jBRWQDvtGoni3j5eBzbT7Go2jxL5QrCSYPbE1pz7CYJq3l1X8RSkW8Q==" saltValue="aKA0bxarjYf+/mlkL2Y9VQ==" spinCount="100000" sheet="1" objects="1" scenarios="1"/>
  <mergeCells count="7">
    <mergeCell ref="R1:S3"/>
    <mergeCell ref="U1:V3"/>
    <mergeCell ref="B28:L28"/>
    <mergeCell ref="C1:D3"/>
    <mergeCell ref="H1:J3"/>
    <mergeCell ref="L1:M3"/>
    <mergeCell ref="O1:P3"/>
  </mergeCells>
  <dataValidations count="1">
    <dataValidation type="decimal" operator="greaterThan" allowBlank="1" showInputMessage="1" showErrorMessage="1" errorTitle="Kaltmiete pro Monat" error="Bitte gib die Kaltmiete in Euro als Zahl &gt;0 ein. Bspw. 386." promptTitle="Kaltmiete pro Monat" prompt="Bitte gib hier die Kaltmiete ein, mit der du kalkulieren möchtest. Bspw. 386 für 386 Euro pro Monat." sqref="F9" xr:uid="{00000000-0002-0000-1100-000000000000}">
      <formula1>0</formula1>
    </dataValidation>
  </dataValidations>
  <hyperlinks>
    <hyperlink ref="B28" location="Deckblatt!A1" display="Keine Gewähr für die Richtigkeit der Angaben. Dieses Tool ersetzt keine fundierte Rechts-, Steuer- oder Finanzberatung. Mehr Details hier." xr:uid="{00000000-0004-0000-1100-000000000000}"/>
  </hyperlinks>
  <pageMargins left="0.25" right="0.25" top="0.75" bottom="0.75" header="0.3" footer="0.3"/>
  <pageSetup paperSize="9" scale="73"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
    <tabColor theme="3"/>
    <pageSetUpPr fitToPage="1"/>
  </sheetPr>
  <dimension ref="A1:T57"/>
  <sheetViews>
    <sheetView showGridLines="0" showRowColHeaders="0" zoomScaleNormal="100" workbookViewId="0">
      <pane ySplit="4" topLeftCell="A5" activePane="bottomLeft" state="frozen"/>
      <selection pane="bottomLeft"/>
    </sheetView>
  </sheetViews>
  <sheetFormatPr defaultColWidth="9.1796875" defaultRowHeight="14.5"/>
  <cols>
    <col min="1" max="1" width="3.453125" style="5" customWidth="1"/>
    <col min="2" max="2" width="10.81640625" style="5" customWidth="1"/>
    <col min="3" max="3" width="12.54296875" style="5" customWidth="1"/>
    <col min="4" max="4" width="10.54296875" style="5" customWidth="1"/>
    <col min="5" max="5" width="12.1796875" style="5" customWidth="1"/>
    <col min="6" max="6" width="4.26953125" style="5" customWidth="1"/>
    <col min="7" max="7" width="31.1796875" style="5" customWidth="1"/>
    <col min="8" max="8" width="10.7265625" style="5" customWidth="1"/>
    <col min="9" max="9" width="4.26953125" style="5" customWidth="1"/>
    <col min="10" max="10" width="29" style="5" customWidth="1"/>
    <col min="11" max="11" width="9" style="5" customWidth="1"/>
    <col min="12" max="12" width="4.26953125" style="4" customWidth="1"/>
    <col min="13" max="13" width="24.453125" style="4" customWidth="1"/>
    <col min="14" max="14" width="10.453125" style="4" customWidth="1"/>
    <col min="15" max="15" width="4.26953125" style="4" customWidth="1"/>
    <col min="16" max="16" width="27.81640625" style="5" customWidth="1"/>
    <col min="17" max="17" width="9.54296875" style="5" customWidth="1"/>
    <col min="18" max="18" width="4.26953125" style="5" customWidth="1"/>
    <col min="19" max="19" width="28" style="5" customWidth="1"/>
    <col min="20" max="20" width="10.7265625" style="5" customWidth="1"/>
    <col min="21" max="21" width="3.26953125" style="5" customWidth="1"/>
    <col min="22" max="16384" width="9.1796875" style="5"/>
  </cols>
  <sheetData>
    <row r="1" spans="1:20" s="113" customFormat="1" ht="12.75" customHeight="1">
      <c r="A1" s="109"/>
      <c r="B1" s="109"/>
      <c r="C1" s="425" t="s">
        <v>278</v>
      </c>
      <c r="D1" s="425"/>
      <c r="E1" s="442" t="s">
        <v>255</v>
      </c>
      <c r="F1" s="110"/>
      <c r="G1" s="425" t="s">
        <v>252</v>
      </c>
      <c r="H1" s="425"/>
      <c r="I1" s="111"/>
      <c r="J1" s="443" t="s">
        <v>253</v>
      </c>
      <c r="K1" s="443"/>
      <c r="L1" s="112"/>
      <c r="M1" s="425" t="s">
        <v>117</v>
      </c>
      <c r="N1" s="425"/>
      <c r="O1" s="112"/>
      <c r="P1" s="437" t="s">
        <v>273</v>
      </c>
      <c r="Q1" s="437"/>
      <c r="S1" s="425" t="s">
        <v>274</v>
      </c>
      <c r="T1" s="425"/>
    </row>
    <row r="2" spans="1:20" s="113" customFormat="1" ht="15" customHeight="1">
      <c r="A2" s="109"/>
      <c r="B2" s="109"/>
      <c r="C2" s="425"/>
      <c r="D2" s="425"/>
      <c r="E2" s="442"/>
      <c r="F2" s="110"/>
      <c r="G2" s="425"/>
      <c r="H2" s="425"/>
      <c r="I2" s="111"/>
      <c r="J2" s="443"/>
      <c r="K2" s="443"/>
      <c r="L2" s="112"/>
      <c r="M2" s="425"/>
      <c r="N2" s="425"/>
      <c r="O2" s="112"/>
      <c r="P2" s="437"/>
      <c r="Q2" s="437"/>
      <c r="S2" s="425"/>
      <c r="T2" s="425"/>
    </row>
    <row r="3" spans="1:20" s="113" customFormat="1" ht="12.75" customHeight="1">
      <c r="A3" s="109"/>
      <c r="B3" s="109"/>
      <c r="C3" s="425"/>
      <c r="D3" s="425"/>
      <c r="E3" s="442"/>
      <c r="F3" s="110"/>
      <c r="G3" s="425"/>
      <c r="H3" s="425"/>
      <c r="I3" s="111"/>
      <c r="J3" s="443"/>
      <c r="K3" s="443"/>
      <c r="L3" s="112"/>
      <c r="M3" s="425"/>
      <c r="N3" s="425"/>
      <c r="O3" s="112"/>
      <c r="P3" s="437"/>
      <c r="Q3" s="437"/>
      <c r="S3" s="425"/>
      <c r="T3" s="425"/>
    </row>
    <row r="4" spans="1:20" ht="18.75" customHeight="1"/>
    <row r="5" spans="1:20" ht="8.25" customHeight="1" thickBot="1"/>
    <row r="6" spans="1:20" s="13" customFormat="1" ht="23.25" customHeight="1" thickBot="1">
      <c r="B6" s="451" t="s">
        <v>121</v>
      </c>
      <c r="C6" s="455"/>
      <c r="D6" s="455"/>
      <c r="E6" s="452"/>
      <c r="G6" s="451" t="s">
        <v>122</v>
      </c>
      <c r="H6" s="452"/>
      <c r="J6" s="451" t="s">
        <v>78</v>
      </c>
      <c r="K6" s="452"/>
      <c r="L6" s="14"/>
      <c r="M6" s="451" t="s">
        <v>21</v>
      </c>
      <c r="N6" s="452"/>
      <c r="O6" s="14"/>
      <c r="P6" s="451" t="s">
        <v>118</v>
      </c>
      <c r="Q6" s="452"/>
      <c r="S6" s="451" t="s">
        <v>100</v>
      </c>
      <c r="T6" s="452"/>
    </row>
    <row r="7" spans="1:20" ht="15" thickBot="1"/>
    <row r="8" spans="1:20" ht="15" thickBot="1">
      <c r="B8" s="456" t="s">
        <v>257</v>
      </c>
      <c r="C8" s="457"/>
      <c r="D8" s="457"/>
      <c r="E8" s="458"/>
      <c r="G8" s="453" t="s">
        <v>16</v>
      </c>
      <c r="H8" s="454"/>
      <c r="J8" s="456" t="s">
        <v>19</v>
      </c>
      <c r="K8" s="458"/>
      <c r="M8" s="453" t="s">
        <v>119</v>
      </c>
      <c r="N8" s="454"/>
      <c r="P8" s="453" t="s">
        <v>124</v>
      </c>
      <c r="Q8" s="454"/>
      <c r="S8" s="456" t="s">
        <v>251</v>
      </c>
      <c r="T8" s="458"/>
    </row>
    <row r="9" spans="1:20">
      <c r="B9" s="114" t="s">
        <v>113</v>
      </c>
      <c r="C9" s="463" t="str">
        <f>IF('0'!B10="","Bitte gib im roten Faden eine Adresse ein",'0'!B10)</f>
        <v>Bitte gib im roten Faden eine Adresse ein</v>
      </c>
      <c r="D9" s="463"/>
      <c r="E9" s="464"/>
      <c r="G9" s="130" t="s">
        <v>77</v>
      </c>
      <c r="H9" s="131">
        <f>'1'!E10</f>
        <v>0</v>
      </c>
      <c r="J9" s="114" t="s">
        <v>90</v>
      </c>
      <c r="K9" s="135">
        <f>K21</f>
        <v>0</v>
      </c>
      <c r="M9" s="114" t="s">
        <v>23</v>
      </c>
      <c r="N9" s="153">
        <f>N17+N24</f>
        <v>0</v>
      </c>
      <c r="P9" s="114" t="s">
        <v>130</v>
      </c>
      <c r="Q9" s="153">
        <f>12*(-Q22+Q25)+'Kennzahlen im Verlauf'!D16</f>
        <v>0</v>
      </c>
      <c r="S9" s="114" t="s">
        <v>99</v>
      </c>
      <c r="T9" s="255">
        <v>2052</v>
      </c>
    </row>
    <row r="10" spans="1:20" ht="15" thickBot="1">
      <c r="B10" s="115" t="s">
        <v>258</v>
      </c>
      <c r="C10" s="391">
        <f ca="1">IF('0'!E14="","01.01.2017",'0'!E14)</f>
        <v>45215</v>
      </c>
      <c r="D10" s="15" t="s">
        <v>259</v>
      </c>
      <c r="E10" s="161" t="s">
        <v>260</v>
      </c>
      <c r="G10" s="132" t="s">
        <v>98</v>
      </c>
      <c r="H10" s="124">
        <f>K9</f>
        <v>0</v>
      </c>
      <c r="J10" s="115" t="s">
        <v>96</v>
      </c>
      <c r="K10" s="124">
        <f>K29</f>
        <v>0</v>
      </c>
      <c r="M10" s="115" t="s">
        <v>28</v>
      </c>
      <c r="N10" s="150">
        <f>E33-N9</f>
        <v>0</v>
      </c>
      <c r="P10" s="156" t="s">
        <v>95</v>
      </c>
      <c r="Q10" s="144">
        <f>Q9-'Kennzahlen im Verlauf'!D16</f>
        <v>0</v>
      </c>
      <c r="S10" s="116" t="s">
        <v>101</v>
      </c>
      <c r="T10" s="158">
        <f ca="1">T9-'Kennzahlen im Verlauf'!D28</f>
        <v>29</v>
      </c>
    </row>
    <row r="11" spans="1:20" ht="15" thickBot="1">
      <c r="B11" s="116" t="s">
        <v>11</v>
      </c>
      <c r="C11" s="299">
        <f>'0'!E12</f>
        <v>0</v>
      </c>
      <c r="D11" s="358" t="s">
        <v>367</v>
      </c>
      <c r="E11" s="359">
        <f>'11'!E10</f>
        <v>0</v>
      </c>
      <c r="G11" s="133" t="s">
        <v>66</v>
      </c>
      <c r="H11" s="118">
        <f>H9+H10</f>
        <v>0</v>
      </c>
      <c r="J11" s="136" t="s">
        <v>127</v>
      </c>
      <c r="K11" s="383" t="str">
        <f>IFERROR(K10/H9,"-")</f>
        <v>-</v>
      </c>
      <c r="M11" s="115" t="s">
        <v>29</v>
      </c>
      <c r="N11" s="154" t="str">
        <f>IF(N9=0,"n/a",((N18*$N$17)+(N25*$N$24))/$N$9)</f>
        <v>n/a</v>
      </c>
      <c r="P11" s="4"/>
      <c r="Q11" s="4"/>
      <c r="S11" s="4"/>
      <c r="T11" s="4"/>
    </row>
    <row r="12" spans="1:20" ht="15" thickBot="1">
      <c r="B12" s="4"/>
      <c r="C12" s="4"/>
      <c r="D12" s="4"/>
      <c r="E12" s="4"/>
      <c r="G12" s="264"/>
      <c r="H12" s="16"/>
      <c r="J12" s="138" t="s">
        <v>97</v>
      </c>
      <c r="K12" s="139">
        <f>K9+K10</f>
        <v>0</v>
      </c>
      <c r="M12" s="115" t="s">
        <v>30</v>
      </c>
      <c r="N12" s="154" t="str">
        <f>IF(N9=0,"n/a",((N19*$N$17)+(N26*$N$24))/$N$9)</f>
        <v>n/a</v>
      </c>
      <c r="P12" s="453" t="s">
        <v>128</v>
      </c>
      <c r="Q12" s="454"/>
      <c r="S12" s="456" t="s">
        <v>129</v>
      </c>
      <c r="T12" s="458"/>
    </row>
    <row r="13" spans="1:20" ht="15" thickBot="1">
      <c r="B13" s="456" t="s">
        <v>120</v>
      </c>
      <c r="C13" s="457"/>
      <c r="D13" s="457"/>
      <c r="E13" s="458"/>
      <c r="J13" s="4"/>
      <c r="K13" s="16"/>
      <c r="M13" s="116" t="s">
        <v>26</v>
      </c>
      <c r="N13" s="144">
        <f>N20+N27</f>
        <v>0</v>
      </c>
      <c r="P13" s="114" t="s">
        <v>15</v>
      </c>
      <c r="Q13" s="153">
        <f>12*H9</f>
        <v>0</v>
      </c>
      <c r="S13" s="128" t="s">
        <v>15</v>
      </c>
      <c r="T13" s="153">
        <f ca="1">OFFSET('Kennzahlen im Verlauf'!D8,,Cockpit!T10)*12</f>
        <v>0</v>
      </c>
    </row>
    <row r="14" spans="1:20" ht="15" thickBot="1">
      <c r="B14" s="461" t="s">
        <v>1</v>
      </c>
      <c r="C14" s="462"/>
      <c r="D14" s="459">
        <f>'1'!E8</f>
        <v>0</v>
      </c>
      <c r="E14" s="460"/>
      <c r="G14" s="456" t="s">
        <v>104</v>
      </c>
      <c r="H14" s="458"/>
      <c r="J14" s="453" t="s">
        <v>131</v>
      </c>
      <c r="K14" s="454"/>
      <c r="N14" s="17"/>
      <c r="P14" s="157" t="s">
        <v>17</v>
      </c>
      <c r="Q14" s="385" t="str">
        <f>IFERROR(Q13/D14,"-")</f>
        <v>-</v>
      </c>
      <c r="S14" s="136" t="s">
        <v>266</v>
      </c>
      <c r="T14" s="388" t="str">
        <f ca="1">IFERROR(T13/12/C11,"-")</f>
        <v>-</v>
      </c>
    </row>
    <row r="15" spans="1:20" ht="15" thickBot="1">
      <c r="B15" s="469" t="s">
        <v>126</v>
      </c>
      <c r="C15" s="470"/>
      <c r="D15" s="467" t="str">
        <f>IFERROR(D14/C11,"-")</f>
        <v>-</v>
      </c>
      <c r="E15" s="468"/>
      <c r="G15" s="119" t="s">
        <v>37</v>
      </c>
      <c r="H15" s="302">
        <f>'11'!E14</f>
        <v>0.02</v>
      </c>
      <c r="J15" s="140" t="s">
        <v>92</v>
      </c>
      <c r="K15" s="127">
        <f>K18+K24</f>
        <v>0</v>
      </c>
      <c r="M15" s="453" t="s">
        <v>22</v>
      </c>
      <c r="N15" s="454"/>
      <c r="P15" s="115" t="s">
        <v>20</v>
      </c>
      <c r="Q15" s="386" t="str">
        <f>IFERROR(D14/Q13,"-")</f>
        <v>-</v>
      </c>
      <c r="S15" s="142" t="s">
        <v>228</v>
      </c>
      <c r="T15" s="150">
        <f ca="1">OFFSET('Kennzahlen im Verlauf'!E14,,Cockpit!T10)</f>
        <v>0</v>
      </c>
    </row>
    <row r="16" spans="1:20" ht="15" thickBot="1">
      <c r="B16" s="465" t="s">
        <v>4</v>
      </c>
      <c r="C16" s="466"/>
      <c r="D16" s="282">
        <f>'2'!E12</f>
        <v>0</v>
      </c>
      <c r="E16" s="124">
        <f>D16*$D$14</f>
        <v>0</v>
      </c>
      <c r="G16" s="134" t="s">
        <v>108</v>
      </c>
      <c r="H16" s="381">
        <f>calc_rf!C21</f>
        <v>0</v>
      </c>
      <c r="K16" s="4"/>
      <c r="M16" s="114" t="s">
        <v>250</v>
      </c>
      <c r="N16" s="290">
        <f>'4'!E8</f>
        <v>0</v>
      </c>
      <c r="P16" s="116" t="s">
        <v>18</v>
      </c>
      <c r="Q16" s="387" t="str">
        <f>IFERROR((Q13-12*K10)/E33,"-")</f>
        <v>-</v>
      </c>
      <c r="S16" s="159" t="s">
        <v>2</v>
      </c>
      <c r="T16" s="389" t="str">
        <f ca="1">IFERROR(T15/C11,"-")</f>
        <v>-</v>
      </c>
    </row>
    <row r="17" spans="2:20" ht="15" thickBot="1">
      <c r="B17" s="465" t="s">
        <v>5</v>
      </c>
      <c r="C17" s="466"/>
      <c r="D17" s="282">
        <f>'2'!E14</f>
        <v>0</v>
      </c>
      <c r="E17" s="124">
        <f>D17*$D$14</f>
        <v>0</v>
      </c>
      <c r="G17" s="116" t="s">
        <v>75</v>
      </c>
      <c r="H17" s="382">
        <f>H16*(D14+E21)+SUMIF(D25:D28,"Aktivieren",C25:C28)</f>
        <v>0</v>
      </c>
      <c r="J17" s="456" t="s">
        <v>234</v>
      </c>
      <c r="K17" s="458"/>
      <c r="M17" s="115" t="s">
        <v>23</v>
      </c>
      <c r="N17" s="289">
        <f>N16*D14</f>
        <v>0</v>
      </c>
      <c r="P17" s="4"/>
      <c r="Q17" s="4"/>
      <c r="S17" s="4"/>
      <c r="T17" s="4"/>
    </row>
    <row r="18" spans="2:20" ht="15" thickBot="1">
      <c r="B18" s="465" t="s">
        <v>249</v>
      </c>
      <c r="C18" s="466"/>
      <c r="D18" s="282">
        <f>'2'!E16</f>
        <v>0</v>
      </c>
      <c r="E18" s="124">
        <f>D18*$D$14</f>
        <v>0</v>
      </c>
      <c r="J18" s="128" t="s">
        <v>236</v>
      </c>
      <c r="K18" s="170"/>
      <c r="M18" s="115" t="s">
        <v>24</v>
      </c>
      <c r="N18" s="291">
        <f>'4'!E12</f>
        <v>0</v>
      </c>
      <c r="P18" s="456" t="s">
        <v>93</v>
      </c>
      <c r="Q18" s="458"/>
      <c r="S18" s="456" t="s">
        <v>93</v>
      </c>
      <c r="T18" s="458"/>
    </row>
    <row r="19" spans="2:20" ht="15" thickBot="1">
      <c r="B19" s="465" t="s">
        <v>6</v>
      </c>
      <c r="C19" s="466"/>
      <c r="D19" s="282">
        <f>'2'!E10</f>
        <v>0</v>
      </c>
      <c r="E19" s="124">
        <f>D19*$D$14</f>
        <v>0</v>
      </c>
      <c r="G19" s="456" t="s">
        <v>103</v>
      </c>
      <c r="H19" s="458"/>
      <c r="J19" s="141" t="s">
        <v>91</v>
      </c>
      <c r="K19" s="171"/>
      <c r="M19" s="115" t="s">
        <v>25</v>
      </c>
      <c r="N19" s="291">
        <f>'4'!E14</f>
        <v>0</v>
      </c>
      <c r="P19" s="114" t="s">
        <v>13</v>
      </c>
      <c r="Q19" s="153">
        <f>H11</f>
        <v>0</v>
      </c>
      <c r="S19" s="114" t="s">
        <v>13</v>
      </c>
      <c r="T19" s="153">
        <f ca="1">OFFSET('Kennzahlen im Verlauf'!D10,,Cockpit!T10)</f>
        <v>0</v>
      </c>
    </row>
    <row r="20" spans="2:20">
      <c r="B20" s="465" t="s">
        <v>8</v>
      </c>
      <c r="C20" s="466"/>
      <c r="D20" s="282">
        <f>'2'!E18</f>
        <v>0</v>
      </c>
      <c r="E20" s="124">
        <f>D20*$D$14</f>
        <v>0</v>
      </c>
      <c r="G20" s="119" t="s">
        <v>60</v>
      </c>
      <c r="H20" s="292">
        <f>'6'!E11</f>
        <v>0</v>
      </c>
      <c r="J20" s="142" t="s">
        <v>10</v>
      </c>
      <c r="K20" s="124">
        <f>K37</f>
        <v>0</v>
      </c>
      <c r="M20" s="115" t="s">
        <v>26</v>
      </c>
      <c r="N20" s="150">
        <f>(N18+N19)*N17/12</f>
        <v>0</v>
      </c>
      <c r="P20" s="130" t="s">
        <v>31</v>
      </c>
      <c r="Q20" s="150">
        <f>-K12</f>
        <v>0</v>
      </c>
      <c r="S20" s="130" t="s">
        <v>31</v>
      </c>
      <c r="T20" s="150">
        <f ca="1">-(K12-K27)*(1+H25)^T10-H20*T19</f>
        <v>0</v>
      </c>
    </row>
    <row r="21" spans="2:20" ht="15" thickBot="1">
      <c r="B21" s="473" t="s">
        <v>7</v>
      </c>
      <c r="C21" s="474"/>
      <c r="D21" s="117">
        <f>SUM(D16:D20)</f>
        <v>0</v>
      </c>
      <c r="E21" s="118">
        <f>SUM(E16:E20)</f>
        <v>0</v>
      </c>
      <c r="G21" s="115" t="s">
        <v>241</v>
      </c>
      <c r="H21" s="289">
        <f>'6'!E13</f>
        <v>0</v>
      </c>
      <c r="J21" s="143" t="s">
        <v>7</v>
      </c>
      <c r="K21" s="144">
        <f>SUM(K18:K20)</f>
        <v>0</v>
      </c>
      <c r="M21" s="116" t="s">
        <v>102</v>
      </c>
      <c r="N21" s="152">
        <f ca="1">IFERROR(HLOOKUP(0,'Kennzahlen im Verlauf'!D41:BA62,22,FALSE),"-")</f>
        <v>2023</v>
      </c>
      <c r="P21" s="130" t="s">
        <v>33</v>
      </c>
      <c r="Q21" s="150">
        <f>IFERROR(-N11*N9/12,0)</f>
        <v>0</v>
      </c>
      <c r="S21" s="130" t="s">
        <v>33</v>
      </c>
      <c r="T21" s="150">
        <f ca="1">-OFFSET('Kennzahlen im Verlauf'!D67,,Cockpit!T10)/12</f>
        <v>0</v>
      </c>
    </row>
    <row r="22" spans="2:20" ht="15" thickBot="1">
      <c r="B22" s="4"/>
      <c r="C22" s="4"/>
      <c r="D22" s="18"/>
      <c r="E22" s="19"/>
      <c r="G22" s="120" t="s">
        <v>240</v>
      </c>
      <c r="H22" s="384" t="str">
        <f>IFERROR(((H16*D14)*(1/80*1.5)-(12*K25))/C11,"-")</f>
        <v>-</v>
      </c>
      <c r="N22" s="23"/>
      <c r="P22" s="130" t="s">
        <v>34</v>
      </c>
      <c r="Q22" s="150">
        <f>IFERROR(-N12*N9/12,0)</f>
        <v>0</v>
      </c>
      <c r="S22" s="130" t="s">
        <v>34</v>
      </c>
      <c r="T22" s="150">
        <f ca="1">-OFFSET('Kennzahlen im Verlauf'!D71,,Cockpit!T10)/12</f>
        <v>0</v>
      </c>
    </row>
    <row r="23" spans="2:20" ht="15" thickBot="1">
      <c r="B23" s="456" t="s">
        <v>12</v>
      </c>
      <c r="C23" s="457"/>
      <c r="D23" s="457"/>
      <c r="E23" s="458"/>
      <c r="J23" s="456" t="s">
        <v>233</v>
      </c>
      <c r="K23" s="458"/>
      <c r="M23" s="453" t="s">
        <v>27</v>
      </c>
      <c r="N23" s="454"/>
      <c r="P23" s="130" t="s">
        <v>32</v>
      </c>
      <c r="Q23" s="150">
        <f>SUM(Q19:Q22)</f>
        <v>0</v>
      </c>
      <c r="S23" s="130" t="s">
        <v>32</v>
      </c>
      <c r="T23" s="150">
        <f ca="1">SUM(T19:T22)</f>
        <v>0</v>
      </c>
    </row>
    <row r="24" spans="2:20" ht="15" thickBot="1">
      <c r="B24" s="121" t="s">
        <v>109</v>
      </c>
      <c r="C24" s="122" t="s">
        <v>110</v>
      </c>
      <c r="D24" s="122" t="s">
        <v>111</v>
      </c>
      <c r="E24" s="123" t="s">
        <v>112</v>
      </c>
      <c r="G24" s="456" t="s">
        <v>123</v>
      </c>
      <c r="H24" s="458"/>
      <c r="J24" s="128" t="s">
        <v>235</v>
      </c>
      <c r="K24" s="294">
        <f>'6'!E8</f>
        <v>0</v>
      </c>
      <c r="M24" s="114" t="s">
        <v>23</v>
      </c>
      <c r="N24" s="172"/>
      <c r="P24" s="130" t="s">
        <v>40</v>
      </c>
      <c r="Q24" s="150">
        <f>-Q34</f>
        <v>0</v>
      </c>
      <c r="S24" s="130" t="s">
        <v>40</v>
      </c>
      <c r="T24" s="150">
        <f ca="1">-T34</f>
        <v>0</v>
      </c>
    </row>
    <row r="25" spans="2:20" ht="15" thickBot="1">
      <c r="B25" s="300" t="s">
        <v>350</v>
      </c>
      <c r="C25" s="320">
        <f>'3'!E8</f>
        <v>0</v>
      </c>
      <c r="D25" s="165" t="s">
        <v>349</v>
      </c>
      <c r="E25" s="166">
        <f>C25</f>
        <v>0</v>
      </c>
      <c r="G25" s="114" t="s">
        <v>105</v>
      </c>
      <c r="H25" s="167">
        <v>0.02</v>
      </c>
      <c r="J25" s="145" t="s">
        <v>232</v>
      </c>
      <c r="K25" s="162">
        <v>23</v>
      </c>
      <c r="M25" s="115" t="s">
        <v>24</v>
      </c>
      <c r="N25" s="175"/>
      <c r="P25" s="133" t="s">
        <v>42</v>
      </c>
      <c r="Q25" s="144">
        <f>Q23+Q24</f>
        <v>0</v>
      </c>
      <c r="R25"/>
      <c r="S25" s="133" t="s">
        <v>42</v>
      </c>
      <c r="T25" s="144">
        <f ca="1">T23+T24</f>
        <v>0</v>
      </c>
    </row>
    <row r="26" spans="2:20" ht="15" thickBot="1">
      <c r="B26" s="300" t="s">
        <v>348</v>
      </c>
      <c r="C26" s="320">
        <f>'3'!E10</f>
        <v>0</v>
      </c>
      <c r="D26" s="165" t="s">
        <v>349</v>
      </c>
      <c r="E26" s="166">
        <f>C26</f>
        <v>0</v>
      </c>
      <c r="G26" s="115" t="s">
        <v>106</v>
      </c>
      <c r="H26" s="168">
        <v>0.02</v>
      </c>
      <c r="J26" s="146" t="s">
        <v>237</v>
      </c>
      <c r="K26" s="147">
        <f>C11*H21/12</f>
        <v>0</v>
      </c>
      <c r="M26" s="115" t="s">
        <v>25</v>
      </c>
      <c r="N26" s="175"/>
      <c r="P26"/>
      <c r="Q26"/>
      <c r="S26"/>
      <c r="T26"/>
    </row>
    <row r="27" spans="2:20" ht="15" thickBot="1">
      <c r="B27" s="163" t="s">
        <v>10</v>
      </c>
      <c r="C27" s="164">
        <v>0</v>
      </c>
      <c r="D27" s="165" t="s">
        <v>74</v>
      </c>
      <c r="E27" s="166"/>
      <c r="G27" s="116" t="s">
        <v>107</v>
      </c>
      <c r="H27" s="169">
        <v>0.02</v>
      </c>
      <c r="J27" s="129" t="s">
        <v>238</v>
      </c>
      <c r="K27" s="124">
        <f>H20*H11</f>
        <v>0</v>
      </c>
      <c r="M27" s="115" t="s">
        <v>26</v>
      </c>
      <c r="N27" s="150">
        <f>(N25+N26)*N24/12</f>
        <v>0</v>
      </c>
      <c r="P27" s="456" t="s">
        <v>39</v>
      </c>
      <c r="Q27" s="458"/>
      <c r="S27" s="456" t="s">
        <v>39</v>
      </c>
      <c r="T27" s="458"/>
    </row>
    <row r="28" spans="2:20" ht="15" thickBot="1">
      <c r="B28" s="163" t="s">
        <v>10</v>
      </c>
      <c r="C28" s="164">
        <v>0</v>
      </c>
      <c r="D28" s="165" t="s">
        <v>74</v>
      </c>
      <c r="E28" s="166"/>
      <c r="J28" s="129" t="s">
        <v>89</v>
      </c>
      <c r="K28" s="124">
        <f>K45</f>
        <v>0</v>
      </c>
      <c r="M28" s="116" t="s">
        <v>102</v>
      </c>
      <c r="N28" s="151">
        <f ca="1">HLOOKUP(0,'Kennzahlen im Verlauf'!D58:BA62,5,FALSE)</f>
        <v>2023</v>
      </c>
      <c r="P28" s="114" t="s">
        <v>13</v>
      </c>
      <c r="Q28" s="153">
        <f>Q19</f>
        <v>0</v>
      </c>
      <c r="S28" s="114" t="s">
        <v>13</v>
      </c>
      <c r="T28" s="153">
        <f ca="1">T19</f>
        <v>0</v>
      </c>
    </row>
    <row r="29" spans="2:20" ht="15" thickBot="1">
      <c r="B29" s="115" t="s">
        <v>7</v>
      </c>
      <c r="C29" s="21">
        <f>SUM(C25:C28)</f>
        <v>0</v>
      </c>
      <c r="D29" s="15" t="s">
        <v>7</v>
      </c>
      <c r="E29" s="124">
        <f>SUM(E25:E28)</f>
        <v>0</v>
      </c>
      <c r="J29" s="148" t="s">
        <v>239</v>
      </c>
      <c r="K29" s="149">
        <f>K24+K26+K27+K28</f>
        <v>0</v>
      </c>
      <c r="N29" s="20"/>
      <c r="P29" s="130" t="s">
        <v>244</v>
      </c>
      <c r="Q29" s="150">
        <f>-K12+K26+K27</f>
        <v>0</v>
      </c>
      <c r="S29" s="130" t="s">
        <v>244</v>
      </c>
      <c r="T29" s="150">
        <f ca="1">-(K12-K26-K27)*(1+H25)^T10</f>
        <v>0</v>
      </c>
    </row>
    <row r="30" spans="2:20" ht="15" thickBot="1">
      <c r="B30" s="116" t="s">
        <v>114</v>
      </c>
      <c r="C30" s="125">
        <f>0.15*H16*(D14+E21)*1.19</f>
        <v>0</v>
      </c>
      <c r="D30" s="126" t="s">
        <v>115</v>
      </c>
      <c r="E30" s="118">
        <f>D14+E29</f>
        <v>0</v>
      </c>
      <c r="L30" s="22"/>
      <c r="M30" s="5"/>
      <c r="N30" s="5"/>
      <c r="P30" s="130" t="s">
        <v>33</v>
      </c>
      <c r="Q30" s="150">
        <f>Q21</f>
        <v>0</v>
      </c>
      <c r="S30" s="130" t="s">
        <v>33</v>
      </c>
      <c r="T30" s="150">
        <f ca="1">T21</f>
        <v>0</v>
      </c>
    </row>
    <row r="31" spans="2:20" ht="15" thickBot="1">
      <c r="J31" s="456" t="s">
        <v>242</v>
      </c>
      <c r="K31" s="458"/>
      <c r="P31" s="130" t="s">
        <v>229</v>
      </c>
      <c r="Q31" s="150">
        <f>-'Kennzahlen im Verlauf'!D24</f>
        <v>0</v>
      </c>
      <c r="S31" s="130" t="s">
        <v>229</v>
      </c>
      <c r="T31" s="150">
        <f ca="1">-OFFSET('Kennzahlen im Verlauf'!D24,,Cockpit!T10)</f>
        <v>0</v>
      </c>
    </row>
    <row r="32" spans="2:20" ht="15" thickBot="1">
      <c r="B32" s="456" t="s">
        <v>9</v>
      </c>
      <c r="C32" s="457"/>
      <c r="D32" s="457"/>
      <c r="E32" s="458"/>
      <c r="J32" s="173" t="s">
        <v>245</v>
      </c>
      <c r="K32" s="170"/>
      <c r="P32" s="130" t="s">
        <v>38</v>
      </c>
      <c r="Q32" s="150">
        <f>SUM(Q28:Q31)</f>
        <v>0</v>
      </c>
      <c r="S32" s="130" t="s">
        <v>38</v>
      </c>
      <c r="T32" s="150">
        <f ca="1">SUM(T28:T31)</f>
        <v>0</v>
      </c>
    </row>
    <row r="33" spans="2:20" ht="15" thickBot="1">
      <c r="B33" s="471" t="s">
        <v>7</v>
      </c>
      <c r="C33" s="472"/>
      <c r="D33" s="472"/>
      <c r="E33" s="127">
        <f>D14+E21+C29</f>
        <v>0</v>
      </c>
      <c r="J33" s="174" t="s">
        <v>246</v>
      </c>
      <c r="K33" s="171"/>
      <c r="P33" s="115" t="s">
        <v>230</v>
      </c>
      <c r="Q33" s="137">
        <f>'12'!E14</f>
        <v>0</v>
      </c>
      <c r="S33" s="115" t="s">
        <v>230</v>
      </c>
      <c r="T33" s="176">
        <f>Q33</f>
        <v>0</v>
      </c>
    </row>
    <row r="34" spans="2:20" ht="15" thickBot="1">
      <c r="J34" s="174" t="s">
        <v>247</v>
      </c>
      <c r="K34" s="171"/>
      <c r="P34" s="133" t="s">
        <v>41</v>
      </c>
      <c r="Q34" s="144">
        <f>Q33*Q32</f>
        <v>0</v>
      </c>
      <c r="S34" s="133" t="s">
        <v>41</v>
      </c>
      <c r="T34" s="144">
        <f ca="1">T33*T32</f>
        <v>0</v>
      </c>
    </row>
    <row r="35" spans="2:20" ht="15" thickBot="1">
      <c r="J35" s="174" t="s">
        <v>248</v>
      </c>
      <c r="K35" s="171"/>
    </row>
    <row r="36" spans="2:20" ht="15" thickBot="1">
      <c r="J36" s="142" t="s">
        <v>132</v>
      </c>
      <c r="K36" s="162"/>
      <c r="P36" s="453" t="s">
        <v>71</v>
      </c>
      <c r="Q36" s="454"/>
      <c r="S36" s="456" t="s">
        <v>125</v>
      </c>
      <c r="T36" s="458"/>
    </row>
    <row r="37" spans="2:20" ht="15" thickBot="1">
      <c r="J37" s="143" t="s">
        <v>7</v>
      </c>
      <c r="K37" s="144">
        <f>SUM(K32:K36)</f>
        <v>0</v>
      </c>
      <c r="L37"/>
      <c r="M37" s="5"/>
      <c r="N37" s="5"/>
      <c r="P37" s="114" t="s">
        <v>35</v>
      </c>
      <c r="Q37" s="155" t="str">
        <f>IFERROR(Q9/N10,"-")</f>
        <v>-</v>
      </c>
      <c r="S37" s="128" t="s">
        <v>56</v>
      </c>
      <c r="T37" s="153">
        <f ca="1">-(T21-T25/(1-T33))</f>
        <v>0</v>
      </c>
    </row>
    <row r="38" spans="2:20" ht="15" thickBot="1">
      <c r="L38" s="5"/>
      <c r="M38" s="5"/>
      <c r="N38" s="5"/>
      <c r="P38" s="156" t="s">
        <v>95</v>
      </c>
      <c r="Q38" s="390" t="str">
        <f>IFERROR(Q10/N10,"-")</f>
        <v>-</v>
      </c>
      <c r="S38" s="116" t="s">
        <v>57</v>
      </c>
      <c r="T38" s="160" t="str">
        <f ca="1">IF(OFFSET('Kennzahlen im Verlauf'!D63,,Cockpit!T10)=0,"-",T37*12/OFFSET('Kennzahlen im Verlauf'!D63,,Cockpit!T10))</f>
        <v>-</v>
      </c>
    </row>
    <row r="39" spans="2:20" ht="15" thickBot="1">
      <c r="J39" s="456" t="s">
        <v>243</v>
      </c>
      <c r="K39" s="458"/>
      <c r="L39" s="5"/>
      <c r="O39" s="5"/>
    </row>
    <row r="40" spans="2:20">
      <c r="J40" s="173" t="s">
        <v>245</v>
      </c>
      <c r="K40" s="170"/>
      <c r="L40" s="5"/>
      <c r="O40" s="5"/>
    </row>
    <row r="41" spans="2:20">
      <c r="J41" s="174" t="s">
        <v>246</v>
      </c>
      <c r="K41" s="171"/>
      <c r="L41" s="5"/>
      <c r="O41" s="5"/>
    </row>
    <row r="42" spans="2:20">
      <c r="J42" s="174" t="s">
        <v>247</v>
      </c>
      <c r="K42" s="171"/>
      <c r="L42" s="5"/>
      <c r="O42" s="5"/>
    </row>
    <row r="43" spans="2:20">
      <c r="J43" s="174" t="s">
        <v>248</v>
      </c>
      <c r="K43" s="171"/>
      <c r="L43" s="5"/>
      <c r="O43" s="5"/>
    </row>
    <row r="44" spans="2:20">
      <c r="J44" s="142" t="s">
        <v>132</v>
      </c>
      <c r="K44" s="162"/>
      <c r="L44" s="5"/>
      <c r="O44" s="5"/>
    </row>
    <row r="45" spans="2:20" ht="15" thickBot="1">
      <c r="J45" s="143" t="s">
        <v>7</v>
      </c>
      <c r="K45" s="144">
        <f>SUM(K40:K44)</f>
        <v>0</v>
      </c>
      <c r="L45" s="5"/>
      <c r="M45" s="5"/>
      <c r="N45" s="5"/>
      <c r="O45" s="5"/>
    </row>
    <row r="46" spans="2:20">
      <c r="L46" s="5"/>
      <c r="M46" s="5"/>
      <c r="N46" s="5"/>
      <c r="O46" s="5"/>
    </row>
    <row r="47" spans="2:20">
      <c r="L47" s="5"/>
      <c r="M47" s="5"/>
      <c r="N47" s="5"/>
      <c r="O47" s="5"/>
    </row>
    <row r="48" spans="2:20">
      <c r="B48" s="107" t="s">
        <v>269</v>
      </c>
      <c r="L48" s="5"/>
      <c r="M48" s="5"/>
      <c r="N48" s="5"/>
      <c r="O48" s="5"/>
    </row>
    <row r="49" spans="12:18">
      <c r="L49" s="5"/>
      <c r="M49" s="5"/>
      <c r="N49" s="5"/>
    </row>
    <row r="50" spans="12:18">
      <c r="L50" s="5"/>
      <c r="M50" s="5"/>
      <c r="N50" s="5"/>
    </row>
    <row r="51" spans="12:18">
      <c r="L51" s="5"/>
      <c r="M51" s="5"/>
      <c r="N51" s="5"/>
    </row>
    <row r="52" spans="12:18">
      <c r="M52" s="5"/>
      <c r="N52" s="5"/>
      <c r="R52" s="6"/>
    </row>
    <row r="53" spans="12:18">
      <c r="M53" s="5"/>
      <c r="N53" s="5"/>
    </row>
    <row r="54" spans="12:18">
      <c r="M54" s="5"/>
      <c r="N54" s="5"/>
    </row>
    <row r="55" spans="12:18">
      <c r="M55" s="5"/>
      <c r="N55" s="5"/>
    </row>
    <row r="56" spans="12:18">
      <c r="M56" s="5"/>
      <c r="N56" s="5"/>
    </row>
    <row r="57" spans="12:18">
      <c r="M57" s="5"/>
      <c r="N57" s="5"/>
    </row>
  </sheetData>
  <sheetProtection algorithmName="SHA-512" hashValue="CsS4v9qAEoswTdlqMCBomIE5xd7vYCN8oS3aavVpvirBbb7ykvoAY7+vSlKlbNNDFvl9aw+AfDDuYAakqzLguQ==" saltValue="5g0PTfdwc+ZfGscxbjzagw==" spinCount="100000" sheet="1" objects="1" scenarios="1" formatCells="0" formatColumns="0"/>
  <dataConsolidate/>
  <mergeCells count="52">
    <mergeCell ref="J39:K39"/>
    <mergeCell ref="D15:E15"/>
    <mergeCell ref="B15:C15"/>
    <mergeCell ref="B18:C18"/>
    <mergeCell ref="B19:C19"/>
    <mergeCell ref="B33:D33"/>
    <mergeCell ref="B32:E32"/>
    <mergeCell ref="B21:C21"/>
    <mergeCell ref="G24:H24"/>
    <mergeCell ref="B23:E23"/>
    <mergeCell ref="G19:H19"/>
    <mergeCell ref="B17:C17"/>
    <mergeCell ref="B16:C16"/>
    <mergeCell ref="D14:E14"/>
    <mergeCell ref="M23:N23"/>
    <mergeCell ref="B13:E13"/>
    <mergeCell ref="J8:K8"/>
    <mergeCell ref="B14:C14"/>
    <mergeCell ref="G14:H14"/>
    <mergeCell ref="C9:E9"/>
    <mergeCell ref="B20:C20"/>
    <mergeCell ref="S36:T36"/>
    <mergeCell ref="P36:Q36"/>
    <mergeCell ref="P27:Q27"/>
    <mergeCell ref="S27:T27"/>
    <mergeCell ref="P18:Q18"/>
    <mergeCell ref="S1:T3"/>
    <mergeCell ref="P1:Q3"/>
    <mergeCell ref="J31:K31"/>
    <mergeCell ref="S18:T18"/>
    <mergeCell ref="J23:K23"/>
    <mergeCell ref="J14:K14"/>
    <mergeCell ref="J17:K17"/>
    <mergeCell ref="S12:T12"/>
    <mergeCell ref="M15:N15"/>
    <mergeCell ref="M1:N3"/>
    <mergeCell ref="S8:T8"/>
    <mergeCell ref="J1:K3"/>
    <mergeCell ref="P12:Q12"/>
    <mergeCell ref="S6:T6"/>
    <mergeCell ref="J6:K6"/>
    <mergeCell ref="M6:N6"/>
    <mergeCell ref="P6:Q6"/>
    <mergeCell ref="M8:N8"/>
    <mergeCell ref="E1:E3"/>
    <mergeCell ref="B6:E6"/>
    <mergeCell ref="P8:Q8"/>
    <mergeCell ref="G6:H6"/>
    <mergeCell ref="B8:E8"/>
    <mergeCell ref="G8:H8"/>
    <mergeCell ref="G1:H3"/>
    <mergeCell ref="C1:D3"/>
  </mergeCells>
  <conditionalFormatting sqref="F27">
    <cfRule type="expression" priority="1">
      <formula>_xludf.ISERROR($Q$25)</formula>
    </cfRule>
  </conditionalFormatting>
  <dataValidations count="128">
    <dataValidation type="list" allowBlank="1" showInputMessage="1" showErrorMessage="1" promptTitle="Steuerliche Behandlung" prompt="Sofort: Betrag wird sofort als Werbungskosten geltend gemacht. Keine langfristige Abschreibung. Kein Einfluss auf Cashflow._x000a__x000a_Aktivieren: Betrag wird langfristig zusammen mit dem Gebäude abgeschrieben. Kein sofortiger Steuervorteil. Dafür höherer Cashflow." sqref="D25:D28" xr:uid="{00000000-0002-0000-1200-000000000000}">
      <formula1>"Aktivieren,Sofort"</formula1>
    </dataValidation>
    <dataValidation allowBlank="1" showInputMessage="1" promptTitle="Adresse" prompt="Diese Adresse hast du im roten Faden festgelegt. Kehre bitte dorthin zurück, um sie zu ändern." sqref="C9:E9" xr:uid="{00000000-0002-0000-1200-000001000000}"/>
    <dataValidation allowBlank="1" showInputMessage="1" errorTitle="Kaufdatum" error="Bitte gib ein gültiges Datum zwischen dem 01.01.1900 und 31.12.2199 ein. Wenn du das Kaufdatum noch nicht kennst, gib einfach den 1. Januar des aktuellen Jahres ein, um den Tool alle Berechnungen zu ermöglichen." promptTitle="Kaufdatum" prompt="Dieses Kaufdatum hast du im roten Faden festgelegt. Bitte kehre dorthin zurück, um es zu ändern." sqref="C10" xr:uid="{00000000-0002-0000-1200-000002000000}"/>
    <dataValidation operator="greaterThan" showInputMessage="1" errorTitle="Wohnfläche" error="Bitte gib die Wohnfläche in m² als positive Zahl ein, bspw. 31." promptTitle="Wohnfläche" prompt="Diese Wohnfläche hast du im roten Faden festgelegt. Bitte kehre dorthin zurück, um sie zu ändern." sqref="C11" xr:uid="{00000000-0002-0000-1200-000003000000}"/>
    <dataValidation operator="greaterThanOrEqual" showInputMessage="1" errorTitle="Kaufpreis" error="Bitte gib den Kaufpreis in Euro ein, bspw. 55000. Der Kaufpreis darf nicht negativ sein. " promptTitle="Kaufpreis" prompt="Dies ist der Kaufpreis, den du im roten Faden festgelegt hast. Kehre zum roten Faden zurück, um diesen anzupassen." sqref="D14:E14" xr:uid="{00000000-0002-0000-1200-000004000000}"/>
    <dataValidation operator="greaterThanOrEqual" allowBlank="1" showInputMessage="1" errorTitle="Makler" error="Bitte gib die Maklerprovision in % des Kaufpreises ein, bspw. 3,57%. Der Wert darf nicht negativ sein." promptTitle="Makler-Provision" prompt="Dies ist die Makler-Provision die du im roten Faden festgelegt hast. Kehre zum roten Faden zurück, um diese anzupassen." sqref="D16" xr:uid="{00000000-0002-0000-1200-000005000000}"/>
    <dataValidation operator="greaterThanOrEqual" allowBlank="1" showInputMessage="1" errorTitle="Notar" error="Bitte gib die Notarkosten in % des Kaufpreises ein, bspw. 1,50%. Der Wert darf nicht negativ sein." promptTitle="Notar" prompt="Dies sind die Notar-Kosten, die du im roten Faden festgelegt hast. Kehre zum roten Faden zurück, um diese anzupassen." sqref="D17" xr:uid="{00000000-0002-0000-1200-000006000000}"/>
    <dataValidation operator="greaterThanOrEqual" allowBlank="1" showInputMessage="1" errorTitle="Grundbuch Amt" error="Bitte gib die Kosten für das Grundbuch Amt in % des Kaufpreises ein, bspw. 0,50%. Der Wert darf nicht negativ sein." promptTitle="Grundbuch Amt" prompt="Dies sind die Kosten für das Grundbuch-Amt, die du im roten Faden festgelegt hast. Kehre zum roten Faden zurück, um diese anzupassen." sqref="D18" xr:uid="{00000000-0002-0000-1200-000007000000}"/>
    <dataValidation operator="greaterThanOrEqual" allowBlank="1" showInputMessage="1" errorTitle="Grunderwerbsteuer" error="Bitte gib die Grunderwerbsteuer in % des Kaufpreises ein, bspw. 6,50%. Der Wert darf nicht negativ sein." promptTitle="Grunderwerbsteuer" prompt="Dies sist die Grunderwerbsteuer, die du im roten Faden festgelegt hast. Kehre zum roten Faden zurück, um diese anzupassen." sqref="D19" xr:uid="{00000000-0002-0000-1200-000008000000}"/>
    <dataValidation operator="greaterThanOrEqual" allowBlank="1" showInputMessage="1" errorTitle="Sonstige Kaufnebenkosten" error="Bitte gib die sonstigen Kaufnebenkosten in % des Kaufpreises ein, bspw. 1,00%. Der Wert darf nicht negativ sein." promptTitle="Sonstige Kaufnebenkosten" prompt="Dies sind die sonstigen Kaufnebenkosten, die du im roten Faden festgelegt hast. Kehre zum roten Faden zurück, um diese anzupassen." sqref="D20" xr:uid="{00000000-0002-0000-1200-000009000000}"/>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3:E23" xr:uid="{00000000-0002-0000-1200-00000A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1200-00000B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1200-00000C000000}"/>
    <dataValidation allowBlank="1" showInputMessage="1" showErrorMessage="1" promptTitle="Anfängliche Investitionen - was" prompt="Hier beschreibst du kurz, worum es bei der Investition geht." sqref="B27:B28" xr:uid="{00000000-0002-0000-1200-00000D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MwSt.)._x000a__x000a_Format: Kosten in Euro, bspw. 3000." sqref="C27:C28" xr:uid="{00000000-0002-0000-1200-00000E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5:E28" xr:uid="{00000000-0002-0000-1200-00000F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0" xr:uid="{00000000-0002-0000-1200-000010000000}"/>
    <dataValidation allowBlank="1" showInputMessage="1" showErrorMessage="1" promptTitle="15% Grenze" prompt="Wenn die Investitionen in den ersten 3 Jahren über diesem Wert liegen, stellen sie &quot;anschaffungsnahen Herstellungsaufwand&quot; dar und dürfen steuerlich nur noch langfristig abgeschrieben werden (--&gt; &quot;aktivieren&quot;). Bitte unbedingt Steuerberater einbinden." sqref="C30" xr:uid="{00000000-0002-0000-1200-000011000000}"/>
    <dataValidation allowBlank="1" showInputMessage="1" showErrorMessage="1" promptTitle="Gesamtinvestitionskosten" prompt="Hier werden deine Gesamtinvestitionskosten angezeigt. Dies ist die Summe aus Kaufpreis, Kaufnebenkosten und anfänglichen Investitionen." sqref="B32:E32" xr:uid="{00000000-0002-0000-1200-000012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1200-000013000000}"/>
    <dataValidation allowBlank="1" showInputMessage="1" promptTitle="Nettokaltmiete" prompt="Dies ist die Nettokaltmiete, die du im roten Faden festgelegt hast. Kehre zum roten Faden zurück, um diese anzupassen." sqref="H9" xr:uid="{00000000-0002-0000-1200-000014000000}"/>
    <dataValidation allowBlank="1" showInputMessage="1" showErrorMessage="1" promptTitle="Umlagefähige Kosten" prompt="Die umlagefähigen Kosten stammen aus den Eingaben im Bereich &quot;Bewirtschaftungskosten&quot; und werden zur Ermittlung der Warmmiete auf die Nettokaltmiete aufgeschlagen." sqref="H10" xr:uid="{00000000-0002-0000-1200-000015000000}"/>
    <dataValidation allowBlank="1" showInputMessage="1" showErrorMessage="1" promptTitle="Warmmiete" prompt="Dies ist die Summe aus der Nettokaltmiete (effektiv) und den umlagefähigen Kosten." sqref="H11:H12" xr:uid="{00000000-0002-0000-1200-000016000000}"/>
    <dataValidation allowBlank="1" showInputMessage="1" errorTitle="AfA Satz" error="Der Abschreibungssatz sollte in aller Regel 2,0% oder 2,5% betragen. Keinesfalls kann er negativ sein oder &gt; 100% betragen." promptTitle="AfA Satz" prompt="Dieser Abschreibungs-Satz wurde aus deinen Eingaben zur Steuer im roten Faden berechnet. Bitte kehre dorthin zurück, um ihn zu ändern." sqref="H15" xr:uid="{00000000-0002-0000-1200-000017000000}"/>
    <dataValidation allowBlank="1" showInputMessage="1" errorTitle="Gebäudeanteil am Kaufpreis" error="Bitte gib den Gebäudeanteil am Kaufpreis in % ein, bspw. 75%. Der Wert muss zwischen 0% und 100% liegen." promptTitle="Gebäudeanteil am Kaufpreis" prompt="Dieser Gebäudeanteil wurde aus deinen Eingaben zur Steuer im roten Faden berechnet. Bitte kehre dorthin zurück, um ihn zu ändern." sqref="H16" xr:uid="{00000000-0002-0000-1200-000018000000}"/>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17" xr:uid="{00000000-0002-0000-1200-000019000000}"/>
    <dataValidation allowBlank="1" showInputMessage="1" showErrorMessage="1" promptTitle="Steuern" prompt="Hier gibst du wichtige Basisdaten für die steuerliche Berechnung deiner Immobilie ein. Bitte besprich alle steuerlichen Details immer auch mit deinem Steuerberater." sqref="G14:H14" xr:uid="{00000000-0002-0000-1200-00001A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19:H19" xr:uid="{00000000-0002-0000-1200-00001B000000}"/>
    <dataValidation allowBlank="1" showInputMessage="1" errorTitle="Kalkulatorischer Mietausfall" error="Bitte gib den kalkulatorischen Mietausfall in % ein. Der Wert muss zwischen 0% und 100% liegen." promptTitle="Kalkulatorischer Mietausfall" prompt="Dies ist die Rücklage für Mietausfall, die du im roten Faden festgelegt hast. Kehre zum roten Faden zurück, um diese anzupassen." sqref="H20" xr:uid="{00000000-0002-0000-1200-00001C000000}"/>
    <dataValidation operator="greaterThanOrEqual" allowBlank="1" showInputMessage="1" errorTitle="Eigene Instandhaltungsrücklage" error="Bitte gib deine eigene Instandhaltungsrücklage in Euro pro m² Wohnfläche und Jahr ein, bspw. 10. Die Rücklage darf nicht negativ sein." promptTitle="Eigene Instandhaltungsrücklage" prompt="Dies ist die eigene Instandhaltungsrücklage, die du im roten Faden festgelegt hast. Kehre zum roten Faden zurück, um diese anzupassen." sqref="H21" xr:uid="{00000000-0002-0000-1200-00001D000000}"/>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2" xr:uid="{00000000-0002-0000-1200-00001E000000}"/>
    <dataValidation allowBlank="1" showInputMessage="1" showErrorMessage="1" promptTitle="Prognose" prompt="Hier gibst du Basisdaten für die Hochschätzung deiner Immobilien-Kalkulation in die Zukunft ein." sqref="G24:H24" xr:uid="{00000000-0002-0000-1200-00001F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25" xr:uid="{00000000-0002-0000-1200-000020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26" xr:uid="{00000000-0002-0000-1200-000021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27" xr:uid="{00000000-0002-0000-1200-000022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1200-000023000000}"/>
    <dataValidation allowBlank="1" showInputMessage="1" showErrorMessage="1" promptTitle="Umlagefähige Kosten" prompt="Die Summe aller Kosten, die du als auf den Mieter umlagefähig eingegeben hast." sqref="K9" xr:uid="{00000000-0002-0000-1200-000024000000}"/>
    <dataValidation allowBlank="1" showInputMessage="1" showErrorMessage="1" promptTitle="Nicht umlagefähige Kosten" prompt="Die Summe aller Kosten, die du als nicht auf den Mieter umlagefähig eingegeben hast." sqref="K10" xr:uid="{00000000-0002-0000-1200-000025000000}"/>
    <dataValidation allowBlank="1" showInputMessage="1" showErrorMessage="1" promptTitle="Nicht umlagefähige Kosten" prompt="Welchen Anteil deiner Nettokaltmiete musst du aufwenden, um die nicht umlagefähigen Kosten zu decken. Je höher dieser Wert, desto weniger Geld bleibt dir für den Kapitaldienst bzw. Vermögensaufbau." sqref="K11" xr:uid="{00000000-0002-0000-1200-000026000000}"/>
    <dataValidation allowBlank="1" showInputMessage="1" showErrorMessage="1" promptTitle="Bewirtschaftungskosten insgesamt" prompt="Die Summe deiner umlagefähigen und nicht umlagefähigen Bewirtschaftungskosten." sqref="K12" xr:uid="{00000000-0002-0000-1200-000027000000}"/>
    <dataValidation allowBlank="1" showInputMessage="1" showErrorMessage="1" promptTitle="Hausgeld" prompt="Hier findest du die Summe des von dir eingegebenen umlagefähigen und nicht umlagefähigen Hausgeldes. Bei einer Eigentumswohnung sollte dies dem Betrag entsprechen, den du monatlich an die Hausverwaltung bezahlst." sqref="J14:K14" xr:uid="{00000000-0002-0000-1200-000028000000}"/>
    <dataValidation allowBlank="1" showInputMessage="1" showErrorMessage="1" promptTitle="Hausgeld insgesamt" prompt="Die Summe der von dir eingegebenen umlagefähigen und nicht umlagefähigen Hausgeldanteile." sqref="K15" xr:uid="{00000000-0002-0000-1200-000029000000}"/>
    <dataValidation type="decimal" operator="greaterThanOrEqual" allowBlank="1" showInputMessage="1" showErrorMessage="1" errorTitle="Hausgeld (umlagefähiger Anteil)" error="Bitte gib das Hausgeld in Euro ein pro Monat ein, bspw. 105. Der Wert darf nicht negativ sein." promptTitle="Hausgeld (umlagefähiger Anteil)" prompt="Gib hier die Höhe des umlagefähigen Anteils des Hausgeldes ein. Du findest dieses bspw. im aktuellen Wirtschaftsplan der Eigentumswohnung. Wenn du ein Mehrfamilienhaus kalkulierst, gib einfach 0 ein._x000a__x000a_Format: Euro pro Monat, bspw. 105." sqref="K18" xr:uid="{00000000-0002-0000-1200-00002A000000}">
      <formula1>0</formula1>
    </dataValidation>
    <dataValidation type="decimal" operator="greaterThanOrEqual" allowBlank="1" showInputMessage="1" showErrorMessage="1" errorTitle="Grundsteuer" error="Bitte gib die Grundsteuer in Euro pro Monat ein. Der Wert darf nicht negativ sein." promptTitle="Grundsteuer" prompt="Hier gibst du die festgesetzte Grundsteuer ein. Die Höhe hängt von der konkreten Immobilie und dem Bundesland ab. Du findest den Wert im Grundsteuerbescheid bzw. erfährst ihn ggf. vom Verkäufer._x000a__x000a_Format: Grundsteuer pro Monat in Euro, bspw. 12." sqref="K19" xr:uid="{00000000-0002-0000-1200-00002B000000}">
      <formula1>0</formula1>
    </dataValidation>
    <dataValidation allowBlank="1" showInputMessage="1" showErrorMessage="1" promptTitle="Sonstige umlagefähige Kosten" prompt="Die sonstigen umlagefähigen Kosten gibst du weiter unten im Detail ein. Hier findest du die Summe. Sonstige Kosten wirst du insbesondere bei der Kalkulation von Mehrfamilienhäusern abbilden (anstelle des Hausgeldes)." sqref="K20" xr:uid="{00000000-0002-0000-1200-00002C000000}"/>
    <dataValidation allowBlank="1" showInputMessage="1" showErrorMessage="1" promptTitle="Sonstige nicht umlagef. Kosten" prompt="Die sonstigen nicht umlagefähigen Kosten gibst du weiter unten im Detail ein. Hier findest du die Summe. Sonstige Kosten wirst du insbesondere bei der Kalkulation von Mehrfamilienhäusern abbilden (anstelle des Hausgeldes)." sqref="K28" xr:uid="{00000000-0002-0000-1200-00002D000000}"/>
    <dataValidation operator="greaterThanOrEqual" allowBlank="1" showInputMessage="1" errorTitle="Hausgeld (nicht umlagef. Anteil)" error="Bitte gib das Hausgeld pro Monat in Euro ein, bspw. 49. Der Wert darf nicht negativ sein." promptTitle="Hausgeld (nicht umlagef. Anteil)" prompt="Dies ist das nicht umlagefähige Hausgeld, das du im roten Faden festgelegt hast. Kehre zum roten Faden zurück, um diese anzupassen." sqref="K24" xr:uid="{00000000-0002-0000-1200-00002E000000}"/>
    <dataValidation type="decimal" operator="greaterThanOrEqual" allowBlank="1" showInputMessage="1" showErrorMessage="1" errorTitle="WEG Rücklage" error="Bitte gib die WEG Rücklage in Euro pro Monat ein. Der Wert darf nicht negativ sein." promptTitle="WEG Rücklage im Hausgeld" prompt="Welcher Anteil des Hausgeldes entfällt auf die Instandhalt.-Rückl. der Eigentümergemeinschaft (WEG-Rücklage). Zu finden bspw. im Wirtschaftsplan der Wohnung. Wenn du Mehrfamilienhaus kalkulierst, gib einfach 0 ein._x000a__x000a_Format: Euro pro Monat, bspw. 23." sqref="K25" xr:uid="{00000000-0002-0000-1200-00002F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6" xr:uid="{00000000-0002-0000-1200-000030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7" xr:uid="{00000000-0002-0000-1200-000031000000}"/>
    <dataValidation allowBlank="1" showInputMessage="1" showErrorMessage="1" promptTitle="Summe nicht umlagefähige Kosten" prompt="Die Summe der nicht umlagefähigen Kosten. Diese Kosten mindern deinen monatlichen Überschuss und stehen nicht für den Kapitaldienst zur Verfügung." sqref="K29" xr:uid="{00000000-0002-0000-1200-000032000000}"/>
    <dataValidation allowBlank="1" showInputMessage="1" showErrorMessage="1" promptTitle="Summe umlagefähige Kosten" prompt="Die Summe der umlagefähigen Kosten. Diese werden zur Berechnung der Warmmiete auf die Nettokaltmiete aufgeschlagen." sqref="K21" xr:uid="{00000000-0002-0000-1200-000033000000}"/>
    <dataValidation type="decimal" operator="greaterThanOrEqual" allowBlank="1" showInputMessage="1" showErrorMessage="1" errorTitle="Sonstige umlagefähige Kosten" error="Bitte gib die Kosten in Euro pro Monat ein, bspw. 5. Der Wert darf nicht negativ sein." promptTitle="Sonstige umlagefähige Kosten" prompt="Hier gibst du den Betrag dieser Kostenposition ein._x000a__x000a_Format: Euro pro Monat, bspw. 5." sqref="K32:K36" xr:uid="{00000000-0002-0000-1200-000034000000}">
      <formula1>0</formula1>
    </dataValidation>
    <dataValidation type="decimal" operator="greaterThanOrEqual" allowBlank="1" showInputMessage="1" showErrorMessage="1" errorTitle="Sonstige nicht umlagef. Kosten" error="Bitte gib die Kosten in Euro pro Monat ein, bspw. 5. Der Wert darf nicht negativ sein." promptTitle="Sonstige nicht umlagef. Kosten" prompt="Hier gibst du den Betrag dieser Kostenposition ein._x000a__x000a_Format: Euro pro Monat, bspw. 5." sqref="K40:K44" xr:uid="{00000000-0002-0000-1200-000035000000}">
      <formula1>0</formula1>
    </dataValidation>
    <dataValidation allowBlank="1" showInputMessage="1" showErrorMessage="1" promptTitle="Sonstige umlagefähige Kosten" prompt="Hier gibst du die Bezeichnung der entsprechenden Kostenposition ein." sqref="J32:J35" xr:uid="{00000000-0002-0000-1200-000036000000}"/>
    <dataValidation allowBlank="1" showInputMessage="1" showErrorMessage="1" promptTitle="Sonstige nicht umlagef. Kosten" prompt="Hier gibst du die Bezeichnung der entsprechenden Kostenposition ein." sqref="J40:J43" xr:uid="{00000000-0002-0000-1200-000037000000}"/>
    <dataValidation allowBlank="1" showInputMessage="1" showErrorMessage="1" promptTitle="Sonstige umlagefähige Kosten" prompt="Hier gibst du die Details zu sonstigen umlagefähigen Kosten ein. Dies kannst du z.B. verwenden, wenn du keine Wohnung sondern ein komplettes Mehrfamilienhaus kalkulierst und die grobe Kostenstruktur abbilden möchtest." sqref="J31:K31" xr:uid="{00000000-0002-0000-1200-000038000000}"/>
    <dataValidation allowBlank="1" showInputMessage="1" showErrorMessage="1" promptTitle="Sonstige nicht umlagef. Kosten" prompt="Hier gibst du die Details zu sonstigen nicht umlagefähigen Kosten ein. Dies kanst du z.B. verwenden, wenn du keine Wohnung sondern ein komplettes Mehrfamilienhaus kalkulierst und die grobe Kostenstruktur abbilden möchtest." sqref="J39:K39" xr:uid="{00000000-0002-0000-1200-000039000000}"/>
    <dataValidation allowBlank="1" showInputMessage="1" showErrorMessage="1" promptTitle="Gesamt-Finanzierung" prompt="Hier findest du die Zusammenfassung deiner Finanzierung, die sich aus der Summe aller Darlehen ergibt." sqref="M8:N8" xr:uid="{00000000-0002-0000-1200-00003A000000}"/>
    <dataValidation allowBlank="1" showInputMessage="1" showErrorMessage="1" promptTitle="Darlehenssumme" prompt="Hier findest du die Gesamtsumme aller Darlehen." sqref="N9" xr:uid="{00000000-0002-0000-1200-00003B000000}"/>
    <dataValidation allowBlank="1" showInputMessage="1" showErrorMessage="1" promptTitle="Eigenkapital" prompt="Dieser Eigenkapital-Bedarf ergibt sich als Differenz aus deinen Gesamtinvestitionskosten und der Summe aller Darlehen." sqref="N10" xr:uid="{00000000-0002-0000-1200-00003C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1200-00003D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1200-00003E000000}"/>
    <dataValidation allowBlank="1" showInputMessage="1" showErrorMessage="1" promptTitle="Kapitaldienst pro Monat" prompt="Dies ist der Kapitaldienst, den du für alle Darlehen zusammen pro Monat leisten musst." sqref="N13" xr:uid="{00000000-0002-0000-1200-00003F000000}"/>
    <dataValidation operator="greaterThanOrEqual" allowBlank="1" showInputMessage="1" errorTitle="Darlehenssumme vom Kaufpreis" error="Bitte gib die Darlehenssumme in % des Kaufpreises ein, bspw. 80%. Der Wert darf nicht negativ sein." promptTitle="Darlehenssumme vom Kaufpreis" prompt="Dies ist die Darlehenshöhe, die du im roten Faden festgelegt hast. Kehre zum roten Faden zurück, um diesen anzupassen." sqref="N16" xr:uid="{00000000-0002-0000-1200-000040000000}"/>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24" xr:uid="{00000000-0002-0000-1200-000041000000}">
      <formula1>0</formula1>
    </dataValidation>
    <dataValidation operator="greaterThanOrEqual" allowBlank="1" showInputMessage="1" errorTitle="Darlehenssumme" error="Bitte gib die Darlehenssumme in Euro als Zahl ein, bspw. 44000. Der Wert darf nicht negativ sein." promptTitle="Darlehenssumme" prompt="Dies ist die Darlehenssumme, die sich aus der Prozent-Zahl ergibt, die du im roten Faden festgelegt hast. Kehre zum roten Faden zurück, um diesen anzupassen." sqref="N17" xr:uid="{00000000-0002-0000-1200-000042000000}"/>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25" xr:uid="{00000000-0002-0000-1200-000043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26" xr:uid="{00000000-0002-0000-1200-000044000000}">
      <formula1>0</formula1>
    </dataValidation>
    <dataValidation allowBlank="1" showInputMessage="1" showErrorMessage="1" promptTitle="Kapitaldienst pro Monat" prompt="Dies ist der Kapitaldienst, den du für dieses Darlehen pro Monat leisten musst." sqref="N20 N27" xr:uid="{00000000-0002-0000-1200-000045000000}"/>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8" xr:uid="{00000000-0002-0000-1200-000046000000}"/>
    <dataValidation allowBlank="1" showInputMessage="1" promptTitle="Darlehen" prompt="Hier kannst du ein zweites Darlehen einplanen und damit das Darlehen aus dem roten Faden ergänzen." sqref="M23:N23" xr:uid="{00000000-0002-0000-1200-000047000000}"/>
    <dataValidation allowBlank="1" showInputMessage="1" showErrorMessage="1" promptTitle="Vermögenszuwachs" prompt="Hier erfährst du, welchen jährlichen Vermögenszuwachs du mit deiner Immobilie zu Beginn erwirtschaftest." sqref="P8:Q8" xr:uid="{00000000-0002-0000-1200-000048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1200-000049000000}"/>
    <dataValidation allowBlank="1" showInputMessage="1" showErrorMessage="1" promptTitle="Vermögenszuwachs ohne Wertsteig." prompt="Dieser Wert zeigt dir, welcher Teil deines Vermögenszuwaches aus laufenden Erträgen (Miete bzw. Tilgung und Cashflow) entsteht." sqref="Q10" xr:uid="{00000000-0002-0000-1200-00004A000000}"/>
    <dataValidation allowBlank="1" showInputMessage="1" showErrorMessage="1" promptTitle="Miete und Mietrendite" prompt="Hier erfährst du Details zu deinen jährlichen Mieteinnahmen und üblichen Mietrendite-Kennzahlen." sqref="P12:Q12" xr:uid="{00000000-0002-0000-1200-00004B000000}"/>
    <dataValidation allowBlank="1" showInputMessage="1" showErrorMessage="1" promptTitle="Nettokaltmiete pro Jahr" prompt="Dies ist eine jährliche Nettokaltmiete." sqref="Q13" xr:uid="{00000000-0002-0000-1200-00004C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1200-00004D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1200-00004E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1200-00004F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1200-000050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1200-000051000000}"/>
    <dataValidation allowBlank="1" showInputMessage="1" showErrorMessage="1" promptTitle="Warmmiete" prompt="Die Cashflow Berechnung beginnt mit der Warmmiete." sqref="Q19 T19" xr:uid="{00000000-0002-0000-1200-000052000000}"/>
    <dataValidation allowBlank="1" showInputMessage="1" showErrorMessage="1" promptTitle="Bewirtschaftungskosten" prompt="Die Bewirtschaftungskosten bezahlst du aus der Warmmiete und sie mindern somit deinen Cashflow." sqref="Q20 T20" xr:uid="{00000000-0002-0000-1200-000053000000}"/>
    <dataValidation allowBlank="1" showInputMessage="1" showErrorMessage="1" promptTitle="Zinsen" prompt="Die Zinsen bezahlst du aus deiner Miete. Sie mindern somit deinen Cashflow." sqref="Q21 T21" xr:uid="{00000000-0002-0000-1200-000054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1200-000055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1200-000056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1200-000057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1200-000058000000}"/>
    <dataValidation allowBlank="1" showInputMessage="1" showErrorMessage="1" promptTitle="Warmmiete" prompt="Die Berechnung der Steuer beginnt mit der Warmmiete." sqref="Q28 T28" xr:uid="{00000000-0002-0000-1200-000059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1200-00005A000000}"/>
    <dataValidation allowBlank="1" showInputMessage="1" showErrorMessage="1" promptTitle="Zinsen" prompt="Zinsen mindern bei vermieteten Immobilien die Besteuerungsbasis." sqref="Q30 T30" xr:uid="{00000000-0002-0000-1200-00005B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1200-00005C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1200-00005D000000}"/>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1200-00005E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1200-00005F000000}"/>
    <dataValidation allowBlank="1" showInputMessage="1" showErrorMessage="1" promptTitle="Eigenkapitalrendite" prompt="Hier findest du Informationen zur Eigenkapitalrendite deiner Immobilien-Investition." sqref="P36:Q36" xr:uid="{00000000-0002-0000-1200-000060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1200-000061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1200-000062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1200-000063000000}"/>
    <dataValidation allowBlank="1" showInputMessage="1" showErrorMessage="1" promptTitle="entspricht Jahre nach dem Kauf" prompt="Das ausgewählte Jahr entspricht dieser Anzahl von Jahren ab dem Kaufdatum." sqref="T10" xr:uid="{00000000-0002-0000-1200-000064000000}"/>
    <dataValidation allowBlank="1" showInputMessage="1" showErrorMessage="1" promptTitle="Miete und Wert" prompt="Hier findest du eine Hochrechnung für deine Mieteinnahmen und den Wert deiner Immobilie zum oben ausgewählten Zeitpunkt in der Zukunft." sqref="S12:T12" xr:uid="{00000000-0002-0000-1200-000065000000}"/>
    <dataValidation allowBlank="1" showInputMessage="1" showErrorMessage="1" promptTitle="Nettokaltmiete pro Jahr" prompt="Aus der monatlichen Miete ergibt sich diese jährliche Nettokaltmiete." sqref="T13:T14" xr:uid="{00000000-0002-0000-1200-000066000000}"/>
    <dataValidation allowBlank="1" showInputMessage="1" showErrorMessage="1" promptTitle="Nettokaltmiete pro qm und Monat" prompt="Die errechnete monatliche Kaltmiete entspricht dieser Miete pro m² Wohnfläche." sqref="T14" xr:uid="{00000000-0002-0000-1200-000067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1200-000068000000}"/>
    <dataValidation allowBlank="1" showInputMessage="1" showErrorMessage="1" promptTitle="Wert der Immobilie pro qm" prompt="Der errechnete Wert der Immobilie entspricht diesem Wert pro Quadratmeter Wohnfläche." sqref="T16" xr:uid="{00000000-0002-0000-1200-000069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S36:T36" xr:uid="{00000000-0002-0000-1200-00006A000000}"/>
    <dataValidation allowBlank="1" showInputMessage="1" showErrorMessage="1" promptTitle="Zinsen für CF0 nach Steuern" prompt="Diese Zinsen kannst du dir im betrachteten Jahr monatlich leisten, um einen Cashflow nach Steuern von genau 0 zu erzielen." sqref="T37" xr:uid="{00000000-0002-0000-1200-00006B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T38" xr:uid="{00000000-0002-0000-1200-00006C000000}"/>
    <dataValidation allowBlank="1" showInputMessage="1" showErrorMessage="1" promptTitle="Objekt und Investition" prompt="In diesem Bereich gibst du Daten zum Objekt und deinen Investitionen ein." sqref="B6:E6" xr:uid="{00000000-0002-0000-1200-00006D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1200-00006E000000}"/>
    <dataValidation allowBlank="1" showInputMessage="1" showErrorMessage="1" promptTitle="Bewirtschaftungskosten" prompt="In diesem Bereich erfasst du die Kostenstruktur der Immobilie." sqref="J6:K6" xr:uid="{00000000-0002-0000-1200-00006F000000}"/>
    <dataValidation allowBlank="1" showInputMessage="1" showErrorMessage="1" promptTitle="Finanzierung" prompt="In diesem Bereich erfasst du deine Darlehen. Außerdem erhältst du wichtige Kennzahlen zu deiner Finanzierung." sqref="M6:N6" xr:uid="{00000000-0002-0000-1200-000070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1200-000071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1200-000072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1200-000073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1200-000074000000}"/>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P1:Q3" xr:uid="{00000000-0002-0000-1200-000075000000}"/>
    <dataValidation operator="greaterThanOrEqual" allowBlank="1" showInputMessage="1" errorTitle="Zinssatz" error="Bitte gib den Zinssatz in % pro Jahr ein, bspw. 1,30%. Der Wert darf nicht negativ sein." promptTitle="Zinssatz" prompt="Dies ist der Zinssatz, den du im roten Faden festgelegt hast. Kehre zum roten Faden zurück, um diesen anzupassen." sqref="N18" xr:uid="{00000000-0002-0000-1200-000076000000}"/>
    <dataValidation operator="greaterThanOrEqual" allowBlank="1" showInputMessage="1" errorTitle="Anfängliche Tilgung" error="Bitte gib die anfängliche Tilgung in % ein, bspw. 2,00%. Der Wert darf nicht negativ sein." promptTitle="Anfängliche Tilgung" prompt="Dies ist die anfängliche Tilgung, die du im roten Faden festgelegt hast. Kehre zum roten Faden zurück, um diesen anzupassen." sqref="N19" xr:uid="{00000000-0002-0000-1200-000077000000}"/>
    <dataValidation allowBlank="1" showInputMessage="1" showErrorMessage="1" promptTitle="Darlehen" prompt="Dieses Darlehen legst du im roten Faden fest." sqref="M15:N15" xr:uid="{00000000-0002-0000-1200-000078000000}"/>
    <dataValidation allowBlank="1" showInputMessage="1" errorTitle="Persönlicher Grenzsteuersatz" error="Bitte den Grenzsteuersatz in % eingeben, bspw. 42%. Der Steuersatz muss zwischen 0% und 100% liegen." promptTitle="Persönlicher Grenzsteuersatz" prompt="Mit diesem Steuersatz wird die Steuer berechnet. Du hast ihn im roten Faden festgelegt. Bitte kehre dorthin zurück, um ihn zu ändern." sqref="Q33" xr:uid="{00000000-0002-0000-1200-000079000000}"/>
    <dataValidation type="decimal" allowBlank="1" showInputMessage="1" showErrorMessage="1" errorTitle="Persönlicher Grenzsteuersatz" error="Bitte den Grenzsteuersatz in % eingeben, bspw. 42%. Der Steuersatz muss zwischen 0% und 100% liegen." promptTitle="Persönlicher Grenzsteuersatz" prompt="Hier kannst du bei Bedarf den Steuersatz für die Hochrechnung überschreiben. Zum Beispiel, wenn du da schon in Rente bist und deshalb deutlich weniger Einkommen zu versteuern hast." sqref="T33" xr:uid="{00000000-0002-0000-1200-00007A000000}">
      <formula1>0</formula1>
      <formula2>1</formula2>
    </dataValidation>
    <dataValidation operator="greaterThanOrEqual" allowBlank="1" showInputMessage="1" errorTitle="Anfängliche Inv. - Kosten" error="Bitte gib die Kosten in Euro ein, bspw. 3000. Der Wert darf nicht negativ sein." promptTitle="Maßnahmen &quot;sofort nach Kauf&quot;" prompt="Diese Kosten hast du im roten Faden für Maßnahmen sofort nach dem Kauf eingeplant. Bitte kehre dorthin zurück, um sie zu ändern." sqref="C25" xr:uid="{00000000-0002-0000-1200-00007B000000}"/>
    <dataValidation allowBlank="1" showInputMessage="1" promptTitle="Maßnahmen &quot;sofort nach Kauf&quot;" prompt="In dieser Zeile findest du die Kosten, die du im roten Faden für Maßnahmen sofort nach dem Kauf eingeplant hast. Bitte kehre dorthin zurück, um sie zu ändern." sqref="B25" xr:uid="{00000000-0002-0000-1200-00007C000000}"/>
    <dataValidation allowBlank="1" showInputMessage="1" showErrorMessage="1" promptTitle="Sonderumlagen" prompt="In dieser Zeile findest du die Kosten, die du im roten Faden Sonderumlagen eingeplant hast. Bitte kehre dorthin zurück, um sie zu ändern." sqref="B26" xr:uid="{00000000-0002-0000-1200-00007D000000}"/>
    <dataValidation type="decimal" operator="greaterThanOrEqual" allowBlank="1" showInputMessage="1" showErrorMessage="1" errorTitle="Anfängliche Inv. - Kosten" error="Bitte gib die Kosten in Euro ein, bspw. 3000. Der Wert darf nicht negativ sein." promptTitle="Sonderumlagen" prompt="Diese Kosten hast du im roten Faden für Sonderumlagen eingeplant. Bitte kehre dorthin zurück, um sie zu ändern." sqref="C26" xr:uid="{00000000-0002-0000-1200-00007E000000}">
      <formula1>0</formula1>
    </dataValidation>
    <dataValidation allowBlank="1" showInputMessage="1" showErrorMessage="1" promptTitle="Garage" prompt="Diese Eingabe hast du im roten Faden gemacht. Kehre dorthin zurück, um sie zu ändern." sqref="E11" xr:uid="{00000000-0002-0000-1200-00007F000000}"/>
  </dataValidations>
  <hyperlinks>
    <hyperlink ref="J1:K3" location="'Kennzahlen im Verlauf'!A1" display="Kennzahlen im Verlauf" xr:uid="{00000000-0004-0000-1200-000000000000}"/>
    <hyperlink ref="M1:M3" location="Diagramme!A1" display="Diagramme" xr:uid="{00000000-0004-0000-1200-000001000000}"/>
    <hyperlink ref="G1:H3" location="Bankgespräch!A1" display="Bankgespräch" xr:uid="{00000000-0004-0000-1200-000002000000}"/>
    <hyperlink ref="B48" location="Deckblatt!A1" display="Keine Gewähr für die Richtigkeit der Angaben. Dieses Tool ersetzt keine fundierte Rechts-, Steuer- oder Finanzberatung. Mehr Details hier." xr:uid="{00000000-0004-0000-1200-000003000000}"/>
    <hyperlink ref="S1:T3" location="'Profi Funktionen'!A1" display="Profi Funktionen" xr:uid="{00000000-0004-0000-1200-000004000000}"/>
    <hyperlink ref="C1:D3" location="'Roter Faden'!A1" display="Roter Faden" xr:uid="{00000000-0004-0000-1200-000005000000}"/>
  </hyperlinks>
  <pageMargins left="0.25" right="0.25" top="0.75" bottom="0.75" header="0.3" footer="0.3"/>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13"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2"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8"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11"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6"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7"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1200-000080000000}">
          <x14:formula1>
            <xm:f>'Kennzahlen im Verlauf'!$D$28:$BA$28</xm:f>
          </x14:formula1>
          <xm:sqref>T9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C1" sqref="C1:D3"/>
    </sheetView>
  </sheetViews>
  <sheetFormatPr defaultColWidth="11.453125" defaultRowHeight="14.5"/>
  <cols>
    <col min="1" max="1" width="3.26953125" style="5" customWidth="1"/>
    <col min="2" max="2" width="3.1796875" style="5" customWidth="1"/>
    <col min="3" max="3" width="29.26953125" style="5" customWidth="1"/>
    <col min="4" max="4" width="11.54296875" style="5" customWidth="1"/>
    <col min="5" max="5" width="8" style="5" customWidth="1"/>
    <col min="6" max="6" width="18.81640625" style="5" customWidth="1"/>
    <col min="7" max="7" width="11.54296875" style="5" customWidth="1"/>
    <col min="8" max="8" width="6.453125" style="5" customWidth="1"/>
    <col min="9" max="9" width="29.26953125" style="5" customWidth="1"/>
    <col min="10" max="10" width="11.54296875" style="5" customWidth="1"/>
    <col min="11" max="11" width="3.1796875" style="5" customWidth="1"/>
    <col min="12" max="12" width="3" style="5" customWidth="1"/>
    <col min="13" max="16384" width="11.453125" style="5"/>
  </cols>
  <sheetData>
    <row r="1" spans="1:24" s="113" customFormat="1" ht="12.75" customHeight="1">
      <c r="C1" s="480" t="s">
        <v>254</v>
      </c>
      <c r="D1" s="480"/>
      <c r="E1" s="479" t="s">
        <v>252</v>
      </c>
      <c r="F1" s="479"/>
      <c r="G1" s="479"/>
      <c r="H1" s="479"/>
      <c r="I1" s="478"/>
      <c r="J1" s="193"/>
      <c r="O1" s="177"/>
      <c r="S1" s="478"/>
      <c r="T1" s="426"/>
    </row>
    <row r="2" spans="1:24" s="113" customFormat="1" ht="15" customHeight="1">
      <c r="C2" s="480"/>
      <c r="D2" s="480"/>
      <c r="E2" s="479"/>
      <c r="F2" s="479"/>
      <c r="G2" s="479"/>
      <c r="H2" s="479"/>
      <c r="I2" s="478"/>
      <c r="J2" s="186"/>
      <c r="O2" s="177"/>
      <c r="S2" s="478"/>
      <c r="T2" s="426"/>
    </row>
    <row r="3" spans="1:24" s="113" customFormat="1" ht="12.75" customHeight="1">
      <c r="C3" s="480"/>
      <c r="D3" s="480"/>
      <c r="E3" s="479"/>
      <c r="F3" s="479"/>
      <c r="G3" s="479"/>
      <c r="H3" s="479"/>
      <c r="I3" s="478"/>
      <c r="J3" s="186"/>
      <c r="O3" s="177"/>
      <c r="S3" s="478"/>
      <c r="T3" s="426"/>
    </row>
    <row r="4" spans="1:24" ht="18.75" customHeight="1">
      <c r="L4" s="4"/>
      <c r="M4" s="4"/>
      <c r="N4" s="4"/>
      <c r="O4" s="4"/>
    </row>
    <row r="5" spans="1:24" customFormat="1" ht="8.25" customHeight="1" thickBot="1">
      <c r="A5" s="5"/>
      <c r="B5" s="5"/>
      <c r="C5" s="5"/>
      <c r="D5" s="5"/>
      <c r="E5" s="5"/>
      <c r="F5" s="5"/>
      <c r="G5" s="5"/>
      <c r="H5" s="5"/>
      <c r="I5" s="5"/>
      <c r="J5" s="5"/>
      <c r="K5" s="5"/>
      <c r="L5" s="4"/>
      <c r="M5" s="4"/>
      <c r="N5" s="4"/>
      <c r="O5" s="4"/>
      <c r="P5" s="5"/>
      <c r="Q5" s="5"/>
      <c r="R5" s="5"/>
      <c r="S5" s="5"/>
      <c r="T5" s="5"/>
      <c r="U5" s="5"/>
      <c r="V5" s="5"/>
      <c r="W5" s="5"/>
      <c r="X5" s="5"/>
    </row>
    <row r="6" spans="1:24" ht="26.25" customHeight="1" thickBot="1">
      <c r="B6" s="484" t="s">
        <v>116</v>
      </c>
      <c r="C6" s="485"/>
      <c r="D6" s="485"/>
      <c r="E6" s="485"/>
      <c r="F6" s="485"/>
      <c r="G6" s="485"/>
      <c r="H6" s="485"/>
      <c r="I6" s="485"/>
      <c r="J6" s="485"/>
      <c r="K6" s="486"/>
      <c r="N6" s="11" t="s">
        <v>216</v>
      </c>
    </row>
    <row r="7" spans="1:24" ht="15" customHeight="1">
      <c r="B7" s="178"/>
      <c r="C7" s="179"/>
      <c r="D7" s="179"/>
      <c r="E7" s="179"/>
      <c r="F7" s="179"/>
      <c r="G7" s="179"/>
      <c r="H7" s="179"/>
      <c r="I7" s="179"/>
      <c r="J7" s="179"/>
      <c r="K7" s="180"/>
      <c r="O7" s="12"/>
      <c r="P7" s="12"/>
    </row>
    <row r="8" spans="1:24" ht="17.25" customHeight="1">
      <c r="B8" s="181"/>
      <c r="C8" s="9" t="str">
        <f>Cockpit!C9</f>
        <v>Bitte gib im roten Faden eine Adresse ein</v>
      </c>
      <c r="D8"/>
      <c r="E8"/>
      <c r="F8"/>
      <c r="G8" s="1"/>
      <c r="H8" s="1"/>
      <c r="I8" s="477">
        <f ca="1">Cockpit!C10</f>
        <v>45215</v>
      </c>
      <c r="J8" s="477"/>
      <c r="K8" s="187"/>
      <c r="L8" s="8"/>
      <c r="M8" s="8"/>
      <c r="N8" s="483" t="s">
        <v>256</v>
      </c>
      <c r="O8" s="483"/>
      <c r="P8" s="483"/>
      <c r="Q8" s="483"/>
    </row>
    <row r="9" spans="1:24" ht="15" customHeight="1">
      <c r="B9" s="181"/>
      <c r="C9"/>
      <c r="D9"/>
      <c r="E9"/>
      <c r="F9"/>
      <c r="G9"/>
      <c r="H9"/>
      <c r="I9"/>
      <c r="J9"/>
      <c r="K9" s="182"/>
      <c r="N9" s="483"/>
      <c r="O9" s="483"/>
      <c r="P9" s="483"/>
      <c r="Q9" s="483"/>
    </row>
    <row r="10" spans="1:24" ht="15.75" customHeight="1">
      <c r="B10" s="181"/>
      <c r="C10"/>
      <c r="D10"/>
      <c r="E10"/>
      <c r="F10"/>
      <c r="G10"/>
      <c r="H10"/>
      <c r="I10"/>
      <c r="J10"/>
      <c r="K10" s="188"/>
      <c r="N10" s="483"/>
      <c r="O10" s="483"/>
      <c r="P10" s="483"/>
      <c r="Q10" s="483"/>
    </row>
    <row r="11" spans="1:24" ht="15.75" customHeight="1">
      <c r="B11" s="181"/>
      <c r="C11"/>
      <c r="D11"/>
      <c r="E11"/>
      <c r="F11"/>
      <c r="G11"/>
      <c r="H11"/>
      <c r="I11"/>
      <c r="J11"/>
      <c r="K11" s="188"/>
      <c r="N11" s="483"/>
      <c r="O11" s="483"/>
      <c r="P11" s="483"/>
      <c r="Q11" s="483"/>
    </row>
    <row r="12" spans="1:24" ht="15.75" customHeight="1">
      <c r="B12" s="181"/>
      <c r="C12"/>
      <c r="D12"/>
      <c r="E12"/>
      <c r="F12"/>
      <c r="G12"/>
      <c r="H12"/>
      <c r="I12"/>
      <c r="J12"/>
      <c r="K12" s="188"/>
      <c r="N12" s="483"/>
      <c r="O12" s="483"/>
      <c r="P12" s="483"/>
      <c r="Q12" s="483"/>
    </row>
    <row r="13" spans="1:24" ht="15.75" customHeight="1">
      <c r="B13" s="181"/>
      <c r="C13"/>
      <c r="D13"/>
      <c r="E13"/>
      <c r="F13"/>
      <c r="G13"/>
      <c r="H13"/>
      <c r="I13"/>
      <c r="J13"/>
      <c r="K13" s="188"/>
      <c r="N13" s="483"/>
      <c r="O13" s="483"/>
      <c r="P13" s="483"/>
      <c r="Q13" s="483"/>
    </row>
    <row r="14" spans="1:24" ht="15.75" customHeight="1">
      <c r="B14" s="181"/>
      <c r="C14"/>
      <c r="D14"/>
      <c r="E14"/>
      <c r="F14"/>
      <c r="G14"/>
      <c r="H14"/>
      <c r="I14"/>
      <c r="J14"/>
      <c r="K14" s="188"/>
      <c r="N14" s="483"/>
      <c r="O14" s="483"/>
      <c r="P14" s="483"/>
      <c r="Q14" s="483"/>
    </row>
    <row r="15" spans="1:24" ht="15.75" customHeight="1">
      <c r="B15" s="181"/>
      <c r="C15"/>
      <c r="D15"/>
      <c r="E15"/>
      <c r="F15"/>
      <c r="G15"/>
      <c r="H15"/>
      <c r="I15"/>
      <c r="J15"/>
      <c r="K15" s="188"/>
      <c r="N15" s="483"/>
      <c r="O15" s="483"/>
      <c r="P15" s="483"/>
      <c r="Q15" s="483"/>
    </row>
    <row r="16" spans="1:24" ht="15.75" customHeight="1">
      <c r="B16" s="181"/>
      <c r="C16"/>
      <c r="D16"/>
      <c r="E16"/>
      <c r="F16"/>
      <c r="G16"/>
      <c r="H16"/>
      <c r="I16"/>
      <c r="J16"/>
      <c r="K16" s="188"/>
      <c r="N16" s="483"/>
      <c r="O16" s="483"/>
      <c r="P16" s="483"/>
      <c r="Q16" s="483"/>
    </row>
    <row r="17" spans="2:17" ht="15.75" customHeight="1">
      <c r="B17" s="181"/>
      <c r="C17"/>
      <c r="D17"/>
      <c r="E17"/>
      <c r="F17"/>
      <c r="G17"/>
      <c r="H17"/>
      <c r="I17"/>
      <c r="J17"/>
      <c r="K17" s="188"/>
      <c r="N17" s="483"/>
      <c r="O17" s="483"/>
      <c r="P17" s="483"/>
      <c r="Q17" s="483"/>
    </row>
    <row r="18" spans="2:17" ht="15.75" customHeight="1">
      <c r="B18" s="181"/>
      <c r="C18"/>
      <c r="D18"/>
      <c r="E18"/>
      <c r="F18"/>
      <c r="G18"/>
      <c r="H18"/>
      <c r="I18"/>
      <c r="J18"/>
      <c r="K18" s="188"/>
      <c r="N18" s="483" t="s">
        <v>217</v>
      </c>
      <c r="O18" s="483"/>
      <c r="P18" s="483"/>
      <c r="Q18" s="483"/>
    </row>
    <row r="19" spans="2:17" ht="15.75" customHeight="1">
      <c r="B19" s="181"/>
      <c r="C19"/>
      <c r="D19"/>
      <c r="E19"/>
      <c r="F19"/>
      <c r="G19"/>
      <c r="H19"/>
      <c r="I19"/>
      <c r="J19"/>
      <c r="K19" s="188"/>
      <c r="N19" s="483"/>
      <c r="O19" s="483"/>
      <c r="P19" s="483"/>
      <c r="Q19" s="483"/>
    </row>
    <row r="20" spans="2:17" ht="15.75" customHeight="1">
      <c r="B20" s="181"/>
      <c r="C20"/>
      <c r="D20"/>
      <c r="E20"/>
      <c r="F20"/>
      <c r="G20"/>
      <c r="H20"/>
      <c r="I20"/>
      <c r="J20"/>
      <c r="K20" s="188"/>
      <c r="N20" s="483"/>
      <c r="O20" s="483"/>
      <c r="P20" s="483"/>
      <c r="Q20" s="483"/>
    </row>
    <row r="21" spans="2:17" ht="15.75" customHeight="1">
      <c r="B21" s="181"/>
      <c r="C21"/>
      <c r="D21"/>
      <c r="E21"/>
      <c r="F21"/>
      <c r="G21"/>
      <c r="H21"/>
      <c r="I21"/>
      <c r="J21"/>
      <c r="K21" s="188"/>
      <c r="N21" s="483"/>
      <c r="O21" s="483"/>
      <c r="P21" s="483"/>
      <c r="Q21" s="483"/>
    </row>
    <row r="22" spans="2:17" ht="15.75" customHeight="1">
      <c r="B22" s="181"/>
      <c r="C22"/>
      <c r="D22"/>
      <c r="E22"/>
      <c r="F22"/>
      <c r="G22"/>
      <c r="H22"/>
      <c r="I22"/>
      <c r="J22"/>
      <c r="K22" s="188"/>
      <c r="N22" s="12"/>
      <c r="O22" s="12"/>
      <c r="P22" s="12"/>
    </row>
    <row r="23" spans="2:17" ht="15.75" customHeight="1">
      <c r="B23" s="256"/>
      <c r="C23" s="257"/>
      <c r="D23" s="257"/>
      <c r="E23" s="257"/>
      <c r="F23" s="257"/>
      <c r="G23" s="257"/>
      <c r="H23" s="257"/>
      <c r="I23" s="257"/>
      <c r="J23" s="257"/>
      <c r="K23" s="258"/>
      <c r="N23" s="481" t="s">
        <v>214</v>
      </c>
      <c r="O23" s="482"/>
      <c r="P23" s="482"/>
      <c r="Q23" s="482"/>
    </row>
    <row r="24" spans="2:17" ht="15.75" customHeight="1" thickBot="1">
      <c r="B24" s="181"/>
      <c r="C24"/>
      <c r="D24"/>
      <c r="E24"/>
      <c r="F24"/>
      <c r="G24"/>
      <c r="H24"/>
      <c r="I24"/>
      <c r="J24"/>
      <c r="K24" s="188"/>
      <c r="N24" s="481" t="s">
        <v>215</v>
      </c>
      <c r="O24" s="482"/>
      <c r="P24" s="482"/>
      <c r="Q24" s="482"/>
    </row>
    <row r="25" spans="2:17" ht="16.5" thickBot="1">
      <c r="B25" s="181"/>
      <c r="C25" s="451" t="s">
        <v>0</v>
      </c>
      <c r="D25" s="452"/>
      <c r="E25"/>
      <c r="F25" s="451" t="s">
        <v>21</v>
      </c>
      <c r="G25" s="452"/>
      <c r="H25"/>
      <c r="I25" s="451" t="s">
        <v>80</v>
      </c>
      <c r="J25" s="452"/>
      <c r="K25" s="182"/>
    </row>
    <row r="26" spans="2:17" ht="14.25" customHeight="1" thickBot="1">
      <c r="B26" s="189"/>
      <c r="C26" s="10"/>
      <c r="D26" s="10"/>
      <c r="E26" s="10"/>
      <c r="F26" s="10"/>
      <c r="G26" s="10"/>
      <c r="H26" s="10"/>
      <c r="I26" s="10"/>
      <c r="J26" s="10"/>
      <c r="K26" s="190"/>
    </row>
    <row r="27" spans="2:17" ht="15" thickBot="1">
      <c r="B27" s="189"/>
      <c r="C27" s="475" t="s">
        <v>85</v>
      </c>
      <c r="D27" s="476"/>
      <c r="E27" s="10"/>
      <c r="F27" s="475" t="s">
        <v>219</v>
      </c>
      <c r="G27" s="476"/>
      <c r="H27" s="10"/>
      <c r="I27" s="475" t="s">
        <v>81</v>
      </c>
      <c r="J27" s="476"/>
      <c r="K27" s="190"/>
      <c r="N27" s="483" t="s">
        <v>213</v>
      </c>
      <c r="O27" s="483"/>
      <c r="P27" s="483"/>
      <c r="Q27" s="483"/>
    </row>
    <row r="28" spans="2:17">
      <c r="B28" s="189"/>
      <c r="C28" s="194" t="s">
        <v>11</v>
      </c>
      <c r="D28" s="195">
        <f>Cockpit!C11</f>
        <v>0</v>
      </c>
      <c r="E28" s="10"/>
      <c r="F28" s="194" t="s">
        <v>7</v>
      </c>
      <c r="G28" s="198">
        <f>Cockpit!N17</f>
        <v>0</v>
      </c>
      <c r="H28" s="10"/>
      <c r="I28" s="194" t="s">
        <v>77</v>
      </c>
      <c r="J28" s="198">
        <f>Cockpit!H9</f>
        <v>0</v>
      </c>
      <c r="K28" s="190"/>
      <c r="N28" s="483"/>
      <c r="O28" s="483"/>
      <c r="P28" s="483"/>
      <c r="Q28" s="483"/>
    </row>
    <row r="29" spans="2:17" ht="15" thickBot="1">
      <c r="B29" s="189"/>
      <c r="C29" s="196" t="s">
        <v>14</v>
      </c>
      <c r="D29" s="394" t="str">
        <f>Cockpit!D15</f>
        <v>-</v>
      </c>
      <c r="E29" s="10"/>
      <c r="F29" s="191" t="s">
        <v>25</v>
      </c>
      <c r="G29" s="201">
        <f>Cockpit!N19</f>
        <v>0</v>
      </c>
      <c r="H29" s="10"/>
      <c r="I29" s="205" t="s">
        <v>17</v>
      </c>
      <c r="J29" s="206" t="str">
        <f>Cockpit!Q14</f>
        <v>-</v>
      </c>
      <c r="K29" s="190"/>
      <c r="N29" s="483"/>
      <c r="O29" s="483"/>
      <c r="P29" s="483"/>
      <c r="Q29" s="483"/>
    </row>
    <row r="30" spans="2:17" ht="15" thickBot="1">
      <c r="B30" s="189"/>
      <c r="C30" s="10"/>
      <c r="D30" s="10"/>
      <c r="E30" s="10"/>
      <c r="F30" s="196" t="s">
        <v>83</v>
      </c>
      <c r="G30" s="202">
        <f>Cockpit!N18</f>
        <v>0</v>
      </c>
      <c r="H30" s="10"/>
      <c r="I30" s="196" t="s">
        <v>82</v>
      </c>
      <c r="J30" s="207" t="str">
        <f>Cockpit!Q15</f>
        <v>-</v>
      </c>
      <c r="K30" s="190"/>
    </row>
    <row r="31" spans="2:17" ht="15" thickBot="1">
      <c r="B31" s="189"/>
      <c r="C31" s="10"/>
      <c r="D31" s="10"/>
      <c r="E31" s="10"/>
      <c r="F31" s="10"/>
      <c r="G31" s="10"/>
      <c r="H31" s="10"/>
      <c r="I31" s="10"/>
      <c r="J31" s="10"/>
      <c r="K31" s="190"/>
    </row>
    <row r="32" spans="2:17" ht="15" thickBot="1">
      <c r="B32" s="189"/>
      <c r="C32" s="475" t="s">
        <v>86</v>
      </c>
      <c r="D32" s="476"/>
      <c r="E32" s="10"/>
      <c r="F32" s="475" t="s">
        <v>218</v>
      </c>
      <c r="G32" s="476"/>
      <c r="H32" s="10"/>
      <c r="I32" s="475" t="s">
        <v>84</v>
      </c>
      <c r="J32" s="476"/>
      <c r="K32" s="190"/>
    </row>
    <row r="33" spans="2:11">
      <c r="B33" s="189"/>
      <c r="C33" s="194" t="s">
        <v>1</v>
      </c>
      <c r="D33" s="198">
        <f>Cockpit!D14</f>
        <v>0</v>
      </c>
      <c r="E33" s="10"/>
      <c r="F33" s="194" t="s">
        <v>7</v>
      </c>
      <c r="G33" s="198">
        <f>Cockpit!N9-Cockpit!N17</f>
        <v>0</v>
      </c>
      <c r="H33" s="10"/>
      <c r="I33" s="194" t="s">
        <v>77</v>
      </c>
      <c r="J33" s="198">
        <f>Cockpit!H9</f>
        <v>0</v>
      </c>
      <c r="K33" s="190"/>
    </row>
    <row r="34" spans="2:11">
      <c r="B34" s="189"/>
      <c r="C34" s="191" t="s">
        <v>3</v>
      </c>
      <c r="D34" s="199">
        <f>Cockpit!E21</f>
        <v>0</v>
      </c>
      <c r="E34" s="10"/>
      <c r="F34" s="191" t="s">
        <v>25</v>
      </c>
      <c r="G34" s="392" t="str">
        <f>IFERROR((Cockpit!N12*Cockpit!N9-Cockpit!N19*Cockpit!N17)/(Cockpit!N9-Cockpit!N17),"-")</f>
        <v>-</v>
      </c>
      <c r="H34" s="10"/>
      <c r="I34" s="208" t="str">
        <f>CONCATENATE("- Bewirtschaftungskosten",IFERROR(CONCATENATE(" (",TEXT(Cockpit!K11*100,"#"),"%)"),""))</f>
        <v>- Bewirtschaftungskosten</v>
      </c>
      <c r="J34" s="199">
        <f>Cockpit!K10</f>
        <v>0</v>
      </c>
      <c r="K34" s="190"/>
    </row>
    <row r="35" spans="2:11" ht="15" thickBot="1">
      <c r="B35" s="189"/>
      <c r="C35" s="192" t="s">
        <v>76</v>
      </c>
      <c r="D35" s="200">
        <f>Cockpit!C29</f>
        <v>0</v>
      </c>
      <c r="E35" s="10"/>
      <c r="F35" s="196" t="s">
        <v>83</v>
      </c>
      <c r="G35" s="393" t="str">
        <f>IFERROR((Cockpit!N11*Cockpit!N9-Cockpit!N18*Cockpit!N17)/(Cockpit!N9-Cockpit!N17),"-")</f>
        <v>-</v>
      </c>
      <c r="H35" s="10"/>
      <c r="I35" s="208" t="s">
        <v>33</v>
      </c>
      <c r="J35" s="199">
        <f>-Cockpit!Q21</f>
        <v>0</v>
      </c>
      <c r="K35" s="190"/>
    </row>
    <row r="36" spans="2:11" ht="15.5" thickTop="1" thickBot="1">
      <c r="B36" s="189"/>
      <c r="C36" s="196" t="s">
        <v>9</v>
      </c>
      <c r="D36" s="197">
        <f>SUM(D33:D35)</f>
        <v>0</v>
      </c>
      <c r="E36" s="10"/>
      <c r="F36" s="10"/>
      <c r="G36" s="10"/>
      <c r="H36" s="10"/>
      <c r="I36" s="209" t="s">
        <v>34</v>
      </c>
      <c r="J36" s="200">
        <f>-Cockpit!Q22</f>
        <v>0</v>
      </c>
      <c r="K36" s="190"/>
    </row>
    <row r="37" spans="2:11" ht="15" thickBot="1">
      <c r="B37" s="189"/>
      <c r="C37" s="10"/>
      <c r="D37" s="10"/>
      <c r="E37" s="10"/>
      <c r="F37" s="475" t="s">
        <v>28</v>
      </c>
      <c r="G37" s="476"/>
      <c r="H37" s="10"/>
      <c r="I37" s="210" t="s">
        <v>79</v>
      </c>
      <c r="J37" s="197">
        <f>J33-SUM(J34:J36)</f>
        <v>0</v>
      </c>
      <c r="K37" s="190"/>
    </row>
    <row r="38" spans="2:11" ht="15" thickBot="1">
      <c r="B38" s="189"/>
      <c r="C38" s="10"/>
      <c r="D38" s="10"/>
      <c r="E38" s="10"/>
      <c r="F38" s="203" t="s">
        <v>7</v>
      </c>
      <c r="G38" s="204">
        <f>Cockpit!N10</f>
        <v>0</v>
      </c>
      <c r="H38" s="10"/>
      <c r="I38" s="10"/>
      <c r="J38" s="10"/>
      <c r="K38" s="190"/>
    </row>
    <row r="39" spans="2:11" ht="15.75" customHeight="1">
      <c r="B39" s="259"/>
      <c r="C39" s="260"/>
      <c r="D39" s="260"/>
      <c r="E39" s="260"/>
      <c r="F39" s="260"/>
      <c r="G39" s="260"/>
      <c r="H39" s="260"/>
      <c r="I39" s="260"/>
      <c r="J39" s="260"/>
      <c r="K39" s="261"/>
    </row>
    <row r="40" spans="2:11">
      <c r="B40" s="181"/>
      <c r="C40"/>
      <c r="D40"/>
      <c r="E40"/>
      <c r="F40"/>
      <c r="G40"/>
      <c r="H40"/>
      <c r="I40"/>
      <c r="J40"/>
      <c r="K40" s="262"/>
    </row>
    <row r="41" spans="2:11">
      <c r="B41" s="181"/>
      <c r="C41"/>
      <c r="D41"/>
      <c r="E41"/>
      <c r="F41"/>
      <c r="G41"/>
      <c r="H41"/>
      <c r="I41"/>
      <c r="J41"/>
      <c r="K41" s="182"/>
    </row>
    <row r="42" spans="2:11">
      <c r="B42" s="181"/>
      <c r="C42"/>
      <c r="D42"/>
      <c r="E42"/>
      <c r="F42"/>
      <c r="G42"/>
      <c r="H42" s="2"/>
      <c r="I42" s="2" t="s">
        <v>87</v>
      </c>
      <c r="J42" s="2" t="s">
        <v>88</v>
      </c>
      <c r="K42" s="182"/>
    </row>
    <row r="43" spans="2:11">
      <c r="B43" s="181"/>
      <c r="C43"/>
      <c r="D43"/>
      <c r="E43"/>
      <c r="F43"/>
      <c r="G43"/>
      <c r="H43" s="2" t="s">
        <v>77</v>
      </c>
      <c r="I43" s="2">
        <f>Cockpit!H9</f>
        <v>0</v>
      </c>
      <c r="J43" s="2"/>
      <c r="K43" s="182"/>
    </row>
    <row r="44" spans="2:11">
      <c r="B44" s="181"/>
      <c r="C44"/>
      <c r="D44"/>
      <c r="E44"/>
      <c r="F44"/>
      <c r="G44"/>
      <c r="H44" s="2" t="s">
        <v>262</v>
      </c>
      <c r="I44" s="2"/>
      <c r="J44" s="2">
        <f>Cockpit!K10</f>
        <v>0</v>
      </c>
      <c r="K44" s="182"/>
    </row>
    <row r="45" spans="2:11">
      <c r="B45" s="181"/>
      <c r="C45"/>
      <c r="D45"/>
      <c r="E45"/>
      <c r="F45"/>
      <c r="G45"/>
      <c r="H45" s="2" t="s">
        <v>44</v>
      </c>
      <c r="I45" s="2"/>
      <c r="J45" s="2">
        <f>-Cockpit!Q21</f>
        <v>0</v>
      </c>
      <c r="K45" s="182"/>
    </row>
    <row r="46" spans="2:11">
      <c r="B46" s="181"/>
      <c r="C46"/>
      <c r="D46"/>
      <c r="E46"/>
      <c r="F46"/>
      <c r="G46"/>
      <c r="H46" s="2" t="s">
        <v>45</v>
      </c>
      <c r="I46" s="2"/>
      <c r="J46" s="2">
        <f>-Cockpit!Q22</f>
        <v>0</v>
      </c>
      <c r="K46" s="182"/>
    </row>
    <row r="47" spans="2:11">
      <c r="B47" s="181"/>
      <c r="C47"/>
      <c r="D47"/>
      <c r="E47"/>
      <c r="F47"/>
      <c r="G47"/>
      <c r="H47"/>
      <c r="I47"/>
      <c r="J47"/>
      <c r="K47" s="182"/>
    </row>
    <row r="48" spans="2:11">
      <c r="B48" s="181"/>
      <c r="C48"/>
      <c r="D48"/>
      <c r="E48"/>
      <c r="F48"/>
      <c r="G48"/>
      <c r="H48"/>
      <c r="I48"/>
      <c r="J48"/>
      <c r="K48" s="182"/>
    </row>
    <row r="49" spans="2:11">
      <c r="B49" s="181"/>
      <c r="C49"/>
      <c r="D49"/>
      <c r="E49"/>
      <c r="F49"/>
      <c r="G49"/>
      <c r="H49"/>
      <c r="I49"/>
      <c r="J49"/>
      <c r="K49" s="182"/>
    </row>
    <row r="50" spans="2:11">
      <c r="B50" s="181"/>
      <c r="C50"/>
      <c r="D50"/>
      <c r="E50"/>
      <c r="F50"/>
      <c r="G50"/>
      <c r="H50"/>
      <c r="I50"/>
      <c r="J50"/>
      <c r="K50" s="182"/>
    </row>
    <row r="51" spans="2:11">
      <c r="B51" s="181"/>
      <c r="C51"/>
      <c r="D51"/>
      <c r="E51"/>
      <c r="F51"/>
      <c r="G51"/>
      <c r="H51"/>
      <c r="I51"/>
      <c r="J51"/>
      <c r="K51" s="182"/>
    </row>
    <row r="52" spans="2:11">
      <c r="B52" s="181"/>
      <c r="C52"/>
      <c r="D52"/>
      <c r="E52"/>
      <c r="F52"/>
      <c r="G52"/>
      <c r="H52"/>
      <c r="I52"/>
      <c r="J52"/>
      <c r="K52" s="182"/>
    </row>
    <row r="53" spans="2:11">
      <c r="B53" s="181"/>
      <c r="C53"/>
      <c r="D53"/>
      <c r="E53"/>
      <c r="F53"/>
      <c r="G53"/>
      <c r="H53"/>
      <c r="I53"/>
      <c r="J53"/>
      <c r="K53" s="182"/>
    </row>
    <row r="54" spans="2:11" ht="15" thickBot="1">
      <c r="B54" s="183"/>
      <c r="C54" s="184"/>
      <c r="D54" s="184"/>
      <c r="E54" s="184"/>
      <c r="F54" s="184"/>
      <c r="G54" s="184"/>
      <c r="H54" s="184"/>
      <c r="I54" s="184"/>
      <c r="J54" s="184"/>
      <c r="K54" s="185"/>
    </row>
    <row r="56" spans="2:11">
      <c r="B56" s="107" t="s">
        <v>269</v>
      </c>
    </row>
  </sheetData>
  <sheetProtection algorithmName="SHA-512" hashValue="3xDcEfOqA5+SxcRmnnz2SCpjtCxLJJENnobke09CdvpWe6aKLsDLqrJTnlMDuc9OeDiZflZ2vNr95uCkZe0lNg==" saltValue="CfKU8754W70fWa+1KFOYR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1300-000000000000}"/>
    <hyperlink ref="N24:Q24" location="Vermögensaufstellung!A1" display="zur Vorlage Vermögensübersicht" xr:uid="{00000000-0004-0000-1300-000001000000}"/>
    <hyperlink ref="C1:C3" location="Rendite!A1" display="Zurück zum Cockpit" xr:uid="{00000000-0004-0000-1300-000002000000}"/>
    <hyperlink ref="C1:D3" location="Cockpit!A1" display="zurück zum Cockpit" xr:uid="{00000000-0004-0000-1300-000003000000}"/>
    <hyperlink ref="B56" location="Deckblatt!A1" display="Keine Gewähr für die Richtigkeit der Angaben. Dieses Tool ersetzt keine fundierte Rechts-, Steuer- oder Finanzberatung. Mehr Details hier." xr:uid="{00000000-0004-0000-13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theme="3"/>
  </sheetPr>
  <dimension ref="A1:CH90"/>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D13" sqref="D13"/>
    </sheetView>
  </sheetViews>
  <sheetFormatPr defaultColWidth="9.1796875" defaultRowHeight="14.5"/>
  <cols>
    <col min="1" max="1" width="3.453125" style="5" customWidth="1"/>
    <col min="2" max="2" width="34.7265625" style="5" customWidth="1"/>
    <col min="3" max="3" width="0.453125" style="5" customWidth="1"/>
    <col min="4" max="8" width="11.1796875" style="5" customWidth="1"/>
    <col min="9" max="12" width="11.1796875" style="4" customWidth="1"/>
    <col min="13" max="86" width="11.1796875" style="5" customWidth="1"/>
    <col min="87" max="16384" width="9.1796875" style="5"/>
  </cols>
  <sheetData>
    <row r="1" spans="1:86" s="113" customFormat="1" ht="12.75" customHeight="1">
      <c r="B1" s="425" t="s">
        <v>254</v>
      </c>
      <c r="C1" s="425"/>
      <c r="E1" s="489" t="s">
        <v>272</v>
      </c>
      <c r="F1" s="489"/>
      <c r="G1" s="489"/>
      <c r="H1" s="489"/>
      <c r="I1" s="489"/>
      <c r="J1" s="489"/>
      <c r="K1" s="489"/>
      <c r="L1" s="110"/>
      <c r="M1" s="110"/>
      <c r="N1" s="110"/>
      <c r="O1" s="110"/>
      <c r="P1" s="425"/>
      <c r="Q1" s="425"/>
      <c r="R1" s="425"/>
      <c r="T1" s="425"/>
      <c r="U1" s="425"/>
    </row>
    <row r="2" spans="1:86" s="113" customFormat="1" ht="15" customHeight="1">
      <c r="B2" s="425"/>
      <c r="C2" s="425"/>
      <c r="E2" s="489"/>
      <c r="F2" s="489"/>
      <c r="G2" s="489"/>
      <c r="H2" s="489"/>
      <c r="I2" s="489"/>
      <c r="J2" s="489"/>
      <c r="K2" s="489"/>
      <c r="L2" s="110"/>
      <c r="M2" s="110"/>
      <c r="N2" s="110"/>
      <c r="O2" s="110"/>
      <c r="P2" s="425"/>
      <c r="Q2" s="425"/>
      <c r="R2" s="425"/>
      <c r="T2" s="425"/>
      <c r="U2" s="425"/>
    </row>
    <row r="3" spans="1:86" s="113" customFormat="1" ht="12.75" customHeight="1">
      <c r="B3" s="425"/>
      <c r="C3" s="425"/>
      <c r="E3" s="489"/>
      <c r="F3" s="489"/>
      <c r="G3" s="489"/>
      <c r="H3" s="489"/>
      <c r="I3" s="489"/>
      <c r="J3" s="489"/>
      <c r="K3" s="489"/>
      <c r="L3" s="110"/>
      <c r="M3" s="110"/>
      <c r="N3" s="110"/>
      <c r="O3" s="110"/>
      <c r="P3" s="425"/>
      <c r="Q3" s="425"/>
      <c r="R3" s="425"/>
      <c r="T3" s="425"/>
      <c r="U3" s="425"/>
    </row>
    <row r="4" spans="1:86" ht="18.75" customHeight="1">
      <c r="I4" s="5"/>
      <c r="J4" s="5"/>
      <c r="K4" s="5"/>
      <c r="L4" s="5"/>
      <c r="M4" s="4"/>
      <c r="N4" s="4"/>
      <c r="O4" s="4"/>
      <c r="P4" s="4"/>
    </row>
    <row r="5" spans="1:86" ht="9" customHeight="1" thickBot="1">
      <c r="I5" s="5"/>
      <c r="J5" s="5"/>
      <c r="K5" s="5"/>
      <c r="L5" s="5"/>
      <c r="N5" s="4"/>
      <c r="O5" s="4"/>
      <c r="P5" s="4"/>
      <c r="Q5" s="4"/>
    </row>
    <row r="6" spans="1:86" ht="16.5" thickBot="1">
      <c r="A6"/>
      <c r="B6" s="211" t="s">
        <v>223</v>
      </c>
      <c r="C6" s="25"/>
      <c r="D6" s="26"/>
      <c r="I6" s="5"/>
      <c r="J6" s="5"/>
      <c r="K6" s="5"/>
      <c r="L6" s="5"/>
    </row>
    <row r="7" spans="1:86" ht="15" thickBot="1">
      <c r="B7" s="214"/>
      <c r="C7" s="215"/>
      <c r="D7" s="216">
        <f ca="1">'Kennzahlen im Verlauf'!D13</f>
        <v>2023</v>
      </c>
      <c r="E7" s="217">
        <f ca="1">'Kennzahlen im Verlauf'!E13</f>
        <v>2024</v>
      </c>
      <c r="F7" s="217">
        <f ca="1">'Kennzahlen im Verlauf'!F13</f>
        <v>2025</v>
      </c>
      <c r="G7" s="217">
        <f ca="1">'Kennzahlen im Verlauf'!G13</f>
        <v>2026</v>
      </c>
      <c r="H7" s="217">
        <f ca="1">'Kennzahlen im Verlauf'!H13</f>
        <v>2027</v>
      </c>
      <c r="I7" s="217">
        <f ca="1">'Kennzahlen im Verlauf'!I13</f>
        <v>2028</v>
      </c>
      <c r="J7" s="217">
        <f ca="1">'Kennzahlen im Verlauf'!J13</f>
        <v>2029</v>
      </c>
      <c r="K7" s="217">
        <f ca="1">'Kennzahlen im Verlauf'!K13</f>
        <v>2030</v>
      </c>
      <c r="L7" s="217">
        <f ca="1">'Kennzahlen im Verlauf'!L13</f>
        <v>2031</v>
      </c>
      <c r="M7" s="217">
        <f ca="1">'Kennzahlen im Verlauf'!M13</f>
        <v>2032</v>
      </c>
      <c r="N7" s="217">
        <f ca="1">'Kennzahlen im Verlauf'!N13</f>
        <v>2033</v>
      </c>
      <c r="O7" s="217">
        <f ca="1">'Kennzahlen im Verlauf'!O13</f>
        <v>2034</v>
      </c>
      <c r="P7" s="217">
        <f ca="1">'Kennzahlen im Verlauf'!P13</f>
        <v>2035</v>
      </c>
      <c r="Q7" s="217">
        <f ca="1">'Kennzahlen im Verlauf'!Q13</f>
        <v>2036</v>
      </c>
      <c r="R7" s="217">
        <f ca="1">'Kennzahlen im Verlauf'!R13</f>
        <v>2037</v>
      </c>
      <c r="S7" s="217">
        <f ca="1">'Kennzahlen im Verlauf'!S13</f>
        <v>2038</v>
      </c>
      <c r="T7" s="217">
        <f ca="1">'Kennzahlen im Verlauf'!T13</f>
        <v>2039</v>
      </c>
      <c r="U7" s="217">
        <f ca="1">'Kennzahlen im Verlauf'!U13</f>
        <v>2040</v>
      </c>
      <c r="V7" s="217">
        <f ca="1">'Kennzahlen im Verlauf'!V13</f>
        <v>2041</v>
      </c>
      <c r="W7" s="217">
        <f ca="1">'Kennzahlen im Verlauf'!W13</f>
        <v>2042</v>
      </c>
      <c r="X7" s="217">
        <f ca="1">'Kennzahlen im Verlauf'!X13</f>
        <v>2043</v>
      </c>
      <c r="Y7" s="217">
        <f ca="1">'Kennzahlen im Verlauf'!Y13</f>
        <v>2044</v>
      </c>
      <c r="Z7" s="217">
        <f ca="1">'Kennzahlen im Verlauf'!Z13</f>
        <v>2045</v>
      </c>
      <c r="AA7" s="217">
        <f ca="1">'Kennzahlen im Verlauf'!AA13</f>
        <v>2046</v>
      </c>
      <c r="AB7" s="217">
        <f ca="1">'Kennzahlen im Verlauf'!AB13</f>
        <v>2047</v>
      </c>
      <c r="AC7" s="217">
        <f ca="1">'Kennzahlen im Verlauf'!AC13</f>
        <v>2048</v>
      </c>
      <c r="AD7" s="217">
        <f ca="1">'Kennzahlen im Verlauf'!AD13</f>
        <v>2049</v>
      </c>
      <c r="AE7" s="217">
        <f ca="1">'Kennzahlen im Verlauf'!AE13</f>
        <v>2050</v>
      </c>
      <c r="AF7" s="217">
        <f ca="1">'Kennzahlen im Verlauf'!AF13</f>
        <v>2051</v>
      </c>
      <c r="AG7" s="217">
        <f ca="1">'Kennzahlen im Verlauf'!AG13</f>
        <v>2052</v>
      </c>
      <c r="AH7" s="217">
        <f ca="1">'Kennzahlen im Verlauf'!AH13</f>
        <v>2053</v>
      </c>
      <c r="AI7" s="217">
        <f ca="1">'Kennzahlen im Verlauf'!AI13</f>
        <v>2054</v>
      </c>
      <c r="AJ7" s="217">
        <f ca="1">'Kennzahlen im Verlauf'!AJ13</f>
        <v>2055</v>
      </c>
      <c r="AK7" s="217">
        <f ca="1">'Kennzahlen im Verlauf'!AK13</f>
        <v>2056</v>
      </c>
      <c r="AL7" s="217">
        <f ca="1">'Kennzahlen im Verlauf'!AL13</f>
        <v>2057</v>
      </c>
      <c r="AM7" s="217">
        <f ca="1">'Kennzahlen im Verlauf'!AM13</f>
        <v>2058</v>
      </c>
      <c r="AN7" s="217">
        <f ca="1">'Kennzahlen im Verlauf'!AN13</f>
        <v>2059</v>
      </c>
      <c r="AO7" s="217">
        <f ca="1">'Kennzahlen im Verlauf'!AO13</f>
        <v>2060</v>
      </c>
      <c r="AP7" s="217">
        <f ca="1">'Kennzahlen im Verlauf'!AP13</f>
        <v>2061</v>
      </c>
      <c r="AQ7" s="217">
        <f ca="1">'Kennzahlen im Verlauf'!AQ13</f>
        <v>2062</v>
      </c>
      <c r="AR7" s="217">
        <f ca="1">'Kennzahlen im Verlauf'!AR13</f>
        <v>2063</v>
      </c>
      <c r="AS7" s="217">
        <f ca="1">'Kennzahlen im Verlauf'!AS13</f>
        <v>2064</v>
      </c>
      <c r="AT7" s="217">
        <f ca="1">'Kennzahlen im Verlauf'!AT13</f>
        <v>2065</v>
      </c>
      <c r="AU7" s="217">
        <f ca="1">'Kennzahlen im Verlauf'!AU13</f>
        <v>2066</v>
      </c>
      <c r="AV7" s="217">
        <f ca="1">'Kennzahlen im Verlauf'!AV13</f>
        <v>2067</v>
      </c>
      <c r="AW7" s="217">
        <f ca="1">'Kennzahlen im Verlauf'!AW13</f>
        <v>2068</v>
      </c>
      <c r="AX7" s="217">
        <f ca="1">'Kennzahlen im Verlauf'!AX13</f>
        <v>2069</v>
      </c>
      <c r="AY7" s="217">
        <f ca="1">'Kennzahlen im Verlauf'!AY13</f>
        <v>2070</v>
      </c>
      <c r="AZ7" s="217">
        <f ca="1">'Kennzahlen im Verlauf'!AZ13</f>
        <v>2071</v>
      </c>
      <c r="BA7" s="217">
        <f ca="1">'Kennzahlen im Verlauf'!BA13</f>
        <v>2072</v>
      </c>
      <c r="BB7" s="217">
        <f ca="1">'Kennzahlen im Verlauf'!BB13</f>
        <v>2073</v>
      </c>
      <c r="BC7" s="217">
        <f ca="1">'Kennzahlen im Verlauf'!BC13</f>
        <v>2074</v>
      </c>
      <c r="BD7" s="217">
        <f ca="1">'Kennzahlen im Verlauf'!BD13</f>
        <v>2075</v>
      </c>
      <c r="BE7" s="217">
        <f ca="1">'Kennzahlen im Verlauf'!BE13</f>
        <v>2076</v>
      </c>
      <c r="BF7" s="217">
        <f ca="1">'Kennzahlen im Verlauf'!BF13</f>
        <v>2077</v>
      </c>
      <c r="BG7" s="217">
        <f ca="1">'Kennzahlen im Verlauf'!BG13</f>
        <v>2078</v>
      </c>
      <c r="BH7" s="217">
        <f ca="1">'Kennzahlen im Verlauf'!BH13</f>
        <v>2079</v>
      </c>
      <c r="BI7" s="217">
        <f ca="1">'Kennzahlen im Verlauf'!BI13</f>
        <v>2080</v>
      </c>
      <c r="BJ7" s="217">
        <f ca="1">'Kennzahlen im Verlauf'!BJ13</f>
        <v>2081</v>
      </c>
      <c r="BK7" s="217">
        <f ca="1">'Kennzahlen im Verlauf'!BK13</f>
        <v>2082</v>
      </c>
      <c r="BL7" s="217">
        <f ca="1">'Kennzahlen im Verlauf'!BL13</f>
        <v>2083</v>
      </c>
      <c r="BM7" s="217">
        <f ca="1">'Kennzahlen im Verlauf'!BM13</f>
        <v>2084</v>
      </c>
      <c r="BN7" s="217">
        <f ca="1">'Kennzahlen im Verlauf'!BN13</f>
        <v>2085</v>
      </c>
      <c r="BO7" s="217">
        <f ca="1">'Kennzahlen im Verlauf'!BO13</f>
        <v>2086</v>
      </c>
      <c r="BP7" s="217">
        <f ca="1">'Kennzahlen im Verlauf'!BP13</f>
        <v>2087</v>
      </c>
      <c r="BQ7" s="217">
        <f ca="1">'Kennzahlen im Verlauf'!BQ13</f>
        <v>2088</v>
      </c>
      <c r="BR7" s="217">
        <f ca="1">'Kennzahlen im Verlauf'!BR13</f>
        <v>2089</v>
      </c>
      <c r="BS7" s="217">
        <f ca="1">'Kennzahlen im Verlauf'!BS13</f>
        <v>2090</v>
      </c>
      <c r="BT7" s="217">
        <f ca="1">'Kennzahlen im Verlauf'!BT13</f>
        <v>2091</v>
      </c>
      <c r="BU7" s="217">
        <f ca="1">'Kennzahlen im Verlauf'!BU13</f>
        <v>2092</v>
      </c>
      <c r="BV7" s="217">
        <f ca="1">'Kennzahlen im Verlauf'!BV13</f>
        <v>2093</v>
      </c>
      <c r="BW7" s="217">
        <f ca="1">'Kennzahlen im Verlauf'!BW13</f>
        <v>2094</v>
      </c>
      <c r="BX7" s="217">
        <f ca="1">'Kennzahlen im Verlauf'!BX13</f>
        <v>2095</v>
      </c>
      <c r="BY7" s="217">
        <f ca="1">'Kennzahlen im Verlauf'!BY13</f>
        <v>2096</v>
      </c>
      <c r="BZ7" s="217">
        <f ca="1">'Kennzahlen im Verlauf'!BZ13</f>
        <v>2097</v>
      </c>
      <c r="CA7" s="217">
        <f ca="1">'Kennzahlen im Verlauf'!CA13</f>
        <v>2098</v>
      </c>
      <c r="CB7" s="217">
        <f ca="1">'Kennzahlen im Verlauf'!CB13</f>
        <v>2099</v>
      </c>
      <c r="CC7" s="217">
        <f ca="1">'Kennzahlen im Verlauf'!CC13</f>
        <v>2100</v>
      </c>
      <c r="CD7" s="217">
        <f ca="1">'Kennzahlen im Verlauf'!CD13</f>
        <v>2101</v>
      </c>
      <c r="CE7" s="217">
        <f ca="1">'Kennzahlen im Verlauf'!CE13</f>
        <v>2102</v>
      </c>
      <c r="CF7" s="217">
        <f ca="1">'Kennzahlen im Verlauf'!CF13</f>
        <v>2103</v>
      </c>
      <c r="CG7" s="217">
        <f ca="1">'Kennzahlen im Verlauf'!CG13</f>
        <v>2104</v>
      </c>
      <c r="CH7" s="218">
        <f ca="1">'Kennzahlen im Verlauf'!CH13</f>
        <v>2105</v>
      </c>
    </row>
    <row r="8" spans="1:86">
      <c r="B8" s="498" t="s">
        <v>231</v>
      </c>
      <c r="C8" s="499"/>
      <c r="D8" s="219">
        <f>Cockpit!H9</f>
        <v>0</v>
      </c>
      <c r="E8" s="219">
        <f>D8*(1+Cockpit!$H$26)</f>
        <v>0</v>
      </c>
      <c r="F8" s="219">
        <f>E8*(1+Cockpit!$H$26)</f>
        <v>0</v>
      </c>
      <c r="G8" s="219">
        <f>F8*(1+Cockpit!$H$26)</f>
        <v>0</v>
      </c>
      <c r="H8" s="219">
        <f>G8*(1+Cockpit!$H$26)</f>
        <v>0</v>
      </c>
      <c r="I8" s="219">
        <f>H8*(1+Cockpit!$H$26)</f>
        <v>0</v>
      </c>
      <c r="J8" s="219">
        <f>I8*(1+Cockpit!$H$26)</f>
        <v>0</v>
      </c>
      <c r="K8" s="219">
        <f>J8*(1+Cockpit!$H$26)</f>
        <v>0</v>
      </c>
      <c r="L8" s="219">
        <f>K8*(1+Cockpit!$H$26)</f>
        <v>0</v>
      </c>
      <c r="M8" s="219">
        <f>L8*(1+Cockpit!$H$26)</f>
        <v>0</v>
      </c>
      <c r="N8" s="219">
        <f>M8*(1+Cockpit!$H$26)</f>
        <v>0</v>
      </c>
      <c r="O8" s="219">
        <f>N8*(1+Cockpit!$H$26)</f>
        <v>0</v>
      </c>
      <c r="P8" s="219">
        <f>O8*(1+Cockpit!$H$26)</f>
        <v>0</v>
      </c>
      <c r="Q8" s="219">
        <f>P8*(1+Cockpit!$H$26)</f>
        <v>0</v>
      </c>
      <c r="R8" s="219">
        <f>Q8*(1+Cockpit!$H$26)</f>
        <v>0</v>
      </c>
      <c r="S8" s="219">
        <f>R8*(1+Cockpit!$H$26)</f>
        <v>0</v>
      </c>
      <c r="T8" s="219">
        <f>S8*(1+Cockpit!$H$26)</f>
        <v>0</v>
      </c>
      <c r="U8" s="219">
        <f>T8*(1+Cockpit!$H$26)</f>
        <v>0</v>
      </c>
      <c r="V8" s="219">
        <f>U8*(1+Cockpit!$H$26)</f>
        <v>0</v>
      </c>
      <c r="W8" s="219">
        <f>V8*(1+Cockpit!$H$26)</f>
        <v>0</v>
      </c>
      <c r="X8" s="219">
        <f>W8*(1+Cockpit!$H$26)</f>
        <v>0</v>
      </c>
      <c r="Y8" s="219">
        <f>X8*(1+Cockpit!$H$26)</f>
        <v>0</v>
      </c>
      <c r="Z8" s="219">
        <f>Y8*(1+Cockpit!$H$26)</f>
        <v>0</v>
      </c>
      <c r="AA8" s="219">
        <f>Z8*(1+Cockpit!$H$26)</f>
        <v>0</v>
      </c>
      <c r="AB8" s="219">
        <f>AA8*(1+Cockpit!$H$26)</f>
        <v>0</v>
      </c>
      <c r="AC8" s="219">
        <f>AB8*(1+Cockpit!$H$26)</f>
        <v>0</v>
      </c>
      <c r="AD8" s="219">
        <f>AC8*(1+Cockpit!$H$26)</f>
        <v>0</v>
      </c>
      <c r="AE8" s="219">
        <f>AD8*(1+Cockpit!$H$26)</f>
        <v>0</v>
      </c>
      <c r="AF8" s="219">
        <f>AE8*(1+Cockpit!$H$26)</f>
        <v>0</v>
      </c>
      <c r="AG8" s="219">
        <f>AF8*(1+Cockpit!$H$26)</f>
        <v>0</v>
      </c>
      <c r="AH8" s="219">
        <f>AG8*(1+Cockpit!$H$26)</f>
        <v>0</v>
      </c>
      <c r="AI8" s="219">
        <f>AH8*(1+Cockpit!$H$26)</f>
        <v>0</v>
      </c>
      <c r="AJ8" s="219">
        <f>AI8*(1+Cockpit!$H$26)</f>
        <v>0</v>
      </c>
      <c r="AK8" s="219">
        <f>AJ8*(1+Cockpit!$H$26)</f>
        <v>0</v>
      </c>
      <c r="AL8" s="219">
        <f>AK8*(1+Cockpit!$H$26)</f>
        <v>0</v>
      </c>
      <c r="AM8" s="219">
        <f>AL8*(1+Cockpit!$H$26)</f>
        <v>0</v>
      </c>
      <c r="AN8" s="219">
        <f>AM8*(1+Cockpit!$H$26)</f>
        <v>0</v>
      </c>
      <c r="AO8" s="219">
        <f>AN8*(1+Cockpit!$H$26)</f>
        <v>0</v>
      </c>
      <c r="AP8" s="219">
        <f>AO8*(1+Cockpit!$H$26)</f>
        <v>0</v>
      </c>
      <c r="AQ8" s="219">
        <f>AP8*(1+Cockpit!$H$26)</f>
        <v>0</v>
      </c>
      <c r="AR8" s="219">
        <f>AQ8*(1+Cockpit!$H$26)</f>
        <v>0</v>
      </c>
      <c r="AS8" s="219">
        <f>AR8*(1+Cockpit!$H$26)</f>
        <v>0</v>
      </c>
      <c r="AT8" s="219">
        <f>AS8*(1+Cockpit!$H$26)</f>
        <v>0</v>
      </c>
      <c r="AU8" s="219">
        <f>AT8*(1+Cockpit!$H$26)</f>
        <v>0</v>
      </c>
      <c r="AV8" s="219">
        <f>AU8*(1+Cockpit!$H$26)</f>
        <v>0</v>
      </c>
      <c r="AW8" s="219">
        <f>AV8*(1+Cockpit!$H$26)</f>
        <v>0</v>
      </c>
      <c r="AX8" s="219">
        <f>AW8*(1+Cockpit!$H$26)</f>
        <v>0</v>
      </c>
      <c r="AY8" s="219">
        <f>AX8*(1+Cockpit!$H$26)</f>
        <v>0</v>
      </c>
      <c r="AZ8" s="219">
        <f>AY8*(1+Cockpit!$H$26)</f>
        <v>0</v>
      </c>
      <c r="BA8" s="219">
        <f>AZ8*(1+Cockpit!$H$26)</f>
        <v>0</v>
      </c>
      <c r="BB8" s="219">
        <f>BA8*(1+Cockpit!$H$26)</f>
        <v>0</v>
      </c>
      <c r="BC8" s="219">
        <f>BB8*(1+Cockpit!$H$26)</f>
        <v>0</v>
      </c>
      <c r="BD8" s="219">
        <f>BC8*(1+Cockpit!$H$26)</f>
        <v>0</v>
      </c>
      <c r="BE8" s="219">
        <f>BD8*(1+Cockpit!$H$26)</f>
        <v>0</v>
      </c>
      <c r="BF8" s="219">
        <f>BE8*(1+Cockpit!$H$26)</f>
        <v>0</v>
      </c>
      <c r="BG8" s="219">
        <f>BF8*(1+Cockpit!$H$26)</f>
        <v>0</v>
      </c>
      <c r="BH8" s="219">
        <f>BG8*(1+Cockpit!$H$26)</f>
        <v>0</v>
      </c>
      <c r="BI8" s="219">
        <f>BH8*(1+Cockpit!$H$26)</f>
        <v>0</v>
      </c>
      <c r="BJ8" s="219">
        <f>BI8*(1+Cockpit!$H$26)</f>
        <v>0</v>
      </c>
      <c r="BK8" s="219">
        <f>BJ8*(1+Cockpit!$H$26)</f>
        <v>0</v>
      </c>
      <c r="BL8" s="219">
        <f>BK8*(1+Cockpit!$H$26)</f>
        <v>0</v>
      </c>
      <c r="BM8" s="219">
        <f>BL8*(1+Cockpit!$H$26)</f>
        <v>0</v>
      </c>
      <c r="BN8" s="219">
        <f>BM8*(1+Cockpit!$H$26)</f>
        <v>0</v>
      </c>
      <c r="BO8" s="219">
        <f>BN8*(1+Cockpit!$H$26)</f>
        <v>0</v>
      </c>
      <c r="BP8" s="219">
        <f>BO8*(1+Cockpit!$H$26)</f>
        <v>0</v>
      </c>
      <c r="BQ8" s="219">
        <f>BP8*(1+Cockpit!$H$26)</f>
        <v>0</v>
      </c>
      <c r="BR8" s="219">
        <f>BQ8*(1+Cockpit!$H$26)</f>
        <v>0</v>
      </c>
      <c r="BS8" s="219">
        <f>BR8*(1+Cockpit!$H$26)</f>
        <v>0</v>
      </c>
      <c r="BT8" s="219">
        <f>BS8*(1+Cockpit!$H$26)</f>
        <v>0</v>
      </c>
      <c r="BU8" s="219">
        <f>BT8*(1+Cockpit!$H$26)</f>
        <v>0</v>
      </c>
      <c r="BV8" s="219">
        <f>BU8*(1+Cockpit!$H$26)</f>
        <v>0</v>
      </c>
      <c r="BW8" s="219">
        <f>BV8*(1+Cockpit!$H$26)</f>
        <v>0</v>
      </c>
      <c r="BX8" s="219">
        <f>BW8*(1+Cockpit!$H$26)</f>
        <v>0</v>
      </c>
      <c r="BY8" s="219">
        <f>BX8*(1+Cockpit!$H$26)</f>
        <v>0</v>
      </c>
      <c r="BZ8" s="219">
        <f>BY8*(1+Cockpit!$H$26)</f>
        <v>0</v>
      </c>
      <c r="CA8" s="219">
        <f>BZ8*(1+Cockpit!$H$26)</f>
        <v>0</v>
      </c>
      <c r="CB8" s="219">
        <f>CA8*(1+Cockpit!$H$26)</f>
        <v>0</v>
      </c>
      <c r="CC8" s="219">
        <f>CB8*(1+Cockpit!$H$26)</f>
        <v>0</v>
      </c>
      <c r="CD8" s="219">
        <f>CC8*(1+Cockpit!$H$26)</f>
        <v>0</v>
      </c>
      <c r="CE8" s="219">
        <f>CD8*(1+Cockpit!$H$26)</f>
        <v>0</v>
      </c>
      <c r="CF8" s="219">
        <f>CE8*(1+Cockpit!$H$26)</f>
        <v>0</v>
      </c>
      <c r="CG8" s="219">
        <f>CF8*(1+Cockpit!$H$26)</f>
        <v>0</v>
      </c>
      <c r="CH8" s="220">
        <f>CG8*(1+Cockpit!$H$26)</f>
        <v>0</v>
      </c>
    </row>
    <row r="9" spans="1:86">
      <c r="B9" s="494" t="s">
        <v>222</v>
      </c>
      <c r="C9" s="495"/>
      <c r="D9" s="27">
        <f>Cockpit!K9</f>
        <v>0</v>
      </c>
      <c r="E9" s="27">
        <f>D9*(1+Cockpit!$H$25)</f>
        <v>0</v>
      </c>
      <c r="F9" s="27">
        <f>E9*(1+Cockpit!$H$25)</f>
        <v>0</v>
      </c>
      <c r="G9" s="27">
        <f>F9*(1+Cockpit!$H$25)</f>
        <v>0</v>
      </c>
      <c r="H9" s="27">
        <f>G9*(1+Cockpit!$H$25)</f>
        <v>0</v>
      </c>
      <c r="I9" s="27">
        <f>H9*(1+Cockpit!$H$25)</f>
        <v>0</v>
      </c>
      <c r="J9" s="27">
        <f>I9*(1+Cockpit!$H$25)</f>
        <v>0</v>
      </c>
      <c r="K9" s="27">
        <f>J9*(1+Cockpit!$H$25)</f>
        <v>0</v>
      </c>
      <c r="L9" s="27">
        <f>K9*(1+Cockpit!$H$25)</f>
        <v>0</v>
      </c>
      <c r="M9" s="27">
        <f>L9*(1+Cockpit!$H$25)</f>
        <v>0</v>
      </c>
      <c r="N9" s="27">
        <f>M9*(1+Cockpit!$H$25)</f>
        <v>0</v>
      </c>
      <c r="O9" s="27">
        <f>N9*(1+Cockpit!$H$25)</f>
        <v>0</v>
      </c>
      <c r="P9" s="27">
        <f>O9*(1+Cockpit!$H$25)</f>
        <v>0</v>
      </c>
      <c r="Q9" s="27">
        <f>P9*(1+Cockpit!$H$25)</f>
        <v>0</v>
      </c>
      <c r="R9" s="27">
        <f>Q9*(1+Cockpit!$H$25)</f>
        <v>0</v>
      </c>
      <c r="S9" s="27">
        <f>R9*(1+Cockpit!$H$25)</f>
        <v>0</v>
      </c>
      <c r="T9" s="27">
        <f>S9*(1+Cockpit!$H$25)</f>
        <v>0</v>
      </c>
      <c r="U9" s="27">
        <f>T9*(1+Cockpit!$H$25)</f>
        <v>0</v>
      </c>
      <c r="V9" s="27">
        <f>U9*(1+Cockpit!$H$25)</f>
        <v>0</v>
      </c>
      <c r="W9" s="27">
        <f>V9*(1+Cockpit!$H$25)</f>
        <v>0</v>
      </c>
      <c r="X9" s="27">
        <f>W9*(1+Cockpit!$H$25)</f>
        <v>0</v>
      </c>
      <c r="Y9" s="27">
        <f>X9*(1+Cockpit!$H$25)</f>
        <v>0</v>
      </c>
      <c r="Z9" s="27">
        <f>Y9*(1+Cockpit!$H$25)</f>
        <v>0</v>
      </c>
      <c r="AA9" s="27">
        <f>Z9*(1+Cockpit!$H$25)</f>
        <v>0</v>
      </c>
      <c r="AB9" s="27">
        <f>AA9*(1+Cockpit!$H$25)</f>
        <v>0</v>
      </c>
      <c r="AC9" s="27">
        <f>AB9*(1+Cockpit!$H$25)</f>
        <v>0</v>
      </c>
      <c r="AD9" s="27">
        <f>AC9*(1+Cockpit!$H$25)</f>
        <v>0</v>
      </c>
      <c r="AE9" s="27">
        <f>AD9*(1+Cockpit!$H$25)</f>
        <v>0</v>
      </c>
      <c r="AF9" s="27">
        <f>AE9*(1+Cockpit!$H$25)</f>
        <v>0</v>
      </c>
      <c r="AG9" s="27">
        <f>AF9*(1+Cockpit!$H$25)</f>
        <v>0</v>
      </c>
      <c r="AH9" s="27">
        <f>AG9*(1+Cockpit!$H$25)</f>
        <v>0</v>
      </c>
      <c r="AI9" s="27">
        <f>AH9*(1+Cockpit!$H$25)</f>
        <v>0</v>
      </c>
      <c r="AJ9" s="27">
        <f>AI9*(1+Cockpit!$H$25)</f>
        <v>0</v>
      </c>
      <c r="AK9" s="27">
        <f>AJ9*(1+Cockpit!$H$25)</f>
        <v>0</v>
      </c>
      <c r="AL9" s="27">
        <f>AK9*(1+Cockpit!$H$25)</f>
        <v>0</v>
      </c>
      <c r="AM9" s="27">
        <f>AL9*(1+Cockpit!$H$25)</f>
        <v>0</v>
      </c>
      <c r="AN9" s="27">
        <f>AM9*(1+Cockpit!$H$25)</f>
        <v>0</v>
      </c>
      <c r="AO9" s="27">
        <f>AN9*(1+Cockpit!$H$25)</f>
        <v>0</v>
      </c>
      <c r="AP9" s="27">
        <f>AO9*(1+Cockpit!$H$25)</f>
        <v>0</v>
      </c>
      <c r="AQ9" s="27">
        <f>AP9*(1+Cockpit!$H$25)</f>
        <v>0</v>
      </c>
      <c r="AR9" s="27">
        <f>AQ9*(1+Cockpit!$H$25)</f>
        <v>0</v>
      </c>
      <c r="AS9" s="27">
        <f>AR9*(1+Cockpit!$H$25)</f>
        <v>0</v>
      </c>
      <c r="AT9" s="27">
        <f>AS9*(1+Cockpit!$H$25)</f>
        <v>0</v>
      </c>
      <c r="AU9" s="27">
        <f>AT9*(1+Cockpit!$H$25)</f>
        <v>0</v>
      </c>
      <c r="AV9" s="27">
        <f>AU9*(1+Cockpit!$H$25)</f>
        <v>0</v>
      </c>
      <c r="AW9" s="27">
        <f>AV9*(1+Cockpit!$H$25)</f>
        <v>0</v>
      </c>
      <c r="AX9" s="27">
        <f>AW9*(1+Cockpit!$H$25)</f>
        <v>0</v>
      </c>
      <c r="AY9" s="27">
        <f>AX9*(1+Cockpit!$H$25)</f>
        <v>0</v>
      </c>
      <c r="AZ9" s="27">
        <f>AY9*(1+Cockpit!$H$25)</f>
        <v>0</v>
      </c>
      <c r="BA9" s="27">
        <f>AZ9*(1+Cockpit!$H$25)</f>
        <v>0</v>
      </c>
      <c r="BB9" s="27">
        <f>BA9*(1+Cockpit!$H$25)</f>
        <v>0</v>
      </c>
      <c r="BC9" s="27">
        <f>BB9*(1+Cockpit!$H$25)</f>
        <v>0</v>
      </c>
      <c r="BD9" s="27">
        <f>BC9*(1+Cockpit!$H$25)</f>
        <v>0</v>
      </c>
      <c r="BE9" s="27">
        <f>BD9*(1+Cockpit!$H$25)</f>
        <v>0</v>
      </c>
      <c r="BF9" s="27">
        <f>BE9*(1+Cockpit!$H$25)</f>
        <v>0</v>
      </c>
      <c r="BG9" s="27">
        <f>BF9*(1+Cockpit!$H$25)</f>
        <v>0</v>
      </c>
      <c r="BH9" s="27">
        <f>BG9*(1+Cockpit!$H$25)</f>
        <v>0</v>
      </c>
      <c r="BI9" s="27">
        <f>BH9*(1+Cockpit!$H$25)</f>
        <v>0</v>
      </c>
      <c r="BJ9" s="27">
        <f>BI9*(1+Cockpit!$H$25)</f>
        <v>0</v>
      </c>
      <c r="BK9" s="27">
        <f>BJ9*(1+Cockpit!$H$25)</f>
        <v>0</v>
      </c>
      <c r="BL9" s="27">
        <f>BK9*(1+Cockpit!$H$25)</f>
        <v>0</v>
      </c>
      <c r="BM9" s="27">
        <f>BL9*(1+Cockpit!$H$25)</f>
        <v>0</v>
      </c>
      <c r="BN9" s="27">
        <f>BM9*(1+Cockpit!$H$25)</f>
        <v>0</v>
      </c>
      <c r="BO9" s="27">
        <f>BN9*(1+Cockpit!$H$25)</f>
        <v>0</v>
      </c>
      <c r="BP9" s="27">
        <f>BO9*(1+Cockpit!$H$25)</f>
        <v>0</v>
      </c>
      <c r="BQ9" s="27">
        <f>BP9*(1+Cockpit!$H$25)</f>
        <v>0</v>
      </c>
      <c r="BR9" s="27">
        <f>BQ9*(1+Cockpit!$H$25)</f>
        <v>0</v>
      </c>
      <c r="BS9" s="27">
        <f>BR9*(1+Cockpit!$H$25)</f>
        <v>0</v>
      </c>
      <c r="BT9" s="27">
        <f>BS9*(1+Cockpit!$H$25)</f>
        <v>0</v>
      </c>
      <c r="BU9" s="27">
        <f>BT9*(1+Cockpit!$H$25)</f>
        <v>0</v>
      </c>
      <c r="BV9" s="27">
        <f>BU9*(1+Cockpit!$H$25)</f>
        <v>0</v>
      </c>
      <c r="BW9" s="27">
        <f>BV9*(1+Cockpit!$H$25)</f>
        <v>0</v>
      </c>
      <c r="BX9" s="27">
        <f>BW9*(1+Cockpit!$H$25)</f>
        <v>0</v>
      </c>
      <c r="BY9" s="27">
        <f>BX9*(1+Cockpit!$H$25)</f>
        <v>0</v>
      </c>
      <c r="BZ9" s="27">
        <f>BY9*(1+Cockpit!$H$25)</f>
        <v>0</v>
      </c>
      <c r="CA9" s="27">
        <f>BZ9*(1+Cockpit!$H$25)</f>
        <v>0</v>
      </c>
      <c r="CB9" s="27">
        <f>CA9*(1+Cockpit!$H$25)</f>
        <v>0</v>
      </c>
      <c r="CC9" s="27">
        <f>CB9*(1+Cockpit!$H$25)</f>
        <v>0</v>
      </c>
      <c r="CD9" s="27">
        <f>CC9*(1+Cockpit!$H$25)</f>
        <v>0</v>
      </c>
      <c r="CE9" s="27">
        <f>CD9*(1+Cockpit!$H$25)</f>
        <v>0</v>
      </c>
      <c r="CF9" s="27">
        <f>CE9*(1+Cockpit!$H$25)</f>
        <v>0</v>
      </c>
      <c r="CG9" s="27">
        <f>CF9*(1+Cockpit!$H$25)</f>
        <v>0</v>
      </c>
      <c r="CH9" s="221">
        <f>CG9*(1+Cockpit!$H$25)</f>
        <v>0</v>
      </c>
    </row>
    <row r="10" spans="1:86" ht="15" thickBot="1">
      <c r="B10" s="492" t="s">
        <v>66</v>
      </c>
      <c r="C10" s="493"/>
      <c r="D10" s="222">
        <f t="shared" ref="D10:AI10" si="0">D8+D9</f>
        <v>0</v>
      </c>
      <c r="E10" s="222">
        <f t="shared" si="0"/>
        <v>0</v>
      </c>
      <c r="F10" s="222">
        <f t="shared" si="0"/>
        <v>0</v>
      </c>
      <c r="G10" s="222">
        <f t="shared" si="0"/>
        <v>0</v>
      </c>
      <c r="H10" s="222">
        <f t="shared" si="0"/>
        <v>0</v>
      </c>
      <c r="I10" s="222">
        <f t="shared" si="0"/>
        <v>0</v>
      </c>
      <c r="J10" s="222">
        <f t="shared" si="0"/>
        <v>0</v>
      </c>
      <c r="K10" s="222">
        <f t="shared" si="0"/>
        <v>0</v>
      </c>
      <c r="L10" s="222">
        <f t="shared" si="0"/>
        <v>0</v>
      </c>
      <c r="M10" s="222">
        <f t="shared" si="0"/>
        <v>0</v>
      </c>
      <c r="N10" s="222">
        <f t="shared" si="0"/>
        <v>0</v>
      </c>
      <c r="O10" s="222">
        <f t="shared" si="0"/>
        <v>0</v>
      </c>
      <c r="P10" s="222">
        <f t="shared" si="0"/>
        <v>0</v>
      </c>
      <c r="Q10" s="222">
        <f t="shared" si="0"/>
        <v>0</v>
      </c>
      <c r="R10" s="222">
        <f t="shared" si="0"/>
        <v>0</v>
      </c>
      <c r="S10" s="222">
        <f t="shared" si="0"/>
        <v>0</v>
      </c>
      <c r="T10" s="222">
        <f t="shared" si="0"/>
        <v>0</v>
      </c>
      <c r="U10" s="222">
        <f t="shared" si="0"/>
        <v>0</v>
      </c>
      <c r="V10" s="222">
        <f t="shared" si="0"/>
        <v>0</v>
      </c>
      <c r="W10" s="222">
        <f t="shared" si="0"/>
        <v>0</v>
      </c>
      <c r="X10" s="222">
        <f t="shared" si="0"/>
        <v>0</v>
      </c>
      <c r="Y10" s="222">
        <f t="shared" si="0"/>
        <v>0</v>
      </c>
      <c r="Z10" s="222">
        <f t="shared" si="0"/>
        <v>0</v>
      </c>
      <c r="AA10" s="222">
        <f t="shared" si="0"/>
        <v>0</v>
      </c>
      <c r="AB10" s="222">
        <f t="shared" si="0"/>
        <v>0</v>
      </c>
      <c r="AC10" s="222">
        <f t="shared" si="0"/>
        <v>0</v>
      </c>
      <c r="AD10" s="222">
        <f t="shared" si="0"/>
        <v>0</v>
      </c>
      <c r="AE10" s="222">
        <f t="shared" si="0"/>
        <v>0</v>
      </c>
      <c r="AF10" s="222">
        <f t="shared" si="0"/>
        <v>0</v>
      </c>
      <c r="AG10" s="222">
        <f t="shared" si="0"/>
        <v>0</v>
      </c>
      <c r="AH10" s="222">
        <f t="shared" si="0"/>
        <v>0</v>
      </c>
      <c r="AI10" s="222">
        <f t="shared" si="0"/>
        <v>0</v>
      </c>
      <c r="AJ10" s="222">
        <f t="shared" ref="AJ10:BA10" si="1">AJ8+AJ9</f>
        <v>0</v>
      </c>
      <c r="AK10" s="222">
        <f t="shared" si="1"/>
        <v>0</v>
      </c>
      <c r="AL10" s="222">
        <f t="shared" si="1"/>
        <v>0</v>
      </c>
      <c r="AM10" s="222">
        <f t="shared" si="1"/>
        <v>0</v>
      </c>
      <c r="AN10" s="222">
        <f t="shared" si="1"/>
        <v>0</v>
      </c>
      <c r="AO10" s="222">
        <f t="shared" si="1"/>
        <v>0</v>
      </c>
      <c r="AP10" s="222">
        <f t="shared" si="1"/>
        <v>0</v>
      </c>
      <c r="AQ10" s="222">
        <f t="shared" si="1"/>
        <v>0</v>
      </c>
      <c r="AR10" s="222">
        <f t="shared" si="1"/>
        <v>0</v>
      </c>
      <c r="AS10" s="222">
        <f t="shared" si="1"/>
        <v>0</v>
      </c>
      <c r="AT10" s="222">
        <f t="shared" si="1"/>
        <v>0</v>
      </c>
      <c r="AU10" s="222">
        <f t="shared" si="1"/>
        <v>0</v>
      </c>
      <c r="AV10" s="222">
        <f t="shared" si="1"/>
        <v>0</v>
      </c>
      <c r="AW10" s="222">
        <f t="shared" si="1"/>
        <v>0</v>
      </c>
      <c r="AX10" s="222">
        <f t="shared" si="1"/>
        <v>0</v>
      </c>
      <c r="AY10" s="222">
        <f t="shared" si="1"/>
        <v>0</v>
      </c>
      <c r="AZ10" s="222">
        <f t="shared" si="1"/>
        <v>0</v>
      </c>
      <c r="BA10" s="222">
        <f t="shared" si="1"/>
        <v>0</v>
      </c>
      <c r="BB10" s="222">
        <f t="shared" ref="BB10:CH10" si="2">BB8+BB9</f>
        <v>0</v>
      </c>
      <c r="BC10" s="222">
        <f t="shared" si="2"/>
        <v>0</v>
      </c>
      <c r="BD10" s="222">
        <f t="shared" si="2"/>
        <v>0</v>
      </c>
      <c r="BE10" s="222">
        <f t="shared" si="2"/>
        <v>0</v>
      </c>
      <c r="BF10" s="222">
        <f t="shared" si="2"/>
        <v>0</v>
      </c>
      <c r="BG10" s="222">
        <f t="shared" si="2"/>
        <v>0</v>
      </c>
      <c r="BH10" s="222">
        <f t="shared" si="2"/>
        <v>0</v>
      </c>
      <c r="BI10" s="222">
        <f t="shared" si="2"/>
        <v>0</v>
      </c>
      <c r="BJ10" s="222">
        <f t="shared" si="2"/>
        <v>0</v>
      </c>
      <c r="BK10" s="222">
        <f t="shared" si="2"/>
        <v>0</v>
      </c>
      <c r="BL10" s="222">
        <f t="shared" si="2"/>
        <v>0</v>
      </c>
      <c r="BM10" s="222">
        <f t="shared" si="2"/>
        <v>0</v>
      </c>
      <c r="BN10" s="222">
        <f t="shared" si="2"/>
        <v>0</v>
      </c>
      <c r="BO10" s="222">
        <f t="shared" si="2"/>
        <v>0</v>
      </c>
      <c r="BP10" s="222">
        <f t="shared" si="2"/>
        <v>0</v>
      </c>
      <c r="BQ10" s="222">
        <f t="shared" si="2"/>
        <v>0</v>
      </c>
      <c r="BR10" s="222">
        <f t="shared" si="2"/>
        <v>0</v>
      </c>
      <c r="BS10" s="222">
        <f t="shared" si="2"/>
        <v>0</v>
      </c>
      <c r="BT10" s="222">
        <f t="shared" si="2"/>
        <v>0</v>
      </c>
      <c r="BU10" s="222">
        <f t="shared" si="2"/>
        <v>0</v>
      </c>
      <c r="BV10" s="222">
        <f t="shared" si="2"/>
        <v>0</v>
      </c>
      <c r="BW10" s="222">
        <f t="shared" si="2"/>
        <v>0</v>
      </c>
      <c r="BX10" s="222">
        <f t="shared" si="2"/>
        <v>0</v>
      </c>
      <c r="BY10" s="222">
        <f t="shared" si="2"/>
        <v>0</v>
      </c>
      <c r="BZ10" s="222">
        <f t="shared" si="2"/>
        <v>0</v>
      </c>
      <c r="CA10" s="222">
        <f t="shared" si="2"/>
        <v>0</v>
      </c>
      <c r="CB10" s="222">
        <f t="shared" si="2"/>
        <v>0</v>
      </c>
      <c r="CC10" s="222">
        <f t="shared" si="2"/>
        <v>0</v>
      </c>
      <c r="CD10" s="222">
        <f t="shared" si="2"/>
        <v>0</v>
      </c>
      <c r="CE10" s="222">
        <f t="shared" si="2"/>
        <v>0</v>
      </c>
      <c r="CF10" s="222">
        <f t="shared" si="2"/>
        <v>0</v>
      </c>
      <c r="CG10" s="222">
        <f t="shared" si="2"/>
        <v>0</v>
      </c>
      <c r="CH10" s="223">
        <f t="shared" si="2"/>
        <v>0</v>
      </c>
    </row>
    <row r="11" spans="1:86" ht="36" customHeight="1" thickBot="1">
      <c r="I11" s="5"/>
      <c r="J11" s="5"/>
      <c r="K11" s="5"/>
      <c r="L11" s="5"/>
      <c r="N11" s="4"/>
      <c r="O11" s="4"/>
      <c r="P11" s="4"/>
      <c r="Q11" s="4"/>
    </row>
    <row r="12" spans="1:86" ht="16.5" thickBot="1">
      <c r="A12"/>
      <c r="B12" s="212" t="s">
        <v>59</v>
      </c>
      <c r="C12" s="25"/>
      <c r="D12" s="213"/>
      <c r="I12" s="5"/>
      <c r="J12" s="5"/>
      <c r="K12" s="5"/>
      <c r="L12" s="5"/>
    </row>
    <row r="13" spans="1:86" ht="15" thickBot="1">
      <c r="B13" s="214" t="s">
        <v>47</v>
      </c>
      <c r="C13" s="215"/>
      <c r="D13" s="216">
        <f ca="1">YEAR(Cockpit!C10)</f>
        <v>2023</v>
      </c>
      <c r="E13" s="217">
        <f ca="1">D13+1</f>
        <v>2024</v>
      </c>
      <c r="F13" s="217">
        <f t="shared" ref="F13:BA13" ca="1" si="3">E13+1</f>
        <v>2025</v>
      </c>
      <c r="G13" s="217">
        <f t="shared" ca="1" si="3"/>
        <v>2026</v>
      </c>
      <c r="H13" s="217">
        <f t="shared" ca="1" si="3"/>
        <v>2027</v>
      </c>
      <c r="I13" s="217">
        <f t="shared" ca="1" si="3"/>
        <v>2028</v>
      </c>
      <c r="J13" s="217">
        <f t="shared" ca="1" si="3"/>
        <v>2029</v>
      </c>
      <c r="K13" s="217">
        <f t="shared" ca="1" si="3"/>
        <v>2030</v>
      </c>
      <c r="L13" s="217">
        <f t="shared" ca="1" si="3"/>
        <v>2031</v>
      </c>
      <c r="M13" s="217">
        <f t="shared" ca="1" si="3"/>
        <v>2032</v>
      </c>
      <c r="N13" s="217">
        <f t="shared" ca="1" si="3"/>
        <v>2033</v>
      </c>
      <c r="O13" s="217">
        <f t="shared" ca="1" si="3"/>
        <v>2034</v>
      </c>
      <c r="P13" s="217">
        <f t="shared" ca="1" si="3"/>
        <v>2035</v>
      </c>
      <c r="Q13" s="217">
        <f t="shared" ca="1" si="3"/>
        <v>2036</v>
      </c>
      <c r="R13" s="217">
        <f t="shared" ca="1" si="3"/>
        <v>2037</v>
      </c>
      <c r="S13" s="217">
        <f t="shared" ca="1" si="3"/>
        <v>2038</v>
      </c>
      <c r="T13" s="217">
        <f t="shared" ca="1" si="3"/>
        <v>2039</v>
      </c>
      <c r="U13" s="217">
        <f t="shared" ca="1" si="3"/>
        <v>2040</v>
      </c>
      <c r="V13" s="217">
        <f t="shared" ca="1" si="3"/>
        <v>2041</v>
      </c>
      <c r="W13" s="217">
        <f t="shared" ca="1" si="3"/>
        <v>2042</v>
      </c>
      <c r="X13" s="217">
        <f t="shared" ca="1" si="3"/>
        <v>2043</v>
      </c>
      <c r="Y13" s="217">
        <f t="shared" ca="1" si="3"/>
        <v>2044</v>
      </c>
      <c r="Z13" s="217">
        <f t="shared" ca="1" si="3"/>
        <v>2045</v>
      </c>
      <c r="AA13" s="217">
        <f t="shared" ca="1" si="3"/>
        <v>2046</v>
      </c>
      <c r="AB13" s="217">
        <f t="shared" ca="1" si="3"/>
        <v>2047</v>
      </c>
      <c r="AC13" s="217">
        <f t="shared" ca="1" si="3"/>
        <v>2048</v>
      </c>
      <c r="AD13" s="217">
        <f t="shared" ca="1" si="3"/>
        <v>2049</v>
      </c>
      <c r="AE13" s="217">
        <f t="shared" ca="1" si="3"/>
        <v>2050</v>
      </c>
      <c r="AF13" s="217">
        <f t="shared" ca="1" si="3"/>
        <v>2051</v>
      </c>
      <c r="AG13" s="217">
        <f t="shared" ca="1" si="3"/>
        <v>2052</v>
      </c>
      <c r="AH13" s="217">
        <f t="shared" ca="1" si="3"/>
        <v>2053</v>
      </c>
      <c r="AI13" s="217">
        <f t="shared" ca="1" si="3"/>
        <v>2054</v>
      </c>
      <c r="AJ13" s="217">
        <f t="shared" ca="1" si="3"/>
        <v>2055</v>
      </c>
      <c r="AK13" s="217">
        <f t="shared" ca="1" si="3"/>
        <v>2056</v>
      </c>
      <c r="AL13" s="217">
        <f t="shared" ca="1" si="3"/>
        <v>2057</v>
      </c>
      <c r="AM13" s="217">
        <f t="shared" ca="1" si="3"/>
        <v>2058</v>
      </c>
      <c r="AN13" s="217">
        <f t="shared" ca="1" si="3"/>
        <v>2059</v>
      </c>
      <c r="AO13" s="217">
        <f t="shared" ca="1" si="3"/>
        <v>2060</v>
      </c>
      <c r="AP13" s="217">
        <f t="shared" ca="1" si="3"/>
        <v>2061</v>
      </c>
      <c r="AQ13" s="217">
        <f t="shared" ca="1" si="3"/>
        <v>2062</v>
      </c>
      <c r="AR13" s="217">
        <f t="shared" ca="1" si="3"/>
        <v>2063</v>
      </c>
      <c r="AS13" s="217">
        <f t="shared" ca="1" si="3"/>
        <v>2064</v>
      </c>
      <c r="AT13" s="217">
        <f t="shared" ca="1" si="3"/>
        <v>2065</v>
      </c>
      <c r="AU13" s="217">
        <f t="shared" ca="1" si="3"/>
        <v>2066</v>
      </c>
      <c r="AV13" s="217">
        <f t="shared" ca="1" si="3"/>
        <v>2067</v>
      </c>
      <c r="AW13" s="217">
        <f t="shared" ca="1" si="3"/>
        <v>2068</v>
      </c>
      <c r="AX13" s="217">
        <f t="shared" ca="1" si="3"/>
        <v>2069</v>
      </c>
      <c r="AY13" s="217">
        <f t="shared" ca="1" si="3"/>
        <v>2070</v>
      </c>
      <c r="AZ13" s="217">
        <f t="shared" ca="1" si="3"/>
        <v>2071</v>
      </c>
      <c r="BA13" s="217">
        <f t="shared" ca="1" si="3"/>
        <v>2072</v>
      </c>
      <c r="BB13" s="217">
        <f t="shared" ref="BB13" ca="1" si="4">BA13+1</f>
        <v>2073</v>
      </c>
      <c r="BC13" s="217">
        <f t="shared" ref="BC13" ca="1" si="5">BB13+1</f>
        <v>2074</v>
      </c>
      <c r="BD13" s="217">
        <f t="shared" ref="BD13" ca="1" si="6">BC13+1</f>
        <v>2075</v>
      </c>
      <c r="BE13" s="217">
        <f t="shared" ref="BE13" ca="1" si="7">BD13+1</f>
        <v>2076</v>
      </c>
      <c r="BF13" s="217">
        <f t="shared" ref="BF13" ca="1" si="8">BE13+1</f>
        <v>2077</v>
      </c>
      <c r="BG13" s="217">
        <f t="shared" ref="BG13" ca="1" si="9">BF13+1</f>
        <v>2078</v>
      </c>
      <c r="BH13" s="217">
        <f t="shared" ref="BH13" ca="1" si="10">BG13+1</f>
        <v>2079</v>
      </c>
      <c r="BI13" s="217">
        <f t="shared" ref="BI13" ca="1" si="11">BH13+1</f>
        <v>2080</v>
      </c>
      <c r="BJ13" s="217">
        <f t="shared" ref="BJ13" ca="1" si="12">BI13+1</f>
        <v>2081</v>
      </c>
      <c r="BK13" s="217">
        <f t="shared" ref="BK13" ca="1" si="13">BJ13+1</f>
        <v>2082</v>
      </c>
      <c r="BL13" s="217">
        <f t="shared" ref="BL13" ca="1" si="14">BK13+1</f>
        <v>2083</v>
      </c>
      <c r="BM13" s="217">
        <f t="shared" ref="BM13" ca="1" si="15">BL13+1</f>
        <v>2084</v>
      </c>
      <c r="BN13" s="217">
        <f t="shared" ref="BN13" ca="1" si="16">BM13+1</f>
        <v>2085</v>
      </c>
      <c r="BO13" s="217">
        <f t="shared" ref="BO13" ca="1" si="17">BN13+1</f>
        <v>2086</v>
      </c>
      <c r="BP13" s="217">
        <f t="shared" ref="BP13" ca="1" si="18">BO13+1</f>
        <v>2087</v>
      </c>
      <c r="BQ13" s="217">
        <f t="shared" ref="BQ13" ca="1" si="19">BP13+1</f>
        <v>2088</v>
      </c>
      <c r="BR13" s="217">
        <f t="shared" ref="BR13" ca="1" si="20">BQ13+1</f>
        <v>2089</v>
      </c>
      <c r="BS13" s="217">
        <f t="shared" ref="BS13" ca="1" si="21">BR13+1</f>
        <v>2090</v>
      </c>
      <c r="BT13" s="217">
        <f t="shared" ref="BT13" ca="1" si="22">BS13+1</f>
        <v>2091</v>
      </c>
      <c r="BU13" s="217">
        <f t="shared" ref="BU13" ca="1" si="23">BT13+1</f>
        <v>2092</v>
      </c>
      <c r="BV13" s="217">
        <f t="shared" ref="BV13" ca="1" si="24">BU13+1</f>
        <v>2093</v>
      </c>
      <c r="BW13" s="217">
        <f t="shared" ref="BW13" ca="1" si="25">BV13+1</f>
        <v>2094</v>
      </c>
      <c r="BX13" s="217">
        <f t="shared" ref="BX13" ca="1" si="26">BW13+1</f>
        <v>2095</v>
      </c>
      <c r="BY13" s="217">
        <f t="shared" ref="BY13" ca="1" si="27">BX13+1</f>
        <v>2096</v>
      </c>
      <c r="BZ13" s="217">
        <f t="shared" ref="BZ13" ca="1" si="28">BY13+1</f>
        <v>2097</v>
      </c>
      <c r="CA13" s="217">
        <f t="shared" ref="CA13" ca="1" si="29">BZ13+1</f>
        <v>2098</v>
      </c>
      <c r="CB13" s="217">
        <f t="shared" ref="CB13" ca="1" si="30">CA13+1</f>
        <v>2099</v>
      </c>
      <c r="CC13" s="217">
        <f t="shared" ref="CC13" ca="1" si="31">CB13+1</f>
        <v>2100</v>
      </c>
      <c r="CD13" s="217">
        <f t="shared" ref="CD13" ca="1" si="32">CC13+1</f>
        <v>2101</v>
      </c>
      <c r="CE13" s="217">
        <f t="shared" ref="CE13" ca="1" si="33">CD13+1</f>
        <v>2102</v>
      </c>
      <c r="CF13" s="217">
        <f t="shared" ref="CF13" ca="1" si="34">CE13+1</f>
        <v>2103</v>
      </c>
      <c r="CG13" s="217">
        <f t="shared" ref="CG13" ca="1" si="35">CF13+1</f>
        <v>2104</v>
      </c>
      <c r="CH13" s="218">
        <f t="shared" ref="CH13" ca="1" si="36">CG13+1</f>
        <v>2105</v>
      </c>
    </row>
    <row r="14" spans="1:86">
      <c r="A14"/>
      <c r="B14" s="496" t="s">
        <v>64</v>
      </c>
      <c r="C14" s="497"/>
      <c r="D14" s="224">
        <f>Cockpit!D14+Cockpit!E29</f>
        <v>0</v>
      </c>
      <c r="E14" s="224">
        <f>D17</f>
        <v>0</v>
      </c>
      <c r="F14" s="224">
        <f t="shared" ref="F14:BA14" si="37">E17</f>
        <v>0</v>
      </c>
      <c r="G14" s="224">
        <f t="shared" si="37"/>
        <v>0</v>
      </c>
      <c r="H14" s="224">
        <f t="shared" si="37"/>
        <v>0</v>
      </c>
      <c r="I14" s="224">
        <f t="shared" si="37"/>
        <v>0</v>
      </c>
      <c r="J14" s="224">
        <f t="shared" si="37"/>
        <v>0</v>
      </c>
      <c r="K14" s="224">
        <f t="shared" si="37"/>
        <v>0</v>
      </c>
      <c r="L14" s="224">
        <f t="shared" si="37"/>
        <v>0</v>
      </c>
      <c r="M14" s="224">
        <f t="shared" si="37"/>
        <v>0</v>
      </c>
      <c r="N14" s="224">
        <f t="shared" si="37"/>
        <v>0</v>
      </c>
      <c r="O14" s="224">
        <f t="shared" si="37"/>
        <v>0</v>
      </c>
      <c r="P14" s="224">
        <f t="shared" si="37"/>
        <v>0</v>
      </c>
      <c r="Q14" s="224">
        <f t="shared" si="37"/>
        <v>0</v>
      </c>
      <c r="R14" s="224">
        <f t="shared" si="37"/>
        <v>0</v>
      </c>
      <c r="S14" s="224">
        <f t="shared" si="37"/>
        <v>0</v>
      </c>
      <c r="T14" s="224">
        <f t="shared" si="37"/>
        <v>0</v>
      </c>
      <c r="U14" s="224">
        <f t="shared" si="37"/>
        <v>0</v>
      </c>
      <c r="V14" s="224">
        <f t="shared" si="37"/>
        <v>0</v>
      </c>
      <c r="W14" s="224">
        <f t="shared" si="37"/>
        <v>0</v>
      </c>
      <c r="X14" s="224">
        <f t="shared" si="37"/>
        <v>0</v>
      </c>
      <c r="Y14" s="224">
        <f t="shared" si="37"/>
        <v>0</v>
      </c>
      <c r="Z14" s="224">
        <f t="shared" si="37"/>
        <v>0</v>
      </c>
      <c r="AA14" s="224">
        <f t="shared" si="37"/>
        <v>0</v>
      </c>
      <c r="AB14" s="224">
        <f t="shared" si="37"/>
        <v>0</v>
      </c>
      <c r="AC14" s="224">
        <f t="shared" si="37"/>
        <v>0</v>
      </c>
      <c r="AD14" s="224">
        <f t="shared" si="37"/>
        <v>0</v>
      </c>
      <c r="AE14" s="224">
        <f t="shared" si="37"/>
        <v>0</v>
      </c>
      <c r="AF14" s="224">
        <f t="shared" si="37"/>
        <v>0</v>
      </c>
      <c r="AG14" s="224">
        <f t="shared" si="37"/>
        <v>0</v>
      </c>
      <c r="AH14" s="224">
        <f t="shared" si="37"/>
        <v>0</v>
      </c>
      <c r="AI14" s="224">
        <f t="shared" si="37"/>
        <v>0</v>
      </c>
      <c r="AJ14" s="224">
        <f t="shared" si="37"/>
        <v>0</v>
      </c>
      <c r="AK14" s="224">
        <f t="shared" si="37"/>
        <v>0</v>
      </c>
      <c r="AL14" s="224">
        <f t="shared" si="37"/>
        <v>0</v>
      </c>
      <c r="AM14" s="224">
        <f t="shared" si="37"/>
        <v>0</v>
      </c>
      <c r="AN14" s="224">
        <f t="shared" si="37"/>
        <v>0</v>
      </c>
      <c r="AO14" s="224">
        <f t="shared" si="37"/>
        <v>0</v>
      </c>
      <c r="AP14" s="224">
        <f t="shared" si="37"/>
        <v>0</v>
      </c>
      <c r="AQ14" s="224">
        <f t="shared" si="37"/>
        <v>0</v>
      </c>
      <c r="AR14" s="224">
        <f t="shared" si="37"/>
        <v>0</v>
      </c>
      <c r="AS14" s="224">
        <f t="shared" si="37"/>
        <v>0</v>
      </c>
      <c r="AT14" s="224">
        <f t="shared" si="37"/>
        <v>0</v>
      </c>
      <c r="AU14" s="224">
        <f t="shared" si="37"/>
        <v>0</v>
      </c>
      <c r="AV14" s="224">
        <f t="shared" si="37"/>
        <v>0</v>
      </c>
      <c r="AW14" s="224">
        <f t="shared" si="37"/>
        <v>0</v>
      </c>
      <c r="AX14" s="224">
        <f t="shared" si="37"/>
        <v>0</v>
      </c>
      <c r="AY14" s="224">
        <f t="shared" si="37"/>
        <v>0</v>
      </c>
      <c r="AZ14" s="224">
        <f t="shared" si="37"/>
        <v>0</v>
      </c>
      <c r="BA14" s="224">
        <f t="shared" si="37"/>
        <v>0</v>
      </c>
      <c r="BB14" s="224">
        <f t="shared" ref="BB14" si="38">BA17</f>
        <v>0</v>
      </c>
      <c r="BC14" s="224">
        <f t="shared" ref="BC14" si="39">BB17</f>
        <v>0</v>
      </c>
      <c r="BD14" s="224">
        <f t="shared" ref="BD14" si="40">BC17</f>
        <v>0</v>
      </c>
      <c r="BE14" s="224">
        <f t="shared" ref="BE14" si="41">BD17</f>
        <v>0</v>
      </c>
      <c r="BF14" s="224">
        <f t="shared" ref="BF14" si="42">BE17</f>
        <v>0</v>
      </c>
      <c r="BG14" s="224">
        <f t="shared" ref="BG14" si="43">BF17</f>
        <v>0</v>
      </c>
      <c r="BH14" s="224">
        <f t="shared" ref="BH14" si="44">BG17</f>
        <v>0</v>
      </c>
      <c r="BI14" s="224">
        <f t="shared" ref="BI14" si="45">BH17</f>
        <v>0</v>
      </c>
      <c r="BJ14" s="224">
        <f t="shared" ref="BJ14" si="46">BI17</f>
        <v>0</v>
      </c>
      <c r="BK14" s="224">
        <f t="shared" ref="BK14" si="47">BJ17</f>
        <v>0</v>
      </c>
      <c r="BL14" s="224">
        <f t="shared" ref="BL14" si="48">BK17</f>
        <v>0</v>
      </c>
      <c r="BM14" s="224">
        <f t="shared" ref="BM14" si="49">BL17</f>
        <v>0</v>
      </c>
      <c r="BN14" s="224">
        <f t="shared" ref="BN14" si="50">BM17</f>
        <v>0</v>
      </c>
      <c r="BO14" s="224">
        <f t="shared" ref="BO14" si="51">BN17</f>
        <v>0</v>
      </c>
      <c r="BP14" s="224">
        <f t="shared" ref="BP14" si="52">BO17</f>
        <v>0</v>
      </c>
      <c r="BQ14" s="224">
        <f t="shared" ref="BQ14" si="53">BP17</f>
        <v>0</v>
      </c>
      <c r="BR14" s="224">
        <f t="shared" ref="BR14" si="54">BQ17</f>
        <v>0</v>
      </c>
      <c r="BS14" s="224">
        <f t="shared" ref="BS14" si="55">BR17</f>
        <v>0</v>
      </c>
      <c r="BT14" s="224">
        <f t="shared" ref="BT14" si="56">BS17</f>
        <v>0</v>
      </c>
      <c r="BU14" s="224">
        <f t="shared" ref="BU14" si="57">BT17</f>
        <v>0</v>
      </c>
      <c r="BV14" s="224">
        <f t="shared" ref="BV14" si="58">BU17</f>
        <v>0</v>
      </c>
      <c r="BW14" s="224">
        <f t="shared" ref="BW14" si="59">BV17</f>
        <v>0</v>
      </c>
      <c r="BX14" s="224">
        <f t="shared" ref="BX14" si="60">BW17</f>
        <v>0</v>
      </c>
      <c r="BY14" s="224">
        <f t="shared" ref="BY14" si="61">BX17</f>
        <v>0</v>
      </c>
      <c r="BZ14" s="224">
        <f t="shared" ref="BZ14" si="62">BY17</f>
        <v>0</v>
      </c>
      <c r="CA14" s="224">
        <f t="shared" ref="CA14" si="63">BZ17</f>
        <v>0</v>
      </c>
      <c r="CB14" s="224">
        <f t="shared" ref="CB14" si="64">CA17</f>
        <v>0</v>
      </c>
      <c r="CC14" s="224">
        <f t="shared" ref="CC14" si="65">CB17</f>
        <v>0</v>
      </c>
      <c r="CD14" s="224">
        <f t="shared" ref="CD14" si="66">CC17</f>
        <v>0</v>
      </c>
      <c r="CE14" s="224">
        <f t="shared" ref="CE14" si="67">CD17</f>
        <v>0</v>
      </c>
      <c r="CF14" s="224">
        <f t="shared" ref="CF14" si="68">CE17</f>
        <v>0</v>
      </c>
      <c r="CG14" s="224">
        <f t="shared" ref="CG14" si="69">CF17</f>
        <v>0</v>
      </c>
      <c r="CH14" s="225">
        <f t="shared" ref="CH14" si="70">CG17</f>
        <v>0</v>
      </c>
    </row>
    <row r="15" spans="1:86">
      <c r="A15"/>
      <c r="B15" s="465" t="s">
        <v>65</v>
      </c>
      <c r="C15" s="466"/>
      <c r="D15" s="3">
        <f>D14-'Kennzahlen im Verlauf'!D63</f>
        <v>0</v>
      </c>
      <c r="E15" s="3">
        <f>E14-'Kennzahlen im Verlauf'!E63</f>
        <v>0</v>
      </c>
      <c r="F15" s="3">
        <f>F14-'Kennzahlen im Verlauf'!F63</f>
        <v>0</v>
      </c>
      <c r="G15" s="3">
        <f>G14-'Kennzahlen im Verlauf'!G63</f>
        <v>0</v>
      </c>
      <c r="H15" s="3">
        <f>H14-'Kennzahlen im Verlauf'!H63</f>
        <v>0</v>
      </c>
      <c r="I15" s="3">
        <f>I14-'Kennzahlen im Verlauf'!I63</f>
        <v>0</v>
      </c>
      <c r="J15" s="3">
        <f>J14-'Kennzahlen im Verlauf'!J63</f>
        <v>0</v>
      </c>
      <c r="K15" s="3">
        <f>K14-'Kennzahlen im Verlauf'!K63</f>
        <v>0</v>
      </c>
      <c r="L15" s="3">
        <f>L14-'Kennzahlen im Verlauf'!L63</f>
        <v>0</v>
      </c>
      <c r="M15" s="3">
        <f>M14-'Kennzahlen im Verlauf'!M63</f>
        <v>0</v>
      </c>
      <c r="N15" s="3">
        <f>N14-'Kennzahlen im Verlauf'!N63</f>
        <v>0</v>
      </c>
      <c r="O15" s="3">
        <f>O14-'Kennzahlen im Verlauf'!O63</f>
        <v>0</v>
      </c>
      <c r="P15" s="3">
        <f>P14-'Kennzahlen im Verlauf'!P63</f>
        <v>0</v>
      </c>
      <c r="Q15" s="3">
        <f>Q14-'Kennzahlen im Verlauf'!Q63</f>
        <v>0</v>
      </c>
      <c r="R15" s="3">
        <f>R14-'Kennzahlen im Verlauf'!R63</f>
        <v>0</v>
      </c>
      <c r="S15" s="3">
        <f>S14-'Kennzahlen im Verlauf'!S63</f>
        <v>0</v>
      </c>
      <c r="T15" s="3">
        <f>T14-'Kennzahlen im Verlauf'!T63</f>
        <v>0</v>
      </c>
      <c r="U15" s="3">
        <f>U14-'Kennzahlen im Verlauf'!U63</f>
        <v>0</v>
      </c>
      <c r="V15" s="3">
        <f>V14-'Kennzahlen im Verlauf'!V63</f>
        <v>0</v>
      </c>
      <c r="W15" s="3">
        <f>W14-'Kennzahlen im Verlauf'!W63</f>
        <v>0</v>
      </c>
      <c r="X15" s="3">
        <f>X14-'Kennzahlen im Verlauf'!X63</f>
        <v>0</v>
      </c>
      <c r="Y15" s="3">
        <f>Y14-'Kennzahlen im Verlauf'!Y63</f>
        <v>0</v>
      </c>
      <c r="Z15" s="3">
        <f>Z14-'Kennzahlen im Verlauf'!Z63</f>
        <v>0</v>
      </c>
      <c r="AA15" s="3">
        <f>AA14-'Kennzahlen im Verlauf'!AA63</f>
        <v>0</v>
      </c>
      <c r="AB15" s="3">
        <f>AB14-'Kennzahlen im Verlauf'!AB63</f>
        <v>0</v>
      </c>
      <c r="AC15" s="3">
        <f>AC14-'Kennzahlen im Verlauf'!AC63</f>
        <v>0</v>
      </c>
      <c r="AD15" s="3">
        <f>AD14-'Kennzahlen im Verlauf'!AD63</f>
        <v>0</v>
      </c>
      <c r="AE15" s="3">
        <f>AE14-'Kennzahlen im Verlauf'!AE63</f>
        <v>0</v>
      </c>
      <c r="AF15" s="3">
        <f>AF14-'Kennzahlen im Verlauf'!AF63</f>
        <v>0</v>
      </c>
      <c r="AG15" s="3">
        <f>AG14-'Kennzahlen im Verlauf'!AG63</f>
        <v>0</v>
      </c>
      <c r="AH15" s="3">
        <f>AH14-'Kennzahlen im Verlauf'!AH63</f>
        <v>0</v>
      </c>
      <c r="AI15" s="3">
        <f>AI14-'Kennzahlen im Verlauf'!AI63</f>
        <v>0</v>
      </c>
      <c r="AJ15" s="3">
        <f>AJ14-'Kennzahlen im Verlauf'!AJ63</f>
        <v>0</v>
      </c>
      <c r="AK15" s="3">
        <f>AK14-'Kennzahlen im Verlauf'!AK63</f>
        <v>0</v>
      </c>
      <c r="AL15" s="3">
        <f>AL14-'Kennzahlen im Verlauf'!AL63</f>
        <v>0</v>
      </c>
      <c r="AM15" s="3">
        <f>AM14-'Kennzahlen im Verlauf'!AM63</f>
        <v>0</v>
      </c>
      <c r="AN15" s="3">
        <f>AN14-'Kennzahlen im Verlauf'!AN63</f>
        <v>0</v>
      </c>
      <c r="AO15" s="3">
        <f>AO14-'Kennzahlen im Verlauf'!AO63</f>
        <v>0</v>
      </c>
      <c r="AP15" s="3">
        <f>AP14-'Kennzahlen im Verlauf'!AP63</f>
        <v>0</v>
      </c>
      <c r="AQ15" s="3">
        <f>AQ14-'Kennzahlen im Verlauf'!AQ63</f>
        <v>0</v>
      </c>
      <c r="AR15" s="3">
        <f>AR14-'Kennzahlen im Verlauf'!AR63</f>
        <v>0</v>
      </c>
      <c r="AS15" s="3">
        <f>AS14-'Kennzahlen im Verlauf'!AS63</f>
        <v>0</v>
      </c>
      <c r="AT15" s="3">
        <f>AT14-'Kennzahlen im Verlauf'!AT63</f>
        <v>0</v>
      </c>
      <c r="AU15" s="3">
        <f>AU14-'Kennzahlen im Verlauf'!AU63</f>
        <v>0</v>
      </c>
      <c r="AV15" s="3">
        <f>AV14-'Kennzahlen im Verlauf'!AV63</f>
        <v>0</v>
      </c>
      <c r="AW15" s="3">
        <f>AW14-'Kennzahlen im Verlauf'!AW63</f>
        <v>0</v>
      </c>
      <c r="AX15" s="3">
        <f>AX14-'Kennzahlen im Verlauf'!AX63</f>
        <v>0</v>
      </c>
      <c r="AY15" s="3">
        <f>AY14-'Kennzahlen im Verlauf'!AY63</f>
        <v>0</v>
      </c>
      <c r="AZ15" s="3">
        <f>AZ14-'Kennzahlen im Verlauf'!AZ63</f>
        <v>0</v>
      </c>
      <c r="BA15" s="3">
        <f>BA14-'Kennzahlen im Verlauf'!BA63</f>
        <v>0</v>
      </c>
      <c r="BB15" s="3">
        <f>BB14-'Kennzahlen im Verlauf'!BB63</f>
        <v>0</v>
      </c>
      <c r="BC15" s="3">
        <f>BC14-'Kennzahlen im Verlauf'!BC63</f>
        <v>0</v>
      </c>
      <c r="BD15" s="3">
        <f>BD14-'Kennzahlen im Verlauf'!BD63</f>
        <v>0</v>
      </c>
      <c r="BE15" s="3">
        <f>BE14-'Kennzahlen im Verlauf'!BE63</f>
        <v>0</v>
      </c>
      <c r="BF15" s="3">
        <f>BF14-'Kennzahlen im Verlauf'!BF63</f>
        <v>0</v>
      </c>
      <c r="BG15" s="3">
        <f>BG14-'Kennzahlen im Verlauf'!BG63</f>
        <v>0</v>
      </c>
      <c r="BH15" s="3">
        <f>BH14-'Kennzahlen im Verlauf'!BH63</f>
        <v>0</v>
      </c>
      <c r="BI15" s="3">
        <f>BI14-'Kennzahlen im Verlauf'!BI63</f>
        <v>0</v>
      </c>
      <c r="BJ15" s="3">
        <f>BJ14-'Kennzahlen im Verlauf'!BJ63</f>
        <v>0</v>
      </c>
      <c r="BK15" s="3">
        <f>BK14-'Kennzahlen im Verlauf'!BK63</f>
        <v>0</v>
      </c>
      <c r="BL15" s="3">
        <f>BL14-'Kennzahlen im Verlauf'!BL63</f>
        <v>0</v>
      </c>
      <c r="BM15" s="3">
        <f>BM14-'Kennzahlen im Verlauf'!BM63</f>
        <v>0</v>
      </c>
      <c r="BN15" s="3">
        <f>BN14-'Kennzahlen im Verlauf'!BN63</f>
        <v>0</v>
      </c>
      <c r="BO15" s="3">
        <f>BO14-'Kennzahlen im Verlauf'!BO63</f>
        <v>0</v>
      </c>
      <c r="BP15" s="3">
        <f>BP14-'Kennzahlen im Verlauf'!BP63</f>
        <v>0</v>
      </c>
      <c r="BQ15" s="3">
        <f>BQ14-'Kennzahlen im Verlauf'!BQ63</f>
        <v>0</v>
      </c>
      <c r="BR15" s="3">
        <f>BR14-'Kennzahlen im Verlauf'!BR63</f>
        <v>0</v>
      </c>
      <c r="BS15" s="3">
        <f>BS14-'Kennzahlen im Verlauf'!BS63</f>
        <v>0</v>
      </c>
      <c r="BT15" s="3">
        <f>BT14-'Kennzahlen im Verlauf'!BT63</f>
        <v>0</v>
      </c>
      <c r="BU15" s="3">
        <f>BU14-'Kennzahlen im Verlauf'!BU63</f>
        <v>0</v>
      </c>
      <c r="BV15" s="3">
        <f>BV14-'Kennzahlen im Verlauf'!BV63</f>
        <v>0</v>
      </c>
      <c r="BW15" s="3">
        <f>BW14-'Kennzahlen im Verlauf'!BW63</f>
        <v>0</v>
      </c>
      <c r="BX15" s="3">
        <f>BX14-'Kennzahlen im Verlauf'!BX63</f>
        <v>0</v>
      </c>
      <c r="BY15" s="3">
        <f>BY14-'Kennzahlen im Verlauf'!BY63</f>
        <v>0</v>
      </c>
      <c r="BZ15" s="3">
        <f>BZ14-'Kennzahlen im Verlauf'!BZ63</f>
        <v>0</v>
      </c>
      <c r="CA15" s="3">
        <f>CA14-'Kennzahlen im Verlauf'!CA63</f>
        <v>0</v>
      </c>
      <c r="CB15" s="3">
        <f>CB14-'Kennzahlen im Verlauf'!CB63</f>
        <v>0</v>
      </c>
      <c r="CC15" s="3">
        <f>CC14-'Kennzahlen im Verlauf'!CC63</f>
        <v>0</v>
      </c>
      <c r="CD15" s="3">
        <f>CD14-'Kennzahlen im Verlauf'!CD63</f>
        <v>0</v>
      </c>
      <c r="CE15" s="3">
        <f>CE14-'Kennzahlen im Verlauf'!CE63</f>
        <v>0</v>
      </c>
      <c r="CF15" s="3">
        <f>CF14-'Kennzahlen im Verlauf'!CF63</f>
        <v>0</v>
      </c>
      <c r="CG15" s="3">
        <f>CG14-'Kennzahlen im Verlauf'!CG63</f>
        <v>0</v>
      </c>
      <c r="CH15" s="226">
        <f>CH14-'Kennzahlen im Verlauf'!CH63</f>
        <v>0</v>
      </c>
    </row>
    <row r="16" spans="1:86">
      <c r="A16"/>
      <c r="B16" s="465" t="s">
        <v>94</v>
      </c>
      <c r="C16" s="466"/>
      <c r="D16" s="3">
        <f>D14*Cockpit!$H$27</f>
        <v>0</v>
      </c>
      <c r="E16" s="3">
        <f>E14*Cockpit!$H$27</f>
        <v>0</v>
      </c>
      <c r="F16" s="3">
        <f>F14*Cockpit!$H$27</f>
        <v>0</v>
      </c>
      <c r="G16" s="3">
        <f>G14*Cockpit!$H$27</f>
        <v>0</v>
      </c>
      <c r="H16" s="3">
        <f>H14*Cockpit!$H$27</f>
        <v>0</v>
      </c>
      <c r="I16" s="3">
        <f>I14*Cockpit!$H$27</f>
        <v>0</v>
      </c>
      <c r="J16" s="3">
        <f>J14*Cockpit!$H$27</f>
        <v>0</v>
      </c>
      <c r="K16" s="3">
        <f>K14*Cockpit!$H$27</f>
        <v>0</v>
      </c>
      <c r="L16" s="3">
        <f>L14*Cockpit!$H$27</f>
        <v>0</v>
      </c>
      <c r="M16" s="3">
        <f>M14*Cockpit!$H$27</f>
        <v>0</v>
      </c>
      <c r="N16" s="3">
        <f>N14*Cockpit!$H$27</f>
        <v>0</v>
      </c>
      <c r="O16" s="3">
        <f>O14*Cockpit!$H$27</f>
        <v>0</v>
      </c>
      <c r="P16" s="3">
        <f>P14*Cockpit!$H$27</f>
        <v>0</v>
      </c>
      <c r="Q16" s="3">
        <f>Q14*Cockpit!$H$27</f>
        <v>0</v>
      </c>
      <c r="R16" s="3">
        <f>R14*Cockpit!$H$27</f>
        <v>0</v>
      </c>
      <c r="S16" s="3">
        <f>S14*Cockpit!$H$27</f>
        <v>0</v>
      </c>
      <c r="T16" s="3">
        <f>T14*Cockpit!$H$27</f>
        <v>0</v>
      </c>
      <c r="U16" s="3">
        <f>U14*Cockpit!$H$27</f>
        <v>0</v>
      </c>
      <c r="V16" s="3">
        <f>V14*Cockpit!$H$27</f>
        <v>0</v>
      </c>
      <c r="W16" s="3">
        <f>W14*Cockpit!$H$27</f>
        <v>0</v>
      </c>
      <c r="X16" s="3">
        <f>X14*Cockpit!$H$27</f>
        <v>0</v>
      </c>
      <c r="Y16" s="3">
        <f>Y14*Cockpit!$H$27</f>
        <v>0</v>
      </c>
      <c r="Z16" s="3">
        <f>Z14*Cockpit!$H$27</f>
        <v>0</v>
      </c>
      <c r="AA16" s="3">
        <f>AA14*Cockpit!$H$27</f>
        <v>0</v>
      </c>
      <c r="AB16" s="3">
        <f>AB14*Cockpit!$H$27</f>
        <v>0</v>
      </c>
      <c r="AC16" s="3">
        <f>AC14*Cockpit!$H$27</f>
        <v>0</v>
      </c>
      <c r="AD16" s="3">
        <f>AD14*Cockpit!$H$27</f>
        <v>0</v>
      </c>
      <c r="AE16" s="3">
        <f>AE14*Cockpit!$H$27</f>
        <v>0</v>
      </c>
      <c r="AF16" s="3">
        <f>AF14*Cockpit!$H$27</f>
        <v>0</v>
      </c>
      <c r="AG16" s="3">
        <f>AG14*Cockpit!$H$27</f>
        <v>0</v>
      </c>
      <c r="AH16" s="3">
        <f>AH14*Cockpit!$H$27</f>
        <v>0</v>
      </c>
      <c r="AI16" s="3">
        <f>AI14*Cockpit!$H$27</f>
        <v>0</v>
      </c>
      <c r="AJ16" s="3">
        <f>AJ14*Cockpit!$H$27</f>
        <v>0</v>
      </c>
      <c r="AK16" s="3">
        <f>AK14*Cockpit!$H$27</f>
        <v>0</v>
      </c>
      <c r="AL16" s="3">
        <f>AL14*Cockpit!$H$27</f>
        <v>0</v>
      </c>
      <c r="AM16" s="3">
        <f>AM14*Cockpit!$H$27</f>
        <v>0</v>
      </c>
      <c r="AN16" s="3">
        <f>AN14*Cockpit!$H$27</f>
        <v>0</v>
      </c>
      <c r="AO16" s="3">
        <f>AO14*Cockpit!$H$27</f>
        <v>0</v>
      </c>
      <c r="AP16" s="3">
        <f>AP14*Cockpit!$H$27</f>
        <v>0</v>
      </c>
      <c r="AQ16" s="3">
        <f>AQ14*Cockpit!$H$27</f>
        <v>0</v>
      </c>
      <c r="AR16" s="3">
        <f>AR14*Cockpit!$H$27</f>
        <v>0</v>
      </c>
      <c r="AS16" s="3">
        <f>AS14*Cockpit!$H$27</f>
        <v>0</v>
      </c>
      <c r="AT16" s="3">
        <f>AT14*Cockpit!$H$27</f>
        <v>0</v>
      </c>
      <c r="AU16" s="3">
        <f>AU14*Cockpit!$H$27</f>
        <v>0</v>
      </c>
      <c r="AV16" s="3">
        <f>AV14*Cockpit!$H$27</f>
        <v>0</v>
      </c>
      <c r="AW16" s="3">
        <f>AW14*Cockpit!$H$27</f>
        <v>0</v>
      </c>
      <c r="AX16" s="3">
        <f>AX14*Cockpit!$H$27</f>
        <v>0</v>
      </c>
      <c r="AY16" s="3">
        <f>AY14*Cockpit!$H$27</f>
        <v>0</v>
      </c>
      <c r="AZ16" s="3">
        <f>AZ14*Cockpit!$H$27</f>
        <v>0</v>
      </c>
      <c r="BA16" s="3">
        <f>BA14*Cockpit!$H$27</f>
        <v>0</v>
      </c>
      <c r="BB16" s="3">
        <f>BB14*Cockpit!$H$27</f>
        <v>0</v>
      </c>
      <c r="BC16" s="3">
        <f>BC14*Cockpit!$H$27</f>
        <v>0</v>
      </c>
      <c r="BD16" s="3">
        <f>BD14*Cockpit!$H$27</f>
        <v>0</v>
      </c>
      <c r="BE16" s="3">
        <f>BE14*Cockpit!$H$27</f>
        <v>0</v>
      </c>
      <c r="BF16" s="3">
        <f>BF14*Cockpit!$H$27</f>
        <v>0</v>
      </c>
      <c r="BG16" s="3">
        <f>BG14*Cockpit!$H$27</f>
        <v>0</v>
      </c>
      <c r="BH16" s="3">
        <f>BH14*Cockpit!$H$27</f>
        <v>0</v>
      </c>
      <c r="BI16" s="3">
        <f>BI14*Cockpit!$H$27</f>
        <v>0</v>
      </c>
      <c r="BJ16" s="3">
        <f>BJ14*Cockpit!$H$27</f>
        <v>0</v>
      </c>
      <c r="BK16" s="3">
        <f>BK14*Cockpit!$H$27</f>
        <v>0</v>
      </c>
      <c r="BL16" s="3">
        <f>BL14*Cockpit!$H$27</f>
        <v>0</v>
      </c>
      <c r="BM16" s="3">
        <f>BM14*Cockpit!$H$27</f>
        <v>0</v>
      </c>
      <c r="BN16" s="3">
        <f>BN14*Cockpit!$H$27</f>
        <v>0</v>
      </c>
      <c r="BO16" s="3">
        <f>BO14*Cockpit!$H$27</f>
        <v>0</v>
      </c>
      <c r="BP16" s="3">
        <f>BP14*Cockpit!$H$27</f>
        <v>0</v>
      </c>
      <c r="BQ16" s="3">
        <f>BQ14*Cockpit!$H$27</f>
        <v>0</v>
      </c>
      <c r="BR16" s="3">
        <f>BR14*Cockpit!$H$27</f>
        <v>0</v>
      </c>
      <c r="BS16" s="3">
        <f>BS14*Cockpit!$H$27</f>
        <v>0</v>
      </c>
      <c r="BT16" s="3">
        <f>BT14*Cockpit!$H$27</f>
        <v>0</v>
      </c>
      <c r="BU16" s="3">
        <f>BU14*Cockpit!$H$27</f>
        <v>0</v>
      </c>
      <c r="BV16" s="3">
        <f>BV14*Cockpit!$H$27</f>
        <v>0</v>
      </c>
      <c r="BW16" s="3">
        <f>BW14*Cockpit!$H$27</f>
        <v>0</v>
      </c>
      <c r="BX16" s="3">
        <f>BX14*Cockpit!$H$27</f>
        <v>0</v>
      </c>
      <c r="BY16" s="3">
        <f>BY14*Cockpit!$H$27</f>
        <v>0</v>
      </c>
      <c r="BZ16" s="3">
        <f>BZ14*Cockpit!$H$27</f>
        <v>0</v>
      </c>
      <c r="CA16" s="3">
        <f>CA14*Cockpit!$H$27</f>
        <v>0</v>
      </c>
      <c r="CB16" s="3">
        <f>CB14*Cockpit!$H$27</f>
        <v>0</v>
      </c>
      <c r="CC16" s="3">
        <f>CC14*Cockpit!$H$27</f>
        <v>0</v>
      </c>
      <c r="CD16" s="3">
        <f>CD14*Cockpit!$H$27</f>
        <v>0</v>
      </c>
      <c r="CE16" s="3">
        <f>CE14*Cockpit!$H$27</f>
        <v>0</v>
      </c>
      <c r="CF16" s="3">
        <f>CF14*Cockpit!$H$27</f>
        <v>0</v>
      </c>
      <c r="CG16" s="3">
        <f>CG14*Cockpit!$H$27</f>
        <v>0</v>
      </c>
      <c r="CH16" s="226">
        <f>CH14*Cockpit!$H$27</f>
        <v>0</v>
      </c>
    </row>
    <row r="17" spans="1:86" ht="15" thickBot="1">
      <c r="A17"/>
      <c r="B17" s="487" t="s">
        <v>228</v>
      </c>
      <c r="C17" s="488"/>
      <c r="D17" s="227">
        <f>D14+D16</f>
        <v>0</v>
      </c>
      <c r="E17" s="227">
        <f t="shared" ref="E17:BA17" si="71">E14+E16</f>
        <v>0</v>
      </c>
      <c r="F17" s="227">
        <f t="shared" si="71"/>
        <v>0</v>
      </c>
      <c r="G17" s="227">
        <f t="shared" si="71"/>
        <v>0</v>
      </c>
      <c r="H17" s="227">
        <f t="shared" si="71"/>
        <v>0</v>
      </c>
      <c r="I17" s="227">
        <f t="shared" si="71"/>
        <v>0</v>
      </c>
      <c r="J17" s="227">
        <f t="shared" si="71"/>
        <v>0</v>
      </c>
      <c r="K17" s="227">
        <f t="shared" si="71"/>
        <v>0</v>
      </c>
      <c r="L17" s="227">
        <f t="shared" si="71"/>
        <v>0</v>
      </c>
      <c r="M17" s="227">
        <f t="shared" si="71"/>
        <v>0</v>
      </c>
      <c r="N17" s="227">
        <f t="shared" si="71"/>
        <v>0</v>
      </c>
      <c r="O17" s="227">
        <f t="shared" si="71"/>
        <v>0</v>
      </c>
      <c r="P17" s="227">
        <f t="shared" si="71"/>
        <v>0</v>
      </c>
      <c r="Q17" s="227">
        <f t="shared" si="71"/>
        <v>0</v>
      </c>
      <c r="R17" s="227">
        <f t="shared" si="71"/>
        <v>0</v>
      </c>
      <c r="S17" s="227">
        <f t="shared" si="71"/>
        <v>0</v>
      </c>
      <c r="T17" s="227">
        <f t="shared" si="71"/>
        <v>0</v>
      </c>
      <c r="U17" s="227">
        <f t="shared" si="71"/>
        <v>0</v>
      </c>
      <c r="V17" s="227">
        <f t="shared" si="71"/>
        <v>0</v>
      </c>
      <c r="W17" s="227">
        <f t="shared" si="71"/>
        <v>0</v>
      </c>
      <c r="X17" s="227">
        <f t="shared" si="71"/>
        <v>0</v>
      </c>
      <c r="Y17" s="227">
        <f t="shared" si="71"/>
        <v>0</v>
      </c>
      <c r="Z17" s="227">
        <f t="shared" si="71"/>
        <v>0</v>
      </c>
      <c r="AA17" s="227">
        <f t="shared" si="71"/>
        <v>0</v>
      </c>
      <c r="AB17" s="227">
        <f t="shared" si="71"/>
        <v>0</v>
      </c>
      <c r="AC17" s="227">
        <f t="shared" si="71"/>
        <v>0</v>
      </c>
      <c r="AD17" s="227">
        <f t="shared" si="71"/>
        <v>0</v>
      </c>
      <c r="AE17" s="227">
        <f t="shared" si="71"/>
        <v>0</v>
      </c>
      <c r="AF17" s="227">
        <f t="shared" si="71"/>
        <v>0</v>
      </c>
      <c r="AG17" s="227">
        <f t="shared" si="71"/>
        <v>0</v>
      </c>
      <c r="AH17" s="227">
        <f t="shared" si="71"/>
        <v>0</v>
      </c>
      <c r="AI17" s="227">
        <f t="shared" si="71"/>
        <v>0</v>
      </c>
      <c r="AJ17" s="227">
        <f t="shared" si="71"/>
        <v>0</v>
      </c>
      <c r="AK17" s="227">
        <f t="shared" si="71"/>
        <v>0</v>
      </c>
      <c r="AL17" s="227">
        <f t="shared" si="71"/>
        <v>0</v>
      </c>
      <c r="AM17" s="227">
        <f t="shared" si="71"/>
        <v>0</v>
      </c>
      <c r="AN17" s="227">
        <f t="shared" si="71"/>
        <v>0</v>
      </c>
      <c r="AO17" s="227">
        <f t="shared" si="71"/>
        <v>0</v>
      </c>
      <c r="AP17" s="227">
        <f t="shared" si="71"/>
        <v>0</v>
      </c>
      <c r="AQ17" s="227">
        <f t="shared" si="71"/>
        <v>0</v>
      </c>
      <c r="AR17" s="227">
        <f t="shared" si="71"/>
        <v>0</v>
      </c>
      <c r="AS17" s="227">
        <f t="shared" si="71"/>
        <v>0</v>
      </c>
      <c r="AT17" s="227">
        <f t="shared" si="71"/>
        <v>0</v>
      </c>
      <c r="AU17" s="227">
        <f t="shared" si="71"/>
        <v>0</v>
      </c>
      <c r="AV17" s="227">
        <f t="shared" si="71"/>
        <v>0</v>
      </c>
      <c r="AW17" s="227">
        <f t="shared" si="71"/>
        <v>0</v>
      </c>
      <c r="AX17" s="227">
        <f t="shared" si="71"/>
        <v>0</v>
      </c>
      <c r="AY17" s="227">
        <f t="shared" si="71"/>
        <v>0</v>
      </c>
      <c r="AZ17" s="227">
        <f t="shared" si="71"/>
        <v>0</v>
      </c>
      <c r="BA17" s="227">
        <f t="shared" si="71"/>
        <v>0</v>
      </c>
      <c r="BB17" s="227">
        <f t="shared" ref="BB17:CB17" si="72">BB14+BB16</f>
        <v>0</v>
      </c>
      <c r="BC17" s="227">
        <f t="shared" si="72"/>
        <v>0</v>
      </c>
      <c r="BD17" s="227">
        <f t="shared" si="72"/>
        <v>0</v>
      </c>
      <c r="BE17" s="227">
        <f t="shared" si="72"/>
        <v>0</v>
      </c>
      <c r="BF17" s="227">
        <f t="shared" si="72"/>
        <v>0</v>
      </c>
      <c r="BG17" s="227">
        <f t="shared" si="72"/>
        <v>0</v>
      </c>
      <c r="BH17" s="227">
        <f t="shared" si="72"/>
        <v>0</v>
      </c>
      <c r="BI17" s="227">
        <f t="shared" si="72"/>
        <v>0</v>
      </c>
      <c r="BJ17" s="227">
        <f t="shared" si="72"/>
        <v>0</v>
      </c>
      <c r="BK17" s="227">
        <f t="shared" si="72"/>
        <v>0</v>
      </c>
      <c r="BL17" s="227">
        <f t="shared" si="72"/>
        <v>0</v>
      </c>
      <c r="BM17" s="227">
        <f t="shared" si="72"/>
        <v>0</v>
      </c>
      <c r="BN17" s="227">
        <f t="shared" si="72"/>
        <v>0</v>
      </c>
      <c r="BO17" s="227">
        <f t="shared" si="72"/>
        <v>0</v>
      </c>
      <c r="BP17" s="227">
        <f t="shared" si="72"/>
        <v>0</v>
      </c>
      <c r="BQ17" s="227">
        <f t="shared" si="72"/>
        <v>0</v>
      </c>
      <c r="BR17" s="227">
        <f t="shared" si="72"/>
        <v>0</v>
      </c>
      <c r="BS17" s="227">
        <f t="shared" si="72"/>
        <v>0</v>
      </c>
      <c r="BT17" s="227">
        <f t="shared" si="72"/>
        <v>0</v>
      </c>
      <c r="BU17" s="227">
        <f t="shared" si="72"/>
        <v>0</v>
      </c>
      <c r="BV17" s="227">
        <f t="shared" si="72"/>
        <v>0</v>
      </c>
      <c r="BW17" s="227">
        <f t="shared" si="72"/>
        <v>0</v>
      </c>
      <c r="BX17" s="227">
        <f t="shared" si="72"/>
        <v>0</v>
      </c>
      <c r="BY17" s="227">
        <f t="shared" si="72"/>
        <v>0</v>
      </c>
      <c r="BZ17" s="227">
        <f t="shared" si="72"/>
        <v>0</v>
      </c>
      <c r="CA17" s="227">
        <f t="shared" si="72"/>
        <v>0</v>
      </c>
      <c r="CB17" s="227">
        <f t="shared" si="72"/>
        <v>0</v>
      </c>
      <c r="CC17" s="227">
        <f t="shared" ref="CC17:CH17" si="73">CC14+CC16</f>
        <v>0</v>
      </c>
      <c r="CD17" s="227">
        <f t="shared" si="73"/>
        <v>0</v>
      </c>
      <c r="CE17" s="227">
        <f t="shared" si="73"/>
        <v>0</v>
      </c>
      <c r="CF17" s="227">
        <f t="shared" si="73"/>
        <v>0</v>
      </c>
      <c r="CG17" s="227">
        <f t="shared" si="73"/>
        <v>0</v>
      </c>
      <c r="CH17" s="228">
        <f t="shared" si="73"/>
        <v>0</v>
      </c>
    </row>
    <row r="18" spans="1:86" ht="39" customHeight="1" thickBot="1">
      <c r="D18" s="28"/>
    </row>
    <row r="19" spans="1:86" ht="16.5" thickBot="1">
      <c r="B19" s="211" t="s">
        <v>271</v>
      </c>
      <c r="D19" s="28"/>
    </row>
    <row r="20" spans="1:86" ht="15" thickBot="1">
      <c r="B20" s="214" t="s">
        <v>47</v>
      </c>
      <c r="C20" s="215"/>
      <c r="D20" s="216">
        <f ca="1">'Kennzahlen im Verlauf'!D7</f>
        <v>2023</v>
      </c>
      <c r="E20" s="217">
        <f ca="1">'Kennzahlen im Verlauf'!E7</f>
        <v>2024</v>
      </c>
      <c r="F20" s="217">
        <f ca="1">'Kennzahlen im Verlauf'!F7</f>
        <v>2025</v>
      </c>
      <c r="G20" s="217">
        <f ca="1">'Kennzahlen im Verlauf'!G7</f>
        <v>2026</v>
      </c>
      <c r="H20" s="217">
        <f ca="1">'Kennzahlen im Verlauf'!H7</f>
        <v>2027</v>
      </c>
      <c r="I20" s="217">
        <f ca="1">'Kennzahlen im Verlauf'!I7</f>
        <v>2028</v>
      </c>
      <c r="J20" s="217">
        <f ca="1">'Kennzahlen im Verlauf'!J7</f>
        <v>2029</v>
      </c>
      <c r="K20" s="217">
        <f ca="1">'Kennzahlen im Verlauf'!K7</f>
        <v>2030</v>
      </c>
      <c r="L20" s="217">
        <f ca="1">'Kennzahlen im Verlauf'!L7</f>
        <v>2031</v>
      </c>
      <c r="M20" s="217">
        <f ca="1">'Kennzahlen im Verlauf'!M7</f>
        <v>2032</v>
      </c>
      <c r="N20" s="217">
        <f ca="1">'Kennzahlen im Verlauf'!N7</f>
        <v>2033</v>
      </c>
      <c r="O20" s="217">
        <f ca="1">'Kennzahlen im Verlauf'!O7</f>
        <v>2034</v>
      </c>
      <c r="P20" s="217">
        <f ca="1">'Kennzahlen im Verlauf'!P7</f>
        <v>2035</v>
      </c>
      <c r="Q20" s="217">
        <f ca="1">'Kennzahlen im Verlauf'!Q7</f>
        <v>2036</v>
      </c>
      <c r="R20" s="217">
        <f ca="1">'Kennzahlen im Verlauf'!R7</f>
        <v>2037</v>
      </c>
      <c r="S20" s="217">
        <f ca="1">'Kennzahlen im Verlauf'!S7</f>
        <v>2038</v>
      </c>
      <c r="T20" s="217">
        <f ca="1">'Kennzahlen im Verlauf'!T7</f>
        <v>2039</v>
      </c>
      <c r="U20" s="217">
        <f ca="1">'Kennzahlen im Verlauf'!U7</f>
        <v>2040</v>
      </c>
      <c r="V20" s="217">
        <f ca="1">'Kennzahlen im Verlauf'!V7</f>
        <v>2041</v>
      </c>
      <c r="W20" s="217">
        <f ca="1">'Kennzahlen im Verlauf'!W7</f>
        <v>2042</v>
      </c>
      <c r="X20" s="217">
        <f ca="1">'Kennzahlen im Verlauf'!X7</f>
        <v>2043</v>
      </c>
      <c r="Y20" s="217">
        <f ca="1">'Kennzahlen im Verlauf'!Y7</f>
        <v>2044</v>
      </c>
      <c r="Z20" s="217">
        <f ca="1">'Kennzahlen im Verlauf'!Z7</f>
        <v>2045</v>
      </c>
      <c r="AA20" s="217">
        <f ca="1">'Kennzahlen im Verlauf'!AA7</f>
        <v>2046</v>
      </c>
      <c r="AB20" s="217">
        <f ca="1">'Kennzahlen im Verlauf'!AB7</f>
        <v>2047</v>
      </c>
      <c r="AC20" s="217">
        <f ca="1">'Kennzahlen im Verlauf'!AC7</f>
        <v>2048</v>
      </c>
      <c r="AD20" s="217">
        <f ca="1">'Kennzahlen im Verlauf'!AD7</f>
        <v>2049</v>
      </c>
      <c r="AE20" s="217">
        <f ca="1">'Kennzahlen im Verlauf'!AE7</f>
        <v>2050</v>
      </c>
      <c r="AF20" s="217">
        <f ca="1">'Kennzahlen im Verlauf'!AF7</f>
        <v>2051</v>
      </c>
      <c r="AG20" s="217">
        <f ca="1">'Kennzahlen im Verlauf'!AG7</f>
        <v>2052</v>
      </c>
      <c r="AH20" s="217">
        <f ca="1">'Kennzahlen im Verlauf'!AH7</f>
        <v>2053</v>
      </c>
      <c r="AI20" s="217">
        <f ca="1">'Kennzahlen im Verlauf'!AI7</f>
        <v>2054</v>
      </c>
      <c r="AJ20" s="217">
        <f ca="1">'Kennzahlen im Verlauf'!AJ7</f>
        <v>2055</v>
      </c>
      <c r="AK20" s="217">
        <f ca="1">'Kennzahlen im Verlauf'!AK7</f>
        <v>2056</v>
      </c>
      <c r="AL20" s="217">
        <f ca="1">'Kennzahlen im Verlauf'!AL7</f>
        <v>2057</v>
      </c>
      <c r="AM20" s="217">
        <f ca="1">'Kennzahlen im Verlauf'!AM7</f>
        <v>2058</v>
      </c>
      <c r="AN20" s="217">
        <f ca="1">'Kennzahlen im Verlauf'!AN7</f>
        <v>2059</v>
      </c>
      <c r="AO20" s="217">
        <f ca="1">'Kennzahlen im Verlauf'!AO7</f>
        <v>2060</v>
      </c>
      <c r="AP20" s="217">
        <f ca="1">'Kennzahlen im Verlauf'!AP7</f>
        <v>2061</v>
      </c>
      <c r="AQ20" s="217">
        <f ca="1">'Kennzahlen im Verlauf'!AQ7</f>
        <v>2062</v>
      </c>
      <c r="AR20" s="217">
        <f ca="1">'Kennzahlen im Verlauf'!AR7</f>
        <v>2063</v>
      </c>
      <c r="AS20" s="217">
        <f ca="1">'Kennzahlen im Verlauf'!AS7</f>
        <v>2064</v>
      </c>
      <c r="AT20" s="217">
        <f ca="1">'Kennzahlen im Verlauf'!AT7</f>
        <v>2065</v>
      </c>
      <c r="AU20" s="217">
        <f ca="1">'Kennzahlen im Verlauf'!AU7</f>
        <v>2066</v>
      </c>
      <c r="AV20" s="217">
        <f ca="1">'Kennzahlen im Verlauf'!AV7</f>
        <v>2067</v>
      </c>
      <c r="AW20" s="217">
        <f ca="1">'Kennzahlen im Verlauf'!AW7</f>
        <v>2068</v>
      </c>
      <c r="AX20" s="217">
        <f ca="1">'Kennzahlen im Verlauf'!AX7</f>
        <v>2069</v>
      </c>
      <c r="AY20" s="217">
        <f ca="1">'Kennzahlen im Verlauf'!AY7</f>
        <v>2070</v>
      </c>
      <c r="AZ20" s="217">
        <f ca="1">'Kennzahlen im Verlauf'!AZ7</f>
        <v>2071</v>
      </c>
      <c r="BA20" s="217">
        <f ca="1">'Kennzahlen im Verlauf'!BA7</f>
        <v>2072</v>
      </c>
      <c r="BB20" s="217">
        <f ca="1">'Kennzahlen im Verlauf'!BB7</f>
        <v>2073</v>
      </c>
      <c r="BC20" s="217">
        <f ca="1">'Kennzahlen im Verlauf'!BC7</f>
        <v>2074</v>
      </c>
      <c r="BD20" s="217">
        <f ca="1">'Kennzahlen im Verlauf'!BD7</f>
        <v>2075</v>
      </c>
      <c r="BE20" s="217">
        <f ca="1">'Kennzahlen im Verlauf'!BE7</f>
        <v>2076</v>
      </c>
      <c r="BF20" s="217">
        <f ca="1">'Kennzahlen im Verlauf'!BF7</f>
        <v>2077</v>
      </c>
      <c r="BG20" s="217">
        <f ca="1">'Kennzahlen im Verlauf'!BG7</f>
        <v>2078</v>
      </c>
      <c r="BH20" s="217">
        <f ca="1">'Kennzahlen im Verlauf'!BH7</f>
        <v>2079</v>
      </c>
      <c r="BI20" s="217">
        <f ca="1">'Kennzahlen im Verlauf'!BI7</f>
        <v>2080</v>
      </c>
      <c r="BJ20" s="217">
        <f ca="1">'Kennzahlen im Verlauf'!BJ7</f>
        <v>2081</v>
      </c>
      <c r="BK20" s="217">
        <f ca="1">'Kennzahlen im Verlauf'!BK7</f>
        <v>2082</v>
      </c>
      <c r="BL20" s="217">
        <f ca="1">'Kennzahlen im Verlauf'!BL7</f>
        <v>2083</v>
      </c>
      <c r="BM20" s="217">
        <f ca="1">'Kennzahlen im Verlauf'!BM7</f>
        <v>2084</v>
      </c>
      <c r="BN20" s="217">
        <f ca="1">'Kennzahlen im Verlauf'!BN7</f>
        <v>2085</v>
      </c>
      <c r="BO20" s="217">
        <f ca="1">'Kennzahlen im Verlauf'!BO7</f>
        <v>2086</v>
      </c>
      <c r="BP20" s="217">
        <f ca="1">'Kennzahlen im Verlauf'!BP7</f>
        <v>2087</v>
      </c>
      <c r="BQ20" s="217">
        <f ca="1">'Kennzahlen im Verlauf'!BQ7</f>
        <v>2088</v>
      </c>
      <c r="BR20" s="217">
        <f ca="1">'Kennzahlen im Verlauf'!BR7</f>
        <v>2089</v>
      </c>
      <c r="BS20" s="217">
        <f ca="1">'Kennzahlen im Verlauf'!BS7</f>
        <v>2090</v>
      </c>
      <c r="BT20" s="217">
        <f ca="1">'Kennzahlen im Verlauf'!BT7</f>
        <v>2091</v>
      </c>
      <c r="BU20" s="217">
        <f ca="1">'Kennzahlen im Verlauf'!BU7</f>
        <v>2092</v>
      </c>
      <c r="BV20" s="217">
        <f ca="1">'Kennzahlen im Verlauf'!BV7</f>
        <v>2093</v>
      </c>
      <c r="BW20" s="217">
        <f ca="1">'Kennzahlen im Verlauf'!BW7</f>
        <v>2094</v>
      </c>
      <c r="BX20" s="217">
        <f ca="1">'Kennzahlen im Verlauf'!BX7</f>
        <v>2095</v>
      </c>
      <c r="BY20" s="217">
        <f ca="1">'Kennzahlen im Verlauf'!BY7</f>
        <v>2096</v>
      </c>
      <c r="BZ20" s="217">
        <f ca="1">'Kennzahlen im Verlauf'!BZ7</f>
        <v>2097</v>
      </c>
      <c r="CA20" s="217">
        <f ca="1">'Kennzahlen im Verlauf'!CA7</f>
        <v>2098</v>
      </c>
      <c r="CB20" s="217">
        <f ca="1">'Kennzahlen im Verlauf'!CB7</f>
        <v>2099</v>
      </c>
      <c r="CC20" s="217">
        <f ca="1">'Kennzahlen im Verlauf'!CC7</f>
        <v>2100</v>
      </c>
      <c r="CD20" s="217">
        <f ca="1">'Kennzahlen im Verlauf'!CD7</f>
        <v>2101</v>
      </c>
      <c r="CE20" s="217">
        <f ca="1">'Kennzahlen im Verlauf'!CE7</f>
        <v>2102</v>
      </c>
      <c r="CF20" s="217">
        <f ca="1">'Kennzahlen im Verlauf'!CF7</f>
        <v>2103</v>
      </c>
      <c r="CG20" s="217">
        <f ca="1">'Kennzahlen im Verlauf'!CG7</f>
        <v>2104</v>
      </c>
      <c r="CH20" s="218">
        <f ca="1">'Kennzahlen im Verlauf'!CH7</f>
        <v>2105</v>
      </c>
    </row>
    <row r="21" spans="1:86">
      <c r="B21" s="496" t="s">
        <v>75</v>
      </c>
      <c r="C21" s="497"/>
      <c r="D21" s="219">
        <f>Cockpit!H17</f>
        <v>0</v>
      </c>
      <c r="E21" s="219">
        <f>D21</f>
        <v>0</v>
      </c>
      <c r="F21" s="219">
        <f t="shared" ref="F21:BA21" si="74">E21</f>
        <v>0</v>
      </c>
      <c r="G21" s="219">
        <f t="shared" si="74"/>
        <v>0</v>
      </c>
      <c r="H21" s="219">
        <f t="shared" si="74"/>
        <v>0</v>
      </c>
      <c r="I21" s="219">
        <f t="shared" si="74"/>
        <v>0</v>
      </c>
      <c r="J21" s="219">
        <f t="shared" si="74"/>
        <v>0</v>
      </c>
      <c r="K21" s="219">
        <f t="shared" si="74"/>
        <v>0</v>
      </c>
      <c r="L21" s="219">
        <f t="shared" si="74"/>
        <v>0</v>
      </c>
      <c r="M21" s="219">
        <f t="shared" si="74"/>
        <v>0</v>
      </c>
      <c r="N21" s="219">
        <f t="shared" si="74"/>
        <v>0</v>
      </c>
      <c r="O21" s="219">
        <f t="shared" si="74"/>
        <v>0</v>
      </c>
      <c r="P21" s="219">
        <f t="shared" si="74"/>
        <v>0</v>
      </c>
      <c r="Q21" s="219">
        <f t="shared" si="74"/>
        <v>0</v>
      </c>
      <c r="R21" s="219">
        <f t="shared" si="74"/>
        <v>0</v>
      </c>
      <c r="S21" s="219">
        <f t="shared" si="74"/>
        <v>0</v>
      </c>
      <c r="T21" s="219">
        <f t="shared" si="74"/>
        <v>0</v>
      </c>
      <c r="U21" s="219">
        <f t="shared" si="74"/>
        <v>0</v>
      </c>
      <c r="V21" s="219">
        <f t="shared" si="74"/>
        <v>0</v>
      </c>
      <c r="W21" s="219">
        <f t="shared" si="74"/>
        <v>0</v>
      </c>
      <c r="X21" s="219">
        <f t="shared" si="74"/>
        <v>0</v>
      </c>
      <c r="Y21" s="219">
        <f t="shared" si="74"/>
        <v>0</v>
      </c>
      <c r="Z21" s="219">
        <f t="shared" si="74"/>
        <v>0</v>
      </c>
      <c r="AA21" s="219">
        <f t="shared" si="74"/>
        <v>0</v>
      </c>
      <c r="AB21" s="219">
        <f t="shared" si="74"/>
        <v>0</v>
      </c>
      <c r="AC21" s="219">
        <f t="shared" si="74"/>
        <v>0</v>
      </c>
      <c r="AD21" s="219">
        <f t="shared" si="74"/>
        <v>0</v>
      </c>
      <c r="AE21" s="219">
        <f t="shared" si="74"/>
        <v>0</v>
      </c>
      <c r="AF21" s="219">
        <f t="shared" si="74"/>
        <v>0</v>
      </c>
      <c r="AG21" s="219">
        <f t="shared" si="74"/>
        <v>0</v>
      </c>
      <c r="AH21" s="219">
        <f t="shared" si="74"/>
        <v>0</v>
      </c>
      <c r="AI21" s="219">
        <f t="shared" si="74"/>
        <v>0</v>
      </c>
      <c r="AJ21" s="219">
        <f t="shared" si="74"/>
        <v>0</v>
      </c>
      <c r="AK21" s="219">
        <f t="shared" si="74"/>
        <v>0</v>
      </c>
      <c r="AL21" s="219">
        <f t="shared" si="74"/>
        <v>0</v>
      </c>
      <c r="AM21" s="219">
        <f t="shared" si="74"/>
        <v>0</v>
      </c>
      <c r="AN21" s="219">
        <f t="shared" si="74"/>
        <v>0</v>
      </c>
      <c r="AO21" s="219">
        <f t="shared" si="74"/>
        <v>0</v>
      </c>
      <c r="AP21" s="219">
        <f t="shared" si="74"/>
        <v>0</v>
      </c>
      <c r="AQ21" s="219">
        <f t="shared" si="74"/>
        <v>0</v>
      </c>
      <c r="AR21" s="219">
        <f t="shared" si="74"/>
        <v>0</v>
      </c>
      <c r="AS21" s="219">
        <f t="shared" si="74"/>
        <v>0</v>
      </c>
      <c r="AT21" s="219">
        <f t="shared" si="74"/>
        <v>0</v>
      </c>
      <c r="AU21" s="219">
        <f t="shared" si="74"/>
        <v>0</v>
      </c>
      <c r="AV21" s="219">
        <f t="shared" si="74"/>
        <v>0</v>
      </c>
      <c r="AW21" s="219">
        <f t="shared" si="74"/>
        <v>0</v>
      </c>
      <c r="AX21" s="219">
        <f t="shared" si="74"/>
        <v>0</v>
      </c>
      <c r="AY21" s="219">
        <f t="shared" si="74"/>
        <v>0</v>
      </c>
      <c r="AZ21" s="219">
        <f t="shared" si="74"/>
        <v>0</v>
      </c>
      <c r="BA21" s="219">
        <f t="shared" si="74"/>
        <v>0</v>
      </c>
      <c r="BB21" s="219">
        <f t="shared" ref="BB21:BB22" si="75">BA21</f>
        <v>0</v>
      </c>
      <c r="BC21" s="219">
        <f t="shared" ref="BC21:BC22" si="76">BB21</f>
        <v>0</v>
      </c>
      <c r="BD21" s="219">
        <f t="shared" ref="BD21:BD22" si="77">BC21</f>
        <v>0</v>
      </c>
      <c r="BE21" s="219">
        <f t="shared" ref="BE21:BE22" si="78">BD21</f>
        <v>0</v>
      </c>
      <c r="BF21" s="219">
        <f t="shared" ref="BF21:BF22" si="79">BE21</f>
        <v>0</v>
      </c>
      <c r="BG21" s="219">
        <f t="shared" ref="BG21:BG22" si="80">BF21</f>
        <v>0</v>
      </c>
      <c r="BH21" s="219">
        <f t="shared" ref="BH21:BH22" si="81">BG21</f>
        <v>0</v>
      </c>
      <c r="BI21" s="219">
        <f t="shared" ref="BI21:BI22" si="82">BH21</f>
        <v>0</v>
      </c>
      <c r="BJ21" s="219">
        <f t="shared" ref="BJ21:BJ22" si="83">BI21</f>
        <v>0</v>
      </c>
      <c r="BK21" s="219">
        <f t="shared" ref="BK21:BK22" si="84">BJ21</f>
        <v>0</v>
      </c>
      <c r="BL21" s="219">
        <f t="shared" ref="BL21:BL22" si="85">BK21</f>
        <v>0</v>
      </c>
      <c r="BM21" s="219">
        <f t="shared" ref="BM21:BM22" si="86">BL21</f>
        <v>0</v>
      </c>
      <c r="BN21" s="219">
        <f t="shared" ref="BN21:BN22" si="87">BM21</f>
        <v>0</v>
      </c>
      <c r="BO21" s="219">
        <f t="shared" ref="BO21:BO22" si="88">BN21</f>
        <v>0</v>
      </c>
      <c r="BP21" s="219">
        <f t="shared" ref="BP21:BP22" si="89">BO21</f>
        <v>0</v>
      </c>
      <c r="BQ21" s="219">
        <f t="shared" ref="BQ21:BQ22" si="90">BP21</f>
        <v>0</v>
      </c>
      <c r="BR21" s="219">
        <f t="shared" ref="BR21:BR22" si="91">BQ21</f>
        <v>0</v>
      </c>
      <c r="BS21" s="219">
        <f t="shared" ref="BS21:BS22" si="92">BR21</f>
        <v>0</v>
      </c>
      <c r="BT21" s="219">
        <f t="shared" ref="BT21:BT22" si="93">BS21</f>
        <v>0</v>
      </c>
      <c r="BU21" s="219">
        <f t="shared" ref="BU21:BU22" si="94">BT21</f>
        <v>0</v>
      </c>
      <c r="BV21" s="219">
        <f t="shared" ref="BV21:BV22" si="95">BU21</f>
        <v>0</v>
      </c>
      <c r="BW21" s="219">
        <f t="shared" ref="BW21:BW22" si="96">BV21</f>
        <v>0</v>
      </c>
      <c r="BX21" s="219">
        <f t="shared" ref="BX21:BX22" si="97">BW21</f>
        <v>0</v>
      </c>
      <c r="BY21" s="219">
        <f t="shared" ref="BY21:BY22" si="98">BX21</f>
        <v>0</v>
      </c>
      <c r="BZ21" s="219">
        <f t="shared" ref="BZ21:BZ22" si="99">BY21</f>
        <v>0</v>
      </c>
      <c r="CA21" s="219">
        <f t="shared" ref="CA21:CA22" si="100">BZ21</f>
        <v>0</v>
      </c>
      <c r="CB21" s="219">
        <f t="shared" ref="CB21:CB22" si="101">CA21</f>
        <v>0</v>
      </c>
      <c r="CC21" s="219">
        <f t="shared" ref="CC21:CC22" si="102">CB21</f>
        <v>0</v>
      </c>
      <c r="CD21" s="219">
        <f t="shared" ref="CD21:CD22" si="103">CC21</f>
        <v>0</v>
      </c>
      <c r="CE21" s="219">
        <f t="shared" ref="CE21:CE22" si="104">CD21</f>
        <v>0</v>
      </c>
      <c r="CF21" s="219">
        <f t="shared" ref="CF21:CF22" si="105">CE21</f>
        <v>0</v>
      </c>
      <c r="CG21" s="219">
        <f t="shared" ref="CG21:CG22" si="106">CF21</f>
        <v>0</v>
      </c>
      <c r="CH21" s="220">
        <f t="shared" ref="CH21:CH22" si="107">CG21</f>
        <v>0</v>
      </c>
    </row>
    <row r="22" spans="1:86">
      <c r="B22" s="494" t="s">
        <v>225</v>
      </c>
      <c r="C22" s="495"/>
      <c r="D22" s="29">
        <f>Cockpit!H15</f>
        <v>0.02</v>
      </c>
      <c r="E22" s="29">
        <f t="shared" ref="E22:AJ22" si="108">D22</f>
        <v>0.02</v>
      </c>
      <c r="F22" s="29">
        <f t="shared" si="108"/>
        <v>0.02</v>
      </c>
      <c r="G22" s="29">
        <f t="shared" si="108"/>
        <v>0.02</v>
      </c>
      <c r="H22" s="29">
        <f t="shared" si="108"/>
        <v>0.02</v>
      </c>
      <c r="I22" s="29">
        <f t="shared" si="108"/>
        <v>0.02</v>
      </c>
      <c r="J22" s="29">
        <f t="shared" si="108"/>
        <v>0.02</v>
      </c>
      <c r="K22" s="29">
        <f t="shared" si="108"/>
        <v>0.02</v>
      </c>
      <c r="L22" s="29">
        <f t="shared" si="108"/>
        <v>0.02</v>
      </c>
      <c r="M22" s="29">
        <f t="shared" si="108"/>
        <v>0.02</v>
      </c>
      <c r="N22" s="29">
        <f t="shared" si="108"/>
        <v>0.02</v>
      </c>
      <c r="O22" s="29">
        <f t="shared" si="108"/>
        <v>0.02</v>
      </c>
      <c r="P22" s="29">
        <f t="shared" si="108"/>
        <v>0.02</v>
      </c>
      <c r="Q22" s="29">
        <f t="shared" si="108"/>
        <v>0.02</v>
      </c>
      <c r="R22" s="29">
        <f t="shared" si="108"/>
        <v>0.02</v>
      </c>
      <c r="S22" s="29">
        <f t="shared" si="108"/>
        <v>0.02</v>
      </c>
      <c r="T22" s="29">
        <f t="shared" si="108"/>
        <v>0.02</v>
      </c>
      <c r="U22" s="29">
        <f t="shared" si="108"/>
        <v>0.02</v>
      </c>
      <c r="V22" s="29">
        <f t="shared" si="108"/>
        <v>0.02</v>
      </c>
      <c r="W22" s="29">
        <f t="shared" si="108"/>
        <v>0.02</v>
      </c>
      <c r="X22" s="29">
        <f t="shared" si="108"/>
        <v>0.02</v>
      </c>
      <c r="Y22" s="29">
        <f t="shared" si="108"/>
        <v>0.02</v>
      </c>
      <c r="Z22" s="29">
        <f t="shared" si="108"/>
        <v>0.02</v>
      </c>
      <c r="AA22" s="29">
        <f t="shared" si="108"/>
        <v>0.02</v>
      </c>
      <c r="AB22" s="29">
        <f t="shared" si="108"/>
        <v>0.02</v>
      </c>
      <c r="AC22" s="29">
        <f t="shared" si="108"/>
        <v>0.02</v>
      </c>
      <c r="AD22" s="29">
        <f t="shared" si="108"/>
        <v>0.02</v>
      </c>
      <c r="AE22" s="29">
        <f t="shared" si="108"/>
        <v>0.02</v>
      </c>
      <c r="AF22" s="29">
        <f t="shared" si="108"/>
        <v>0.02</v>
      </c>
      <c r="AG22" s="29">
        <f t="shared" si="108"/>
        <v>0.02</v>
      </c>
      <c r="AH22" s="29">
        <f t="shared" si="108"/>
        <v>0.02</v>
      </c>
      <c r="AI22" s="29">
        <f t="shared" si="108"/>
        <v>0.02</v>
      </c>
      <c r="AJ22" s="29">
        <f t="shared" si="108"/>
        <v>0.02</v>
      </c>
      <c r="AK22" s="29">
        <f t="shared" ref="AK22:BA22" si="109">AJ22</f>
        <v>0.02</v>
      </c>
      <c r="AL22" s="29">
        <f t="shared" si="109"/>
        <v>0.02</v>
      </c>
      <c r="AM22" s="29">
        <f t="shared" si="109"/>
        <v>0.02</v>
      </c>
      <c r="AN22" s="29">
        <f t="shared" si="109"/>
        <v>0.02</v>
      </c>
      <c r="AO22" s="29">
        <f t="shared" si="109"/>
        <v>0.02</v>
      </c>
      <c r="AP22" s="29">
        <f t="shared" si="109"/>
        <v>0.02</v>
      </c>
      <c r="AQ22" s="29">
        <f t="shared" si="109"/>
        <v>0.02</v>
      </c>
      <c r="AR22" s="29">
        <f t="shared" si="109"/>
        <v>0.02</v>
      </c>
      <c r="AS22" s="29">
        <f t="shared" si="109"/>
        <v>0.02</v>
      </c>
      <c r="AT22" s="29">
        <f t="shared" si="109"/>
        <v>0.02</v>
      </c>
      <c r="AU22" s="29">
        <f t="shared" si="109"/>
        <v>0.02</v>
      </c>
      <c r="AV22" s="29">
        <f t="shared" si="109"/>
        <v>0.02</v>
      </c>
      <c r="AW22" s="29">
        <f t="shared" si="109"/>
        <v>0.02</v>
      </c>
      <c r="AX22" s="29">
        <f t="shared" si="109"/>
        <v>0.02</v>
      </c>
      <c r="AY22" s="29">
        <f t="shared" si="109"/>
        <v>0.02</v>
      </c>
      <c r="AZ22" s="29">
        <f t="shared" si="109"/>
        <v>0.02</v>
      </c>
      <c r="BA22" s="29">
        <f t="shared" si="109"/>
        <v>0.02</v>
      </c>
      <c r="BB22" s="29">
        <f t="shared" si="75"/>
        <v>0.02</v>
      </c>
      <c r="BC22" s="29">
        <f t="shared" si="76"/>
        <v>0.02</v>
      </c>
      <c r="BD22" s="29">
        <f t="shared" si="77"/>
        <v>0.02</v>
      </c>
      <c r="BE22" s="29">
        <f t="shared" si="78"/>
        <v>0.02</v>
      </c>
      <c r="BF22" s="29">
        <f t="shared" si="79"/>
        <v>0.02</v>
      </c>
      <c r="BG22" s="29">
        <f t="shared" si="80"/>
        <v>0.02</v>
      </c>
      <c r="BH22" s="29">
        <f t="shared" si="81"/>
        <v>0.02</v>
      </c>
      <c r="BI22" s="29">
        <f t="shared" si="82"/>
        <v>0.02</v>
      </c>
      <c r="BJ22" s="29">
        <f t="shared" si="83"/>
        <v>0.02</v>
      </c>
      <c r="BK22" s="29">
        <f t="shared" si="84"/>
        <v>0.02</v>
      </c>
      <c r="BL22" s="29">
        <f t="shared" si="85"/>
        <v>0.02</v>
      </c>
      <c r="BM22" s="29">
        <f t="shared" si="86"/>
        <v>0.02</v>
      </c>
      <c r="BN22" s="29">
        <f t="shared" si="87"/>
        <v>0.02</v>
      </c>
      <c r="BO22" s="29">
        <f t="shared" si="88"/>
        <v>0.02</v>
      </c>
      <c r="BP22" s="29">
        <f t="shared" si="89"/>
        <v>0.02</v>
      </c>
      <c r="BQ22" s="29">
        <f t="shared" si="90"/>
        <v>0.02</v>
      </c>
      <c r="BR22" s="29">
        <f t="shared" si="91"/>
        <v>0.02</v>
      </c>
      <c r="BS22" s="29">
        <f t="shared" si="92"/>
        <v>0.02</v>
      </c>
      <c r="BT22" s="29">
        <f t="shared" si="93"/>
        <v>0.02</v>
      </c>
      <c r="BU22" s="29">
        <f t="shared" si="94"/>
        <v>0.02</v>
      </c>
      <c r="BV22" s="29">
        <f t="shared" si="95"/>
        <v>0.02</v>
      </c>
      <c r="BW22" s="29">
        <f t="shared" si="96"/>
        <v>0.02</v>
      </c>
      <c r="BX22" s="29">
        <f t="shared" si="97"/>
        <v>0.02</v>
      </c>
      <c r="BY22" s="29">
        <f t="shared" si="98"/>
        <v>0.02</v>
      </c>
      <c r="BZ22" s="29">
        <f t="shared" si="99"/>
        <v>0.02</v>
      </c>
      <c r="CA22" s="29">
        <f t="shared" si="100"/>
        <v>0.02</v>
      </c>
      <c r="CB22" s="29">
        <f t="shared" si="101"/>
        <v>0.02</v>
      </c>
      <c r="CC22" s="29">
        <f t="shared" si="102"/>
        <v>0.02</v>
      </c>
      <c r="CD22" s="29">
        <f t="shared" si="103"/>
        <v>0.02</v>
      </c>
      <c r="CE22" s="29">
        <f t="shared" si="104"/>
        <v>0.02</v>
      </c>
      <c r="CF22" s="29">
        <f t="shared" si="105"/>
        <v>0.02</v>
      </c>
      <c r="CG22" s="29">
        <f t="shared" si="106"/>
        <v>0.02</v>
      </c>
      <c r="CH22" s="229">
        <f t="shared" si="107"/>
        <v>0.02</v>
      </c>
    </row>
    <row r="23" spans="1:86">
      <c r="B23" s="494" t="s">
        <v>226</v>
      </c>
      <c r="C23" s="495"/>
      <c r="D23" s="27">
        <f>D22*D21</f>
        <v>0</v>
      </c>
      <c r="E23" s="27">
        <f t="shared" ref="E23:AJ23" si="110">MIN(E22*E21,E21-D25)</f>
        <v>0</v>
      </c>
      <c r="F23" s="27">
        <f t="shared" si="110"/>
        <v>0</v>
      </c>
      <c r="G23" s="27">
        <f t="shared" si="110"/>
        <v>0</v>
      </c>
      <c r="H23" s="27">
        <f t="shared" si="110"/>
        <v>0</v>
      </c>
      <c r="I23" s="27">
        <f t="shared" si="110"/>
        <v>0</v>
      </c>
      <c r="J23" s="27">
        <f t="shared" si="110"/>
        <v>0</v>
      </c>
      <c r="K23" s="27">
        <f t="shared" si="110"/>
        <v>0</v>
      </c>
      <c r="L23" s="27">
        <f t="shared" si="110"/>
        <v>0</v>
      </c>
      <c r="M23" s="27">
        <f t="shared" si="110"/>
        <v>0</v>
      </c>
      <c r="N23" s="27">
        <f t="shared" si="110"/>
        <v>0</v>
      </c>
      <c r="O23" s="27">
        <f t="shared" si="110"/>
        <v>0</v>
      </c>
      <c r="P23" s="27">
        <f t="shared" si="110"/>
        <v>0</v>
      </c>
      <c r="Q23" s="27">
        <f t="shared" si="110"/>
        <v>0</v>
      </c>
      <c r="R23" s="27">
        <f t="shared" si="110"/>
        <v>0</v>
      </c>
      <c r="S23" s="27">
        <f t="shared" si="110"/>
        <v>0</v>
      </c>
      <c r="T23" s="27">
        <f t="shared" si="110"/>
        <v>0</v>
      </c>
      <c r="U23" s="27">
        <f t="shared" si="110"/>
        <v>0</v>
      </c>
      <c r="V23" s="27">
        <f t="shared" si="110"/>
        <v>0</v>
      </c>
      <c r="W23" s="27">
        <f t="shared" si="110"/>
        <v>0</v>
      </c>
      <c r="X23" s="27">
        <f t="shared" si="110"/>
        <v>0</v>
      </c>
      <c r="Y23" s="27">
        <f t="shared" si="110"/>
        <v>0</v>
      </c>
      <c r="Z23" s="27">
        <f t="shared" si="110"/>
        <v>0</v>
      </c>
      <c r="AA23" s="27">
        <f t="shared" si="110"/>
        <v>0</v>
      </c>
      <c r="AB23" s="27">
        <f t="shared" si="110"/>
        <v>0</v>
      </c>
      <c r="AC23" s="27">
        <f t="shared" si="110"/>
        <v>0</v>
      </c>
      <c r="AD23" s="27">
        <f t="shared" si="110"/>
        <v>0</v>
      </c>
      <c r="AE23" s="27">
        <f t="shared" si="110"/>
        <v>0</v>
      </c>
      <c r="AF23" s="27">
        <f t="shared" si="110"/>
        <v>0</v>
      </c>
      <c r="AG23" s="27">
        <f t="shared" si="110"/>
        <v>0</v>
      </c>
      <c r="AH23" s="27">
        <f t="shared" si="110"/>
        <v>0</v>
      </c>
      <c r="AI23" s="27">
        <f t="shared" si="110"/>
        <v>0</v>
      </c>
      <c r="AJ23" s="27">
        <f t="shared" si="110"/>
        <v>0</v>
      </c>
      <c r="AK23" s="27">
        <f t="shared" ref="AK23:BA23" si="111">MIN(AK22*AK21,AK21-AJ25)</f>
        <v>0</v>
      </c>
      <c r="AL23" s="27">
        <f t="shared" si="111"/>
        <v>0</v>
      </c>
      <c r="AM23" s="27">
        <f t="shared" si="111"/>
        <v>0</v>
      </c>
      <c r="AN23" s="27">
        <f t="shared" si="111"/>
        <v>0</v>
      </c>
      <c r="AO23" s="27">
        <f t="shared" si="111"/>
        <v>0</v>
      </c>
      <c r="AP23" s="27">
        <f t="shared" si="111"/>
        <v>0</v>
      </c>
      <c r="AQ23" s="27">
        <f t="shared" si="111"/>
        <v>0</v>
      </c>
      <c r="AR23" s="27">
        <f t="shared" si="111"/>
        <v>0</v>
      </c>
      <c r="AS23" s="27">
        <f t="shared" si="111"/>
        <v>0</v>
      </c>
      <c r="AT23" s="27">
        <f t="shared" si="111"/>
        <v>0</v>
      </c>
      <c r="AU23" s="27">
        <f t="shared" si="111"/>
        <v>0</v>
      </c>
      <c r="AV23" s="27">
        <f t="shared" si="111"/>
        <v>0</v>
      </c>
      <c r="AW23" s="27">
        <f t="shared" si="111"/>
        <v>0</v>
      </c>
      <c r="AX23" s="27">
        <f t="shared" si="111"/>
        <v>0</v>
      </c>
      <c r="AY23" s="27">
        <f t="shared" si="111"/>
        <v>0</v>
      </c>
      <c r="AZ23" s="27">
        <f t="shared" si="111"/>
        <v>0</v>
      </c>
      <c r="BA23" s="27">
        <f t="shared" si="111"/>
        <v>0</v>
      </c>
      <c r="BB23" s="27">
        <f t="shared" ref="BB23" si="112">MIN(BB22*BB21,BB21-BA25)</f>
        <v>0</v>
      </c>
      <c r="BC23" s="27">
        <f t="shared" ref="BC23" si="113">MIN(BC22*BC21,BC21-BB25)</f>
        <v>0</v>
      </c>
      <c r="BD23" s="27">
        <f t="shared" ref="BD23" si="114">MIN(BD22*BD21,BD21-BC25)</f>
        <v>0</v>
      </c>
      <c r="BE23" s="27">
        <f t="shared" ref="BE23" si="115">MIN(BE22*BE21,BE21-BD25)</f>
        <v>0</v>
      </c>
      <c r="BF23" s="27">
        <f t="shared" ref="BF23" si="116">MIN(BF22*BF21,BF21-BE25)</f>
        <v>0</v>
      </c>
      <c r="BG23" s="27">
        <f t="shared" ref="BG23" si="117">MIN(BG22*BG21,BG21-BF25)</f>
        <v>0</v>
      </c>
      <c r="BH23" s="27">
        <f t="shared" ref="BH23" si="118">MIN(BH22*BH21,BH21-BG25)</f>
        <v>0</v>
      </c>
      <c r="BI23" s="27">
        <f t="shared" ref="BI23" si="119">MIN(BI22*BI21,BI21-BH25)</f>
        <v>0</v>
      </c>
      <c r="BJ23" s="27">
        <f t="shared" ref="BJ23" si="120">MIN(BJ22*BJ21,BJ21-BI25)</f>
        <v>0</v>
      </c>
      <c r="BK23" s="27">
        <f t="shared" ref="BK23" si="121">MIN(BK22*BK21,BK21-BJ25)</f>
        <v>0</v>
      </c>
      <c r="BL23" s="27">
        <f t="shared" ref="BL23" si="122">MIN(BL22*BL21,BL21-BK25)</f>
        <v>0</v>
      </c>
      <c r="BM23" s="27">
        <f t="shared" ref="BM23" si="123">MIN(BM22*BM21,BM21-BL25)</f>
        <v>0</v>
      </c>
      <c r="BN23" s="27">
        <f t="shared" ref="BN23" si="124">MIN(BN22*BN21,BN21-BM25)</f>
        <v>0</v>
      </c>
      <c r="BO23" s="27">
        <f t="shared" ref="BO23" si="125">MIN(BO22*BO21,BO21-BN25)</f>
        <v>0</v>
      </c>
      <c r="BP23" s="27">
        <f t="shared" ref="BP23" si="126">MIN(BP22*BP21,BP21-BO25)</f>
        <v>0</v>
      </c>
      <c r="BQ23" s="27">
        <f t="shared" ref="BQ23" si="127">MIN(BQ22*BQ21,BQ21-BP25)</f>
        <v>0</v>
      </c>
      <c r="BR23" s="27">
        <f t="shared" ref="BR23" si="128">MIN(BR22*BR21,BR21-BQ25)</f>
        <v>0</v>
      </c>
      <c r="BS23" s="27">
        <f t="shared" ref="BS23" si="129">MIN(BS22*BS21,BS21-BR25)</f>
        <v>0</v>
      </c>
      <c r="BT23" s="27">
        <f t="shared" ref="BT23" si="130">MIN(BT22*BT21,BT21-BS25)</f>
        <v>0</v>
      </c>
      <c r="BU23" s="27">
        <f t="shared" ref="BU23" si="131">MIN(BU22*BU21,BU21-BT25)</f>
        <v>0</v>
      </c>
      <c r="BV23" s="27">
        <f t="shared" ref="BV23" si="132">MIN(BV22*BV21,BV21-BU25)</f>
        <v>0</v>
      </c>
      <c r="BW23" s="27">
        <f t="shared" ref="BW23" si="133">MIN(BW22*BW21,BW21-BV25)</f>
        <v>0</v>
      </c>
      <c r="BX23" s="27">
        <f t="shared" ref="BX23" si="134">MIN(BX22*BX21,BX21-BW25)</f>
        <v>0</v>
      </c>
      <c r="BY23" s="27">
        <f t="shared" ref="BY23" si="135">MIN(BY22*BY21,BY21-BX25)</f>
        <v>0</v>
      </c>
      <c r="BZ23" s="27">
        <f t="shared" ref="BZ23" si="136">MIN(BZ22*BZ21,BZ21-BY25)</f>
        <v>0</v>
      </c>
      <c r="CA23" s="27">
        <f t="shared" ref="CA23" si="137">MIN(CA22*CA21,CA21-BZ25)</f>
        <v>0</v>
      </c>
      <c r="CB23" s="27">
        <f t="shared" ref="CB23" si="138">MIN(CB22*CB21,CB21-CA25)</f>
        <v>0</v>
      </c>
      <c r="CC23" s="27">
        <f t="shared" ref="CC23" si="139">MIN(CC22*CC21,CC21-CB25)</f>
        <v>0</v>
      </c>
      <c r="CD23" s="27">
        <f t="shared" ref="CD23" si="140">MIN(CD22*CD21,CD21-CC25)</f>
        <v>0</v>
      </c>
      <c r="CE23" s="27">
        <f t="shared" ref="CE23" si="141">MIN(CE22*CE21,CE21-CD25)</f>
        <v>0</v>
      </c>
      <c r="CF23" s="27">
        <f t="shared" ref="CF23" si="142">MIN(CF22*CF21,CF21-CE25)</f>
        <v>0</v>
      </c>
      <c r="CG23" s="27">
        <f t="shared" ref="CG23" si="143">MIN(CG22*CG21,CG21-CF25)</f>
        <v>0</v>
      </c>
      <c r="CH23" s="221">
        <f t="shared" ref="CH23" si="144">MIN(CH22*CH21,CH21-CG25)</f>
        <v>0</v>
      </c>
    </row>
    <row r="24" spans="1:86">
      <c r="B24" s="490" t="s">
        <v>227</v>
      </c>
      <c r="C24" s="491"/>
      <c r="D24" s="30">
        <f>D23/12</f>
        <v>0</v>
      </c>
      <c r="E24" s="27">
        <f>E23/12</f>
        <v>0</v>
      </c>
      <c r="F24" s="27">
        <f t="shared" ref="F24:BA24" si="145">F23/12</f>
        <v>0</v>
      </c>
      <c r="G24" s="27">
        <f t="shared" si="145"/>
        <v>0</v>
      </c>
      <c r="H24" s="27">
        <f t="shared" si="145"/>
        <v>0</v>
      </c>
      <c r="I24" s="27">
        <f t="shared" si="145"/>
        <v>0</v>
      </c>
      <c r="J24" s="27">
        <f t="shared" si="145"/>
        <v>0</v>
      </c>
      <c r="K24" s="27">
        <f t="shared" si="145"/>
        <v>0</v>
      </c>
      <c r="L24" s="27">
        <f t="shared" si="145"/>
        <v>0</v>
      </c>
      <c r="M24" s="27">
        <f t="shared" si="145"/>
        <v>0</v>
      </c>
      <c r="N24" s="27">
        <f t="shared" si="145"/>
        <v>0</v>
      </c>
      <c r="O24" s="27">
        <f t="shared" si="145"/>
        <v>0</v>
      </c>
      <c r="P24" s="27">
        <f t="shared" si="145"/>
        <v>0</v>
      </c>
      <c r="Q24" s="27">
        <f t="shared" si="145"/>
        <v>0</v>
      </c>
      <c r="R24" s="27">
        <f t="shared" si="145"/>
        <v>0</v>
      </c>
      <c r="S24" s="27">
        <f t="shared" si="145"/>
        <v>0</v>
      </c>
      <c r="T24" s="27">
        <f t="shared" si="145"/>
        <v>0</v>
      </c>
      <c r="U24" s="27">
        <f t="shared" si="145"/>
        <v>0</v>
      </c>
      <c r="V24" s="27">
        <f t="shared" si="145"/>
        <v>0</v>
      </c>
      <c r="W24" s="27">
        <f t="shared" si="145"/>
        <v>0</v>
      </c>
      <c r="X24" s="27">
        <f t="shared" si="145"/>
        <v>0</v>
      </c>
      <c r="Y24" s="27">
        <f t="shared" si="145"/>
        <v>0</v>
      </c>
      <c r="Z24" s="27">
        <f t="shared" si="145"/>
        <v>0</v>
      </c>
      <c r="AA24" s="27">
        <f t="shared" si="145"/>
        <v>0</v>
      </c>
      <c r="AB24" s="27">
        <f t="shared" si="145"/>
        <v>0</v>
      </c>
      <c r="AC24" s="27">
        <f t="shared" si="145"/>
        <v>0</v>
      </c>
      <c r="AD24" s="27">
        <f t="shared" si="145"/>
        <v>0</v>
      </c>
      <c r="AE24" s="27">
        <f t="shared" si="145"/>
        <v>0</v>
      </c>
      <c r="AF24" s="27">
        <f t="shared" si="145"/>
        <v>0</v>
      </c>
      <c r="AG24" s="27">
        <f t="shared" si="145"/>
        <v>0</v>
      </c>
      <c r="AH24" s="27">
        <f t="shared" si="145"/>
        <v>0</v>
      </c>
      <c r="AI24" s="27">
        <f t="shared" si="145"/>
        <v>0</v>
      </c>
      <c r="AJ24" s="27">
        <f t="shared" si="145"/>
        <v>0</v>
      </c>
      <c r="AK24" s="27">
        <f t="shared" si="145"/>
        <v>0</v>
      </c>
      <c r="AL24" s="27">
        <f t="shared" si="145"/>
        <v>0</v>
      </c>
      <c r="AM24" s="27">
        <f t="shared" si="145"/>
        <v>0</v>
      </c>
      <c r="AN24" s="27">
        <f t="shared" si="145"/>
        <v>0</v>
      </c>
      <c r="AO24" s="27">
        <f t="shared" si="145"/>
        <v>0</v>
      </c>
      <c r="AP24" s="27">
        <f t="shared" si="145"/>
        <v>0</v>
      </c>
      <c r="AQ24" s="27">
        <f t="shared" si="145"/>
        <v>0</v>
      </c>
      <c r="AR24" s="27">
        <f t="shared" si="145"/>
        <v>0</v>
      </c>
      <c r="AS24" s="27">
        <f t="shared" si="145"/>
        <v>0</v>
      </c>
      <c r="AT24" s="27">
        <f t="shared" si="145"/>
        <v>0</v>
      </c>
      <c r="AU24" s="27">
        <f t="shared" si="145"/>
        <v>0</v>
      </c>
      <c r="AV24" s="27">
        <f t="shared" si="145"/>
        <v>0</v>
      </c>
      <c r="AW24" s="27">
        <f t="shared" si="145"/>
        <v>0</v>
      </c>
      <c r="AX24" s="27">
        <f t="shared" si="145"/>
        <v>0</v>
      </c>
      <c r="AY24" s="27">
        <f t="shared" si="145"/>
        <v>0</v>
      </c>
      <c r="AZ24" s="27">
        <f t="shared" si="145"/>
        <v>0</v>
      </c>
      <c r="BA24" s="27">
        <f t="shared" si="145"/>
        <v>0</v>
      </c>
      <c r="BB24" s="27">
        <f t="shared" ref="BB24:CH24" si="146">BB23/12</f>
        <v>0</v>
      </c>
      <c r="BC24" s="27">
        <f t="shared" si="146"/>
        <v>0</v>
      </c>
      <c r="BD24" s="27">
        <f t="shared" si="146"/>
        <v>0</v>
      </c>
      <c r="BE24" s="27">
        <f t="shared" si="146"/>
        <v>0</v>
      </c>
      <c r="BF24" s="27">
        <f t="shared" si="146"/>
        <v>0</v>
      </c>
      <c r="BG24" s="27">
        <f t="shared" si="146"/>
        <v>0</v>
      </c>
      <c r="BH24" s="27">
        <f t="shared" si="146"/>
        <v>0</v>
      </c>
      <c r="BI24" s="27">
        <f t="shared" si="146"/>
        <v>0</v>
      </c>
      <c r="BJ24" s="27">
        <f t="shared" si="146"/>
        <v>0</v>
      </c>
      <c r="BK24" s="27">
        <f t="shared" si="146"/>
        <v>0</v>
      </c>
      <c r="BL24" s="27">
        <f t="shared" si="146"/>
        <v>0</v>
      </c>
      <c r="BM24" s="27">
        <f t="shared" si="146"/>
        <v>0</v>
      </c>
      <c r="BN24" s="27">
        <f t="shared" si="146"/>
        <v>0</v>
      </c>
      <c r="BO24" s="27">
        <f t="shared" si="146"/>
        <v>0</v>
      </c>
      <c r="BP24" s="27">
        <f t="shared" si="146"/>
        <v>0</v>
      </c>
      <c r="BQ24" s="27">
        <f t="shared" si="146"/>
        <v>0</v>
      </c>
      <c r="BR24" s="27">
        <f t="shared" si="146"/>
        <v>0</v>
      </c>
      <c r="BS24" s="27">
        <f t="shared" si="146"/>
        <v>0</v>
      </c>
      <c r="BT24" s="27">
        <f t="shared" si="146"/>
        <v>0</v>
      </c>
      <c r="BU24" s="27">
        <f t="shared" si="146"/>
        <v>0</v>
      </c>
      <c r="BV24" s="27">
        <f t="shared" si="146"/>
        <v>0</v>
      </c>
      <c r="BW24" s="27">
        <f t="shared" si="146"/>
        <v>0</v>
      </c>
      <c r="BX24" s="27">
        <f t="shared" si="146"/>
        <v>0</v>
      </c>
      <c r="BY24" s="27">
        <f t="shared" si="146"/>
        <v>0</v>
      </c>
      <c r="BZ24" s="27">
        <f t="shared" si="146"/>
        <v>0</v>
      </c>
      <c r="CA24" s="27">
        <f t="shared" si="146"/>
        <v>0</v>
      </c>
      <c r="CB24" s="27">
        <f t="shared" si="146"/>
        <v>0</v>
      </c>
      <c r="CC24" s="27">
        <f t="shared" si="146"/>
        <v>0</v>
      </c>
      <c r="CD24" s="27">
        <f t="shared" si="146"/>
        <v>0</v>
      </c>
      <c r="CE24" s="27">
        <f t="shared" si="146"/>
        <v>0</v>
      </c>
      <c r="CF24" s="27">
        <f t="shared" si="146"/>
        <v>0</v>
      </c>
      <c r="CG24" s="27">
        <f t="shared" si="146"/>
        <v>0</v>
      </c>
      <c r="CH24" s="221">
        <f t="shared" si="146"/>
        <v>0</v>
      </c>
    </row>
    <row r="25" spans="1:86" ht="15" thickBot="1">
      <c r="B25" s="492" t="s">
        <v>224</v>
      </c>
      <c r="C25" s="493"/>
      <c r="D25" s="222">
        <f>D23</f>
        <v>0</v>
      </c>
      <c r="E25" s="222">
        <f t="shared" ref="E25:AJ25" si="147">D25+E23</f>
        <v>0</v>
      </c>
      <c r="F25" s="222">
        <f t="shared" si="147"/>
        <v>0</v>
      </c>
      <c r="G25" s="222">
        <f t="shared" si="147"/>
        <v>0</v>
      </c>
      <c r="H25" s="222">
        <f t="shared" si="147"/>
        <v>0</v>
      </c>
      <c r="I25" s="222">
        <f t="shared" si="147"/>
        <v>0</v>
      </c>
      <c r="J25" s="222">
        <f t="shared" si="147"/>
        <v>0</v>
      </c>
      <c r="K25" s="222">
        <f t="shared" si="147"/>
        <v>0</v>
      </c>
      <c r="L25" s="222">
        <f t="shared" si="147"/>
        <v>0</v>
      </c>
      <c r="M25" s="222">
        <f t="shared" si="147"/>
        <v>0</v>
      </c>
      <c r="N25" s="222">
        <f t="shared" si="147"/>
        <v>0</v>
      </c>
      <c r="O25" s="222">
        <f t="shared" si="147"/>
        <v>0</v>
      </c>
      <c r="P25" s="222">
        <f t="shared" si="147"/>
        <v>0</v>
      </c>
      <c r="Q25" s="222">
        <f t="shared" si="147"/>
        <v>0</v>
      </c>
      <c r="R25" s="222">
        <f t="shared" si="147"/>
        <v>0</v>
      </c>
      <c r="S25" s="222">
        <f t="shared" si="147"/>
        <v>0</v>
      </c>
      <c r="T25" s="222">
        <f t="shared" si="147"/>
        <v>0</v>
      </c>
      <c r="U25" s="222">
        <f t="shared" si="147"/>
        <v>0</v>
      </c>
      <c r="V25" s="222">
        <f t="shared" si="147"/>
        <v>0</v>
      </c>
      <c r="W25" s="222">
        <f t="shared" si="147"/>
        <v>0</v>
      </c>
      <c r="X25" s="222">
        <f t="shared" si="147"/>
        <v>0</v>
      </c>
      <c r="Y25" s="222">
        <f t="shared" si="147"/>
        <v>0</v>
      </c>
      <c r="Z25" s="222">
        <f t="shared" si="147"/>
        <v>0</v>
      </c>
      <c r="AA25" s="222">
        <f t="shared" si="147"/>
        <v>0</v>
      </c>
      <c r="AB25" s="222">
        <f t="shared" si="147"/>
        <v>0</v>
      </c>
      <c r="AC25" s="222">
        <f t="shared" si="147"/>
        <v>0</v>
      </c>
      <c r="AD25" s="222">
        <f t="shared" si="147"/>
        <v>0</v>
      </c>
      <c r="AE25" s="222">
        <f t="shared" si="147"/>
        <v>0</v>
      </c>
      <c r="AF25" s="222">
        <f t="shared" si="147"/>
        <v>0</v>
      </c>
      <c r="AG25" s="222">
        <f t="shared" si="147"/>
        <v>0</v>
      </c>
      <c r="AH25" s="222">
        <f t="shared" si="147"/>
        <v>0</v>
      </c>
      <c r="AI25" s="222">
        <f t="shared" si="147"/>
        <v>0</v>
      </c>
      <c r="AJ25" s="222">
        <f t="shared" si="147"/>
        <v>0</v>
      </c>
      <c r="AK25" s="222">
        <f t="shared" ref="AK25:BA25" si="148">AJ25+AK23</f>
        <v>0</v>
      </c>
      <c r="AL25" s="222">
        <f t="shared" si="148"/>
        <v>0</v>
      </c>
      <c r="AM25" s="222">
        <f t="shared" si="148"/>
        <v>0</v>
      </c>
      <c r="AN25" s="222">
        <f t="shared" si="148"/>
        <v>0</v>
      </c>
      <c r="AO25" s="222">
        <f t="shared" si="148"/>
        <v>0</v>
      </c>
      <c r="AP25" s="222">
        <f t="shared" si="148"/>
        <v>0</v>
      </c>
      <c r="AQ25" s="222">
        <f t="shared" si="148"/>
        <v>0</v>
      </c>
      <c r="AR25" s="222">
        <f t="shared" si="148"/>
        <v>0</v>
      </c>
      <c r="AS25" s="222">
        <f t="shared" si="148"/>
        <v>0</v>
      </c>
      <c r="AT25" s="222">
        <f t="shared" si="148"/>
        <v>0</v>
      </c>
      <c r="AU25" s="222">
        <f t="shared" si="148"/>
        <v>0</v>
      </c>
      <c r="AV25" s="222">
        <f t="shared" si="148"/>
        <v>0</v>
      </c>
      <c r="AW25" s="222">
        <f t="shared" si="148"/>
        <v>0</v>
      </c>
      <c r="AX25" s="222">
        <f t="shared" si="148"/>
        <v>0</v>
      </c>
      <c r="AY25" s="222">
        <f t="shared" si="148"/>
        <v>0</v>
      </c>
      <c r="AZ25" s="222">
        <f t="shared" si="148"/>
        <v>0</v>
      </c>
      <c r="BA25" s="222">
        <f t="shared" si="148"/>
        <v>0</v>
      </c>
      <c r="BB25" s="222">
        <f t="shared" ref="BB25" si="149">BA25+BB23</f>
        <v>0</v>
      </c>
      <c r="BC25" s="222">
        <f t="shared" ref="BC25" si="150">BB25+BC23</f>
        <v>0</v>
      </c>
      <c r="BD25" s="222">
        <f t="shared" ref="BD25" si="151">BC25+BD23</f>
        <v>0</v>
      </c>
      <c r="BE25" s="222">
        <f t="shared" ref="BE25" si="152">BD25+BE23</f>
        <v>0</v>
      </c>
      <c r="BF25" s="222">
        <f t="shared" ref="BF25" si="153">BE25+BF23</f>
        <v>0</v>
      </c>
      <c r="BG25" s="222">
        <f t="shared" ref="BG25" si="154">BF25+BG23</f>
        <v>0</v>
      </c>
      <c r="BH25" s="222">
        <f t="shared" ref="BH25" si="155">BG25+BH23</f>
        <v>0</v>
      </c>
      <c r="BI25" s="222">
        <f t="shared" ref="BI25" si="156">BH25+BI23</f>
        <v>0</v>
      </c>
      <c r="BJ25" s="222">
        <f t="shared" ref="BJ25" si="157">BI25+BJ23</f>
        <v>0</v>
      </c>
      <c r="BK25" s="222">
        <f t="shared" ref="BK25" si="158">BJ25+BK23</f>
        <v>0</v>
      </c>
      <c r="BL25" s="222">
        <f t="shared" ref="BL25" si="159">BK25+BL23</f>
        <v>0</v>
      </c>
      <c r="BM25" s="222">
        <f t="shared" ref="BM25" si="160">BL25+BM23</f>
        <v>0</v>
      </c>
      <c r="BN25" s="222">
        <f t="shared" ref="BN25" si="161">BM25+BN23</f>
        <v>0</v>
      </c>
      <c r="BO25" s="222">
        <f t="shared" ref="BO25" si="162">BN25+BO23</f>
        <v>0</v>
      </c>
      <c r="BP25" s="222">
        <f t="shared" ref="BP25" si="163">BO25+BP23</f>
        <v>0</v>
      </c>
      <c r="BQ25" s="222">
        <f t="shared" ref="BQ25" si="164">BP25+BQ23</f>
        <v>0</v>
      </c>
      <c r="BR25" s="222">
        <f t="shared" ref="BR25" si="165">BQ25+BR23</f>
        <v>0</v>
      </c>
      <c r="BS25" s="222">
        <f t="shared" ref="BS25" si="166">BR25+BS23</f>
        <v>0</v>
      </c>
      <c r="BT25" s="222">
        <f t="shared" ref="BT25" si="167">BS25+BT23</f>
        <v>0</v>
      </c>
      <c r="BU25" s="222">
        <f t="shared" ref="BU25" si="168">BT25+BU23</f>
        <v>0</v>
      </c>
      <c r="BV25" s="222">
        <f t="shared" ref="BV25" si="169">BU25+BV23</f>
        <v>0</v>
      </c>
      <c r="BW25" s="222">
        <f t="shared" ref="BW25" si="170">BV25+BW23</f>
        <v>0</v>
      </c>
      <c r="BX25" s="222">
        <f t="shared" ref="BX25" si="171">BW25+BX23</f>
        <v>0</v>
      </c>
      <c r="BY25" s="222">
        <f t="shared" ref="BY25" si="172">BX25+BY23</f>
        <v>0</v>
      </c>
      <c r="BZ25" s="222">
        <f t="shared" ref="BZ25" si="173">BY25+BZ23</f>
        <v>0</v>
      </c>
      <c r="CA25" s="222">
        <f t="shared" ref="CA25" si="174">BZ25+CA23</f>
        <v>0</v>
      </c>
      <c r="CB25" s="222">
        <f t="shared" ref="CB25" si="175">CA25+CB23</f>
        <v>0</v>
      </c>
      <c r="CC25" s="222">
        <f t="shared" ref="CC25" si="176">CB25+CC23</f>
        <v>0</v>
      </c>
      <c r="CD25" s="222">
        <f t="shared" ref="CD25" si="177">CC25+CD23</f>
        <v>0</v>
      </c>
      <c r="CE25" s="222">
        <f t="shared" ref="CE25" si="178">CD25+CE23</f>
        <v>0</v>
      </c>
      <c r="CF25" s="222">
        <f t="shared" ref="CF25" si="179">CE25+CF23</f>
        <v>0</v>
      </c>
      <c r="CG25" s="222">
        <f t="shared" ref="CG25" si="180">CF25+CG23</f>
        <v>0</v>
      </c>
      <c r="CH25" s="223">
        <f t="shared" ref="CH25" si="181">CG25+CH23</f>
        <v>0</v>
      </c>
    </row>
    <row r="26" spans="1:86" ht="42.75" customHeight="1" thickBot="1">
      <c r="I26" s="5"/>
      <c r="J26" s="5"/>
      <c r="K26" s="5"/>
      <c r="L26" s="5"/>
      <c r="M26" s="4"/>
      <c r="N26" s="4"/>
      <c r="O26" s="4"/>
      <c r="P26" s="4"/>
    </row>
    <row r="27" spans="1:86" ht="16.5" thickBot="1">
      <c r="B27" s="211" t="s">
        <v>22</v>
      </c>
      <c r="C27" s="25"/>
      <c r="I27" s="5"/>
      <c r="J27" s="5"/>
      <c r="K27" s="5"/>
      <c r="L27" s="5"/>
    </row>
    <row r="28" spans="1:86" ht="15" thickBot="1">
      <c r="B28" s="214" t="s">
        <v>47</v>
      </c>
      <c r="C28" s="215"/>
      <c r="D28" s="216">
        <f ca="1">D$13</f>
        <v>2023</v>
      </c>
      <c r="E28" s="217">
        <f t="shared" ref="E28:BP28" ca="1" si="182">E$13</f>
        <v>2024</v>
      </c>
      <c r="F28" s="217">
        <f t="shared" ca="1" si="182"/>
        <v>2025</v>
      </c>
      <c r="G28" s="217">
        <f t="shared" ca="1" si="182"/>
        <v>2026</v>
      </c>
      <c r="H28" s="217">
        <f t="shared" ca="1" si="182"/>
        <v>2027</v>
      </c>
      <c r="I28" s="217">
        <f t="shared" ca="1" si="182"/>
        <v>2028</v>
      </c>
      <c r="J28" s="217">
        <f t="shared" ca="1" si="182"/>
        <v>2029</v>
      </c>
      <c r="K28" s="217">
        <f t="shared" ca="1" si="182"/>
        <v>2030</v>
      </c>
      <c r="L28" s="217">
        <f t="shared" ca="1" si="182"/>
        <v>2031</v>
      </c>
      <c r="M28" s="217">
        <f t="shared" ca="1" si="182"/>
        <v>2032</v>
      </c>
      <c r="N28" s="217">
        <f t="shared" ca="1" si="182"/>
        <v>2033</v>
      </c>
      <c r="O28" s="217">
        <f t="shared" ca="1" si="182"/>
        <v>2034</v>
      </c>
      <c r="P28" s="217">
        <f t="shared" ca="1" si="182"/>
        <v>2035</v>
      </c>
      <c r="Q28" s="217">
        <f t="shared" ca="1" si="182"/>
        <v>2036</v>
      </c>
      <c r="R28" s="217">
        <f t="shared" ca="1" si="182"/>
        <v>2037</v>
      </c>
      <c r="S28" s="217">
        <f t="shared" ca="1" si="182"/>
        <v>2038</v>
      </c>
      <c r="T28" s="217">
        <f t="shared" ca="1" si="182"/>
        <v>2039</v>
      </c>
      <c r="U28" s="217">
        <f t="shared" ca="1" si="182"/>
        <v>2040</v>
      </c>
      <c r="V28" s="217">
        <f t="shared" ca="1" si="182"/>
        <v>2041</v>
      </c>
      <c r="W28" s="217">
        <f t="shared" ca="1" si="182"/>
        <v>2042</v>
      </c>
      <c r="X28" s="217">
        <f t="shared" ca="1" si="182"/>
        <v>2043</v>
      </c>
      <c r="Y28" s="217">
        <f t="shared" ca="1" si="182"/>
        <v>2044</v>
      </c>
      <c r="Z28" s="217">
        <f t="shared" ca="1" si="182"/>
        <v>2045</v>
      </c>
      <c r="AA28" s="217">
        <f t="shared" ca="1" si="182"/>
        <v>2046</v>
      </c>
      <c r="AB28" s="217">
        <f t="shared" ca="1" si="182"/>
        <v>2047</v>
      </c>
      <c r="AC28" s="217">
        <f t="shared" ca="1" si="182"/>
        <v>2048</v>
      </c>
      <c r="AD28" s="217">
        <f t="shared" ca="1" si="182"/>
        <v>2049</v>
      </c>
      <c r="AE28" s="217">
        <f t="shared" ca="1" si="182"/>
        <v>2050</v>
      </c>
      <c r="AF28" s="217">
        <f t="shared" ca="1" si="182"/>
        <v>2051</v>
      </c>
      <c r="AG28" s="217">
        <f t="shared" ca="1" si="182"/>
        <v>2052</v>
      </c>
      <c r="AH28" s="217">
        <f t="shared" ca="1" si="182"/>
        <v>2053</v>
      </c>
      <c r="AI28" s="217">
        <f t="shared" ca="1" si="182"/>
        <v>2054</v>
      </c>
      <c r="AJ28" s="217">
        <f t="shared" ca="1" si="182"/>
        <v>2055</v>
      </c>
      <c r="AK28" s="217">
        <f t="shared" ca="1" si="182"/>
        <v>2056</v>
      </c>
      <c r="AL28" s="217">
        <f t="shared" ca="1" si="182"/>
        <v>2057</v>
      </c>
      <c r="AM28" s="217">
        <f t="shared" ca="1" si="182"/>
        <v>2058</v>
      </c>
      <c r="AN28" s="217">
        <f t="shared" ca="1" si="182"/>
        <v>2059</v>
      </c>
      <c r="AO28" s="217">
        <f t="shared" ca="1" si="182"/>
        <v>2060</v>
      </c>
      <c r="AP28" s="217">
        <f t="shared" ca="1" si="182"/>
        <v>2061</v>
      </c>
      <c r="AQ28" s="217">
        <f t="shared" ca="1" si="182"/>
        <v>2062</v>
      </c>
      <c r="AR28" s="217">
        <f t="shared" ca="1" si="182"/>
        <v>2063</v>
      </c>
      <c r="AS28" s="217">
        <f t="shared" ca="1" si="182"/>
        <v>2064</v>
      </c>
      <c r="AT28" s="217">
        <f t="shared" ca="1" si="182"/>
        <v>2065</v>
      </c>
      <c r="AU28" s="217">
        <f t="shared" ca="1" si="182"/>
        <v>2066</v>
      </c>
      <c r="AV28" s="217">
        <f t="shared" ca="1" si="182"/>
        <v>2067</v>
      </c>
      <c r="AW28" s="217">
        <f t="shared" ca="1" si="182"/>
        <v>2068</v>
      </c>
      <c r="AX28" s="217">
        <f t="shared" ca="1" si="182"/>
        <v>2069</v>
      </c>
      <c r="AY28" s="217">
        <f t="shared" ca="1" si="182"/>
        <v>2070</v>
      </c>
      <c r="AZ28" s="217">
        <f t="shared" ca="1" si="182"/>
        <v>2071</v>
      </c>
      <c r="BA28" s="217">
        <f t="shared" ca="1" si="182"/>
        <v>2072</v>
      </c>
      <c r="BB28" s="217">
        <f t="shared" ca="1" si="182"/>
        <v>2073</v>
      </c>
      <c r="BC28" s="217">
        <f t="shared" ca="1" si="182"/>
        <v>2074</v>
      </c>
      <c r="BD28" s="217">
        <f t="shared" ca="1" si="182"/>
        <v>2075</v>
      </c>
      <c r="BE28" s="217">
        <f t="shared" ca="1" si="182"/>
        <v>2076</v>
      </c>
      <c r="BF28" s="217">
        <f t="shared" ca="1" si="182"/>
        <v>2077</v>
      </c>
      <c r="BG28" s="217">
        <f t="shared" ca="1" si="182"/>
        <v>2078</v>
      </c>
      <c r="BH28" s="217">
        <f t="shared" ca="1" si="182"/>
        <v>2079</v>
      </c>
      <c r="BI28" s="217">
        <f t="shared" ca="1" si="182"/>
        <v>2080</v>
      </c>
      <c r="BJ28" s="217">
        <f t="shared" ca="1" si="182"/>
        <v>2081</v>
      </c>
      <c r="BK28" s="217">
        <f t="shared" ca="1" si="182"/>
        <v>2082</v>
      </c>
      <c r="BL28" s="217">
        <f t="shared" ca="1" si="182"/>
        <v>2083</v>
      </c>
      <c r="BM28" s="217">
        <f t="shared" ca="1" si="182"/>
        <v>2084</v>
      </c>
      <c r="BN28" s="217">
        <f t="shared" ca="1" si="182"/>
        <v>2085</v>
      </c>
      <c r="BO28" s="217">
        <f t="shared" ca="1" si="182"/>
        <v>2086</v>
      </c>
      <c r="BP28" s="217">
        <f t="shared" ca="1" si="182"/>
        <v>2087</v>
      </c>
      <c r="BQ28" s="217">
        <f t="shared" ref="BQ28:CH28" ca="1" si="183">BQ$13</f>
        <v>2088</v>
      </c>
      <c r="BR28" s="217">
        <f t="shared" ca="1" si="183"/>
        <v>2089</v>
      </c>
      <c r="BS28" s="217">
        <f t="shared" ca="1" si="183"/>
        <v>2090</v>
      </c>
      <c r="BT28" s="217">
        <f t="shared" ca="1" si="183"/>
        <v>2091</v>
      </c>
      <c r="BU28" s="217">
        <f t="shared" ca="1" si="183"/>
        <v>2092</v>
      </c>
      <c r="BV28" s="217">
        <f t="shared" ca="1" si="183"/>
        <v>2093</v>
      </c>
      <c r="BW28" s="217">
        <f t="shared" ca="1" si="183"/>
        <v>2094</v>
      </c>
      <c r="BX28" s="217">
        <f t="shared" ca="1" si="183"/>
        <v>2095</v>
      </c>
      <c r="BY28" s="217">
        <f t="shared" ca="1" si="183"/>
        <v>2096</v>
      </c>
      <c r="BZ28" s="217">
        <f t="shared" ca="1" si="183"/>
        <v>2097</v>
      </c>
      <c r="CA28" s="217">
        <f t="shared" ca="1" si="183"/>
        <v>2098</v>
      </c>
      <c r="CB28" s="217">
        <f t="shared" ca="1" si="183"/>
        <v>2099</v>
      </c>
      <c r="CC28" s="217">
        <f t="shared" ca="1" si="183"/>
        <v>2100</v>
      </c>
      <c r="CD28" s="217">
        <f t="shared" ca="1" si="183"/>
        <v>2101</v>
      </c>
      <c r="CE28" s="217">
        <f t="shared" ca="1" si="183"/>
        <v>2102</v>
      </c>
      <c r="CF28" s="217">
        <f t="shared" ca="1" si="183"/>
        <v>2103</v>
      </c>
      <c r="CG28" s="217">
        <f t="shared" ca="1" si="183"/>
        <v>2104</v>
      </c>
      <c r="CH28" s="218">
        <f t="shared" ca="1" si="183"/>
        <v>2105</v>
      </c>
    </row>
    <row r="29" spans="1:86">
      <c r="B29" s="496" t="s">
        <v>49</v>
      </c>
      <c r="C29" s="497"/>
      <c r="D29" s="230"/>
      <c r="E29" s="240"/>
      <c r="F29" s="241"/>
      <c r="G29" s="241"/>
      <c r="H29" s="241"/>
      <c r="I29" s="241"/>
      <c r="J29" s="241"/>
      <c r="K29" s="241"/>
      <c r="L29" s="241"/>
      <c r="M29" s="241"/>
      <c r="N29" s="241"/>
      <c r="O29" s="241"/>
      <c r="P29" s="241"/>
      <c r="Q29" s="24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1"/>
      <c r="BK29" s="241"/>
      <c r="BL29" s="241"/>
      <c r="BM29" s="241"/>
      <c r="BN29" s="241"/>
      <c r="BO29" s="241"/>
      <c r="BP29" s="241"/>
      <c r="BQ29" s="241"/>
      <c r="BR29" s="241"/>
      <c r="BS29" s="241"/>
      <c r="BT29" s="241"/>
      <c r="BU29" s="241"/>
      <c r="BV29" s="241"/>
      <c r="BW29" s="241"/>
      <c r="BX29" s="241"/>
      <c r="BY29" s="241"/>
      <c r="BZ29" s="241"/>
      <c r="CA29" s="241"/>
      <c r="CB29" s="241"/>
      <c r="CC29" s="241"/>
      <c r="CD29" s="241"/>
      <c r="CE29" s="241"/>
      <c r="CF29" s="241"/>
      <c r="CG29" s="241"/>
      <c r="CH29" s="242"/>
    </row>
    <row r="30" spans="1:86">
      <c r="B30" s="465" t="s">
        <v>50</v>
      </c>
      <c r="C30" s="466"/>
      <c r="D30" s="31">
        <f>Cockpit!N18</f>
        <v>0</v>
      </c>
      <c r="E30" s="31">
        <f t="shared" ref="E30:AJ30" si="184">IF(E29&lt;&gt;"",E29,D30)</f>
        <v>0</v>
      </c>
      <c r="F30" s="31">
        <f t="shared" si="184"/>
        <v>0</v>
      </c>
      <c r="G30" s="31">
        <f t="shared" si="184"/>
        <v>0</v>
      </c>
      <c r="H30" s="31">
        <f t="shared" si="184"/>
        <v>0</v>
      </c>
      <c r="I30" s="31">
        <f t="shared" si="184"/>
        <v>0</v>
      </c>
      <c r="J30" s="31">
        <f t="shared" si="184"/>
        <v>0</v>
      </c>
      <c r="K30" s="31">
        <f t="shared" si="184"/>
        <v>0</v>
      </c>
      <c r="L30" s="31">
        <f t="shared" si="184"/>
        <v>0</v>
      </c>
      <c r="M30" s="31">
        <f t="shared" si="184"/>
        <v>0</v>
      </c>
      <c r="N30" s="31">
        <f t="shared" si="184"/>
        <v>0</v>
      </c>
      <c r="O30" s="31">
        <f t="shared" si="184"/>
        <v>0</v>
      </c>
      <c r="P30" s="31">
        <f t="shared" si="184"/>
        <v>0</v>
      </c>
      <c r="Q30" s="31">
        <f t="shared" si="184"/>
        <v>0</v>
      </c>
      <c r="R30" s="31">
        <f t="shared" si="184"/>
        <v>0</v>
      </c>
      <c r="S30" s="31">
        <f t="shared" si="184"/>
        <v>0</v>
      </c>
      <c r="T30" s="31">
        <f t="shared" si="184"/>
        <v>0</v>
      </c>
      <c r="U30" s="31">
        <f t="shared" si="184"/>
        <v>0</v>
      </c>
      <c r="V30" s="31">
        <f t="shared" si="184"/>
        <v>0</v>
      </c>
      <c r="W30" s="31">
        <f t="shared" si="184"/>
        <v>0</v>
      </c>
      <c r="X30" s="31">
        <f t="shared" si="184"/>
        <v>0</v>
      </c>
      <c r="Y30" s="31">
        <f t="shared" si="184"/>
        <v>0</v>
      </c>
      <c r="Z30" s="31">
        <f t="shared" si="184"/>
        <v>0</v>
      </c>
      <c r="AA30" s="31">
        <f t="shared" si="184"/>
        <v>0</v>
      </c>
      <c r="AB30" s="31">
        <f t="shared" si="184"/>
        <v>0</v>
      </c>
      <c r="AC30" s="31">
        <f t="shared" si="184"/>
        <v>0</v>
      </c>
      <c r="AD30" s="31">
        <f t="shared" si="184"/>
        <v>0</v>
      </c>
      <c r="AE30" s="31">
        <f t="shared" si="184"/>
        <v>0</v>
      </c>
      <c r="AF30" s="31">
        <f t="shared" si="184"/>
        <v>0</v>
      </c>
      <c r="AG30" s="31">
        <f t="shared" si="184"/>
        <v>0</v>
      </c>
      <c r="AH30" s="31">
        <f t="shared" si="184"/>
        <v>0</v>
      </c>
      <c r="AI30" s="31">
        <f t="shared" si="184"/>
        <v>0</v>
      </c>
      <c r="AJ30" s="31">
        <f t="shared" si="184"/>
        <v>0</v>
      </c>
      <c r="AK30" s="31">
        <f t="shared" ref="AK30:BA30" si="185">IF(AK29&lt;&gt;"",AK29,AJ30)</f>
        <v>0</v>
      </c>
      <c r="AL30" s="31">
        <f t="shared" si="185"/>
        <v>0</v>
      </c>
      <c r="AM30" s="31">
        <f t="shared" si="185"/>
        <v>0</v>
      </c>
      <c r="AN30" s="31">
        <f t="shared" si="185"/>
        <v>0</v>
      </c>
      <c r="AO30" s="31">
        <f t="shared" si="185"/>
        <v>0</v>
      </c>
      <c r="AP30" s="31">
        <f t="shared" si="185"/>
        <v>0</v>
      </c>
      <c r="AQ30" s="31">
        <f t="shared" si="185"/>
        <v>0</v>
      </c>
      <c r="AR30" s="31">
        <f t="shared" si="185"/>
        <v>0</v>
      </c>
      <c r="AS30" s="31">
        <f t="shared" si="185"/>
        <v>0</v>
      </c>
      <c r="AT30" s="31">
        <f t="shared" si="185"/>
        <v>0</v>
      </c>
      <c r="AU30" s="31">
        <f t="shared" si="185"/>
        <v>0</v>
      </c>
      <c r="AV30" s="31">
        <f t="shared" si="185"/>
        <v>0</v>
      </c>
      <c r="AW30" s="31">
        <f t="shared" si="185"/>
        <v>0</v>
      </c>
      <c r="AX30" s="31">
        <f t="shared" si="185"/>
        <v>0</v>
      </c>
      <c r="AY30" s="31">
        <f t="shared" si="185"/>
        <v>0</v>
      </c>
      <c r="AZ30" s="31">
        <f t="shared" si="185"/>
        <v>0</v>
      </c>
      <c r="BA30" s="31">
        <f t="shared" si="185"/>
        <v>0</v>
      </c>
      <c r="BB30" s="31">
        <f t="shared" ref="BB30" si="186">IF(BB29&lt;&gt;"",BB29,BA30)</f>
        <v>0</v>
      </c>
      <c r="BC30" s="31">
        <f t="shared" ref="BC30" si="187">IF(BC29&lt;&gt;"",BC29,BB30)</f>
        <v>0</v>
      </c>
      <c r="BD30" s="31">
        <f t="shared" ref="BD30" si="188">IF(BD29&lt;&gt;"",BD29,BC30)</f>
        <v>0</v>
      </c>
      <c r="BE30" s="31">
        <f t="shared" ref="BE30" si="189">IF(BE29&lt;&gt;"",BE29,BD30)</f>
        <v>0</v>
      </c>
      <c r="BF30" s="31">
        <f t="shared" ref="BF30" si="190">IF(BF29&lt;&gt;"",BF29,BE30)</f>
        <v>0</v>
      </c>
      <c r="BG30" s="31">
        <f t="shared" ref="BG30" si="191">IF(BG29&lt;&gt;"",BG29,BF30)</f>
        <v>0</v>
      </c>
      <c r="BH30" s="31">
        <f t="shared" ref="BH30" si="192">IF(BH29&lt;&gt;"",BH29,BG30)</f>
        <v>0</v>
      </c>
      <c r="BI30" s="31">
        <f t="shared" ref="BI30" si="193">IF(BI29&lt;&gt;"",BI29,BH30)</f>
        <v>0</v>
      </c>
      <c r="BJ30" s="31">
        <f t="shared" ref="BJ30" si="194">IF(BJ29&lt;&gt;"",BJ29,BI30)</f>
        <v>0</v>
      </c>
      <c r="BK30" s="31">
        <f t="shared" ref="BK30" si="195">IF(BK29&lt;&gt;"",BK29,BJ30)</f>
        <v>0</v>
      </c>
      <c r="BL30" s="31">
        <f t="shared" ref="BL30" si="196">IF(BL29&lt;&gt;"",BL29,BK30)</f>
        <v>0</v>
      </c>
      <c r="BM30" s="31">
        <f t="shared" ref="BM30" si="197">IF(BM29&lt;&gt;"",BM29,BL30)</f>
        <v>0</v>
      </c>
      <c r="BN30" s="31">
        <f t="shared" ref="BN30" si="198">IF(BN29&lt;&gt;"",BN29,BM30)</f>
        <v>0</v>
      </c>
      <c r="BO30" s="31">
        <f t="shared" ref="BO30" si="199">IF(BO29&lt;&gt;"",BO29,BN30)</f>
        <v>0</v>
      </c>
      <c r="BP30" s="31">
        <f t="shared" ref="BP30" si="200">IF(BP29&lt;&gt;"",BP29,BO30)</f>
        <v>0</v>
      </c>
      <c r="BQ30" s="31">
        <f t="shared" ref="BQ30" si="201">IF(BQ29&lt;&gt;"",BQ29,BP30)</f>
        <v>0</v>
      </c>
      <c r="BR30" s="31">
        <f t="shared" ref="BR30" si="202">IF(BR29&lt;&gt;"",BR29,BQ30)</f>
        <v>0</v>
      </c>
      <c r="BS30" s="31">
        <f t="shared" ref="BS30" si="203">IF(BS29&lt;&gt;"",BS29,BR30)</f>
        <v>0</v>
      </c>
      <c r="BT30" s="31">
        <f t="shared" ref="BT30" si="204">IF(BT29&lt;&gt;"",BT29,BS30)</f>
        <v>0</v>
      </c>
      <c r="BU30" s="31">
        <f t="shared" ref="BU30" si="205">IF(BU29&lt;&gt;"",BU29,BT30)</f>
        <v>0</v>
      </c>
      <c r="BV30" s="31">
        <f t="shared" ref="BV30" si="206">IF(BV29&lt;&gt;"",BV29,BU30)</f>
        <v>0</v>
      </c>
      <c r="BW30" s="31">
        <f t="shared" ref="BW30" si="207">IF(BW29&lt;&gt;"",BW29,BV30)</f>
        <v>0</v>
      </c>
      <c r="BX30" s="31">
        <f t="shared" ref="BX30" si="208">IF(BX29&lt;&gt;"",BX29,BW30)</f>
        <v>0</v>
      </c>
      <c r="BY30" s="31">
        <f t="shared" ref="BY30" si="209">IF(BY29&lt;&gt;"",BY29,BX30)</f>
        <v>0</v>
      </c>
      <c r="BZ30" s="31">
        <f t="shared" ref="BZ30" si="210">IF(BZ29&lt;&gt;"",BZ29,BY30)</f>
        <v>0</v>
      </c>
      <c r="CA30" s="31">
        <f t="shared" ref="CA30" si="211">IF(CA29&lt;&gt;"",CA29,BZ30)</f>
        <v>0</v>
      </c>
      <c r="CB30" s="31">
        <f t="shared" ref="CB30" si="212">IF(CB29&lt;&gt;"",CB29,CA30)</f>
        <v>0</v>
      </c>
      <c r="CC30" s="31">
        <f t="shared" ref="CC30" si="213">IF(CC29&lt;&gt;"",CC29,CB30)</f>
        <v>0</v>
      </c>
      <c r="CD30" s="31">
        <f t="shared" ref="CD30" si="214">IF(CD29&lt;&gt;"",CD29,CC30)</f>
        <v>0</v>
      </c>
      <c r="CE30" s="31">
        <f t="shared" ref="CE30" si="215">IF(CE29&lt;&gt;"",CE29,CD30)</f>
        <v>0</v>
      </c>
      <c r="CF30" s="31">
        <f t="shared" ref="CF30" si="216">IF(CF29&lt;&gt;"",CF29,CE30)</f>
        <v>0</v>
      </c>
      <c r="CG30" s="31">
        <f t="shared" ref="CG30" si="217">IF(CG29&lt;&gt;"",CG29,CF30)</f>
        <v>0</v>
      </c>
      <c r="CH30" s="231">
        <f t="shared" ref="CH30" si="218">IF(CH29&lt;&gt;"",CH29,CG30)</f>
        <v>0</v>
      </c>
    </row>
    <row r="31" spans="1:86" ht="8.25" customHeight="1">
      <c r="B31" s="502"/>
      <c r="C31" s="503"/>
      <c r="I31" s="5"/>
      <c r="J31" s="5"/>
      <c r="K31" s="5"/>
      <c r="L31" s="5"/>
      <c r="CH31" s="232"/>
    </row>
    <row r="32" spans="1:86">
      <c r="B32" s="465" t="s">
        <v>43</v>
      </c>
      <c r="C32" s="466"/>
      <c r="D32" s="3">
        <f>Cockpit!N17</f>
        <v>0</v>
      </c>
      <c r="E32" s="3">
        <f>D41</f>
        <v>0</v>
      </c>
      <c r="F32" s="3">
        <f t="shared" ref="F32:M32" si="219">E41</f>
        <v>0</v>
      </c>
      <c r="G32" s="3">
        <f t="shared" si="219"/>
        <v>0</v>
      </c>
      <c r="H32" s="3">
        <f t="shared" si="219"/>
        <v>0</v>
      </c>
      <c r="I32" s="3">
        <f t="shared" si="219"/>
        <v>0</v>
      </c>
      <c r="J32" s="3">
        <f t="shared" si="219"/>
        <v>0</v>
      </c>
      <c r="K32" s="3">
        <f t="shared" si="219"/>
        <v>0</v>
      </c>
      <c r="L32" s="3">
        <f t="shared" si="219"/>
        <v>0</v>
      </c>
      <c r="M32" s="3">
        <f t="shared" si="219"/>
        <v>0</v>
      </c>
      <c r="N32" s="3">
        <f t="shared" ref="N32:BA32" si="220">M41</f>
        <v>0</v>
      </c>
      <c r="O32" s="3">
        <f t="shared" si="220"/>
        <v>0</v>
      </c>
      <c r="P32" s="3">
        <f t="shared" si="220"/>
        <v>0</v>
      </c>
      <c r="Q32" s="3">
        <f t="shared" si="220"/>
        <v>0</v>
      </c>
      <c r="R32" s="3">
        <f t="shared" si="220"/>
        <v>0</v>
      </c>
      <c r="S32" s="3">
        <f t="shared" si="220"/>
        <v>0</v>
      </c>
      <c r="T32" s="3">
        <f t="shared" si="220"/>
        <v>0</v>
      </c>
      <c r="U32" s="3">
        <f t="shared" si="220"/>
        <v>0</v>
      </c>
      <c r="V32" s="3">
        <f t="shared" si="220"/>
        <v>0</v>
      </c>
      <c r="W32" s="3">
        <f t="shared" si="220"/>
        <v>0</v>
      </c>
      <c r="X32" s="3">
        <f t="shared" si="220"/>
        <v>0</v>
      </c>
      <c r="Y32" s="3">
        <f t="shared" si="220"/>
        <v>0</v>
      </c>
      <c r="Z32" s="3">
        <f t="shared" si="220"/>
        <v>0</v>
      </c>
      <c r="AA32" s="3">
        <f t="shared" si="220"/>
        <v>0</v>
      </c>
      <c r="AB32" s="3">
        <f t="shared" si="220"/>
        <v>0</v>
      </c>
      <c r="AC32" s="3">
        <f t="shared" si="220"/>
        <v>0</v>
      </c>
      <c r="AD32" s="3">
        <f t="shared" si="220"/>
        <v>0</v>
      </c>
      <c r="AE32" s="3">
        <f t="shared" si="220"/>
        <v>0</v>
      </c>
      <c r="AF32" s="3">
        <f t="shared" si="220"/>
        <v>0</v>
      </c>
      <c r="AG32" s="3">
        <f t="shared" si="220"/>
        <v>0</v>
      </c>
      <c r="AH32" s="3">
        <f t="shared" si="220"/>
        <v>0</v>
      </c>
      <c r="AI32" s="3">
        <f t="shared" si="220"/>
        <v>0</v>
      </c>
      <c r="AJ32" s="3">
        <f t="shared" si="220"/>
        <v>0</v>
      </c>
      <c r="AK32" s="3">
        <f t="shared" si="220"/>
        <v>0</v>
      </c>
      <c r="AL32" s="3">
        <f t="shared" si="220"/>
        <v>0</v>
      </c>
      <c r="AM32" s="3">
        <f t="shared" si="220"/>
        <v>0</v>
      </c>
      <c r="AN32" s="3">
        <f t="shared" si="220"/>
        <v>0</v>
      </c>
      <c r="AO32" s="3">
        <f t="shared" si="220"/>
        <v>0</v>
      </c>
      <c r="AP32" s="3">
        <f t="shared" si="220"/>
        <v>0</v>
      </c>
      <c r="AQ32" s="3">
        <f t="shared" si="220"/>
        <v>0</v>
      </c>
      <c r="AR32" s="3">
        <f t="shared" si="220"/>
        <v>0</v>
      </c>
      <c r="AS32" s="3">
        <f t="shared" si="220"/>
        <v>0</v>
      </c>
      <c r="AT32" s="3">
        <f t="shared" si="220"/>
        <v>0</v>
      </c>
      <c r="AU32" s="3">
        <f t="shared" si="220"/>
        <v>0</v>
      </c>
      <c r="AV32" s="3">
        <f t="shared" si="220"/>
        <v>0</v>
      </c>
      <c r="AW32" s="3">
        <f t="shared" si="220"/>
        <v>0</v>
      </c>
      <c r="AX32" s="3">
        <f t="shared" si="220"/>
        <v>0</v>
      </c>
      <c r="AY32" s="3">
        <f t="shared" si="220"/>
        <v>0</v>
      </c>
      <c r="AZ32" s="3">
        <f t="shared" si="220"/>
        <v>0</v>
      </c>
      <c r="BA32" s="3">
        <f t="shared" si="220"/>
        <v>0</v>
      </c>
      <c r="BB32" s="3">
        <f t="shared" ref="BB32" si="221">BA41</f>
        <v>0</v>
      </c>
      <c r="BC32" s="3">
        <f t="shared" ref="BC32" si="222">BB41</f>
        <v>0</v>
      </c>
      <c r="BD32" s="3">
        <f t="shared" ref="BD32" si="223">BC41</f>
        <v>0</v>
      </c>
      <c r="BE32" s="3">
        <f t="shared" ref="BE32" si="224">BD41</f>
        <v>0</v>
      </c>
      <c r="BF32" s="3">
        <f t="shared" ref="BF32" si="225">BE41</f>
        <v>0</v>
      </c>
      <c r="BG32" s="3">
        <f t="shared" ref="BG32" si="226">BF41</f>
        <v>0</v>
      </c>
      <c r="BH32" s="3">
        <f t="shared" ref="BH32" si="227">BG41</f>
        <v>0</v>
      </c>
      <c r="BI32" s="3">
        <f t="shared" ref="BI32" si="228">BH41</f>
        <v>0</v>
      </c>
      <c r="BJ32" s="3">
        <f t="shared" ref="BJ32" si="229">BI41</f>
        <v>0</v>
      </c>
      <c r="BK32" s="3">
        <f t="shared" ref="BK32" si="230">BJ41</f>
        <v>0</v>
      </c>
      <c r="BL32" s="3">
        <f t="shared" ref="BL32" si="231">BK41</f>
        <v>0</v>
      </c>
      <c r="BM32" s="3">
        <f t="shared" ref="BM32" si="232">BL41</f>
        <v>0</v>
      </c>
      <c r="BN32" s="3">
        <f t="shared" ref="BN32" si="233">BM41</f>
        <v>0</v>
      </c>
      <c r="BO32" s="3">
        <f t="shared" ref="BO32" si="234">BN41</f>
        <v>0</v>
      </c>
      <c r="BP32" s="3">
        <f t="shared" ref="BP32" si="235">BO41</f>
        <v>0</v>
      </c>
      <c r="BQ32" s="3">
        <f t="shared" ref="BQ32" si="236">BP41</f>
        <v>0</v>
      </c>
      <c r="BR32" s="3">
        <f t="shared" ref="BR32" si="237">BQ41</f>
        <v>0</v>
      </c>
      <c r="BS32" s="3">
        <f t="shared" ref="BS32" si="238">BR41</f>
        <v>0</v>
      </c>
      <c r="BT32" s="3">
        <f t="shared" ref="BT32" si="239">BS41</f>
        <v>0</v>
      </c>
      <c r="BU32" s="3">
        <f t="shared" ref="BU32" si="240">BT41</f>
        <v>0</v>
      </c>
      <c r="BV32" s="3">
        <f t="shared" ref="BV32" si="241">BU41</f>
        <v>0</v>
      </c>
      <c r="BW32" s="3">
        <f t="shared" ref="BW32" si="242">BV41</f>
        <v>0</v>
      </c>
      <c r="BX32" s="3">
        <f t="shared" ref="BX32" si="243">BW41</f>
        <v>0</v>
      </c>
      <c r="BY32" s="3">
        <f t="shared" ref="BY32" si="244">BX41</f>
        <v>0</v>
      </c>
      <c r="BZ32" s="3">
        <f t="shared" ref="BZ32" si="245">BY41</f>
        <v>0</v>
      </c>
      <c r="CA32" s="3">
        <f t="shared" ref="CA32" si="246">BZ41</f>
        <v>0</v>
      </c>
      <c r="CB32" s="3">
        <f t="shared" ref="CB32" si="247">CA41</f>
        <v>0</v>
      </c>
      <c r="CC32" s="3">
        <f t="shared" ref="CC32" si="248">CB41</f>
        <v>0</v>
      </c>
      <c r="CD32" s="3">
        <f t="shared" ref="CD32" si="249">CC41</f>
        <v>0</v>
      </c>
      <c r="CE32" s="3">
        <f t="shared" ref="CE32" si="250">CD41</f>
        <v>0</v>
      </c>
      <c r="CF32" s="3">
        <f t="shared" ref="CF32" si="251">CE41</f>
        <v>0</v>
      </c>
      <c r="CG32" s="3">
        <f t="shared" ref="CG32" si="252">CF41</f>
        <v>0</v>
      </c>
      <c r="CH32" s="226">
        <f t="shared" ref="CH32" si="253">CG41</f>
        <v>0</v>
      </c>
    </row>
    <row r="33" spans="2:86">
      <c r="B33" s="465" t="s">
        <v>44</v>
      </c>
      <c r="C33" s="466"/>
      <c r="D33" s="3">
        <f t="shared" ref="D33:AI33" si="254">D30*D32</f>
        <v>0</v>
      </c>
      <c r="E33" s="3">
        <f t="shared" si="254"/>
        <v>0</v>
      </c>
      <c r="F33" s="3">
        <f t="shared" si="254"/>
        <v>0</v>
      </c>
      <c r="G33" s="3">
        <f t="shared" si="254"/>
        <v>0</v>
      </c>
      <c r="H33" s="3">
        <f t="shared" si="254"/>
        <v>0</v>
      </c>
      <c r="I33" s="3">
        <f t="shared" si="254"/>
        <v>0</v>
      </c>
      <c r="J33" s="3">
        <f t="shared" si="254"/>
        <v>0</v>
      </c>
      <c r="K33" s="3">
        <f t="shared" si="254"/>
        <v>0</v>
      </c>
      <c r="L33" s="3">
        <f t="shared" si="254"/>
        <v>0</v>
      </c>
      <c r="M33" s="3">
        <f t="shared" si="254"/>
        <v>0</v>
      </c>
      <c r="N33" s="3">
        <f t="shared" si="254"/>
        <v>0</v>
      </c>
      <c r="O33" s="3">
        <f t="shared" si="254"/>
        <v>0</v>
      </c>
      <c r="P33" s="3">
        <f t="shared" si="254"/>
        <v>0</v>
      </c>
      <c r="Q33" s="3">
        <f t="shared" si="254"/>
        <v>0</v>
      </c>
      <c r="R33" s="3">
        <f t="shared" si="254"/>
        <v>0</v>
      </c>
      <c r="S33" s="3">
        <f t="shared" si="254"/>
        <v>0</v>
      </c>
      <c r="T33" s="3">
        <f t="shared" si="254"/>
        <v>0</v>
      </c>
      <c r="U33" s="3">
        <f t="shared" si="254"/>
        <v>0</v>
      </c>
      <c r="V33" s="3">
        <f t="shared" si="254"/>
        <v>0</v>
      </c>
      <c r="W33" s="3">
        <f t="shared" si="254"/>
        <v>0</v>
      </c>
      <c r="X33" s="3">
        <f t="shared" si="254"/>
        <v>0</v>
      </c>
      <c r="Y33" s="3">
        <f t="shared" si="254"/>
        <v>0</v>
      </c>
      <c r="Z33" s="3">
        <f t="shared" si="254"/>
        <v>0</v>
      </c>
      <c r="AA33" s="3">
        <f t="shared" si="254"/>
        <v>0</v>
      </c>
      <c r="AB33" s="3">
        <f t="shared" si="254"/>
        <v>0</v>
      </c>
      <c r="AC33" s="3">
        <f t="shared" si="254"/>
        <v>0</v>
      </c>
      <c r="AD33" s="3">
        <f t="shared" si="254"/>
        <v>0</v>
      </c>
      <c r="AE33" s="3">
        <f t="shared" si="254"/>
        <v>0</v>
      </c>
      <c r="AF33" s="3">
        <f t="shared" si="254"/>
        <v>0</v>
      </c>
      <c r="AG33" s="3">
        <f t="shared" si="254"/>
        <v>0</v>
      </c>
      <c r="AH33" s="3">
        <f t="shared" si="254"/>
        <v>0</v>
      </c>
      <c r="AI33" s="3">
        <f t="shared" si="254"/>
        <v>0</v>
      </c>
      <c r="AJ33" s="3">
        <f t="shared" ref="AJ33:BA33" si="255">AJ30*AJ32</f>
        <v>0</v>
      </c>
      <c r="AK33" s="3">
        <f t="shared" si="255"/>
        <v>0</v>
      </c>
      <c r="AL33" s="3">
        <f t="shared" si="255"/>
        <v>0</v>
      </c>
      <c r="AM33" s="3">
        <f t="shared" si="255"/>
        <v>0</v>
      </c>
      <c r="AN33" s="3">
        <f t="shared" si="255"/>
        <v>0</v>
      </c>
      <c r="AO33" s="3">
        <f t="shared" si="255"/>
        <v>0</v>
      </c>
      <c r="AP33" s="3">
        <f t="shared" si="255"/>
        <v>0</v>
      </c>
      <c r="AQ33" s="3">
        <f t="shared" si="255"/>
        <v>0</v>
      </c>
      <c r="AR33" s="3">
        <f t="shared" si="255"/>
        <v>0</v>
      </c>
      <c r="AS33" s="3">
        <f t="shared" si="255"/>
        <v>0</v>
      </c>
      <c r="AT33" s="3">
        <f t="shared" si="255"/>
        <v>0</v>
      </c>
      <c r="AU33" s="3">
        <f t="shared" si="255"/>
        <v>0</v>
      </c>
      <c r="AV33" s="3">
        <f t="shared" si="255"/>
        <v>0</v>
      </c>
      <c r="AW33" s="3">
        <f t="shared" si="255"/>
        <v>0</v>
      </c>
      <c r="AX33" s="3">
        <f t="shared" si="255"/>
        <v>0</v>
      </c>
      <c r="AY33" s="3">
        <f t="shared" si="255"/>
        <v>0</v>
      </c>
      <c r="AZ33" s="3">
        <f t="shared" si="255"/>
        <v>0</v>
      </c>
      <c r="BA33" s="3">
        <f t="shared" si="255"/>
        <v>0</v>
      </c>
      <c r="BB33" s="3">
        <f t="shared" ref="BB33:CH33" si="256">BB30*BB32</f>
        <v>0</v>
      </c>
      <c r="BC33" s="3">
        <f t="shared" si="256"/>
        <v>0</v>
      </c>
      <c r="BD33" s="3">
        <f t="shared" si="256"/>
        <v>0</v>
      </c>
      <c r="BE33" s="3">
        <f t="shared" si="256"/>
        <v>0</v>
      </c>
      <c r="BF33" s="3">
        <f t="shared" si="256"/>
        <v>0</v>
      </c>
      <c r="BG33" s="3">
        <f t="shared" si="256"/>
        <v>0</v>
      </c>
      <c r="BH33" s="3">
        <f t="shared" si="256"/>
        <v>0</v>
      </c>
      <c r="BI33" s="3">
        <f t="shared" si="256"/>
        <v>0</v>
      </c>
      <c r="BJ33" s="3">
        <f t="shared" si="256"/>
        <v>0</v>
      </c>
      <c r="BK33" s="3">
        <f t="shared" si="256"/>
        <v>0</v>
      </c>
      <c r="BL33" s="3">
        <f t="shared" si="256"/>
        <v>0</v>
      </c>
      <c r="BM33" s="3">
        <f t="shared" si="256"/>
        <v>0</v>
      </c>
      <c r="BN33" s="3">
        <f t="shared" si="256"/>
        <v>0</v>
      </c>
      <c r="BO33" s="3">
        <f t="shared" si="256"/>
        <v>0</v>
      </c>
      <c r="BP33" s="3">
        <f t="shared" si="256"/>
        <v>0</v>
      </c>
      <c r="BQ33" s="3">
        <f t="shared" si="256"/>
        <v>0</v>
      </c>
      <c r="BR33" s="3">
        <f t="shared" si="256"/>
        <v>0</v>
      </c>
      <c r="BS33" s="3">
        <f t="shared" si="256"/>
        <v>0</v>
      </c>
      <c r="BT33" s="3">
        <f t="shared" si="256"/>
        <v>0</v>
      </c>
      <c r="BU33" s="3">
        <f t="shared" si="256"/>
        <v>0</v>
      </c>
      <c r="BV33" s="3">
        <f t="shared" si="256"/>
        <v>0</v>
      </c>
      <c r="BW33" s="3">
        <f t="shared" si="256"/>
        <v>0</v>
      </c>
      <c r="BX33" s="3">
        <f t="shared" si="256"/>
        <v>0</v>
      </c>
      <c r="BY33" s="3">
        <f t="shared" si="256"/>
        <v>0</v>
      </c>
      <c r="BZ33" s="3">
        <f t="shared" si="256"/>
        <v>0</v>
      </c>
      <c r="CA33" s="3">
        <f t="shared" si="256"/>
        <v>0</v>
      </c>
      <c r="CB33" s="3">
        <f t="shared" si="256"/>
        <v>0</v>
      </c>
      <c r="CC33" s="3">
        <f t="shared" si="256"/>
        <v>0</v>
      </c>
      <c r="CD33" s="3">
        <f t="shared" si="256"/>
        <v>0</v>
      </c>
      <c r="CE33" s="3">
        <f t="shared" si="256"/>
        <v>0</v>
      </c>
      <c r="CF33" s="3">
        <f t="shared" si="256"/>
        <v>0</v>
      </c>
      <c r="CG33" s="3">
        <f t="shared" si="256"/>
        <v>0</v>
      </c>
      <c r="CH33" s="226">
        <f t="shared" si="256"/>
        <v>0</v>
      </c>
    </row>
    <row r="34" spans="2:86" ht="9.75" customHeight="1">
      <c r="B34" s="502"/>
      <c r="C34" s="503"/>
      <c r="I34" s="5"/>
      <c r="J34" s="5"/>
      <c r="K34" s="5"/>
      <c r="L34" s="5"/>
      <c r="CH34" s="232"/>
    </row>
    <row r="35" spans="2:86">
      <c r="B35" s="465" t="s">
        <v>53</v>
      </c>
      <c r="C35" s="466"/>
      <c r="D35" s="3"/>
      <c r="E35" s="238"/>
      <c r="F35" s="238"/>
      <c r="G35" s="238"/>
      <c r="H35" s="238"/>
      <c r="I35" s="238"/>
      <c r="J35" s="238"/>
      <c r="K35" s="238"/>
      <c r="L35" s="238"/>
      <c r="M35" s="238"/>
      <c r="N35" s="238"/>
      <c r="O35" s="238"/>
      <c r="P35" s="238"/>
      <c r="Q35" s="238"/>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38"/>
      <c r="CF35" s="238"/>
      <c r="CG35" s="238"/>
      <c r="CH35" s="239"/>
    </row>
    <row r="36" spans="2:86">
      <c r="B36" s="465" t="s">
        <v>54</v>
      </c>
      <c r="C36" s="466"/>
      <c r="D36" s="3">
        <f>Cockpit!$N$19*D32</f>
        <v>0</v>
      </c>
      <c r="E36" s="3">
        <f t="shared" ref="E36:L36" si="257">MIN(D41,IF(E35&lt;&gt;"",E35,MAX(D39-E33,0)))</f>
        <v>0</v>
      </c>
      <c r="F36" s="3">
        <f t="shared" si="257"/>
        <v>0</v>
      </c>
      <c r="G36" s="3">
        <f t="shared" si="257"/>
        <v>0</v>
      </c>
      <c r="H36" s="3">
        <f t="shared" si="257"/>
        <v>0</v>
      </c>
      <c r="I36" s="3">
        <f t="shared" si="257"/>
        <v>0</v>
      </c>
      <c r="J36" s="3">
        <f t="shared" si="257"/>
        <v>0</v>
      </c>
      <c r="K36" s="3">
        <f t="shared" si="257"/>
        <v>0</v>
      </c>
      <c r="L36" s="3">
        <f t="shared" si="257"/>
        <v>0</v>
      </c>
      <c r="M36" s="3">
        <f>MIN(L41,IF(M35&lt;&gt;"",M35,MAX(L39-M33,0)))</f>
        <v>0</v>
      </c>
      <c r="N36" s="3">
        <f t="shared" ref="N36:AZ36" si="258">MIN(M41,IF(N35&lt;&gt;"",N35,MAX(M39-N33,0)))</f>
        <v>0</v>
      </c>
      <c r="O36" s="3">
        <f t="shared" si="258"/>
        <v>0</v>
      </c>
      <c r="P36" s="3">
        <f t="shared" si="258"/>
        <v>0</v>
      </c>
      <c r="Q36" s="3">
        <f t="shared" si="258"/>
        <v>0</v>
      </c>
      <c r="R36" s="3">
        <f t="shared" si="258"/>
        <v>0</v>
      </c>
      <c r="S36" s="3">
        <f t="shared" si="258"/>
        <v>0</v>
      </c>
      <c r="T36" s="3">
        <f t="shared" si="258"/>
        <v>0</v>
      </c>
      <c r="U36" s="3">
        <f t="shared" si="258"/>
        <v>0</v>
      </c>
      <c r="V36" s="3">
        <f t="shared" si="258"/>
        <v>0</v>
      </c>
      <c r="W36" s="3">
        <f t="shared" si="258"/>
        <v>0</v>
      </c>
      <c r="X36" s="3">
        <f t="shared" si="258"/>
        <v>0</v>
      </c>
      <c r="Y36" s="3">
        <f t="shared" si="258"/>
        <v>0</v>
      </c>
      <c r="Z36" s="3">
        <f t="shared" si="258"/>
        <v>0</v>
      </c>
      <c r="AA36" s="3">
        <f t="shared" si="258"/>
        <v>0</v>
      </c>
      <c r="AB36" s="3">
        <f t="shared" si="258"/>
        <v>0</v>
      </c>
      <c r="AC36" s="3">
        <f t="shared" si="258"/>
        <v>0</v>
      </c>
      <c r="AD36" s="3">
        <f t="shared" si="258"/>
        <v>0</v>
      </c>
      <c r="AE36" s="3">
        <f t="shared" si="258"/>
        <v>0</v>
      </c>
      <c r="AF36" s="3">
        <f t="shared" si="258"/>
        <v>0</v>
      </c>
      <c r="AG36" s="3">
        <f t="shared" si="258"/>
        <v>0</v>
      </c>
      <c r="AH36" s="3">
        <f t="shared" si="258"/>
        <v>0</v>
      </c>
      <c r="AI36" s="3">
        <f t="shared" si="258"/>
        <v>0</v>
      </c>
      <c r="AJ36" s="3">
        <f t="shared" si="258"/>
        <v>0</v>
      </c>
      <c r="AK36" s="3">
        <f t="shared" si="258"/>
        <v>0</v>
      </c>
      <c r="AL36" s="3">
        <f t="shared" si="258"/>
        <v>0</v>
      </c>
      <c r="AM36" s="3">
        <f t="shared" si="258"/>
        <v>0</v>
      </c>
      <c r="AN36" s="3">
        <f t="shared" si="258"/>
        <v>0</v>
      </c>
      <c r="AO36" s="3">
        <f t="shared" si="258"/>
        <v>0</v>
      </c>
      <c r="AP36" s="3">
        <f t="shared" si="258"/>
        <v>0</v>
      </c>
      <c r="AQ36" s="3">
        <f t="shared" si="258"/>
        <v>0</v>
      </c>
      <c r="AR36" s="3">
        <f t="shared" si="258"/>
        <v>0</v>
      </c>
      <c r="AS36" s="3">
        <f t="shared" si="258"/>
        <v>0</v>
      </c>
      <c r="AT36" s="3">
        <f t="shared" si="258"/>
        <v>0</v>
      </c>
      <c r="AU36" s="3">
        <f t="shared" si="258"/>
        <v>0</v>
      </c>
      <c r="AV36" s="3">
        <f t="shared" si="258"/>
        <v>0</v>
      </c>
      <c r="AW36" s="3">
        <f t="shared" si="258"/>
        <v>0</v>
      </c>
      <c r="AX36" s="3">
        <f t="shared" si="258"/>
        <v>0</v>
      </c>
      <c r="AY36" s="3">
        <f t="shared" si="258"/>
        <v>0</v>
      </c>
      <c r="AZ36" s="3">
        <f t="shared" si="258"/>
        <v>0</v>
      </c>
      <c r="BA36" s="3">
        <f>MIN(AZ41,IF(BA35&lt;&gt;"",BA35,MAX(AZ39-BA33,0)))</f>
        <v>0</v>
      </c>
      <c r="BB36" s="3">
        <f t="shared" ref="BB36:BC36" si="259">MIN(BA41,IF(BB35&lt;&gt;"",BB35,MAX(BA39-BB33,0)))</f>
        <v>0</v>
      </c>
      <c r="BC36" s="3">
        <f t="shared" si="259"/>
        <v>0</v>
      </c>
      <c r="BD36" s="3">
        <f t="shared" ref="BD36:BE36" si="260">MIN(BC41,IF(BD35&lt;&gt;"",BD35,MAX(BC39-BD33,0)))</f>
        <v>0</v>
      </c>
      <c r="BE36" s="3">
        <f t="shared" si="260"/>
        <v>0</v>
      </c>
      <c r="BF36" s="3">
        <f t="shared" ref="BF36:BG36" si="261">MIN(BE41,IF(BF35&lt;&gt;"",BF35,MAX(BE39-BF33,0)))</f>
        <v>0</v>
      </c>
      <c r="BG36" s="3">
        <f t="shared" si="261"/>
        <v>0</v>
      </c>
      <c r="BH36" s="3">
        <f t="shared" ref="BH36:BI36" si="262">MIN(BG41,IF(BH35&lt;&gt;"",BH35,MAX(BG39-BH33,0)))</f>
        <v>0</v>
      </c>
      <c r="BI36" s="3">
        <f t="shared" si="262"/>
        <v>0</v>
      </c>
      <c r="BJ36" s="3">
        <f t="shared" ref="BJ36:BK36" si="263">MIN(BI41,IF(BJ35&lt;&gt;"",BJ35,MAX(BI39-BJ33,0)))</f>
        <v>0</v>
      </c>
      <c r="BK36" s="3">
        <f t="shared" si="263"/>
        <v>0</v>
      </c>
      <c r="BL36" s="3">
        <f t="shared" ref="BL36:BM36" si="264">MIN(BK41,IF(BL35&lt;&gt;"",BL35,MAX(BK39-BL33,0)))</f>
        <v>0</v>
      </c>
      <c r="BM36" s="3">
        <f t="shared" si="264"/>
        <v>0</v>
      </c>
      <c r="BN36" s="3">
        <f t="shared" ref="BN36:BO36" si="265">MIN(BM41,IF(BN35&lt;&gt;"",BN35,MAX(BM39-BN33,0)))</f>
        <v>0</v>
      </c>
      <c r="BO36" s="3">
        <f t="shared" si="265"/>
        <v>0</v>
      </c>
      <c r="BP36" s="3">
        <f t="shared" ref="BP36:BQ36" si="266">MIN(BO41,IF(BP35&lt;&gt;"",BP35,MAX(BO39-BP33,0)))</f>
        <v>0</v>
      </c>
      <c r="BQ36" s="3">
        <f t="shared" si="266"/>
        <v>0</v>
      </c>
      <c r="BR36" s="3">
        <f t="shared" ref="BR36:BS36" si="267">MIN(BQ41,IF(BR35&lt;&gt;"",BR35,MAX(BQ39-BR33,0)))</f>
        <v>0</v>
      </c>
      <c r="BS36" s="3">
        <f t="shared" si="267"/>
        <v>0</v>
      </c>
      <c r="BT36" s="3">
        <f t="shared" ref="BT36:BU36" si="268">MIN(BS41,IF(BT35&lt;&gt;"",BT35,MAX(BS39-BT33,0)))</f>
        <v>0</v>
      </c>
      <c r="BU36" s="3">
        <f t="shared" si="268"/>
        <v>0</v>
      </c>
      <c r="BV36" s="3">
        <f t="shared" ref="BV36:BW36" si="269">MIN(BU41,IF(BV35&lt;&gt;"",BV35,MAX(BU39-BV33,0)))</f>
        <v>0</v>
      </c>
      <c r="BW36" s="3">
        <f t="shared" si="269"/>
        <v>0</v>
      </c>
      <c r="BX36" s="3">
        <f t="shared" ref="BX36:BY36" si="270">MIN(BW41,IF(BX35&lt;&gt;"",BX35,MAX(BW39-BX33,0)))</f>
        <v>0</v>
      </c>
      <c r="BY36" s="3">
        <f t="shared" si="270"/>
        <v>0</v>
      </c>
      <c r="BZ36" s="3">
        <f t="shared" ref="BZ36:CA36" si="271">MIN(BY41,IF(BZ35&lt;&gt;"",BZ35,MAX(BY39-BZ33,0)))</f>
        <v>0</v>
      </c>
      <c r="CA36" s="3">
        <f t="shared" si="271"/>
        <v>0</v>
      </c>
      <c r="CB36" s="3">
        <f t="shared" ref="CB36:CC36" si="272">MIN(CA41,IF(CB35&lt;&gt;"",CB35,MAX(CA39-CB33,0)))</f>
        <v>0</v>
      </c>
      <c r="CC36" s="3">
        <f t="shared" si="272"/>
        <v>0</v>
      </c>
      <c r="CD36" s="3">
        <f t="shared" ref="CD36:CE36" si="273">MIN(CC41,IF(CD35&lt;&gt;"",CD35,MAX(CC39-CD33,0)))</f>
        <v>0</v>
      </c>
      <c r="CE36" s="3">
        <f t="shared" si="273"/>
        <v>0</v>
      </c>
      <c r="CF36" s="3">
        <f t="shared" ref="CF36:CG36" si="274">MIN(CE41,IF(CF35&lt;&gt;"",CF35,MAX(CE39-CF33,0)))</f>
        <v>0</v>
      </c>
      <c r="CG36" s="3">
        <f t="shared" si="274"/>
        <v>0</v>
      </c>
      <c r="CH36" s="226">
        <f t="shared" ref="CH36" si="275">MIN(CG41,IF(CH35&lt;&gt;"",CH35,MAX(CG39-CH33,0)))</f>
        <v>0</v>
      </c>
    </row>
    <row r="37" spans="2:86">
      <c r="B37" s="500" t="s">
        <v>55</v>
      </c>
      <c r="C37" s="501"/>
      <c r="D37" s="31">
        <f>IF(D32&gt;0,D36/D32,)</f>
        <v>0</v>
      </c>
      <c r="E37" s="31">
        <f t="shared" ref="E37:BA37" si="276">IF(E32&gt;0,E36/E32,)</f>
        <v>0</v>
      </c>
      <c r="F37" s="31">
        <f t="shared" si="276"/>
        <v>0</v>
      </c>
      <c r="G37" s="31">
        <f t="shared" si="276"/>
        <v>0</v>
      </c>
      <c r="H37" s="31">
        <f t="shared" si="276"/>
        <v>0</v>
      </c>
      <c r="I37" s="31">
        <f t="shared" si="276"/>
        <v>0</v>
      </c>
      <c r="J37" s="31">
        <f t="shared" si="276"/>
        <v>0</v>
      </c>
      <c r="K37" s="31">
        <f t="shared" si="276"/>
        <v>0</v>
      </c>
      <c r="L37" s="31">
        <f t="shared" si="276"/>
        <v>0</v>
      </c>
      <c r="M37" s="31">
        <f t="shared" si="276"/>
        <v>0</v>
      </c>
      <c r="N37" s="31">
        <f t="shared" si="276"/>
        <v>0</v>
      </c>
      <c r="O37" s="31">
        <f t="shared" si="276"/>
        <v>0</v>
      </c>
      <c r="P37" s="31">
        <f t="shared" si="276"/>
        <v>0</v>
      </c>
      <c r="Q37" s="31">
        <f t="shared" si="276"/>
        <v>0</v>
      </c>
      <c r="R37" s="31">
        <f t="shared" si="276"/>
        <v>0</v>
      </c>
      <c r="S37" s="31">
        <f t="shared" si="276"/>
        <v>0</v>
      </c>
      <c r="T37" s="31">
        <f t="shared" si="276"/>
        <v>0</v>
      </c>
      <c r="U37" s="31">
        <f t="shared" si="276"/>
        <v>0</v>
      </c>
      <c r="V37" s="31">
        <f t="shared" si="276"/>
        <v>0</v>
      </c>
      <c r="W37" s="31">
        <f t="shared" si="276"/>
        <v>0</v>
      </c>
      <c r="X37" s="31">
        <f t="shared" si="276"/>
        <v>0</v>
      </c>
      <c r="Y37" s="31">
        <f t="shared" si="276"/>
        <v>0</v>
      </c>
      <c r="Z37" s="31">
        <f t="shared" si="276"/>
        <v>0</v>
      </c>
      <c r="AA37" s="31">
        <f t="shared" si="276"/>
        <v>0</v>
      </c>
      <c r="AB37" s="31">
        <f t="shared" si="276"/>
        <v>0</v>
      </c>
      <c r="AC37" s="31">
        <f t="shared" si="276"/>
        <v>0</v>
      </c>
      <c r="AD37" s="31">
        <f t="shared" si="276"/>
        <v>0</v>
      </c>
      <c r="AE37" s="31">
        <f t="shared" si="276"/>
        <v>0</v>
      </c>
      <c r="AF37" s="31">
        <f t="shared" si="276"/>
        <v>0</v>
      </c>
      <c r="AG37" s="31">
        <f t="shared" si="276"/>
        <v>0</v>
      </c>
      <c r="AH37" s="31">
        <f t="shared" si="276"/>
        <v>0</v>
      </c>
      <c r="AI37" s="31">
        <f t="shared" si="276"/>
        <v>0</v>
      </c>
      <c r="AJ37" s="31">
        <f t="shared" si="276"/>
        <v>0</v>
      </c>
      <c r="AK37" s="31">
        <f t="shared" si="276"/>
        <v>0</v>
      </c>
      <c r="AL37" s="31">
        <f t="shared" si="276"/>
        <v>0</v>
      </c>
      <c r="AM37" s="31">
        <f t="shared" si="276"/>
        <v>0</v>
      </c>
      <c r="AN37" s="31">
        <f t="shared" si="276"/>
        <v>0</v>
      </c>
      <c r="AO37" s="31">
        <f t="shared" si="276"/>
        <v>0</v>
      </c>
      <c r="AP37" s="31">
        <f t="shared" si="276"/>
        <v>0</v>
      </c>
      <c r="AQ37" s="31">
        <f t="shared" si="276"/>
        <v>0</v>
      </c>
      <c r="AR37" s="31">
        <f t="shared" si="276"/>
        <v>0</v>
      </c>
      <c r="AS37" s="31">
        <f t="shared" si="276"/>
        <v>0</v>
      </c>
      <c r="AT37" s="31">
        <f t="shared" si="276"/>
        <v>0</v>
      </c>
      <c r="AU37" s="31">
        <f t="shared" si="276"/>
        <v>0</v>
      </c>
      <c r="AV37" s="31">
        <f t="shared" si="276"/>
        <v>0</v>
      </c>
      <c r="AW37" s="31">
        <f t="shared" si="276"/>
        <v>0</v>
      </c>
      <c r="AX37" s="31">
        <f t="shared" si="276"/>
        <v>0</v>
      </c>
      <c r="AY37" s="31">
        <f t="shared" si="276"/>
        <v>0</v>
      </c>
      <c r="AZ37" s="31">
        <f t="shared" si="276"/>
        <v>0</v>
      </c>
      <c r="BA37" s="31">
        <f t="shared" si="276"/>
        <v>0</v>
      </c>
      <c r="BB37" s="31">
        <f t="shared" ref="BB37:CH37" si="277">IF(BB32&gt;0,BB36/BB32,)</f>
        <v>0</v>
      </c>
      <c r="BC37" s="31">
        <f t="shared" si="277"/>
        <v>0</v>
      </c>
      <c r="BD37" s="31">
        <f t="shared" si="277"/>
        <v>0</v>
      </c>
      <c r="BE37" s="31">
        <f t="shared" si="277"/>
        <v>0</v>
      </c>
      <c r="BF37" s="31">
        <f t="shared" si="277"/>
        <v>0</v>
      </c>
      <c r="BG37" s="31">
        <f t="shared" si="277"/>
        <v>0</v>
      </c>
      <c r="BH37" s="31">
        <f t="shared" si="277"/>
        <v>0</v>
      </c>
      <c r="BI37" s="31">
        <f t="shared" si="277"/>
        <v>0</v>
      </c>
      <c r="BJ37" s="31">
        <f t="shared" si="277"/>
        <v>0</v>
      </c>
      <c r="BK37" s="31">
        <f t="shared" si="277"/>
        <v>0</v>
      </c>
      <c r="BL37" s="31">
        <f t="shared" si="277"/>
        <v>0</v>
      </c>
      <c r="BM37" s="31">
        <f t="shared" si="277"/>
        <v>0</v>
      </c>
      <c r="BN37" s="31">
        <f t="shared" si="277"/>
        <v>0</v>
      </c>
      <c r="BO37" s="31">
        <f t="shared" si="277"/>
        <v>0</v>
      </c>
      <c r="BP37" s="31">
        <f t="shared" si="277"/>
        <v>0</v>
      </c>
      <c r="BQ37" s="31">
        <f t="shared" si="277"/>
        <v>0</v>
      </c>
      <c r="BR37" s="31">
        <f t="shared" si="277"/>
        <v>0</v>
      </c>
      <c r="BS37" s="31">
        <f t="shared" si="277"/>
        <v>0</v>
      </c>
      <c r="BT37" s="31">
        <f t="shared" si="277"/>
        <v>0</v>
      </c>
      <c r="BU37" s="31">
        <f t="shared" si="277"/>
        <v>0</v>
      </c>
      <c r="BV37" s="31">
        <f t="shared" si="277"/>
        <v>0</v>
      </c>
      <c r="BW37" s="31">
        <f t="shared" si="277"/>
        <v>0</v>
      </c>
      <c r="BX37" s="31">
        <f t="shared" si="277"/>
        <v>0</v>
      </c>
      <c r="BY37" s="31">
        <f t="shared" si="277"/>
        <v>0</v>
      </c>
      <c r="BZ37" s="31">
        <f t="shared" si="277"/>
        <v>0</v>
      </c>
      <c r="CA37" s="31">
        <f t="shared" si="277"/>
        <v>0</v>
      </c>
      <c r="CB37" s="31">
        <f t="shared" si="277"/>
        <v>0</v>
      </c>
      <c r="CC37" s="31">
        <f t="shared" si="277"/>
        <v>0</v>
      </c>
      <c r="CD37" s="31">
        <f t="shared" si="277"/>
        <v>0</v>
      </c>
      <c r="CE37" s="31">
        <f t="shared" si="277"/>
        <v>0</v>
      </c>
      <c r="CF37" s="31">
        <f t="shared" si="277"/>
        <v>0</v>
      </c>
      <c r="CG37" s="31">
        <f t="shared" si="277"/>
        <v>0</v>
      </c>
      <c r="CH37" s="231">
        <f t="shared" si="277"/>
        <v>0</v>
      </c>
    </row>
    <row r="38" spans="2:86" ht="9.75" customHeight="1">
      <c r="B38" s="502"/>
      <c r="C38" s="503"/>
      <c r="I38" s="5"/>
      <c r="J38" s="5"/>
      <c r="K38" s="5"/>
      <c r="L38" s="5"/>
      <c r="CH38" s="232"/>
    </row>
    <row r="39" spans="2:86">
      <c r="B39" s="465" t="s">
        <v>46</v>
      </c>
      <c r="C39" s="466"/>
      <c r="D39" s="3">
        <f t="shared" ref="D39:AI39" si="278">D33+D36</f>
        <v>0</v>
      </c>
      <c r="E39" s="3">
        <f t="shared" si="278"/>
        <v>0</v>
      </c>
      <c r="F39" s="3">
        <f t="shared" si="278"/>
        <v>0</v>
      </c>
      <c r="G39" s="3">
        <f t="shared" si="278"/>
        <v>0</v>
      </c>
      <c r="H39" s="3">
        <f t="shared" si="278"/>
        <v>0</v>
      </c>
      <c r="I39" s="3">
        <f t="shared" si="278"/>
        <v>0</v>
      </c>
      <c r="J39" s="3">
        <f t="shared" si="278"/>
        <v>0</v>
      </c>
      <c r="K39" s="3">
        <f t="shared" si="278"/>
        <v>0</v>
      </c>
      <c r="L39" s="3">
        <f t="shared" si="278"/>
        <v>0</v>
      </c>
      <c r="M39" s="3">
        <f t="shared" si="278"/>
        <v>0</v>
      </c>
      <c r="N39" s="3">
        <f t="shared" si="278"/>
        <v>0</v>
      </c>
      <c r="O39" s="3">
        <f t="shared" si="278"/>
        <v>0</v>
      </c>
      <c r="P39" s="3">
        <f t="shared" si="278"/>
        <v>0</v>
      </c>
      <c r="Q39" s="3">
        <f t="shared" si="278"/>
        <v>0</v>
      </c>
      <c r="R39" s="3">
        <f t="shared" si="278"/>
        <v>0</v>
      </c>
      <c r="S39" s="3">
        <f t="shared" si="278"/>
        <v>0</v>
      </c>
      <c r="T39" s="3">
        <f t="shared" si="278"/>
        <v>0</v>
      </c>
      <c r="U39" s="3">
        <f t="shared" si="278"/>
        <v>0</v>
      </c>
      <c r="V39" s="3">
        <f t="shared" si="278"/>
        <v>0</v>
      </c>
      <c r="W39" s="3">
        <f t="shared" si="278"/>
        <v>0</v>
      </c>
      <c r="X39" s="3">
        <f t="shared" si="278"/>
        <v>0</v>
      </c>
      <c r="Y39" s="3">
        <f t="shared" si="278"/>
        <v>0</v>
      </c>
      <c r="Z39" s="3">
        <f t="shared" si="278"/>
        <v>0</v>
      </c>
      <c r="AA39" s="3">
        <f t="shared" si="278"/>
        <v>0</v>
      </c>
      <c r="AB39" s="3">
        <f t="shared" si="278"/>
        <v>0</v>
      </c>
      <c r="AC39" s="3">
        <f t="shared" si="278"/>
        <v>0</v>
      </c>
      <c r="AD39" s="3">
        <f t="shared" si="278"/>
        <v>0</v>
      </c>
      <c r="AE39" s="3">
        <f t="shared" si="278"/>
        <v>0</v>
      </c>
      <c r="AF39" s="3">
        <f t="shared" si="278"/>
        <v>0</v>
      </c>
      <c r="AG39" s="3">
        <f t="shared" si="278"/>
        <v>0</v>
      </c>
      <c r="AH39" s="3">
        <f t="shared" si="278"/>
        <v>0</v>
      </c>
      <c r="AI39" s="3">
        <f t="shared" si="278"/>
        <v>0</v>
      </c>
      <c r="AJ39" s="3">
        <f t="shared" ref="AJ39:BA39" si="279">AJ33+AJ36</f>
        <v>0</v>
      </c>
      <c r="AK39" s="3">
        <f t="shared" si="279"/>
        <v>0</v>
      </c>
      <c r="AL39" s="3">
        <f t="shared" si="279"/>
        <v>0</v>
      </c>
      <c r="AM39" s="3">
        <f t="shared" si="279"/>
        <v>0</v>
      </c>
      <c r="AN39" s="3">
        <f t="shared" si="279"/>
        <v>0</v>
      </c>
      <c r="AO39" s="3">
        <f t="shared" si="279"/>
        <v>0</v>
      </c>
      <c r="AP39" s="3">
        <f t="shared" si="279"/>
        <v>0</v>
      </c>
      <c r="AQ39" s="3">
        <f t="shared" si="279"/>
        <v>0</v>
      </c>
      <c r="AR39" s="3">
        <f t="shared" si="279"/>
        <v>0</v>
      </c>
      <c r="AS39" s="3">
        <f t="shared" si="279"/>
        <v>0</v>
      </c>
      <c r="AT39" s="3">
        <f t="shared" si="279"/>
        <v>0</v>
      </c>
      <c r="AU39" s="3">
        <f t="shared" si="279"/>
        <v>0</v>
      </c>
      <c r="AV39" s="3">
        <f t="shared" si="279"/>
        <v>0</v>
      </c>
      <c r="AW39" s="3">
        <f t="shared" si="279"/>
        <v>0</v>
      </c>
      <c r="AX39" s="3">
        <f t="shared" si="279"/>
        <v>0</v>
      </c>
      <c r="AY39" s="3">
        <f t="shared" si="279"/>
        <v>0</v>
      </c>
      <c r="AZ39" s="3">
        <f t="shared" si="279"/>
        <v>0</v>
      </c>
      <c r="BA39" s="3">
        <f t="shared" si="279"/>
        <v>0</v>
      </c>
      <c r="BB39" s="3">
        <f t="shared" ref="BB39:CH39" si="280">BB33+BB36</f>
        <v>0</v>
      </c>
      <c r="BC39" s="3">
        <f t="shared" si="280"/>
        <v>0</v>
      </c>
      <c r="BD39" s="3">
        <f t="shared" si="280"/>
        <v>0</v>
      </c>
      <c r="BE39" s="3">
        <f t="shared" si="280"/>
        <v>0</v>
      </c>
      <c r="BF39" s="3">
        <f t="shared" si="280"/>
        <v>0</v>
      </c>
      <c r="BG39" s="3">
        <f t="shared" si="280"/>
        <v>0</v>
      </c>
      <c r="BH39" s="3">
        <f t="shared" si="280"/>
        <v>0</v>
      </c>
      <c r="BI39" s="3">
        <f t="shared" si="280"/>
        <v>0</v>
      </c>
      <c r="BJ39" s="3">
        <f t="shared" si="280"/>
        <v>0</v>
      </c>
      <c r="BK39" s="3">
        <f t="shared" si="280"/>
        <v>0</v>
      </c>
      <c r="BL39" s="3">
        <f t="shared" si="280"/>
        <v>0</v>
      </c>
      <c r="BM39" s="3">
        <f t="shared" si="280"/>
        <v>0</v>
      </c>
      <c r="BN39" s="3">
        <f t="shared" si="280"/>
        <v>0</v>
      </c>
      <c r="BO39" s="3">
        <f t="shared" si="280"/>
        <v>0</v>
      </c>
      <c r="BP39" s="3">
        <f t="shared" si="280"/>
        <v>0</v>
      </c>
      <c r="BQ39" s="3">
        <f t="shared" si="280"/>
        <v>0</v>
      </c>
      <c r="BR39" s="3">
        <f t="shared" si="280"/>
        <v>0</v>
      </c>
      <c r="BS39" s="3">
        <f t="shared" si="280"/>
        <v>0</v>
      </c>
      <c r="BT39" s="3">
        <f t="shared" si="280"/>
        <v>0</v>
      </c>
      <c r="BU39" s="3">
        <f t="shared" si="280"/>
        <v>0</v>
      </c>
      <c r="BV39" s="3">
        <f t="shared" si="280"/>
        <v>0</v>
      </c>
      <c r="BW39" s="3">
        <f t="shared" si="280"/>
        <v>0</v>
      </c>
      <c r="BX39" s="3">
        <f t="shared" si="280"/>
        <v>0</v>
      </c>
      <c r="BY39" s="3">
        <f t="shared" si="280"/>
        <v>0</v>
      </c>
      <c r="BZ39" s="3">
        <f t="shared" si="280"/>
        <v>0</v>
      </c>
      <c r="CA39" s="3">
        <f t="shared" si="280"/>
        <v>0</v>
      </c>
      <c r="CB39" s="3">
        <f t="shared" si="280"/>
        <v>0</v>
      </c>
      <c r="CC39" s="3">
        <f t="shared" si="280"/>
        <v>0</v>
      </c>
      <c r="CD39" s="3">
        <f t="shared" si="280"/>
        <v>0</v>
      </c>
      <c r="CE39" s="3">
        <f t="shared" si="280"/>
        <v>0</v>
      </c>
      <c r="CF39" s="3">
        <f t="shared" si="280"/>
        <v>0</v>
      </c>
      <c r="CG39" s="3">
        <f t="shared" si="280"/>
        <v>0</v>
      </c>
      <c r="CH39" s="226">
        <f t="shared" si="280"/>
        <v>0</v>
      </c>
    </row>
    <row r="40" spans="2:86">
      <c r="B40" s="465" t="s">
        <v>63</v>
      </c>
      <c r="C40" s="466"/>
      <c r="D40" s="238"/>
      <c r="E40" s="238"/>
      <c r="F40" s="238"/>
      <c r="G40" s="238"/>
      <c r="H40" s="238"/>
      <c r="I40" s="238"/>
      <c r="J40" s="238"/>
      <c r="K40" s="238"/>
      <c r="L40" s="238"/>
      <c r="M40" s="238"/>
      <c r="N40" s="238"/>
      <c r="O40" s="238"/>
      <c r="P40" s="238"/>
      <c r="Q40" s="238"/>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38"/>
      <c r="CF40" s="238"/>
      <c r="CG40" s="238"/>
      <c r="CH40" s="239"/>
    </row>
    <row r="41" spans="2:86">
      <c r="B41" s="465" t="s">
        <v>48</v>
      </c>
      <c r="C41" s="466"/>
      <c r="D41" s="3">
        <f t="shared" ref="D41:F41" si="281">MAX(D32-D36-D40,0)</f>
        <v>0</v>
      </c>
      <c r="E41" s="3">
        <f t="shared" si="281"/>
        <v>0</v>
      </c>
      <c r="F41" s="3">
        <f t="shared" si="281"/>
        <v>0</v>
      </c>
      <c r="G41" s="3">
        <f t="shared" ref="G41" si="282">MAX(G32-G36-G40,0)</f>
        <v>0</v>
      </c>
      <c r="H41" s="3">
        <f t="shared" ref="H41" si="283">MAX(H32-H36-H40,0)</f>
        <v>0</v>
      </c>
      <c r="I41" s="3">
        <f t="shared" ref="I41" si="284">MAX(I32-I36-I40,0)</f>
        <v>0</v>
      </c>
      <c r="J41" s="3">
        <f t="shared" ref="J41" si="285">MAX(J32-J36-J40,0)</f>
        <v>0</v>
      </c>
      <c r="K41" s="3">
        <f t="shared" ref="K41" si="286">MAX(K32-K36-K40,0)</f>
        <v>0</v>
      </c>
      <c r="L41" s="3">
        <f t="shared" ref="L41" si="287">MAX(L32-L36-L40,0)</f>
        <v>0</v>
      </c>
      <c r="M41" s="3">
        <f t="shared" ref="M41" si="288">MAX(M32-M36-M40,0)</f>
        <v>0</v>
      </c>
      <c r="N41" s="3">
        <f t="shared" ref="N41" si="289">MAX(N32-N36-N40,0)</f>
        <v>0</v>
      </c>
      <c r="O41" s="3">
        <f t="shared" ref="O41" si="290">MAX(O32-O36-O40,0)</f>
        <v>0</v>
      </c>
      <c r="P41" s="3">
        <f t="shared" ref="P41" si="291">MAX(P32-P36-P40,0)</f>
        <v>0</v>
      </c>
      <c r="Q41" s="3">
        <f t="shared" ref="Q41" si="292">MAX(Q32-Q36-Q40,0)</f>
        <v>0</v>
      </c>
      <c r="R41" s="3">
        <f t="shared" ref="R41" si="293">MAX(R32-R36-R40,0)</f>
        <v>0</v>
      </c>
      <c r="S41" s="3">
        <f t="shared" ref="S41" si="294">MAX(S32-S36-S40,0)</f>
        <v>0</v>
      </c>
      <c r="T41" s="3">
        <f t="shared" ref="T41" si="295">MAX(T32-T36-T40,0)</f>
        <v>0</v>
      </c>
      <c r="U41" s="3">
        <f t="shared" ref="U41" si="296">MAX(U32-U36-U40,0)</f>
        <v>0</v>
      </c>
      <c r="V41" s="3">
        <f t="shared" ref="V41" si="297">MAX(V32-V36-V40,0)</f>
        <v>0</v>
      </c>
      <c r="W41" s="3">
        <f t="shared" ref="W41" si="298">MAX(W32-W36-W40,0)</f>
        <v>0</v>
      </c>
      <c r="X41" s="3">
        <f t="shared" ref="X41" si="299">MAX(X32-X36-X40,0)</f>
        <v>0</v>
      </c>
      <c r="Y41" s="3">
        <f t="shared" ref="Y41" si="300">MAX(Y32-Y36-Y40,0)</f>
        <v>0</v>
      </c>
      <c r="Z41" s="3">
        <f t="shared" ref="Z41" si="301">MAX(Z32-Z36-Z40,0)</f>
        <v>0</v>
      </c>
      <c r="AA41" s="3">
        <f t="shared" ref="AA41" si="302">MAX(AA32-AA36-AA40,0)</f>
        <v>0</v>
      </c>
      <c r="AB41" s="3">
        <f t="shared" ref="AB41" si="303">MAX(AB32-AB36-AB40,0)</f>
        <v>0</v>
      </c>
      <c r="AC41" s="3">
        <f t="shared" ref="AC41" si="304">MAX(AC32-AC36-AC40,0)</f>
        <v>0</v>
      </c>
      <c r="AD41" s="3">
        <f t="shared" ref="AD41" si="305">MAX(AD32-AD36-AD40,0)</f>
        <v>0</v>
      </c>
      <c r="AE41" s="3">
        <f t="shared" ref="AE41" si="306">MAX(AE32-AE36-AE40,0)</f>
        <v>0</v>
      </c>
      <c r="AF41" s="3">
        <f t="shared" ref="AF41" si="307">MAX(AF32-AF36-AF40,0)</f>
        <v>0</v>
      </c>
      <c r="AG41" s="3">
        <f t="shared" ref="AG41" si="308">MAX(AG32-AG36-AG40,0)</f>
        <v>0</v>
      </c>
      <c r="AH41" s="3">
        <f t="shared" ref="AH41" si="309">MAX(AH32-AH36-AH40,0)</f>
        <v>0</v>
      </c>
      <c r="AI41" s="3">
        <f t="shared" ref="AI41" si="310">MAX(AI32-AI36-AI40,0)</f>
        <v>0</v>
      </c>
      <c r="AJ41" s="3">
        <f t="shared" ref="AJ41" si="311">MAX(AJ32-AJ36-AJ40,0)</f>
        <v>0</v>
      </c>
      <c r="AK41" s="3">
        <f t="shared" ref="AK41" si="312">MAX(AK32-AK36-AK40,0)</f>
        <v>0</v>
      </c>
      <c r="AL41" s="3">
        <f t="shared" ref="AL41" si="313">MAX(AL32-AL36-AL40,0)</f>
        <v>0</v>
      </c>
      <c r="AM41" s="3">
        <f t="shared" ref="AM41" si="314">MAX(AM32-AM36-AM40,0)</f>
        <v>0</v>
      </c>
      <c r="AN41" s="3">
        <f t="shared" ref="AN41" si="315">MAX(AN32-AN36-AN40,0)</f>
        <v>0</v>
      </c>
      <c r="AO41" s="3">
        <f t="shared" ref="AO41" si="316">MAX(AO32-AO36-AO40,0)</f>
        <v>0</v>
      </c>
      <c r="AP41" s="3">
        <f t="shared" ref="AP41" si="317">MAX(AP32-AP36-AP40,0)</f>
        <v>0</v>
      </c>
      <c r="AQ41" s="3">
        <f t="shared" ref="AQ41" si="318">MAX(AQ32-AQ36-AQ40,0)</f>
        <v>0</v>
      </c>
      <c r="AR41" s="3">
        <f t="shared" ref="AR41" si="319">MAX(AR32-AR36-AR40,0)</f>
        <v>0</v>
      </c>
      <c r="AS41" s="3">
        <f t="shared" ref="AS41" si="320">MAX(AS32-AS36-AS40,0)</f>
        <v>0</v>
      </c>
      <c r="AT41" s="3">
        <f t="shared" ref="AT41" si="321">MAX(AT32-AT36-AT40,0)</f>
        <v>0</v>
      </c>
      <c r="AU41" s="3">
        <f t="shared" ref="AU41" si="322">MAX(AU32-AU36-AU40,0)</f>
        <v>0</v>
      </c>
      <c r="AV41" s="3">
        <f t="shared" ref="AV41" si="323">MAX(AV32-AV36-AV40,0)</f>
        <v>0</v>
      </c>
      <c r="AW41" s="3">
        <f t="shared" ref="AW41" si="324">MAX(AW32-AW36-AW40,0)</f>
        <v>0</v>
      </c>
      <c r="AX41" s="3">
        <f t="shared" ref="AX41" si="325">MAX(AX32-AX36-AX40,0)</f>
        <v>0</v>
      </c>
      <c r="AY41" s="3">
        <f t="shared" ref="AY41" si="326">MAX(AY32-AY36-AY40,0)</f>
        <v>0</v>
      </c>
      <c r="AZ41" s="3">
        <f t="shared" ref="AZ41:CH41" si="327">MAX(AZ32-AZ36-AZ40,0)</f>
        <v>0</v>
      </c>
      <c r="BA41" s="3">
        <f t="shared" ref="BA41:CG41" si="328">MAX(BA32-BA36-BA40,0)</f>
        <v>0</v>
      </c>
      <c r="BB41" s="3">
        <f t="shared" si="327"/>
        <v>0</v>
      </c>
      <c r="BC41" s="3">
        <f t="shared" si="328"/>
        <v>0</v>
      </c>
      <c r="BD41" s="3">
        <f t="shared" si="327"/>
        <v>0</v>
      </c>
      <c r="BE41" s="3">
        <f t="shared" si="328"/>
        <v>0</v>
      </c>
      <c r="BF41" s="3">
        <f t="shared" si="327"/>
        <v>0</v>
      </c>
      <c r="BG41" s="3">
        <f t="shared" si="328"/>
        <v>0</v>
      </c>
      <c r="BH41" s="3">
        <f t="shared" si="327"/>
        <v>0</v>
      </c>
      <c r="BI41" s="3">
        <f t="shared" si="328"/>
        <v>0</v>
      </c>
      <c r="BJ41" s="3">
        <f t="shared" si="327"/>
        <v>0</v>
      </c>
      <c r="BK41" s="3">
        <f t="shared" si="328"/>
        <v>0</v>
      </c>
      <c r="BL41" s="3">
        <f t="shared" si="327"/>
        <v>0</v>
      </c>
      <c r="BM41" s="3">
        <f t="shared" si="328"/>
        <v>0</v>
      </c>
      <c r="BN41" s="3">
        <f t="shared" si="327"/>
        <v>0</v>
      </c>
      <c r="BO41" s="3">
        <f t="shared" si="328"/>
        <v>0</v>
      </c>
      <c r="BP41" s="3">
        <f t="shared" si="327"/>
        <v>0</v>
      </c>
      <c r="BQ41" s="3">
        <f t="shared" si="328"/>
        <v>0</v>
      </c>
      <c r="BR41" s="3">
        <f t="shared" si="327"/>
        <v>0</v>
      </c>
      <c r="BS41" s="3">
        <f t="shared" si="328"/>
        <v>0</v>
      </c>
      <c r="BT41" s="3">
        <f t="shared" si="327"/>
        <v>0</v>
      </c>
      <c r="BU41" s="3">
        <f t="shared" si="328"/>
        <v>0</v>
      </c>
      <c r="BV41" s="3">
        <f t="shared" si="327"/>
        <v>0</v>
      </c>
      <c r="BW41" s="3">
        <f t="shared" si="328"/>
        <v>0</v>
      </c>
      <c r="BX41" s="3">
        <f t="shared" si="327"/>
        <v>0</v>
      </c>
      <c r="BY41" s="3">
        <f t="shared" si="328"/>
        <v>0</v>
      </c>
      <c r="BZ41" s="3">
        <f t="shared" si="327"/>
        <v>0</v>
      </c>
      <c r="CA41" s="3">
        <f t="shared" si="328"/>
        <v>0</v>
      </c>
      <c r="CB41" s="3">
        <f t="shared" si="327"/>
        <v>0</v>
      </c>
      <c r="CC41" s="3">
        <f t="shared" si="328"/>
        <v>0</v>
      </c>
      <c r="CD41" s="3">
        <f t="shared" si="327"/>
        <v>0</v>
      </c>
      <c r="CE41" s="3">
        <f t="shared" si="328"/>
        <v>0</v>
      </c>
      <c r="CF41" s="3">
        <f t="shared" si="327"/>
        <v>0</v>
      </c>
      <c r="CG41" s="3">
        <f t="shared" si="328"/>
        <v>0</v>
      </c>
      <c r="CH41" s="226">
        <f t="shared" si="327"/>
        <v>0</v>
      </c>
    </row>
    <row r="42" spans="2:86" ht="15" thickBot="1">
      <c r="B42" s="473" t="s">
        <v>26</v>
      </c>
      <c r="C42" s="474"/>
      <c r="D42" s="233">
        <f>D39/12</f>
        <v>0</v>
      </c>
      <c r="E42" s="233">
        <f t="shared" ref="E42:BA42" si="329">E39/12</f>
        <v>0</v>
      </c>
      <c r="F42" s="233">
        <f t="shared" si="329"/>
        <v>0</v>
      </c>
      <c r="G42" s="233">
        <f t="shared" si="329"/>
        <v>0</v>
      </c>
      <c r="H42" s="233">
        <f t="shared" si="329"/>
        <v>0</v>
      </c>
      <c r="I42" s="233">
        <f t="shared" si="329"/>
        <v>0</v>
      </c>
      <c r="J42" s="233">
        <f t="shared" si="329"/>
        <v>0</v>
      </c>
      <c r="K42" s="233">
        <f t="shared" si="329"/>
        <v>0</v>
      </c>
      <c r="L42" s="233">
        <f t="shared" si="329"/>
        <v>0</v>
      </c>
      <c r="M42" s="233">
        <f t="shared" si="329"/>
        <v>0</v>
      </c>
      <c r="N42" s="233">
        <f t="shared" si="329"/>
        <v>0</v>
      </c>
      <c r="O42" s="233">
        <f t="shared" si="329"/>
        <v>0</v>
      </c>
      <c r="P42" s="233">
        <f t="shared" si="329"/>
        <v>0</v>
      </c>
      <c r="Q42" s="233">
        <f t="shared" si="329"/>
        <v>0</v>
      </c>
      <c r="R42" s="233">
        <f t="shared" si="329"/>
        <v>0</v>
      </c>
      <c r="S42" s="233">
        <f t="shared" si="329"/>
        <v>0</v>
      </c>
      <c r="T42" s="233">
        <f t="shared" si="329"/>
        <v>0</v>
      </c>
      <c r="U42" s="233">
        <f t="shared" si="329"/>
        <v>0</v>
      </c>
      <c r="V42" s="233">
        <f t="shared" si="329"/>
        <v>0</v>
      </c>
      <c r="W42" s="233">
        <f t="shared" si="329"/>
        <v>0</v>
      </c>
      <c r="X42" s="233">
        <f t="shared" si="329"/>
        <v>0</v>
      </c>
      <c r="Y42" s="233">
        <f t="shared" si="329"/>
        <v>0</v>
      </c>
      <c r="Z42" s="233">
        <f t="shared" si="329"/>
        <v>0</v>
      </c>
      <c r="AA42" s="233">
        <f t="shared" si="329"/>
        <v>0</v>
      </c>
      <c r="AB42" s="233">
        <f t="shared" si="329"/>
        <v>0</v>
      </c>
      <c r="AC42" s="233">
        <f t="shared" si="329"/>
        <v>0</v>
      </c>
      <c r="AD42" s="233">
        <f t="shared" si="329"/>
        <v>0</v>
      </c>
      <c r="AE42" s="233">
        <f t="shared" si="329"/>
        <v>0</v>
      </c>
      <c r="AF42" s="233">
        <f t="shared" si="329"/>
        <v>0</v>
      </c>
      <c r="AG42" s="233">
        <f t="shared" si="329"/>
        <v>0</v>
      </c>
      <c r="AH42" s="233">
        <f t="shared" si="329"/>
        <v>0</v>
      </c>
      <c r="AI42" s="233">
        <f t="shared" si="329"/>
        <v>0</v>
      </c>
      <c r="AJ42" s="233">
        <f t="shared" si="329"/>
        <v>0</v>
      </c>
      <c r="AK42" s="233">
        <f t="shared" si="329"/>
        <v>0</v>
      </c>
      <c r="AL42" s="233">
        <f t="shared" si="329"/>
        <v>0</v>
      </c>
      <c r="AM42" s="233">
        <f t="shared" si="329"/>
        <v>0</v>
      </c>
      <c r="AN42" s="233">
        <f t="shared" si="329"/>
        <v>0</v>
      </c>
      <c r="AO42" s="233">
        <f t="shared" si="329"/>
        <v>0</v>
      </c>
      <c r="AP42" s="233">
        <f t="shared" si="329"/>
        <v>0</v>
      </c>
      <c r="AQ42" s="233">
        <f t="shared" si="329"/>
        <v>0</v>
      </c>
      <c r="AR42" s="233">
        <f t="shared" si="329"/>
        <v>0</v>
      </c>
      <c r="AS42" s="233">
        <f t="shared" si="329"/>
        <v>0</v>
      </c>
      <c r="AT42" s="233">
        <f t="shared" si="329"/>
        <v>0</v>
      </c>
      <c r="AU42" s="233">
        <f t="shared" si="329"/>
        <v>0</v>
      </c>
      <c r="AV42" s="233">
        <f t="shared" si="329"/>
        <v>0</v>
      </c>
      <c r="AW42" s="233">
        <f t="shared" si="329"/>
        <v>0</v>
      </c>
      <c r="AX42" s="233">
        <f t="shared" si="329"/>
        <v>0</v>
      </c>
      <c r="AY42" s="233">
        <f t="shared" si="329"/>
        <v>0</v>
      </c>
      <c r="AZ42" s="233">
        <f t="shared" si="329"/>
        <v>0</v>
      </c>
      <c r="BA42" s="233">
        <f t="shared" si="329"/>
        <v>0</v>
      </c>
      <c r="BB42" s="233">
        <f t="shared" ref="BB42:CH42" si="330">BB39/12</f>
        <v>0</v>
      </c>
      <c r="BC42" s="233">
        <f t="shared" si="330"/>
        <v>0</v>
      </c>
      <c r="BD42" s="233">
        <f t="shared" si="330"/>
        <v>0</v>
      </c>
      <c r="BE42" s="233">
        <f t="shared" si="330"/>
        <v>0</v>
      </c>
      <c r="BF42" s="233">
        <f t="shared" si="330"/>
        <v>0</v>
      </c>
      <c r="BG42" s="233">
        <f t="shared" si="330"/>
        <v>0</v>
      </c>
      <c r="BH42" s="233">
        <f t="shared" si="330"/>
        <v>0</v>
      </c>
      <c r="BI42" s="233">
        <f t="shared" si="330"/>
        <v>0</v>
      </c>
      <c r="BJ42" s="233">
        <f t="shared" si="330"/>
        <v>0</v>
      </c>
      <c r="BK42" s="233">
        <f t="shared" si="330"/>
        <v>0</v>
      </c>
      <c r="BL42" s="233">
        <f t="shared" si="330"/>
        <v>0</v>
      </c>
      <c r="BM42" s="233">
        <f t="shared" si="330"/>
        <v>0</v>
      </c>
      <c r="BN42" s="233">
        <f t="shared" si="330"/>
        <v>0</v>
      </c>
      <c r="BO42" s="233">
        <f t="shared" si="330"/>
        <v>0</v>
      </c>
      <c r="BP42" s="233">
        <f t="shared" si="330"/>
        <v>0</v>
      </c>
      <c r="BQ42" s="233">
        <f t="shared" si="330"/>
        <v>0</v>
      </c>
      <c r="BR42" s="233">
        <f t="shared" si="330"/>
        <v>0</v>
      </c>
      <c r="BS42" s="233">
        <f t="shared" si="330"/>
        <v>0</v>
      </c>
      <c r="BT42" s="233">
        <f t="shared" si="330"/>
        <v>0</v>
      </c>
      <c r="BU42" s="233">
        <f t="shared" si="330"/>
        <v>0</v>
      </c>
      <c r="BV42" s="233">
        <f t="shared" si="330"/>
        <v>0</v>
      </c>
      <c r="BW42" s="233">
        <f t="shared" si="330"/>
        <v>0</v>
      </c>
      <c r="BX42" s="233">
        <f t="shared" si="330"/>
        <v>0</v>
      </c>
      <c r="BY42" s="233">
        <f t="shared" si="330"/>
        <v>0</v>
      </c>
      <c r="BZ42" s="233">
        <f t="shared" si="330"/>
        <v>0</v>
      </c>
      <c r="CA42" s="233">
        <f t="shared" si="330"/>
        <v>0</v>
      </c>
      <c r="CB42" s="233">
        <f t="shared" si="330"/>
        <v>0</v>
      </c>
      <c r="CC42" s="233">
        <f t="shared" si="330"/>
        <v>0</v>
      </c>
      <c r="CD42" s="233">
        <f t="shared" si="330"/>
        <v>0</v>
      </c>
      <c r="CE42" s="233">
        <f t="shared" si="330"/>
        <v>0</v>
      </c>
      <c r="CF42" s="233">
        <f t="shared" si="330"/>
        <v>0</v>
      </c>
      <c r="CG42" s="233">
        <f t="shared" si="330"/>
        <v>0</v>
      </c>
      <c r="CH42" s="234">
        <f t="shared" si="330"/>
        <v>0</v>
      </c>
    </row>
    <row r="43" spans="2:86" ht="15" thickBot="1">
      <c r="I43" s="5"/>
      <c r="J43" s="5"/>
      <c r="K43" s="5"/>
      <c r="L43" s="5"/>
    </row>
    <row r="44" spans="2:86" ht="16.5" thickBot="1">
      <c r="B44" s="211" t="s">
        <v>27</v>
      </c>
      <c r="C44" s="32"/>
      <c r="I44" s="5"/>
      <c r="J44" s="5"/>
      <c r="K44" s="5"/>
      <c r="L44" s="5"/>
    </row>
    <row r="45" spans="2:86" ht="15" thickBot="1">
      <c r="B45" s="214" t="s">
        <v>47</v>
      </c>
      <c r="C45" s="215"/>
      <c r="D45" s="216">
        <f ca="1">D$13</f>
        <v>2023</v>
      </c>
      <c r="E45" s="217">
        <f t="shared" ref="E45:BP45" ca="1" si="331">E$13</f>
        <v>2024</v>
      </c>
      <c r="F45" s="217">
        <f t="shared" ca="1" si="331"/>
        <v>2025</v>
      </c>
      <c r="G45" s="217">
        <f t="shared" ca="1" si="331"/>
        <v>2026</v>
      </c>
      <c r="H45" s="217">
        <f t="shared" ca="1" si="331"/>
        <v>2027</v>
      </c>
      <c r="I45" s="217">
        <f t="shared" ca="1" si="331"/>
        <v>2028</v>
      </c>
      <c r="J45" s="217">
        <f t="shared" ca="1" si="331"/>
        <v>2029</v>
      </c>
      <c r="K45" s="217">
        <f t="shared" ca="1" si="331"/>
        <v>2030</v>
      </c>
      <c r="L45" s="217">
        <f t="shared" ca="1" si="331"/>
        <v>2031</v>
      </c>
      <c r="M45" s="217">
        <f t="shared" ca="1" si="331"/>
        <v>2032</v>
      </c>
      <c r="N45" s="217">
        <f t="shared" ca="1" si="331"/>
        <v>2033</v>
      </c>
      <c r="O45" s="217">
        <f t="shared" ca="1" si="331"/>
        <v>2034</v>
      </c>
      <c r="P45" s="217">
        <f t="shared" ca="1" si="331"/>
        <v>2035</v>
      </c>
      <c r="Q45" s="217">
        <f t="shared" ca="1" si="331"/>
        <v>2036</v>
      </c>
      <c r="R45" s="217">
        <f t="shared" ca="1" si="331"/>
        <v>2037</v>
      </c>
      <c r="S45" s="217">
        <f t="shared" ca="1" si="331"/>
        <v>2038</v>
      </c>
      <c r="T45" s="217">
        <f t="shared" ca="1" si="331"/>
        <v>2039</v>
      </c>
      <c r="U45" s="217">
        <f t="shared" ca="1" si="331"/>
        <v>2040</v>
      </c>
      <c r="V45" s="217">
        <f t="shared" ca="1" si="331"/>
        <v>2041</v>
      </c>
      <c r="W45" s="217">
        <f t="shared" ca="1" si="331"/>
        <v>2042</v>
      </c>
      <c r="X45" s="217">
        <f t="shared" ca="1" si="331"/>
        <v>2043</v>
      </c>
      <c r="Y45" s="217">
        <f t="shared" ca="1" si="331"/>
        <v>2044</v>
      </c>
      <c r="Z45" s="217">
        <f t="shared" ca="1" si="331"/>
        <v>2045</v>
      </c>
      <c r="AA45" s="217">
        <f t="shared" ca="1" si="331"/>
        <v>2046</v>
      </c>
      <c r="AB45" s="217">
        <f t="shared" ca="1" si="331"/>
        <v>2047</v>
      </c>
      <c r="AC45" s="217">
        <f t="shared" ca="1" si="331"/>
        <v>2048</v>
      </c>
      <c r="AD45" s="217">
        <f t="shared" ca="1" si="331"/>
        <v>2049</v>
      </c>
      <c r="AE45" s="217">
        <f t="shared" ca="1" si="331"/>
        <v>2050</v>
      </c>
      <c r="AF45" s="217">
        <f t="shared" ca="1" si="331"/>
        <v>2051</v>
      </c>
      <c r="AG45" s="217">
        <f t="shared" ca="1" si="331"/>
        <v>2052</v>
      </c>
      <c r="AH45" s="217">
        <f t="shared" ca="1" si="331"/>
        <v>2053</v>
      </c>
      <c r="AI45" s="217">
        <f t="shared" ca="1" si="331"/>
        <v>2054</v>
      </c>
      <c r="AJ45" s="217">
        <f t="shared" ca="1" si="331"/>
        <v>2055</v>
      </c>
      <c r="AK45" s="217">
        <f t="shared" ca="1" si="331"/>
        <v>2056</v>
      </c>
      <c r="AL45" s="217">
        <f t="shared" ca="1" si="331"/>
        <v>2057</v>
      </c>
      <c r="AM45" s="217">
        <f t="shared" ca="1" si="331"/>
        <v>2058</v>
      </c>
      <c r="AN45" s="217">
        <f t="shared" ca="1" si="331"/>
        <v>2059</v>
      </c>
      <c r="AO45" s="217">
        <f t="shared" ca="1" si="331"/>
        <v>2060</v>
      </c>
      <c r="AP45" s="217">
        <f t="shared" ca="1" si="331"/>
        <v>2061</v>
      </c>
      <c r="AQ45" s="217">
        <f t="shared" ca="1" si="331"/>
        <v>2062</v>
      </c>
      <c r="AR45" s="217">
        <f t="shared" ca="1" si="331"/>
        <v>2063</v>
      </c>
      <c r="AS45" s="217">
        <f t="shared" ca="1" si="331"/>
        <v>2064</v>
      </c>
      <c r="AT45" s="217">
        <f t="shared" ca="1" si="331"/>
        <v>2065</v>
      </c>
      <c r="AU45" s="217">
        <f t="shared" ca="1" si="331"/>
        <v>2066</v>
      </c>
      <c r="AV45" s="217">
        <f t="shared" ca="1" si="331"/>
        <v>2067</v>
      </c>
      <c r="AW45" s="217">
        <f t="shared" ca="1" si="331"/>
        <v>2068</v>
      </c>
      <c r="AX45" s="217">
        <f t="shared" ca="1" si="331"/>
        <v>2069</v>
      </c>
      <c r="AY45" s="217">
        <f t="shared" ca="1" si="331"/>
        <v>2070</v>
      </c>
      <c r="AZ45" s="217">
        <f t="shared" ca="1" si="331"/>
        <v>2071</v>
      </c>
      <c r="BA45" s="217">
        <f t="shared" ca="1" si="331"/>
        <v>2072</v>
      </c>
      <c r="BB45" s="217">
        <f t="shared" ca="1" si="331"/>
        <v>2073</v>
      </c>
      <c r="BC45" s="217">
        <f t="shared" ca="1" si="331"/>
        <v>2074</v>
      </c>
      <c r="BD45" s="217">
        <f t="shared" ca="1" si="331"/>
        <v>2075</v>
      </c>
      <c r="BE45" s="217">
        <f t="shared" ca="1" si="331"/>
        <v>2076</v>
      </c>
      <c r="BF45" s="217">
        <f t="shared" ca="1" si="331"/>
        <v>2077</v>
      </c>
      <c r="BG45" s="217">
        <f t="shared" ca="1" si="331"/>
        <v>2078</v>
      </c>
      <c r="BH45" s="217">
        <f t="shared" ca="1" si="331"/>
        <v>2079</v>
      </c>
      <c r="BI45" s="217">
        <f t="shared" ca="1" si="331"/>
        <v>2080</v>
      </c>
      <c r="BJ45" s="217">
        <f t="shared" ca="1" si="331"/>
        <v>2081</v>
      </c>
      <c r="BK45" s="217">
        <f t="shared" ca="1" si="331"/>
        <v>2082</v>
      </c>
      <c r="BL45" s="217">
        <f t="shared" ca="1" si="331"/>
        <v>2083</v>
      </c>
      <c r="BM45" s="217">
        <f t="shared" ca="1" si="331"/>
        <v>2084</v>
      </c>
      <c r="BN45" s="217">
        <f t="shared" ca="1" si="331"/>
        <v>2085</v>
      </c>
      <c r="BO45" s="217">
        <f t="shared" ca="1" si="331"/>
        <v>2086</v>
      </c>
      <c r="BP45" s="217">
        <f t="shared" ca="1" si="331"/>
        <v>2087</v>
      </c>
      <c r="BQ45" s="217">
        <f t="shared" ref="BQ45:CH45" ca="1" si="332">BQ$13</f>
        <v>2088</v>
      </c>
      <c r="BR45" s="217">
        <f t="shared" ca="1" si="332"/>
        <v>2089</v>
      </c>
      <c r="BS45" s="217">
        <f t="shared" ca="1" si="332"/>
        <v>2090</v>
      </c>
      <c r="BT45" s="217">
        <f t="shared" ca="1" si="332"/>
        <v>2091</v>
      </c>
      <c r="BU45" s="217">
        <f t="shared" ca="1" si="332"/>
        <v>2092</v>
      </c>
      <c r="BV45" s="217">
        <f t="shared" ca="1" si="332"/>
        <v>2093</v>
      </c>
      <c r="BW45" s="217">
        <f t="shared" ca="1" si="332"/>
        <v>2094</v>
      </c>
      <c r="BX45" s="217">
        <f t="shared" ca="1" si="332"/>
        <v>2095</v>
      </c>
      <c r="BY45" s="217">
        <f t="shared" ca="1" si="332"/>
        <v>2096</v>
      </c>
      <c r="BZ45" s="217">
        <f t="shared" ca="1" si="332"/>
        <v>2097</v>
      </c>
      <c r="CA45" s="217">
        <f t="shared" ca="1" si="332"/>
        <v>2098</v>
      </c>
      <c r="CB45" s="217">
        <f t="shared" ca="1" si="332"/>
        <v>2099</v>
      </c>
      <c r="CC45" s="217">
        <f t="shared" ca="1" si="332"/>
        <v>2100</v>
      </c>
      <c r="CD45" s="217">
        <f t="shared" ca="1" si="332"/>
        <v>2101</v>
      </c>
      <c r="CE45" s="217">
        <f t="shared" ca="1" si="332"/>
        <v>2102</v>
      </c>
      <c r="CF45" s="217">
        <f t="shared" ca="1" si="332"/>
        <v>2103</v>
      </c>
      <c r="CG45" s="217">
        <f t="shared" ca="1" si="332"/>
        <v>2104</v>
      </c>
      <c r="CH45" s="218">
        <f t="shared" ca="1" si="332"/>
        <v>2105</v>
      </c>
    </row>
    <row r="46" spans="2:86">
      <c r="B46" s="496" t="s">
        <v>49</v>
      </c>
      <c r="C46" s="497"/>
      <c r="D46" s="230"/>
      <c r="E46" s="240"/>
      <c r="F46" s="241"/>
      <c r="G46" s="241"/>
      <c r="H46" s="241"/>
      <c r="I46" s="241"/>
      <c r="J46" s="241"/>
      <c r="K46" s="241"/>
      <c r="L46" s="241"/>
      <c r="M46" s="241"/>
      <c r="N46" s="241"/>
      <c r="O46" s="241"/>
      <c r="P46" s="241"/>
      <c r="Q46" s="241"/>
      <c r="R46" s="241"/>
      <c r="S46" s="241"/>
      <c r="T46" s="241"/>
      <c r="U46" s="241"/>
      <c r="V46" s="241"/>
      <c r="W46" s="241"/>
      <c r="X46" s="241"/>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c r="BA46" s="241"/>
      <c r="BB46" s="241"/>
      <c r="BC46" s="241"/>
      <c r="BD46" s="241"/>
      <c r="BE46" s="241"/>
      <c r="BF46" s="241"/>
      <c r="BG46" s="241"/>
      <c r="BH46" s="241"/>
      <c r="BI46" s="241"/>
      <c r="BJ46" s="241"/>
      <c r="BK46" s="241"/>
      <c r="BL46" s="241"/>
      <c r="BM46" s="241"/>
      <c r="BN46" s="241"/>
      <c r="BO46" s="241"/>
      <c r="BP46" s="241"/>
      <c r="BQ46" s="241"/>
      <c r="BR46" s="241"/>
      <c r="BS46" s="241"/>
      <c r="BT46" s="241"/>
      <c r="BU46" s="241"/>
      <c r="BV46" s="241"/>
      <c r="BW46" s="241"/>
      <c r="BX46" s="241"/>
      <c r="BY46" s="241"/>
      <c r="BZ46" s="241"/>
      <c r="CA46" s="241"/>
      <c r="CB46" s="241"/>
      <c r="CC46" s="241"/>
      <c r="CD46" s="241"/>
      <c r="CE46" s="241"/>
      <c r="CF46" s="241"/>
      <c r="CG46" s="241"/>
      <c r="CH46" s="242"/>
    </row>
    <row r="47" spans="2:86">
      <c r="B47" s="465" t="s">
        <v>50</v>
      </c>
      <c r="C47" s="466"/>
      <c r="D47" s="31">
        <f>Cockpit!N25</f>
        <v>0</v>
      </c>
      <c r="E47" s="31">
        <f t="shared" ref="E47" si="333">IF(E46&lt;&gt;"",E46,D47)</f>
        <v>0</v>
      </c>
      <c r="F47" s="31">
        <f t="shared" ref="F47" si="334">IF(F46&lt;&gt;"",F46,E47)</f>
        <v>0</v>
      </c>
      <c r="G47" s="31">
        <f t="shared" ref="G47" si="335">IF(G46&lt;&gt;"",G46,F47)</f>
        <v>0</v>
      </c>
      <c r="H47" s="31">
        <f t="shared" ref="H47" si="336">IF(H46&lt;&gt;"",H46,G47)</f>
        <v>0</v>
      </c>
      <c r="I47" s="31">
        <f t="shared" ref="I47" si="337">IF(I46&lt;&gt;"",I46,H47)</f>
        <v>0</v>
      </c>
      <c r="J47" s="31">
        <f t="shared" ref="J47" si="338">IF(J46&lt;&gt;"",J46,I47)</f>
        <v>0</v>
      </c>
      <c r="K47" s="31">
        <f t="shared" ref="K47" si="339">IF(K46&lt;&gt;"",K46,J47)</f>
        <v>0</v>
      </c>
      <c r="L47" s="31">
        <f t="shared" ref="L47" si="340">IF(L46&lt;&gt;"",L46,K47)</f>
        <v>0</v>
      </c>
      <c r="M47" s="31">
        <f t="shared" ref="M47" si="341">IF(M46&lt;&gt;"",M46,L47)</f>
        <v>0</v>
      </c>
      <c r="N47" s="31">
        <f t="shared" ref="N47" si="342">IF(N46&lt;&gt;"",N46,M47)</f>
        <v>0</v>
      </c>
      <c r="O47" s="31">
        <f t="shared" ref="O47" si="343">IF(O46&lt;&gt;"",O46,N47)</f>
        <v>0</v>
      </c>
      <c r="P47" s="31">
        <f t="shared" ref="P47" si="344">IF(P46&lt;&gt;"",P46,O47)</f>
        <v>0</v>
      </c>
      <c r="Q47" s="31">
        <f t="shared" ref="Q47" si="345">IF(Q46&lt;&gt;"",Q46,P47)</f>
        <v>0</v>
      </c>
      <c r="R47" s="31">
        <f t="shared" ref="R47" si="346">IF(R46&lt;&gt;"",R46,Q47)</f>
        <v>0</v>
      </c>
      <c r="S47" s="31">
        <f t="shared" ref="S47" si="347">IF(S46&lt;&gt;"",S46,R47)</f>
        <v>0</v>
      </c>
      <c r="T47" s="31">
        <f t="shared" ref="T47" si="348">IF(T46&lt;&gt;"",T46,S47)</f>
        <v>0</v>
      </c>
      <c r="U47" s="31">
        <f t="shared" ref="U47" si="349">IF(U46&lt;&gt;"",U46,T47)</f>
        <v>0</v>
      </c>
      <c r="V47" s="31">
        <f t="shared" ref="V47" si="350">IF(V46&lt;&gt;"",V46,U47)</f>
        <v>0</v>
      </c>
      <c r="W47" s="31">
        <f t="shared" ref="W47" si="351">IF(W46&lt;&gt;"",W46,V47)</f>
        <v>0</v>
      </c>
      <c r="X47" s="31">
        <f t="shared" ref="X47" si="352">IF(X46&lt;&gt;"",X46,W47)</f>
        <v>0</v>
      </c>
      <c r="Y47" s="31">
        <f t="shared" ref="Y47" si="353">IF(Y46&lt;&gt;"",Y46,X47)</f>
        <v>0</v>
      </c>
      <c r="Z47" s="31">
        <f t="shared" ref="Z47" si="354">IF(Z46&lt;&gt;"",Z46,Y47)</f>
        <v>0</v>
      </c>
      <c r="AA47" s="31">
        <f t="shared" ref="AA47" si="355">IF(AA46&lt;&gt;"",AA46,Z47)</f>
        <v>0</v>
      </c>
      <c r="AB47" s="31">
        <f t="shared" ref="AB47" si="356">IF(AB46&lt;&gt;"",AB46,AA47)</f>
        <v>0</v>
      </c>
      <c r="AC47" s="31">
        <f t="shared" ref="AC47" si="357">IF(AC46&lt;&gt;"",AC46,AB47)</f>
        <v>0</v>
      </c>
      <c r="AD47" s="31">
        <f t="shared" ref="AD47" si="358">IF(AD46&lt;&gt;"",AD46,AC47)</f>
        <v>0</v>
      </c>
      <c r="AE47" s="31">
        <f t="shared" ref="AE47" si="359">IF(AE46&lt;&gt;"",AE46,AD47)</f>
        <v>0</v>
      </c>
      <c r="AF47" s="31">
        <f t="shared" ref="AF47" si="360">IF(AF46&lt;&gt;"",AF46,AE47)</f>
        <v>0</v>
      </c>
      <c r="AG47" s="31">
        <f t="shared" ref="AG47" si="361">IF(AG46&lt;&gt;"",AG46,AF47)</f>
        <v>0</v>
      </c>
      <c r="AH47" s="31">
        <f t="shared" ref="AH47" si="362">IF(AH46&lt;&gt;"",AH46,AG47)</f>
        <v>0</v>
      </c>
      <c r="AI47" s="31">
        <f t="shared" ref="AI47" si="363">IF(AI46&lt;&gt;"",AI46,AH47)</f>
        <v>0</v>
      </c>
      <c r="AJ47" s="31">
        <f t="shared" ref="AJ47" si="364">IF(AJ46&lt;&gt;"",AJ46,AI47)</f>
        <v>0</v>
      </c>
      <c r="AK47" s="31">
        <f t="shared" ref="AK47" si="365">IF(AK46&lt;&gt;"",AK46,AJ47)</f>
        <v>0</v>
      </c>
      <c r="AL47" s="31">
        <f t="shared" ref="AL47" si="366">IF(AL46&lt;&gt;"",AL46,AK47)</f>
        <v>0</v>
      </c>
      <c r="AM47" s="31">
        <f t="shared" ref="AM47" si="367">IF(AM46&lt;&gt;"",AM46,AL47)</f>
        <v>0</v>
      </c>
      <c r="AN47" s="31">
        <f t="shared" ref="AN47" si="368">IF(AN46&lt;&gt;"",AN46,AM47)</f>
        <v>0</v>
      </c>
      <c r="AO47" s="31">
        <f t="shared" ref="AO47" si="369">IF(AO46&lt;&gt;"",AO46,AN47)</f>
        <v>0</v>
      </c>
      <c r="AP47" s="31">
        <f t="shared" ref="AP47" si="370">IF(AP46&lt;&gt;"",AP46,AO47)</f>
        <v>0</v>
      </c>
      <c r="AQ47" s="31">
        <f t="shared" ref="AQ47" si="371">IF(AQ46&lt;&gt;"",AQ46,AP47)</f>
        <v>0</v>
      </c>
      <c r="AR47" s="31">
        <f t="shared" ref="AR47" si="372">IF(AR46&lt;&gt;"",AR46,AQ47)</f>
        <v>0</v>
      </c>
      <c r="AS47" s="31">
        <f t="shared" ref="AS47" si="373">IF(AS46&lt;&gt;"",AS46,AR47)</f>
        <v>0</v>
      </c>
      <c r="AT47" s="31">
        <f t="shared" ref="AT47" si="374">IF(AT46&lt;&gt;"",AT46,AS47)</f>
        <v>0</v>
      </c>
      <c r="AU47" s="31">
        <f t="shared" ref="AU47" si="375">IF(AU46&lt;&gt;"",AU46,AT47)</f>
        <v>0</v>
      </c>
      <c r="AV47" s="31">
        <f t="shared" ref="AV47" si="376">IF(AV46&lt;&gt;"",AV46,AU47)</f>
        <v>0</v>
      </c>
      <c r="AW47" s="31">
        <f t="shared" ref="AW47" si="377">IF(AW46&lt;&gt;"",AW46,AV47)</f>
        <v>0</v>
      </c>
      <c r="AX47" s="31">
        <f t="shared" ref="AX47" si="378">IF(AX46&lt;&gt;"",AX46,AW47)</f>
        <v>0</v>
      </c>
      <c r="AY47" s="31">
        <f t="shared" ref="AY47" si="379">IF(AY46&lt;&gt;"",AY46,AX47)</f>
        <v>0</v>
      </c>
      <c r="AZ47" s="31">
        <f t="shared" ref="AZ47" si="380">IF(AZ46&lt;&gt;"",AZ46,AY47)</f>
        <v>0</v>
      </c>
      <c r="BA47" s="31">
        <f t="shared" ref="BA47" si="381">IF(BA46&lt;&gt;"",BA46,AZ47)</f>
        <v>0</v>
      </c>
      <c r="BB47" s="31">
        <f t="shared" ref="BB47" si="382">IF(BB46&lt;&gt;"",BB46,BA47)</f>
        <v>0</v>
      </c>
      <c r="BC47" s="31">
        <f t="shared" ref="BC47" si="383">IF(BC46&lt;&gt;"",BC46,BB47)</f>
        <v>0</v>
      </c>
      <c r="BD47" s="31">
        <f t="shared" ref="BD47" si="384">IF(BD46&lt;&gt;"",BD46,BC47)</f>
        <v>0</v>
      </c>
      <c r="BE47" s="31">
        <f t="shared" ref="BE47" si="385">IF(BE46&lt;&gt;"",BE46,BD47)</f>
        <v>0</v>
      </c>
      <c r="BF47" s="31">
        <f t="shared" ref="BF47" si="386">IF(BF46&lt;&gt;"",BF46,BE47)</f>
        <v>0</v>
      </c>
      <c r="BG47" s="31">
        <f t="shared" ref="BG47" si="387">IF(BG46&lt;&gt;"",BG46,BF47)</f>
        <v>0</v>
      </c>
      <c r="BH47" s="31">
        <f t="shared" ref="BH47" si="388">IF(BH46&lt;&gt;"",BH46,BG47)</f>
        <v>0</v>
      </c>
      <c r="BI47" s="31">
        <f t="shared" ref="BI47" si="389">IF(BI46&lt;&gt;"",BI46,BH47)</f>
        <v>0</v>
      </c>
      <c r="BJ47" s="31">
        <f t="shared" ref="BJ47" si="390">IF(BJ46&lt;&gt;"",BJ46,BI47)</f>
        <v>0</v>
      </c>
      <c r="BK47" s="31">
        <f t="shared" ref="BK47" si="391">IF(BK46&lt;&gt;"",BK46,BJ47)</f>
        <v>0</v>
      </c>
      <c r="BL47" s="31">
        <f t="shared" ref="BL47" si="392">IF(BL46&lt;&gt;"",BL46,BK47)</f>
        <v>0</v>
      </c>
      <c r="BM47" s="31">
        <f t="shared" ref="BM47" si="393">IF(BM46&lt;&gt;"",BM46,BL47)</f>
        <v>0</v>
      </c>
      <c r="BN47" s="31">
        <f t="shared" ref="BN47" si="394">IF(BN46&lt;&gt;"",BN46,BM47)</f>
        <v>0</v>
      </c>
      <c r="BO47" s="31">
        <f t="shared" ref="BO47" si="395">IF(BO46&lt;&gt;"",BO46,BN47)</f>
        <v>0</v>
      </c>
      <c r="BP47" s="31">
        <f t="shared" ref="BP47" si="396">IF(BP46&lt;&gt;"",BP46,BO47)</f>
        <v>0</v>
      </c>
      <c r="BQ47" s="31">
        <f t="shared" ref="BQ47" si="397">IF(BQ46&lt;&gt;"",BQ46,BP47)</f>
        <v>0</v>
      </c>
      <c r="BR47" s="31">
        <f t="shared" ref="BR47" si="398">IF(BR46&lt;&gt;"",BR46,BQ47)</f>
        <v>0</v>
      </c>
      <c r="BS47" s="31">
        <f t="shared" ref="BS47" si="399">IF(BS46&lt;&gt;"",BS46,BR47)</f>
        <v>0</v>
      </c>
      <c r="BT47" s="31">
        <f t="shared" ref="BT47" si="400">IF(BT46&lt;&gt;"",BT46,BS47)</f>
        <v>0</v>
      </c>
      <c r="BU47" s="31">
        <f t="shared" ref="BU47" si="401">IF(BU46&lt;&gt;"",BU46,BT47)</f>
        <v>0</v>
      </c>
      <c r="BV47" s="31">
        <f t="shared" ref="BV47" si="402">IF(BV46&lt;&gt;"",BV46,BU47)</f>
        <v>0</v>
      </c>
      <c r="BW47" s="31">
        <f t="shared" ref="BW47" si="403">IF(BW46&lt;&gt;"",BW46,BV47)</f>
        <v>0</v>
      </c>
      <c r="BX47" s="31">
        <f t="shared" ref="BX47" si="404">IF(BX46&lt;&gt;"",BX46,BW47)</f>
        <v>0</v>
      </c>
      <c r="BY47" s="31">
        <f t="shared" ref="BY47" si="405">IF(BY46&lt;&gt;"",BY46,BX47)</f>
        <v>0</v>
      </c>
      <c r="BZ47" s="31">
        <f t="shared" ref="BZ47" si="406">IF(BZ46&lt;&gt;"",BZ46,BY47)</f>
        <v>0</v>
      </c>
      <c r="CA47" s="31">
        <f t="shared" ref="CA47" si="407">IF(CA46&lt;&gt;"",CA46,BZ47)</f>
        <v>0</v>
      </c>
      <c r="CB47" s="31">
        <f t="shared" ref="CB47" si="408">IF(CB46&lt;&gt;"",CB46,CA47)</f>
        <v>0</v>
      </c>
      <c r="CC47" s="31">
        <f t="shared" ref="CC47" si="409">IF(CC46&lt;&gt;"",CC46,CB47)</f>
        <v>0</v>
      </c>
      <c r="CD47" s="31">
        <f t="shared" ref="CD47" si="410">IF(CD46&lt;&gt;"",CD46,CC47)</f>
        <v>0</v>
      </c>
      <c r="CE47" s="31">
        <f t="shared" ref="CE47" si="411">IF(CE46&lt;&gt;"",CE46,CD47)</f>
        <v>0</v>
      </c>
      <c r="CF47" s="31">
        <f t="shared" ref="CF47" si="412">IF(CF46&lt;&gt;"",CF46,CE47)</f>
        <v>0</v>
      </c>
      <c r="CG47" s="31">
        <f t="shared" ref="CG47" si="413">IF(CG46&lt;&gt;"",CG46,CF47)</f>
        <v>0</v>
      </c>
      <c r="CH47" s="231">
        <f t="shared" ref="CH47" si="414">IF(CH46&lt;&gt;"",CH46,CG47)</f>
        <v>0</v>
      </c>
    </row>
    <row r="48" spans="2:86" ht="8.25" customHeight="1">
      <c r="B48" s="275"/>
      <c r="I48" s="5"/>
      <c r="J48" s="5"/>
      <c r="K48" s="5"/>
      <c r="L48" s="5"/>
      <c r="CH48" s="232"/>
    </row>
    <row r="49" spans="2:86">
      <c r="B49" s="465" t="s">
        <v>43</v>
      </c>
      <c r="C49" s="466"/>
      <c r="D49" s="3">
        <f>Cockpit!N24</f>
        <v>0</v>
      </c>
      <c r="E49" s="3">
        <f>D58</f>
        <v>0</v>
      </c>
      <c r="F49" s="3">
        <f t="shared" ref="F49" si="415">E58</f>
        <v>0</v>
      </c>
      <c r="G49" s="3">
        <f t="shared" ref="G49" si="416">F58</f>
        <v>0</v>
      </c>
      <c r="H49" s="3">
        <f t="shared" ref="H49" si="417">G58</f>
        <v>0</v>
      </c>
      <c r="I49" s="3">
        <f t="shared" ref="I49" si="418">H58</f>
        <v>0</v>
      </c>
      <c r="J49" s="3">
        <f t="shared" ref="J49" si="419">I58</f>
        <v>0</v>
      </c>
      <c r="K49" s="3">
        <f t="shared" ref="K49" si="420">J58</f>
        <v>0</v>
      </c>
      <c r="L49" s="3">
        <f t="shared" ref="L49" si="421">K58</f>
        <v>0</v>
      </c>
      <c r="M49" s="3">
        <f t="shared" ref="M49" si="422">L58</f>
        <v>0</v>
      </c>
      <c r="N49" s="3">
        <f t="shared" ref="N49" si="423">M58</f>
        <v>0</v>
      </c>
      <c r="O49" s="3">
        <f t="shared" ref="O49" si="424">N58</f>
        <v>0</v>
      </c>
      <c r="P49" s="3">
        <f t="shared" ref="P49" si="425">O58</f>
        <v>0</v>
      </c>
      <c r="Q49" s="3">
        <f t="shared" ref="Q49" si="426">P58</f>
        <v>0</v>
      </c>
      <c r="R49" s="3">
        <f t="shared" ref="R49" si="427">Q58</f>
        <v>0</v>
      </c>
      <c r="S49" s="3">
        <f t="shared" ref="S49" si="428">R58</f>
        <v>0</v>
      </c>
      <c r="T49" s="3">
        <f t="shared" ref="T49" si="429">S58</f>
        <v>0</v>
      </c>
      <c r="U49" s="3">
        <f t="shared" ref="U49" si="430">T58</f>
        <v>0</v>
      </c>
      <c r="V49" s="3">
        <f t="shared" ref="V49" si="431">U58</f>
        <v>0</v>
      </c>
      <c r="W49" s="3">
        <f t="shared" ref="W49" si="432">V58</f>
        <v>0</v>
      </c>
      <c r="X49" s="3">
        <f t="shared" ref="X49" si="433">W58</f>
        <v>0</v>
      </c>
      <c r="Y49" s="3">
        <f t="shared" ref="Y49" si="434">X58</f>
        <v>0</v>
      </c>
      <c r="Z49" s="3">
        <f t="shared" ref="Z49" si="435">Y58</f>
        <v>0</v>
      </c>
      <c r="AA49" s="3">
        <f t="shared" ref="AA49" si="436">Z58</f>
        <v>0</v>
      </c>
      <c r="AB49" s="3">
        <f t="shared" ref="AB49" si="437">AA58</f>
        <v>0</v>
      </c>
      <c r="AC49" s="3">
        <f t="shared" ref="AC49" si="438">AB58</f>
        <v>0</v>
      </c>
      <c r="AD49" s="3">
        <f t="shared" ref="AD49" si="439">AC58</f>
        <v>0</v>
      </c>
      <c r="AE49" s="3">
        <f t="shared" ref="AE49" si="440">AD58</f>
        <v>0</v>
      </c>
      <c r="AF49" s="3">
        <f t="shared" ref="AF49" si="441">AE58</f>
        <v>0</v>
      </c>
      <c r="AG49" s="3">
        <f t="shared" ref="AG49" si="442">AF58</f>
        <v>0</v>
      </c>
      <c r="AH49" s="3">
        <f t="shared" ref="AH49" si="443">AG58</f>
        <v>0</v>
      </c>
      <c r="AI49" s="3">
        <f t="shared" ref="AI49" si="444">AH58</f>
        <v>0</v>
      </c>
      <c r="AJ49" s="3">
        <f t="shared" ref="AJ49" si="445">AI58</f>
        <v>0</v>
      </c>
      <c r="AK49" s="3">
        <f t="shared" ref="AK49" si="446">AJ58</f>
        <v>0</v>
      </c>
      <c r="AL49" s="3">
        <f t="shared" ref="AL49" si="447">AK58</f>
        <v>0</v>
      </c>
      <c r="AM49" s="3">
        <f t="shared" ref="AM49" si="448">AL58</f>
        <v>0</v>
      </c>
      <c r="AN49" s="3">
        <f t="shared" ref="AN49" si="449">AM58</f>
        <v>0</v>
      </c>
      <c r="AO49" s="3">
        <f t="shared" ref="AO49" si="450">AN58</f>
        <v>0</v>
      </c>
      <c r="AP49" s="3">
        <f t="shared" ref="AP49" si="451">AO58</f>
        <v>0</v>
      </c>
      <c r="AQ49" s="3">
        <f t="shared" ref="AQ49" si="452">AP58</f>
        <v>0</v>
      </c>
      <c r="AR49" s="3">
        <f t="shared" ref="AR49" si="453">AQ58</f>
        <v>0</v>
      </c>
      <c r="AS49" s="3">
        <f t="shared" ref="AS49" si="454">AR58</f>
        <v>0</v>
      </c>
      <c r="AT49" s="3">
        <f t="shared" ref="AT49" si="455">AS58</f>
        <v>0</v>
      </c>
      <c r="AU49" s="3">
        <f t="shared" ref="AU49" si="456">AT58</f>
        <v>0</v>
      </c>
      <c r="AV49" s="3">
        <f t="shared" ref="AV49" si="457">AU58</f>
        <v>0</v>
      </c>
      <c r="AW49" s="3">
        <f t="shared" ref="AW49" si="458">AV58</f>
        <v>0</v>
      </c>
      <c r="AX49" s="3">
        <f t="shared" ref="AX49" si="459">AW58</f>
        <v>0</v>
      </c>
      <c r="AY49" s="3">
        <f t="shared" ref="AY49" si="460">AX58</f>
        <v>0</v>
      </c>
      <c r="AZ49" s="3">
        <f t="shared" ref="AZ49" si="461">AY58</f>
        <v>0</v>
      </c>
      <c r="BA49" s="3">
        <f t="shared" ref="BA49" si="462">AZ58</f>
        <v>0</v>
      </c>
      <c r="BB49" s="3">
        <f t="shared" ref="BB49" si="463">BA58</f>
        <v>0</v>
      </c>
      <c r="BC49" s="3">
        <f t="shared" ref="BC49" si="464">BB58</f>
        <v>0</v>
      </c>
      <c r="BD49" s="3">
        <f t="shared" ref="BD49" si="465">BC58</f>
        <v>0</v>
      </c>
      <c r="BE49" s="3">
        <f t="shared" ref="BE49" si="466">BD58</f>
        <v>0</v>
      </c>
      <c r="BF49" s="3">
        <f t="shared" ref="BF49" si="467">BE58</f>
        <v>0</v>
      </c>
      <c r="BG49" s="3">
        <f t="shared" ref="BG49" si="468">BF58</f>
        <v>0</v>
      </c>
      <c r="BH49" s="3">
        <f t="shared" ref="BH49" si="469">BG58</f>
        <v>0</v>
      </c>
      <c r="BI49" s="3">
        <f t="shared" ref="BI49" si="470">BH58</f>
        <v>0</v>
      </c>
      <c r="BJ49" s="3">
        <f t="shared" ref="BJ49" si="471">BI58</f>
        <v>0</v>
      </c>
      <c r="BK49" s="3">
        <f t="shared" ref="BK49" si="472">BJ58</f>
        <v>0</v>
      </c>
      <c r="BL49" s="3">
        <f t="shared" ref="BL49" si="473">BK58</f>
        <v>0</v>
      </c>
      <c r="BM49" s="3">
        <f t="shared" ref="BM49" si="474">BL58</f>
        <v>0</v>
      </c>
      <c r="BN49" s="3">
        <f t="shared" ref="BN49" si="475">BM58</f>
        <v>0</v>
      </c>
      <c r="BO49" s="3">
        <f t="shared" ref="BO49" si="476">BN58</f>
        <v>0</v>
      </c>
      <c r="BP49" s="3">
        <f t="shared" ref="BP49" si="477">BO58</f>
        <v>0</v>
      </c>
      <c r="BQ49" s="3">
        <f t="shared" ref="BQ49" si="478">BP58</f>
        <v>0</v>
      </c>
      <c r="BR49" s="3">
        <f t="shared" ref="BR49" si="479">BQ58</f>
        <v>0</v>
      </c>
      <c r="BS49" s="3">
        <f t="shared" ref="BS49" si="480">BR58</f>
        <v>0</v>
      </c>
      <c r="BT49" s="3">
        <f t="shared" ref="BT49" si="481">BS58</f>
        <v>0</v>
      </c>
      <c r="BU49" s="3">
        <f t="shared" ref="BU49" si="482">BT58</f>
        <v>0</v>
      </c>
      <c r="BV49" s="3">
        <f t="shared" ref="BV49" si="483">BU58</f>
        <v>0</v>
      </c>
      <c r="BW49" s="3">
        <f t="shared" ref="BW49" si="484">BV58</f>
        <v>0</v>
      </c>
      <c r="BX49" s="3">
        <f t="shared" ref="BX49" si="485">BW58</f>
        <v>0</v>
      </c>
      <c r="BY49" s="3">
        <f t="shared" ref="BY49" si="486">BX58</f>
        <v>0</v>
      </c>
      <c r="BZ49" s="3">
        <f t="shared" ref="BZ49" si="487">BY58</f>
        <v>0</v>
      </c>
      <c r="CA49" s="3">
        <f t="shared" ref="CA49" si="488">BZ58</f>
        <v>0</v>
      </c>
      <c r="CB49" s="3">
        <f t="shared" ref="CB49" si="489">CA58</f>
        <v>0</v>
      </c>
      <c r="CC49" s="3">
        <f t="shared" ref="CC49" si="490">CB58</f>
        <v>0</v>
      </c>
      <c r="CD49" s="3">
        <f t="shared" ref="CD49" si="491">CC58</f>
        <v>0</v>
      </c>
      <c r="CE49" s="3">
        <f t="shared" ref="CE49" si="492">CD58</f>
        <v>0</v>
      </c>
      <c r="CF49" s="3">
        <f t="shared" ref="CF49" si="493">CE58</f>
        <v>0</v>
      </c>
      <c r="CG49" s="3">
        <f t="shared" ref="CG49" si="494">CF58</f>
        <v>0</v>
      </c>
      <c r="CH49" s="226">
        <f t="shared" ref="CH49" si="495">CG58</f>
        <v>0</v>
      </c>
    </row>
    <row r="50" spans="2:86">
      <c r="B50" s="465" t="s">
        <v>44</v>
      </c>
      <c r="C50" s="466"/>
      <c r="D50" s="3">
        <f t="shared" ref="D50:BA50" si="496">D47*D49</f>
        <v>0</v>
      </c>
      <c r="E50" s="3">
        <f t="shared" si="496"/>
        <v>0</v>
      </c>
      <c r="F50" s="3">
        <f t="shared" si="496"/>
        <v>0</v>
      </c>
      <c r="G50" s="3">
        <f t="shared" si="496"/>
        <v>0</v>
      </c>
      <c r="H50" s="3">
        <f t="shared" si="496"/>
        <v>0</v>
      </c>
      <c r="I50" s="3">
        <f t="shared" si="496"/>
        <v>0</v>
      </c>
      <c r="J50" s="3">
        <f t="shared" si="496"/>
        <v>0</v>
      </c>
      <c r="K50" s="3">
        <f t="shared" si="496"/>
        <v>0</v>
      </c>
      <c r="L50" s="3">
        <f t="shared" si="496"/>
        <v>0</v>
      </c>
      <c r="M50" s="3">
        <f t="shared" si="496"/>
        <v>0</v>
      </c>
      <c r="N50" s="3">
        <f t="shared" si="496"/>
        <v>0</v>
      </c>
      <c r="O50" s="3">
        <f t="shared" si="496"/>
        <v>0</v>
      </c>
      <c r="P50" s="3">
        <f t="shared" si="496"/>
        <v>0</v>
      </c>
      <c r="Q50" s="3">
        <f t="shared" si="496"/>
        <v>0</v>
      </c>
      <c r="R50" s="3">
        <f t="shared" si="496"/>
        <v>0</v>
      </c>
      <c r="S50" s="3">
        <f t="shared" si="496"/>
        <v>0</v>
      </c>
      <c r="T50" s="3">
        <f t="shared" si="496"/>
        <v>0</v>
      </c>
      <c r="U50" s="3">
        <f t="shared" si="496"/>
        <v>0</v>
      </c>
      <c r="V50" s="3">
        <f t="shared" si="496"/>
        <v>0</v>
      </c>
      <c r="W50" s="3">
        <f t="shared" si="496"/>
        <v>0</v>
      </c>
      <c r="X50" s="3">
        <f t="shared" si="496"/>
        <v>0</v>
      </c>
      <c r="Y50" s="3">
        <f t="shared" si="496"/>
        <v>0</v>
      </c>
      <c r="Z50" s="3">
        <f t="shared" si="496"/>
        <v>0</v>
      </c>
      <c r="AA50" s="3">
        <f t="shared" si="496"/>
        <v>0</v>
      </c>
      <c r="AB50" s="3">
        <f t="shared" si="496"/>
        <v>0</v>
      </c>
      <c r="AC50" s="3">
        <f t="shared" si="496"/>
        <v>0</v>
      </c>
      <c r="AD50" s="3">
        <f t="shared" si="496"/>
        <v>0</v>
      </c>
      <c r="AE50" s="3">
        <f t="shared" si="496"/>
        <v>0</v>
      </c>
      <c r="AF50" s="3">
        <f t="shared" si="496"/>
        <v>0</v>
      </c>
      <c r="AG50" s="3">
        <f t="shared" si="496"/>
        <v>0</v>
      </c>
      <c r="AH50" s="3">
        <f t="shared" si="496"/>
        <v>0</v>
      </c>
      <c r="AI50" s="3">
        <f t="shared" si="496"/>
        <v>0</v>
      </c>
      <c r="AJ50" s="3">
        <f t="shared" si="496"/>
        <v>0</v>
      </c>
      <c r="AK50" s="3">
        <f t="shared" si="496"/>
        <v>0</v>
      </c>
      <c r="AL50" s="3">
        <f t="shared" si="496"/>
        <v>0</v>
      </c>
      <c r="AM50" s="3">
        <f t="shared" si="496"/>
        <v>0</v>
      </c>
      <c r="AN50" s="3">
        <f t="shared" si="496"/>
        <v>0</v>
      </c>
      <c r="AO50" s="3">
        <f t="shared" si="496"/>
        <v>0</v>
      </c>
      <c r="AP50" s="3">
        <f t="shared" si="496"/>
        <v>0</v>
      </c>
      <c r="AQ50" s="3">
        <f t="shared" si="496"/>
        <v>0</v>
      </c>
      <c r="AR50" s="3">
        <f t="shared" si="496"/>
        <v>0</v>
      </c>
      <c r="AS50" s="3">
        <f t="shared" si="496"/>
        <v>0</v>
      </c>
      <c r="AT50" s="3">
        <f t="shared" si="496"/>
        <v>0</v>
      </c>
      <c r="AU50" s="3">
        <f t="shared" si="496"/>
        <v>0</v>
      </c>
      <c r="AV50" s="3">
        <f t="shared" si="496"/>
        <v>0</v>
      </c>
      <c r="AW50" s="3">
        <f t="shared" si="496"/>
        <v>0</v>
      </c>
      <c r="AX50" s="3">
        <f t="shared" si="496"/>
        <v>0</v>
      </c>
      <c r="AY50" s="3">
        <f t="shared" si="496"/>
        <v>0</v>
      </c>
      <c r="AZ50" s="3">
        <f t="shared" si="496"/>
        <v>0</v>
      </c>
      <c r="BA50" s="3">
        <f t="shared" si="496"/>
        <v>0</v>
      </c>
      <c r="BB50" s="3">
        <f t="shared" ref="BB50:CH50" si="497">BB47*BB49</f>
        <v>0</v>
      </c>
      <c r="BC50" s="3">
        <f t="shared" si="497"/>
        <v>0</v>
      </c>
      <c r="BD50" s="3">
        <f t="shared" si="497"/>
        <v>0</v>
      </c>
      <c r="BE50" s="3">
        <f t="shared" si="497"/>
        <v>0</v>
      </c>
      <c r="BF50" s="3">
        <f t="shared" si="497"/>
        <v>0</v>
      </c>
      <c r="BG50" s="3">
        <f t="shared" si="497"/>
        <v>0</v>
      </c>
      <c r="BH50" s="3">
        <f t="shared" si="497"/>
        <v>0</v>
      </c>
      <c r="BI50" s="3">
        <f t="shared" si="497"/>
        <v>0</v>
      </c>
      <c r="BJ50" s="3">
        <f t="shared" si="497"/>
        <v>0</v>
      </c>
      <c r="BK50" s="3">
        <f t="shared" si="497"/>
        <v>0</v>
      </c>
      <c r="BL50" s="3">
        <f t="shared" si="497"/>
        <v>0</v>
      </c>
      <c r="BM50" s="3">
        <f t="shared" si="497"/>
        <v>0</v>
      </c>
      <c r="BN50" s="3">
        <f t="shared" si="497"/>
        <v>0</v>
      </c>
      <c r="BO50" s="3">
        <f t="shared" si="497"/>
        <v>0</v>
      </c>
      <c r="BP50" s="3">
        <f t="shared" si="497"/>
        <v>0</v>
      </c>
      <c r="BQ50" s="3">
        <f t="shared" si="497"/>
        <v>0</v>
      </c>
      <c r="BR50" s="3">
        <f t="shared" si="497"/>
        <v>0</v>
      </c>
      <c r="BS50" s="3">
        <f t="shared" si="497"/>
        <v>0</v>
      </c>
      <c r="BT50" s="3">
        <f t="shared" si="497"/>
        <v>0</v>
      </c>
      <c r="BU50" s="3">
        <f t="shared" si="497"/>
        <v>0</v>
      </c>
      <c r="BV50" s="3">
        <f t="shared" si="497"/>
        <v>0</v>
      </c>
      <c r="BW50" s="3">
        <f t="shared" si="497"/>
        <v>0</v>
      </c>
      <c r="BX50" s="3">
        <f t="shared" si="497"/>
        <v>0</v>
      </c>
      <c r="BY50" s="3">
        <f t="shared" si="497"/>
        <v>0</v>
      </c>
      <c r="BZ50" s="3">
        <f t="shared" si="497"/>
        <v>0</v>
      </c>
      <c r="CA50" s="3">
        <f t="shared" si="497"/>
        <v>0</v>
      </c>
      <c r="CB50" s="3">
        <f t="shared" si="497"/>
        <v>0</v>
      </c>
      <c r="CC50" s="3">
        <f t="shared" si="497"/>
        <v>0</v>
      </c>
      <c r="CD50" s="3">
        <f t="shared" si="497"/>
        <v>0</v>
      </c>
      <c r="CE50" s="3">
        <f t="shared" si="497"/>
        <v>0</v>
      </c>
      <c r="CF50" s="3">
        <f t="shared" si="497"/>
        <v>0</v>
      </c>
      <c r="CG50" s="3">
        <f t="shared" si="497"/>
        <v>0</v>
      </c>
      <c r="CH50" s="226">
        <f t="shared" si="497"/>
        <v>0</v>
      </c>
    </row>
    <row r="51" spans="2:86" ht="9.75" customHeight="1">
      <c r="B51" s="275"/>
      <c r="I51" s="5"/>
      <c r="J51" s="5"/>
      <c r="K51" s="5"/>
      <c r="L51" s="5"/>
      <c r="CH51" s="232"/>
    </row>
    <row r="52" spans="2:86">
      <c r="B52" s="465" t="s">
        <v>53</v>
      </c>
      <c r="C52" s="466"/>
      <c r="D52" s="3"/>
      <c r="E52" s="238"/>
      <c r="F52" s="238"/>
      <c r="G52" s="238"/>
      <c r="H52" s="238"/>
      <c r="I52" s="238"/>
      <c r="J52" s="238"/>
      <c r="K52" s="238"/>
      <c r="L52" s="238"/>
      <c r="M52" s="238"/>
      <c r="N52" s="238"/>
      <c r="O52" s="238"/>
      <c r="P52" s="238"/>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38"/>
      <c r="CF52" s="238"/>
      <c r="CG52" s="238"/>
      <c r="CH52" s="239"/>
    </row>
    <row r="53" spans="2:86">
      <c r="B53" s="465" t="s">
        <v>54</v>
      </c>
      <c r="C53" s="466"/>
      <c r="D53" s="3">
        <f>Cockpit!$N$26*D49</f>
        <v>0</v>
      </c>
      <c r="E53" s="3">
        <f t="shared" ref="E53" si="498">MIN(D58,IF(E52&lt;&gt;"",E52,MAX(D56-E50,0)))</f>
        <v>0</v>
      </c>
      <c r="F53" s="3">
        <f t="shared" ref="F53" si="499">MIN(E58,IF(F52&lt;&gt;"",F52,MAX(E56-F50,0)))</f>
        <v>0</v>
      </c>
      <c r="G53" s="3">
        <f t="shared" ref="G53" si="500">MIN(F58,IF(G52&lt;&gt;"",G52,MAX(F56-G50,0)))</f>
        <v>0</v>
      </c>
      <c r="H53" s="3">
        <f t="shared" ref="H53" si="501">MIN(G58,IF(H52&lt;&gt;"",H52,MAX(G56-H50,0)))</f>
        <v>0</v>
      </c>
      <c r="I53" s="3">
        <f t="shared" ref="I53" si="502">MIN(H58,IF(I52&lt;&gt;"",I52,MAX(H56-I50,0)))</f>
        <v>0</v>
      </c>
      <c r="J53" s="3">
        <f t="shared" ref="J53" si="503">MIN(I58,IF(J52&lt;&gt;"",J52,MAX(I56-J50,0)))</f>
        <v>0</v>
      </c>
      <c r="K53" s="3">
        <f t="shared" ref="K53" si="504">MIN(J58,IF(K52&lt;&gt;"",K52,MAX(J56-K50,0)))</f>
        <v>0</v>
      </c>
      <c r="L53" s="3">
        <f t="shared" ref="L53" si="505">MIN(K58,IF(L52&lt;&gt;"",L52,MAX(K56-L50,0)))</f>
        <v>0</v>
      </c>
      <c r="M53" s="3">
        <f>MIN(L58,IF(M52&lt;&gt;"",M52,MAX(L56-M50,0)))</f>
        <v>0</v>
      </c>
      <c r="N53" s="3">
        <f t="shared" ref="N53" si="506">MIN(M58,IF(N52&lt;&gt;"",N52,MAX(M56-N50,0)))</f>
        <v>0</v>
      </c>
      <c r="O53" s="3">
        <f t="shared" ref="O53" si="507">MIN(N58,IF(O52&lt;&gt;"",O52,MAX(N56-O50,0)))</f>
        <v>0</v>
      </c>
      <c r="P53" s="3">
        <f t="shared" ref="P53" si="508">MIN(O58,IF(P52&lt;&gt;"",P52,MAX(O56-P50,0)))</f>
        <v>0</v>
      </c>
      <c r="Q53" s="3">
        <f t="shared" ref="Q53" si="509">MIN(P58,IF(Q52&lt;&gt;"",Q52,MAX(P56-Q50,0)))</f>
        <v>0</v>
      </c>
      <c r="R53" s="3">
        <f t="shared" ref="R53" si="510">MIN(Q58,IF(R52&lt;&gt;"",R52,MAX(Q56-R50,0)))</f>
        <v>0</v>
      </c>
      <c r="S53" s="3">
        <f t="shared" ref="S53" si="511">MIN(R58,IF(S52&lt;&gt;"",S52,MAX(R56-S50,0)))</f>
        <v>0</v>
      </c>
      <c r="T53" s="3">
        <f t="shared" ref="T53" si="512">MIN(S58,IF(T52&lt;&gt;"",T52,MAX(S56-T50,0)))</f>
        <v>0</v>
      </c>
      <c r="U53" s="3">
        <f t="shared" ref="U53" si="513">MIN(T58,IF(U52&lt;&gt;"",U52,MAX(T56-U50,0)))</f>
        <v>0</v>
      </c>
      <c r="V53" s="3">
        <f t="shared" ref="V53" si="514">MIN(U58,IF(V52&lt;&gt;"",V52,MAX(U56-V50,0)))</f>
        <v>0</v>
      </c>
      <c r="W53" s="3">
        <f t="shared" ref="W53" si="515">MIN(V58,IF(W52&lt;&gt;"",W52,MAX(V56-W50,0)))</f>
        <v>0</v>
      </c>
      <c r="X53" s="3">
        <f t="shared" ref="X53" si="516">MIN(W58,IF(X52&lt;&gt;"",X52,MAX(W56-X50,0)))</f>
        <v>0</v>
      </c>
      <c r="Y53" s="3">
        <f t="shared" ref="Y53" si="517">MIN(X58,IF(Y52&lt;&gt;"",Y52,MAX(X56-Y50,0)))</f>
        <v>0</v>
      </c>
      <c r="Z53" s="3">
        <f t="shared" ref="Z53" si="518">MIN(Y58,IF(Z52&lt;&gt;"",Z52,MAX(Y56-Z50,0)))</f>
        <v>0</v>
      </c>
      <c r="AA53" s="3">
        <f t="shared" ref="AA53" si="519">MIN(Z58,IF(AA52&lt;&gt;"",AA52,MAX(Z56-AA50,0)))</f>
        <v>0</v>
      </c>
      <c r="AB53" s="3">
        <f t="shared" ref="AB53" si="520">MIN(AA58,IF(AB52&lt;&gt;"",AB52,MAX(AA56-AB50,0)))</f>
        <v>0</v>
      </c>
      <c r="AC53" s="3">
        <f t="shared" ref="AC53" si="521">MIN(AB58,IF(AC52&lt;&gt;"",AC52,MAX(AB56-AC50,0)))</f>
        <v>0</v>
      </c>
      <c r="AD53" s="3">
        <f t="shared" ref="AD53" si="522">MIN(AC58,IF(AD52&lt;&gt;"",AD52,MAX(AC56-AD50,0)))</f>
        <v>0</v>
      </c>
      <c r="AE53" s="3">
        <f t="shared" ref="AE53" si="523">MIN(AD58,IF(AE52&lt;&gt;"",AE52,MAX(AD56-AE50,0)))</f>
        <v>0</v>
      </c>
      <c r="AF53" s="3">
        <f t="shared" ref="AF53" si="524">MIN(AE58,IF(AF52&lt;&gt;"",AF52,MAX(AE56-AF50,0)))</f>
        <v>0</v>
      </c>
      <c r="AG53" s="3">
        <f t="shared" ref="AG53" si="525">MIN(AF58,IF(AG52&lt;&gt;"",AG52,MAX(AF56-AG50,0)))</f>
        <v>0</v>
      </c>
      <c r="AH53" s="3">
        <f t="shared" ref="AH53" si="526">MIN(AG58,IF(AH52&lt;&gt;"",AH52,MAX(AG56-AH50,0)))</f>
        <v>0</v>
      </c>
      <c r="AI53" s="3">
        <f t="shared" ref="AI53" si="527">MIN(AH58,IF(AI52&lt;&gt;"",AI52,MAX(AH56-AI50,0)))</f>
        <v>0</v>
      </c>
      <c r="AJ53" s="3">
        <f t="shared" ref="AJ53" si="528">MIN(AI58,IF(AJ52&lt;&gt;"",AJ52,MAX(AI56-AJ50,0)))</f>
        <v>0</v>
      </c>
      <c r="AK53" s="3">
        <f t="shared" ref="AK53" si="529">MIN(AJ58,IF(AK52&lt;&gt;"",AK52,MAX(AJ56-AK50,0)))</f>
        <v>0</v>
      </c>
      <c r="AL53" s="3">
        <f t="shared" ref="AL53" si="530">MIN(AK58,IF(AL52&lt;&gt;"",AL52,MAX(AK56-AL50,0)))</f>
        <v>0</v>
      </c>
      <c r="AM53" s="3">
        <f t="shared" ref="AM53" si="531">MIN(AL58,IF(AM52&lt;&gt;"",AM52,MAX(AL56-AM50,0)))</f>
        <v>0</v>
      </c>
      <c r="AN53" s="3">
        <f t="shared" ref="AN53" si="532">MIN(AM58,IF(AN52&lt;&gt;"",AN52,MAX(AM56-AN50,0)))</f>
        <v>0</v>
      </c>
      <c r="AO53" s="3">
        <f t="shared" ref="AO53" si="533">MIN(AN58,IF(AO52&lt;&gt;"",AO52,MAX(AN56-AO50,0)))</f>
        <v>0</v>
      </c>
      <c r="AP53" s="3">
        <f t="shared" ref="AP53" si="534">MIN(AO58,IF(AP52&lt;&gt;"",AP52,MAX(AO56-AP50,0)))</f>
        <v>0</v>
      </c>
      <c r="AQ53" s="3">
        <f t="shared" ref="AQ53" si="535">MIN(AP58,IF(AQ52&lt;&gt;"",AQ52,MAX(AP56-AQ50,0)))</f>
        <v>0</v>
      </c>
      <c r="AR53" s="3">
        <f t="shared" ref="AR53" si="536">MIN(AQ58,IF(AR52&lt;&gt;"",AR52,MAX(AQ56-AR50,0)))</f>
        <v>0</v>
      </c>
      <c r="AS53" s="3">
        <f t="shared" ref="AS53" si="537">MIN(AR58,IF(AS52&lt;&gt;"",AS52,MAX(AR56-AS50,0)))</f>
        <v>0</v>
      </c>
      <c r="AT53" s="3">
        <f t="shared" ref="AT53" si="538">MIN(AS58,IF(AT52&lt;&gt;"",AT52,MAX(AS56-AT50,0)))</f>
        <v>0</v>
      </c>
      <c r="AU53" s="3">
        <f t="shared" ref="AU53" si="539">MIN(AT58,IF(AU52&lt;&gt;"",AU52,MAX(AT56-AU50,0)))</f>
        <v>0</v>
      </c>
      <c r="AV53" s="3">
        <f t="shared" ref="AV53" si="540">MIN(AU58,IF(AV52&lt;&gt;"",AV52,MAX(AU56-AV50,0)))</f>
        <v>0</v>
      </c>
      <c r="AW53" s="3">
        <f t="shared" ref="AW53" si="541">MIN(AV58,IF(AW52&lt;&gt;"",AW52,MAX(AV56-AW50,0)))</f>
        <v>0</v>
      </c>
      <c r="AX53" s="3">
        <f t="shared" ref="AX53" si="542">MIN(AW58,IF(AX52&lt;&gt;"",AX52,MAX(AW56-AX50,0)))</f>
        <v>0</v>
      </c>
      <c r="AY53" s="3">
        <f t="shared" ref="AY53" si="543">MIN(AX58,IF(AY52&lt;&gt;"",AY52,MAX(AX56-AY50,0)))</f>
        <v>0</v>
      </c>
      <c r="AZ53" s="3">
        <f t="shared" ref="AZ53" si="544">MIN(AY58,IF(AZ52&lt;&gt;"",AZ52,MAX(AY56-AZ50,0)))</f>
        <v>0</v>
      </c>
      <c r="BA53" s="3">
        <f>MIN(AZ58,IF(BA52&lt;&gt;"",BA52,MAX(AZ56-BA50,0)))</f>
        <v>0</v>
      </c>
      <c r="BB53" s="3">
        <f t="shared" ref="BB53:BC53" si="545">MIN(BA58,IF(BB52&lt;&gt;"",BB52,MAX(BA56-BB50,0)))</f>
        <v>0</v>
      </c>
      <c r="BC53" s="3">
        <f t="shared" si="545"/>
        <v>0</v>
      </c>
      <c r="BD53" s="3">
        <f t="shared" ref="BD53:BE53" si="546">MIN(BC58,IF(BD52&lt;&gt;"",BD52,MAX(BC56-BD50,0)))</f>
        <v>0</v>
      </c>
      <c r="BE53" s="3">
        <f t="shared" si="546"/>
        <v>0</v>
      </c>
      <c r="BF53" s="3">
        <f t="shared" ref="BF53:BG53" si="547">MIN(BE58,IF(BF52&lt;&gt;"",BF52,MAX(BE56-BF50,0)))</f>
        <v>0</v>
      </c>
      <c r="BG53" s="3">
        <f t="shared" si="547"/>
        <v>0</v>
      </c>
      <c r="BH53" s="3">
        <f t="shared" ref="BH53:BI53" si="548">MIN(BG58,IF(BH52&lt;&gt;"",BH52,MAX(BG56-BH50,0)))</f>
        <v>0</v>
      </c>
      <c r="BI53" s="3">
        <f t="shared" si="548"/>
        <v>0</v>
      </c>
      <c r="BJ53" s="3">
        <f t="shared" ref="BJ53:BK53" si="549">MIN(BI58,IF(BJ52&lt;&gt;"",BJ52,MAX(BI56-BJ50,0)))</f>
        <v>0</v>
      </c>
      <c r="BK53" s="3">
        <f t="shared" si="549"/>
        <v>0</v>
      </c>
      <c r="BL53" s="3">
        <f t="shared" ref="BL53:BM53" si="550">MIN(BK58,IF(BL52&lt;&gt;"",BL52,MAX(BK56-BL50,0)))</f>
        <v>0</v>
      </c>
      <c r="BM53" s="3">
        <f t="shared" si="550"/>
        <v>0</v>
      </c>
      <c r="BN53" s="3">
        <f t="shared" ref="BN53:BO53" si="551">MIN(BM58,IF(BN52&lt;&gt;"",BN52,MAX(BM56-BN50,0)))</f>
        <v>0</v>
      </c>
      <c r="BO53" s="3">
        <f t="shared" si="551"/>
        <v>0</v>
      </c>
      <c r="BP53" s="3">
        <f t="shared" ref="BP53:BQ53" si="552">MIN(BO58,IF(BP52&lt;&gt;"",BP52,MAX(BO56-BP50,0)))</f>
        <v>0</v>
      </c>
      <c r="BQ53" s="3">
        <f t="shared" si="552"/>
        <v>0</v>
      </c>
      <c r="BR53" s="3">
        <f t="shared" ref="BR53:BS53" si="553">MIN(BQ58,IF(BR52&lt;&gt;"",BR52,MAX(BQ56-BR50,0)))</f>
        <v>0</v>
      </c>
      <c r="BS53" s="3">
        <f t="shared" si="553"/>
        <v>0</v>
      </c>
      <c r="BT53" s="3">
        <f t="shared" ref="BT53:BU53" si="554">MIN(BS58,IF(BT52&lt;&gt;"",BT52,MAX(BS56-BT50,0)))</f>
        <v>0</v>
      </c>
      <c r="BU53" s="3">
        <f t="shared" si="554"/>
        <v>0</v>
      </c>
      <c r="BV53" s="3">
        <f t="shared" ref="BV53:BW53" si="555">MIN(BU58,IF(BV52&lt;&gt;"",BV52,MAX(BU56-BV50,0)))</f>
        <v>0</v>
      </c>
      <c r="BW53" s="3">
        <f t="shared" si="555"/>
        <v>0</v>
      </c>
      <c r="BX53" s="3">
        <f t="shared" ref="BX53:BY53" si="556">MIN(BW58,IF(BX52&lt;&gt;"",BX52,MAX(BW56-BX50,0)))</f>
        <v>0</v>
      </c>
      <c r="BY53" s="3">
        <f t="shared" si="556"/>
        <v>0</v>
      </c>
      <c r="BZ53" s="3">
        <f t="shared" ref="BZ53:CA53" si="557">MIN(BY58,IF(BZ52&lt;&gt;"",BZ52,MAX(BY56-BZ50,0)))</f>
        <v>0</v>
      </c>
      <c r="CA53" s="3">
        <f t="shared" si="557"/>
        <v>0</v>
      </c>
      <c r="CB53" s="3">
        <f t="shared" ref="CB53:CC53" si="558">MIN(CA58,IF(CB52&lt;&gt;"",CB52,MAX(CA56-CB50,0)))</f>
        <v>0</v>
      </c>
      <c r="CC53" s="3">
        <f t="shared" si="558"/>
        <v>0</v>
      </c>
      <c r="CD53" s="3">
        <f t="shared" ref="CD53:CE53" si="559">MIN(CC58,IF(CD52&lt;&gt;"",CD52,MAX(CC56-CD50,0)))</f>
        <v>0</v>
      </c>
      <c r="CE53" s="3">
        <f t="shared" si="559"/>
        <v>0</v>
      </c>
      <c r="CF53" s="3">
        <f t="shared" ref="CF53:CG53" si="560">MIN(CE58,IF(CF52&lt;&gt;"",CF52,MAX(CE56-CF50,0)))</f>
        <v>0</v>
      </c>
      <c r="CG53" s="3">
        <f t="shared" si="560"/>
        <v>0</v>
      </c>
      <c r="CH53" s="226">
        <f t="shared" ref="CH53" si="561">MIN(CG58,IF(CH52&lt;&gt;"",CH52,MAX(CG56-CH50,0)))</f>
        <v>0</v>
      </c>
    </row>
    <row r="54" spans="2:86">
      <c r="B54" s="500" t="s">
        <v>55</v>
      </c>
      <c r="C54" s="501"/>
      <c r="D54" s="31">
        <f>IF(D49&gt;0,D53/D49,)</f>
        <v>0</v>
      </c>
      <c r="E54" s="31">
        <f t="shared" ref="E54:BA54" si="562">IF(E49&gt;0,E53/E49,)</f>
        <v>0</v>
      </c>
      <c r="F54" s="31">
        <f t="shared" si="562"/>
        <v>0</v>
      </c>
      <c r="G54" s="31">
        <f t="shared" si="562"/>
        <v>0</v>
      </c>
      <c r="H54" s="31">
        <f t="shared" si="562"/>
        <v>0</v>
      </c>
      <c r="I54" s="31">
        <f t="shared" si="562"/>
        <v>0</v>
      </c>
      <c r="J54" s="31">
        <f t="shared" si="562"/>
        <v>0</v>
      </c>
      <c r="K54" s="31">
        <f t="shared" si="562"/>
        <v>0</v>
      </c>
      <c r="L54" s="31">
        <f t="shared" si="562"/>
        <v>0</v>
      </c>
      <c r="M54" s="31">
        <f t="shared" si="562"/>
        <v>0</v>
      </c>
      <c r="N54" s="31">
        <f t="shared" si="562"/>
        <v>0</v>
      </c>
      <c r="O54" s="31">
        <f t="shared" si="562"/>
        <v>0</v>
      </c>
      <c r="P54" s="31">
        <f t="shared" si="562"/>
        <v>0</v>
      </c>
      <c r="Q54" s="31">
        <f t="shared" si="562"/>
        <v>0</v>
      </c>
      <c r="R54" s="31">
        <f t="shared" si="562"/>
        <v>0</v>
      </c>
      <c r="S54" s="31">
        <f t="shared" si="562"/>
        <v>0</v>
      </c>
      <c r="T54" s="31">
        <f t="shared" si="562"/>
        <v>0</v>
      </c>
      <c r="U54" s="31">
        <f t="shared" si="562"/>
        <v>0</v>
      </c>
      <c r="V54" s="31">
        <f t="shared" si="562"/>
        <v>0</v>
      </c>
      <c r="W54" s="31">
        <f t="shared" si="562"/>
        <v>0</v>
      </c>
      <c r="X54" s="31">
        <f t="shared" si="562"/>
        <v>0</v>
      </c>
      <c r="Y54" s="31">
        <f t="shared" si="562"/>
        <v>0</v>
      </c>
      <c r="Z54" s="31">
        <f t="shared" si="562"/>
        <v>0</v>
      </c>
      <c r="AA54" s="31">
        <f t="shared" si="562"/>
        <v>0</v>
      </c>
      <c r="AB54" s="31">
        <f t="shared" si="562"/>
        <v>0</v>
      </c>
      <c r="AC54" s="31">
        <f t="shared" si="562"/>
        <v>0</v>
      </c>
      <c r="AD54" s="31">
        <f t="shared" si="562"/>
        <v>0</v>
      </c>
      <c r="AE54" s="31">
        <f t="shared" si="562"/>
        <v>0</v>
      </c>
      <c r="AF54" s="31">
        <f t="shared" si="562"/>
        <v>0</v>
      </c>
      <c r="AG54" s="31">
        <f t="shared" si="562"/>
        <v>0</v>
      </c>
      <c r="AH54" s="31">
        <f t="shared" si="562"/>
        <v>0</v>
      </c>
      <c r="AI54" s="31">
        <f t="shared" si="562"/>
        <v>0</v>
      </c>
      <c r="AJ54" s="31">
        <f t="shared" si="562"/>
        <v>0</v>
      </c>
      <c r="AK54" s="31">
        <f t="shared" si="562"/>
        <v>0</v>
      </c>
      <c r="AL54" s="31">
        <f t="shared" si="562"/>
        <v>0</v>
      </c>
      <c r="AM54" s="31">
        <f t="shared" si="562"/>
        <v>0</v>
      </c>
      <c r="AN54" s="31">
        <f t="shared" si="562"/>
        <v>0</v>
      </c>
      <c r="AO54" s="31">
        <f t="shared" si="562"/>
        <v>0</v>
      </c>
      <c r="AP54" s="31">
        <f t="shared" si="562"/>
        <v>0</v>
      </c>
      <c r="AQ54" s="31">
        <f t="shared" si="562"/>
        <v>0</v>
      </c>
      <c r="AR54" s="31">
        <f t="shared" si="562"/>
        <v>0</v>
      </c>
      <c r="AS54" s="31">
        <f t="shared" si="562"/>
        <v>0</v>
      </c>
      <c r="AT54" s="31">
        <f t="shared" si="562"/>
        <v>0</v>
      </c>
      <c r="AU54" s="31">
        <f t="shared" si="562"/>
        <v>0</v>
      </c>
      <c r="AV54" s="31">
        <f t="shared" si="562"/>
        <v>0</v>
      </c>
      <c r="AW54" s="31">
        <f t="shared" si="562"/>
        <v>0</v>
      </c>
      <c r="AX54" s="31">
        <f t="shared" si="562"/>
        <v>0</v>
      </c>
      <c r="AY54" s="31">
        <f t="shared" si="562"/>
        <v>0</v>
      </c>
      <c r="AZ54" s="31">
        <f t="shared" si="562"/>
        <v>0</v>
      </c>
      <c r="BA54" s="31">
        <f t="shared" si="562"/>
        <v>0</v>
      </c>
      <c r="BB54" s="31">
        <f t="shared" ref="BB54:CH54" si="563">IF(BB49&gt;0,BB53/BB49,)</f>
        <v>0</v>
      </c>
      <c r="BC54" s="31">
        <f t="shared" si="563"/>
        <v>0</v>
      </c>
      <c r="BD54" s="31">
        <f t="shared" si="563"/>
        <v>0</v>
      </c>
      <c r="BE54" s="31">
        <f t="shared" si="563"/>
        <v>0</v>
      </c>
      <c r="BF54" s="31">
        <f t="shared" si="563"/>
        <v>0</v>
      </c>
      <c r="BG54" s="31">
        <f t="shared" si="563"/>
        <v>0</v>
      </c>
      <c r="BH54" s="31">
        <f t="shared" si="563"/>
        <v>0</v>
      </c>
      <c r="BI54" s="31">
        <f t="shared" si="563"/>
        <v>0</v>
      </c>
      <c r="BJ54" s="31">
        <f t="shared" si="563"/>
        <v>0</v>
      </c>
      <c r="BK54" s="31">
        <f t="shared" si="563"/>
        <v>0</v>
      </c>
      <c r="BL54" s="31">
        <f t="shared" si="563"/>
        <v>0</v>
      </c>
      <c r="BM54" s="31">
        <f t="shared" si="563"/>
        <v>0</v>
      </c>
      <c r="BN54" s="31">
        <f t="shared" si="563"/>
        <v>0</v>
      </c>
      <c r="BO54" s="31">
        <f t="shared" si="563"/>
        <v>0</v>
      </c>
      <c r="BP54" s="31">
        <f t="shared" si="563"/>
        <v>0</v>
      </c>
      <c r="BQ54" s="31">
        <f t="shared" si="563"/>
        <v>0</v>
      </c>
      <c r="BR54" s="31">
        <f t="shared" si="563"/>
        <v>0</v>
      </c>
      <c r="BS54" s="31">
        <f t="shared" si="563"/>
        <v>0</v>
      </c>
      <c r="BT54" s="31">
        <f t="shared" si="563"/>
        <v>0</v>
      </c>
      <c r="BU54" s="31">
        <f t="shared" si="563"/>
        <v>0</v>
      </c>
      <c r="BV54" s="31">
        <f t="shared" si="563"/>
        <v>0</v>
      </c>
      <c r="BW54" s="31">
        <f t="shared" si="563"/>
        <v>0</v>
      </c>
      <c r="BX54" s="31">
        <f t="shared" si="563"/>
        <v>0</v>
      </c>
      <c r="BY54" s="31">
        <f t="shared" si="563"/>
        <v>0</v>
      </c>
      <c r="BZ54" s="31">
        <f t="shared" si="563"/>
        <v>0</v>
      </c>
      <c r="CA54" s="31">
        <f t="shared" si="563"/>
        <v>0</v>
      </c>
      <c r="CB54" s="31">
        <f t="shared" si="563"/>
        <v>0</v>
      </c>
      <c r="CC54" s="31">
        <f t="shared" si="563"/>
        <v>0</v>
      </c>
      <c r="CD54" s="31">
        <f t="shared" si="563"/>
        <v>0</v>
      </c>
      <c r="CE54" s="31">
        <f t="shared" si="563"/>
        <v>0</v>
      </c>
      <c r="CF54" s="31">
        <f t="shared" si="563"/>
        <v>0</v>
      </c>
      <c r="CG54" s="31">
        <f t="shared" si="563"/>
        <v>0</v>
      </c>
      <c r="CH54" s="231">
        <f t="shared" si="563"/>
        <v>0</v>
      </c>
    </row>
    <row r="55" spans="2:86" ht="9.75" customHeight="1">
      <c r="B55" s="275"/>
      <c r="I55" s="5"/>
      <c r="J55" s="5"/>
      <c r="K55" s="5"/>
      <c r="L55" s="5"/>
      <c r="CH55" s="232"/>
    </row>
    <row r="56" spans="2:86">
      <c r="B56" s="465" t="s">
        <v>46</v>
      </c>
      <c r="C56" s="466"/>
      <c r="D56" s="3">
        <f t="shared" ref="D56:BA56" si="564">D50+D53</f>
        <v>0</v>
      </c>
      <c r="E56" s="3">
        <f t="shared" si="564"/>
        <v>0</v>
      </c>
      <c r="F56" s="3">
        <f t="shared" si="564"/>
        <v>0</v>
      </c>
      <c r="G56" s="3">
        <f t="shared" si="564"/>
        <v>0</v>
      </c>
      <c r="H56" s="3">
        <f t="shared" si="564"/>
        <v>0</v>
      </c>
      <c r="I56" s="3">
        <f t="shared" si="564"/>
        <v>0</v>
      </c>
      <c r="J56" s="3">
        <f t="shared" si="564"/>
        <v>0</v>
      </c>
      <c r="K56" s="3">
        <f t="shared" si="564"/>
        <v>0</v>
      </c>
      <c r="L56" s="3">
        <f t="shared" si="564"/>
        <v>0</v>
      </c>
      <c r="M56" s="3">
        <f t="shared" si="564"/>
        <v>0</v>
      </c>
      <c r="N56" s="3">
        <f t="shared" si="564"/>
        <v>0</v>
      </c>
      <c r="O56" s="3">
        <f t="shared" si="564"/>
        <v>0</v>
      </c>
      <c r="P56" s="3">
        <f t="shared" si="564"/>
        <v>0</v>
      </c>
      <c r="Q56" s="3">
        <f t="shared" si="564"/>
        <v>0</v>
      </c>
      <c r="R56" s="3">
        <f t="shared" si="564"/>
        <v>0</v>
      </c>
      <c r="S56" s="3">
        <f t="shared" si="564"/>
        <v>0</v>
      </c>
      <c r="T56" s="3">
        <f t="shared" si="564"/>
        <v>0</v>
      </c>
      <c r="U56" s="3">
        <f t="shared" si="564"/>
        <v>0</v>
      </c>
      <c r="V56" s="3">
        <f t="shared" si="564"/>
        <v>0</v>
      </c>
      <c r="W56" s="3">
        <f t="shared" si="564"/>
        <v>0</v>
      </c>
      <c r="X56" s="3">
        <f t="shared" si="564"/>
        <v>0</v>
      </c>
      <c r="Y56" s="3">
        <f t="shared" si="564"/>
        <v>0</v>
      </c>
      <c r="Z56" s="3">
        <f t="shared" si="564"/>
        <v>0</v>
      </c>
      <c r="AA56" s="3">
        <f t="shared" si="564"/>
        <v>0</v>
      </c>
      <c r="AB56" s="3">
        <f t="shared" si="564"/>
        <v>0</v>
      </c>
      <c r="AC56" s="3">
        <f t="shared" si="564"/>
        <v>0</v>
      </c>
      <c r="AD56" s="3">
        <f t="shared" si="564"/>
        <v>0</v>
      </c>
      <c r="AE56" s="3">
        <f t="shared" si="564"/>
        <v>0</v>
      </c>
      <c r="AF56" s="3">
        <f t="shared" si="564"/>
        <v>0</v>
      </c>
      <c r="AG56" s="3">
        <f t="shared" si="564"/>
        <v>0</v>
      </c>
      <c r="AH56" s="3">
        <f t="shared" si="564"/>
        <v>0</v>
      </c>
      <c r="AI56" s="3">
        <f t="shared" si="564"/>
        <v>0</v>
      </c>
      <c r="AJ56" s="3">
        <f t="shared" si="564"/>
        <v>0</v>
      </c>
      <c r="AK56" s="3">
        <f t="shared" si="564"/>
        <v>0</v>
      </c>
      <c r="AL56" s="3">
        <f t="shared" si="564"/>
        <v>0</v>
      </c>
      <c r="AM56" s="3">
        <f t="shared" si="564"/>
        <v>0</v>
      </c>
      <c r="AN56" s="3">
        <f t="shared" si="564"/>
        <v>0</v>
      </c>
      <c r="AO56" s="3">
        <f t="shared" si="564"/>
        <v>0</v>
      </c>
      <c r="AP56" s="3">
        <f t="shared" si="564"/>
        <v>0</v>
      </c>
      <c r="AQ56" s="3">
        <f t="shared" si="564"/>
        <v>0</v>
      </c>
      <c r="AR56" s="3">
        <f t="shared" si="564"/>
        <v>0</v>
      </c>
      <c r="AS56" s="3">
        <f t="shared" si="564"/>
        <v>0</v>
      </c>
      <c r="AT56" s="3">
        <f t="shared" si="564"/>
        <v>0</v>
      </c>
      <c r="AU56" s="3">
        <f t="shared" si="564"/>
        <v>0</v>
      </c>
      <c r="AV56" s="3">
        <f t="shared" si="564"/>
        <v>0</v>
      </c>
      <c r="AW56" s="3">
        <f t="shared" si="564"/>
        <v>0</v>
      </c>
      <c r="AX56" s="3">
        <f t="shared" si="564"/>
        <v>0</v>
      </c>
      <c r="AY56" s="3">
        <f t="shared" si="564"/>
        <v>0</v>
      </c>
      <c r="AZ56" s="3">
        <f t="shared" si="564"/>
        <v>0</v>
      </c>
      <c r="BA56" s="3">
        <f t="shared" si="564"/>
        <v>0</v>
      </c>
      <c r="BB56" s="3">
        <f t="shared" ref="BB56:CH56" si="565">BB50+BB53</f>
        <v>0</v>
      </c>
      <c r="BC56" s="3">
        <f t="shared" si="565"/>
        <v>0</v>
      </c>
      <c r="BD56" s="3">
        <f t="shared" si="565"/>
        <v>0</v>
      </c>
      <c r="BE56" s="3">
        <f t="shared" si="565"/>
        <v>0</v>
      </c>
      <c r="BF56" s="3">
        <f t="shared" si="565"/>
        <v>0</v>
      </c>
      <c r="BG56" s="3">
        <f t="shared" si="565"/>
        <v>0</v>
      </c>
      <c r="BH56" s="3">
        <f t="shared" si="565"/>
        <v>0</v>
      </c>
      <c r="BI56" s="3">
        <f t="shared" si="565"/>
        <v>0</v>
      </c>
      <c r="BJ56" s="3">
        <f t="shared" si="565"/>
        <v>0</v>
      </c>
      <c r="BK56" s="3">
        <f t="shared" si="565"/>
        <v>0</v>
      </c>
      <c r="BL56" s="3">
        <f t="shared" si="565"/>
        <v>0</v>
      </c>
      <c r="BM56" s="3">
        <f t="shared" si="565"/>
        <v>0</v>
      </c>
      <c r="BN56" s="3">
        <f t="shared" si="565"/>
        <v>0</v>
      </c>
      <c r="BO56" s="3">
        <f t="shared" si="565"/>
        <v>0</v>
      </c>
      <c r="BP56" s="3">
        <f t="shared" si="565"/>
        <v>0</v>
      </c>
      <c r="BQ56" s="3">
        <f t="shared" si="565"/>
        <v>0</v>
      </c>
      <c r="BR56" s="3">
        <f t="shared" si="565"/>
        <v>0</v>
      </c>
      <c r="BS56" s="3">
        <f t="shared" si="565"/>
        <v>0</v>
      </c>
      <c r="BT56" s="3">
        <f t="shared" si="565"/>
        <v>0</v>
      </c>
      <c r="BU56" s="3">
        <f t="shared" si="565"/>
        <v>0</v>
      </c>
      <c r="BV56" s="3">
        <f t="shared" si="565"/>
        <v>0</v>
      </c>
      <c r="BW56" s="3">
        <f t="shared" si="565"/>
        <v>0</v>
      </c>
      <c r="BX56" s="3">
        <f t="shared" si="565"/>
        <v>0</v>
      </c>
      <c r="BY56" s="3">
        <f t="shared" si="565"/>
        <v>0</v>
      </c>
      <c r="BZ56" s="3">
        <f t="shared" si="565"/>
        <v>0</v>
      </c>
      <c r="CA56" s="3">
        <f t="shared" si="565"/>
        <v>0</v>
      </c>
      <c r="CB56" s="3">
        <f t="shared" si="565"/>
        <v>0</v>
      </c>
      <c r="CC56" s="3">
        <f t="shared" si="565"/>
        <v>0</v>
      </c>
      <c r="CD56" s="3">
        <f t="shared" si="565"/>
        <v>0</v>
      </c>
      <c r="CE56" s="3">
        <f t="shared" si="565"/>
        <v>0</v>
      </c>
      <c r="CF56" s="3">
        <f t="shared" si="565"/>
        <v>0</v>
      </c>
      <c r="CG56" s="3">
        <f t="shared" si="565"/>
        <v>0</v>
      </c>
      <c r="CH56" s="226">
        <f t="shared" si="565"/>
        <v>0</v>
      </c>
    </row>
    <row r="57" spans="2:86">
      <c r="B57" s="465" t="s">
        <v>63</v>
      </c>
      <c r="C57" s="466"/>
      <c r="D57" s="238"/>
      <c r="E57" s="238"/>
      <c r="F57" s="238"/>
      <c r="G57" s="238"/>
      <c r="H57" s="238"/>
      <c r="I57" s="238"/>
      <c r="J57" s="238"/>
      <c r="K57" s="238"/>
      <c r="L57" s="238"/>
      <c r="M57" s="238"/>
      <c r="N57" s="238"/>
      <c r="O57" s="238"/>
      <c r="P57" s="238"/>
      <c r="Q57" s="238"/>
      <c r="R57" s="238"/>
      <c r="S57" s="238"/>
      <c r="T57" s="238"/>
      <c r="U57" s="238"/>
      <c r="V57" s="238"/>
      <c r="W57" s="238"/>
      <c r="X57" s="238"/>
      <c r="Y57" s="238"/>
      <c r="Z57" s="238"/>
      <c r="AA57" s="238"/>
      <c r="AB57" s="238"/>
      <c r="AC57" s="238"/>
      <c r="AD57" s="238"/>
      <c r="AE57" s="238"/>
      <c r="AF57" s="238"/>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38"/>
      <c r="BK57" s="238"/>
      <c r="BL57" s="238"/>
      <c r="BM57" s="238"/>
      <c r="BN57" s="238"/>
      <c r="BO57" s="238"/>
      <c r="BP57" s="238"/>
      <c r="BQ57" s="238"/>
      <c r="BR57" s="238"/>
      <c r="BS57" s="238"/>
      <c r="BT57" s="238"/>
      <c r="BU57" s="238"/>
      <c r="BV57" s="238"/>
      <c r="BW57" s="238"/>
      <c r="BX57" s="238"/>
      <c r="BY57" s="238"/>
      <c r="BZ57" s="238"/>
      <c r="CA57" s="238"/>
      <c r="CB57" s="238"/>
      <c r="CC57" s="238"/>
      <c r="CD57" s="238"/>
      <c r="CE57" s="238"/>
      <c r="CF57" s="238"/>
      <c r="CG57" s="238"/>
      <c r="CH57" s="239"/>
    </row>
    <row r="58" spans="2:86">
      <c r="B58" s="465" t="s">
        <v>48</v>
      </c>
      <c r="C58" s="466"/>
      <c r="D58" s="3">
        <f t="shared" ref="D58:BA58" si="566">MAX(D49-D53-D57,0)</f>
        <v>0</v>
      </c>
      <c r="E58" s="3">
        <f t="shared" si="566"/>
        <v>0</v>
      </c>
      <c r="F58" s="3">
        <f t="shared" si="566"/>
        <v>0</v>
      </c>
      <c r="G58" s="3">
        <f t="shared" si="566"/>
        <v>0</v>
      </c>
      <c r="H58" s="3">
        <f t="shared" si="566"/>
        <v>0</v>
      </c>
      <c r="I58" s="3">
        <f t="shared" si="566"/>
        <v>0</v>
      </c>
      <c r="J58" s="3">
        <f t="shared" si="566"/>
        <v>0</v>
      </c>
      <c r="K58" s="3">
        <f t="shared" si="566"/>
        <v>0</v>
      </c>
      <c r="L58" s="3">
        <f t="shared" si="566"/>
        <v>0</v>
      </c>
      <c r="M58" s="3">
        <f t="shared" si="566"/>
        <v>0</v>
      </c>
      <c r="N58" s="3">
        <f t="shared" si="566"/>
        <v>0</v>
      </c>
      <c r="O58" s="3">
        <f t="shared" si="566"/>
        <v>0</v>
      </c>
      <c r="P58" s="3">
        <f t="shared" si="566"/>
        <v>0</v>
      </c>
      <c r="Q58" s="3">
        <f t="shared" si="566"/>
        <v>0</v>
      </c>
      <c r="R58" s="3">
        <f t="shared" si="566"/>
        <v>0</v>
      </c>
      <c r="S58" s="3">
        <f t="shared" si="566"/>
        <v>0</v>
      </c>
      <c r="T58" s="3">
        <f t="shared" si="566"/>
        <v>0</v>
      </c>
      <c r="U58" s="3">
        <f t="shared" si="566"/>
        <v>0</v>
      </c>
      <c r="V58" s="3">
        <f t="shared" si="566"/>
        <v>0</v>
      </c>
      <c r="W58" s="3">
        <f t="shared" si="566"/>
        <v>0</v>
      </c>
      <c r="X58" s="3">
        <f t="shared" si="566"/>
        <v>0</v>
      </c>
      <c r="Y58" s="3">
        <f t="shared" si="566"/>
        <v>0</v>
      </c>
      <c r="Z58" s="3">
        <f t="shared" si="566"/>
        <v>0</v>
      </c>
      <c r="AA58" s="3">
        <f t="shared" si="566"/>
        <v>0</v>
      </c>
      <c r="AB58" s="3">
        <f t="shared" si="566"/>
        <v>0</v>
      </c>
      <c r="AC58" s="3">
        <f t="shared" si="566"/>
        <v>0</v>
      </c>
      <c r="AD58" s="3">
        <f t="shared" si="566"/>
        <v>0</v>
      </c>
      <c r="AE58" s="3">
        <f t="shared" si="566"/>
        <v>0</v>
      </c>
      <c r="AF58" s="3">
        <f t="shared" si="566"/>
        <v>0</v>
      </c>
      <c r="AG58" s="3">
        <f t="shared" si="566"/>
        <v>0</v>
      </c>
      <c r="AH58" s="3">
        <f t="shared" si="566"/>
        <v>0</v>
      </c>
      <c r="AI58" s="3">
        <f t="shared" si="566"/>
        <v>0</v>
      </c>
      <c r="AJ58" s="3">
        <f t="shared" si="566"/>
        <v>0</v>
      </c>
      <c r="AK58" s="3">
        <f t="shared" si="566"/>
        <v>0</v>
      </c>
      <c r="AL58" s="3">
        <f t="shared" si="566"/>
        <v>0</v>
      </c>
      <c r="AM58" s="3">
        <f t="shared" si="566"/>
        <v>0</v>
      </c>
      <c r="AN58" s="3">
        <f t="shared" si="566"/>
        <v>0</v>
      </c>
      <c r="AO58" s="3">
        <f t="shared" si="566"/>
        <v>0</v>
      </c>
      <c r="AP58" s="3">
        <f t="shared" si="566"/>
        <v>0</v>
      </c>
      <c r="AQ58" s="3">
        <f t="shared" si="566"/>
        <v>0</v>
      </c>
      <c r="AR58" s="3">
        <f t="shared" si="566"/>
        <v>0</v>
      </c>
      <c r="AS58" s="3">
        <f t="shared" si="566"/>
        <v>0</v>
      </c>
      <c r="AT58" s="3">
        <f t="shared" si="566"/>
        <v>0</v>
      </c>
      <c r="AU58" s="3">
        <f t="shared" si="566"/>
        <v>0</v>
      </c>
      <c r="AV58" s="3">
        <f t="shared" si="566"/>
        <v>0</v>
      </c>
      <c r="AW58" s="3">
        <f t="shared" si="566"/>
        <v>0</v>
      </c>
      <c r="AX58" s="3">
        <f t="shared" si="566"/>
        <v>0</v>
      </c>
      <c r="AY58" s="3">
        <f t="shared" si="566"/>
        <v>0</v>
      </c>
      <c r="AZ58" s="3">
        <f t="shared" si="566"/>
        <v>0</v>
      </c>
      <c r="BA58" s="3">
        <f t="shared" si="566"/>
        <v>0</v>
      </c>
      <c r="BB58" s="3">
        <f t="shared" ref="BB58:CH58" si="567">MAX(BB49-BB53-BB57,0)</f>
        <v>0</v>
      </c>
      <c r="BC58" s="3">
        <f t="shared" si="567"/>
        <v>0</v>
      </c>
      <c r="BD58" s="3">
        <f t="shared" si="567"/>
        <v>0</v>
      </c>
      <c r="BE58" s="3">
        <f t="shared" si="567"/>
        <v>0</v>
      </c>
      <c r="BF58" s="3">
        <f t="shared" si="567"/>
        <v>0</v>
      </c>
      <c r="BG58" s="3">
        <f t="shared" si="567"/>
        <v>0</v>
      </c>
      <c r="BH58" s="3">
        <f t="shared" si="567"/>
        <v>0</v>
      </c>
      <c r="BI58" s="3">
        <f t="shared" si="567"/>
        <v>0</v>
      </c>
      <c r="BJ58" s="3">
        <f t="shared" si="567"/>
        <v>0</v>
      </c>
      <c r="BK58" s="3">
        <f t="shared" si="567"/>
        <v>0</v>
      </c>
      <c r="BL58" s="3">
        <f t="shared" si="567"/>
        <v>0</v>
      </c>
      <c r="BM58" s="3">
        <f t="shared" si="567"/>
        <v>0</v>
      </c>
      <c r="BN58" s="3">
        <f t="shared" si="567"/>
        <v>0</v>
      </c>
      <c r="BO58" s="3">
        <f t="shared" si="567"/>
        <v>0</v>
      </c>
      <c r="BP58" s="3">
        <f t="shared" si="567"/>
        <v>0</v>
      </c>
      <c r="BQ58" s="3">
        <f t="shared" si="567"/>
        <v>0</v>
      </c>
      <c r="BR58" s="3">
        <f t="shared" si="567"/>
        <v>0</v>
      </c>
      <c r="BS58" s="3">
        <f t="shared" si="567"/>
        <v>0</v>
      </c>
      <c r="BT58" s="3">
        <f t="shared" si="567"/>
        <v>0</v>
      </c>
      <c r="BU58" s="3">
        <f t="shared" si="567"/>
        <v>0</v>
      </c>
      <c r="BV58" s="3">
        <f t="shared" si="567"/>
        <v>0</v>
      </c>
      <c r="BW58" s="3">
        <f t="shared" si="567"/>
        <v>0</v>
      </c>
      <c r="BX58" s="3">
        <f t="shared" si="567"/>
        <v>0</v>
      </c>
      <c r="BY58" s="3">
        <f t="shared" si="567"/>
        <v>0</v>
      </c>
      <c r="BZ58" s="3">
        <f t="shared" si="567"/>
        <v>0</v>
      </c>
      <c r="CA58" s="3">
        <f t="shared" si="567"/>
        <v>0</v>
      </c>
      <c r="CB58" s="3">
        <f t="shared" si="567"/>
        <v>0</v>
      </c>
      <c r="CC58" s="3">
        <f t="shared" si="567"/>
        <v>0</v>
      </c>
      <c r="CD58" s="3">
        <f t="shared" si="567"/>
        <v>0</v>
      </c>
      <c r="CE58" s="3">
        <f t="shared" si="567"/>
        <v>0</v>
      </c>
      <c r="CF58" s="3">
        <f t="shared" si="567"/>
        <v>0</v>
      </c>
      <c r="CG58" s="3">
        <f t="shared" si="567"/>
        <v>0</v>
      </c>
      <c r="CH58" s="226">
        <f t="shared" si="567"/>
        <v>0</v>
      </c>
    </row>
    <row r="59" spans="2:86" ht="15" thickBot="1">
      <c r="B59" s="473" t="s">
        <v>26</v>
      </c>
      <c r="C59" s="474"/>
      <c r="D59" s="233">
        <f>D56/12</f>
        <v>0</v>
      </c>
      <c r="E59" s="233">
        <f t="shared" ref="E59:BA59" si="568">E56/12</f>
        <v>0</v>
      </c>
      <c r="F59" s="233">
        <f t="shared" si="568"/>
        <v>0</v>
      </c>
      <c r="G59" s="233">
        <f t="shared" si="568"/>
        <v>0</v>
      </c>
      <c r="H59" s="233">
        <f t="shared" si="568"/>
        <v>0</v>
      </c>
      <c r="I59" s="233">
        <f t="shared" si="568"/>
        <v>0</v>
      </c>
      <c r="J59" s="233">
        <f t="shared" si="568"/>
        <v>0</v>
      </c>
      <c r="K59" s="233">
        <f t="shared" si="568"/>
        <v>0</v>
      </c>
      <c r="L59" s="233">
        <f t="shared" si="568"/>
        <v>0</v>
      </c>
      <c r="M59" s="233">
        <f t="shared" si="568"/>
        <v>0</v>
      </c>
      <c r="N59" s="233">
        <f t="shared" si="568"/>
        <v>0</v>
      </c>
      <c r="O59" s="233">
        <f t="shared" si="568"/>
        <v>0</v>
      </c>
      <c r="P59" s="233">
        <f t="shared" si="568"/>
        <v>0</v>
      </c>
      <c r="Q59" s="233">
        <f t="shared" si="568"/>
        <v>0</v>
      </c>
      <c r="R59" s="233">
        <f t="shared" si="568"/>
        <v>0</v>
      </c>
      <c r="S59" s="233">
        <f t="shared" si="568"/>
        <v>0</v>
      </c>
      <c r="T59" s="233">
        <f t="shared" si="568"/>
        <v>0</v>
      </c>
      <c r="U59" s="233">
        <f t="shared" si="568"/>
        <v>0</v>
      </c>
      <c r="V59" s="233">
        <f t="shared" si="568"/>
        <v>0</v>
      </c>
      <c r="W59" s="233">
        <f t="shared" si="568"/>
        <v>0</v>
      </c>
      <c r="X59" s="233">
        <f t="shared" si="568"/>
        <v>0</v>
      </c>
      <c r="Y59" s="233">
        <f t="shared" si="568"/>
        <v>0</v>
      </c>
      <c r="Z59" s="233">
        <f t="shared" si="568"/>
        <v>0</v>
      </c>
      <c r="AA59" s="233">
        <f t="shared" si="568"/>
        <v>0</v>
      </c>
      <c r="AB59" s="233">
        <f t="shared" si="568"/>
        <v>0</v>
      </c>
      <c r="AC59" s="233">
        <f t="shared" si="568"/>
        <v>0</v>
      </c>
      <c r="AD59" s="233">
        <f t="shared" si="568"/>
        <v>0</v>
      </c>
      <c r="AE59" s="233">
        <f t="shared" si="568"/>
        <v>0</v>
      </c>
      <c r="AF59" s="233">
        <f t="shared" si="568"/>
        <v>0</v>
      </c>
      <c r="AG59" s="233">
        <f t="shared" si="568"/>
        <v>0</v>
      </c>
      <c r="AH59" s="233">
        <f t="shared" si="568"/>
        <v>0</v>
      </c>
      <c r="AI59" s="233">
        <f t="shared" si="568"/>
        <v>0</v>
      </c>
      <c r="AJ59" s="233">
        <f t="shared" si="568"/>
        <v>0</v>
      </c>
      <c r="AK59" s="233">
        <f t="shared" si="568"/>
        <v>0</v>
      </c>
      <c r="AL59" s="233">
        <f t="shared" si="568"/>
        <v>0</v>
      </c>
      <c r="AM59" s="233">
        <f t="shared" si="568"/>
        <v>0</v>
      </c>
      <c r="AN59" s="233">
        <f t="shared" si="568"/>
        <v>0</v>
      </c>
      <c r="AO59" s="233">
        <f t="shared" si="568"/>
        <v>0</v>
      </c>
      <c r="AP59" s="233">
        <f t="shared" si="568"/>
        <v>0</v>
      </c>
      <c r="AQ59" s="233">
        <f t="shared" si="568"/>
        <v>0</v>
      </c>
      <c r="AR59" s="233">
        <f t="shared" si="568"/>
        <v>0</v>
      </c>
      <c r="AS59" s="233">
        <f t="shared" si="568"/>
        <v>0</v>
      </c>
      <c r="AT59" s="233">
        <f t="shared" si="568"/>
        <v>0</v>
      </c>
      <c r="AU59" s="233">
        <f t="shared" si="568"/>
        <v>0</v>
      </c>
      <c r="AV59" s="233">
        <f t="shared" si="568"/>
        <v>0</v>
      </c>
      <c r="AW59" s="233">
        <f t="shared" si="568"/>
        <v>0</v>
      </c>
      <c r="AX59" s="233">
        <f t="shared" si="568"/>
        <v>0</v>
      </c>
      <c r="AY59" s="233">
        <f t="shared" si="568"/>
        <v>0</v>
      </c>
      <c r="AZ59" s="233">
        <f t="shared" si="568"/>
        <v>0</v>
      </c>
      <c r="BA59" s="233">
        <f t="shared" si="568"/>
        <v>0</v>
      </c>
      <c r="BB59" s="233">
        <f t="shared" ref="BB59:CH59" si="569">BB56/12</f>
        <v>0</v>
      </c>
      <c r="BC59" s="233">
        <f t="shared" si="569"/>
        <v>0</v>
      </c>
      <c r="BD59" s="233">
        <f t="shared" si="569"/>
        <v>0</v>
      </c>
      <c r="BE59" s="233">
        <f t="shared" si="569"/>
        <v>0</v>
      </c>
      <c r="BF59" s="233">
        <f t="shared" si="569"/>
        <v>0</v>
      </c>
      <c r="BG59" s="233">
        <f t="shared" si="569"/>
        <v>0</v>
      </c>
      <c r="BH59" s="233">
        <f t="shared" si="569"/>
        <v>0</v>
      </c>
      <c r="BI59" s="233">
        <f t="shared" si="569"/>
        <v>0</v>
      </c>
      <c r="BJ59" s="233">
        <f t="shared" si="569"/>
        <v>0</v>
      </c>
      <c r="BK59" s="233">
        <f t="shared" si="569"/>
        <v>0</v>
      </c>
      <c r="BL59" s="233">
        <f t="shared" si="569"/>
        <v>0</v>
      </c>
      <c r="BM59" s="233">
        <f t="shared" si="569"/>
        <v>0</v>
      </c>
      <c r="BN59" s="233">
        <f t="shared" si="569"/>
        <v>0</v>
      </c>
      <c r="BO59" s="233">
        <f t="shared" si="569"/>
        <v>0</v>
      </c>
      <c r="BP59" s="233">
        <f t="shared" si="569"/>
        <v>0</v>
      </c>
      <c r="BQ59" s="233">
        <f t="shared" si="569"/>
        <v>0</v>
      </c>
      <c r="BR59" s="233">
        <f t="shared" si="569"/>
        <v>0</v>
      </c>
      <c r="BS59" s="233">
        <f t="shared" si="569"/>
        <v>0</v>
      </c>
      <c r="BT59" s="233">
        <f t="shared" si="569"/>
        <v>0</v>
      </c>
      <c r="BU59" s="233">
        <f t="shared" si="569"/>
        <v>0</v>
      </c>
      <c r="BV59" s="233">
        <f t="shared" si="569"/>
        <v>0</v>
      </c>
      <c r="BW59" s="233">
        <f t="shared" si="569"/>
        <v>0</v>
      </c>
      <c r="BX59" s="233">
        <f t="shared" si="569"/>
        <v>0</v>
      </c>
      <c r="BY59" s="233">
        <f t="shared" si="569"/>
        <v>0</v>
      </c>
      <c r="BZ59" s="233">
        <f t="shared" si="569"/>
        <v>0</v>
      </c>
      <c r="CA59" s="233">
        <f t="shared" si="569"/>
        <v>0</v>
      </c>
      <c r="CB59" s="233">
        <f t="shared" si="569"/>
        <v>0</v>
      </c>
      <c r="CC59" s="233">
        <f t="shared" si="569"/>
        <v>0</v>
      </c>
      <c r="CD59" s="233">
        <f t="shared" si="569"/>
        <v>0</v>
      </c>
      <c r="CE59" s="233">
        <f t="shared" si="569"/>
        <v>0</v>
      </c>
      <c r="CF59" s="233">
        <f t="shared" si="569"/>
        <v>0</v>
      </c>
      <c r="CG59" s="233">
        <f t="shared" si="569"/>
        <v>0</v>
      </c>
      <c r="CH59" s="234">
        <f t="shared" si="569"/>
        <v>0</v>
      </c>
    </row>
    <row r="60" spans="2:86" ht="15" thickBot="1">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row>
    <row r="61" spans="2:86" ht="16.5" thickBot="1">
      <c r="B61" s="211" t="s">
        <v>220</v>
      </c>
      <c r="C61" s="33"/>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row>
    <row r="62" spans="2:86" ht="15" thickBot="1">
      <c r="B62" s="214" t="s">
        <v>47</v>
      </c>
      <c r="C62" s="215"/>
      <c r="D62" s="216">
        <f ca="1">D$13</f>
        <v>2023</v>
      </c>
      <c r="E62" s="217">
        <f t="shared" ref="E62:BP62" ca="1" si="570">E$13</f>
        <v>2024</v>
      </c>
      <c r="F62" s="217">
        <f t="shared" ca="1" si="570"/>
        <v>2025</v>
      </c>
      <c r="G62" s="217">
        <f t="shared" ca="1" si="570"/>
        <v>2026</v>
      </c>
      <c r="H62" s="217">
        <f t="shared" ca="1" si="570"/>
        <v>2027</v>
      </c>
      <c r="I62" s="217">
        <f t="shared" ca="1" si="570"/>
        <v>2028</v>
      </c>
      <c r="J62" s="217">
        <f t="shared" ca="1" si="570"/>
        <v>2029</v>
      </c>
      <c r="K62" s="217">
        <f t="shared" ca="1" si="570"/>
        <v>2030</v>
      </c>
      <c r="L62" s="217">
        <f t="shared" ca="1" si="570"/>
        <v>2031</v>
      </c>
      <c r="M62" s="217">
        <f t="shared" ca="1" si="570"/>
        <v>2032</v>
      </c>
      <c r="N62" s="217">
        <f t="shared" ca="1" si="570"/>
        <v>2033</v>
      </c>
      <c r="O62" s="217">
        <f t="shared" ca="1" si="570"/>
        <v>2034</v>
      </c>
      <c r="P62" s="217">
        <f t="shared" ca="1" si="570"/>
        <v>2035</v>
      </c>
      <c r="Q62" s="217">
        <f t="shared" ca="1" si="570"/>
        <v>2036</v>
      </c>
      <c r="R62" s="217">
        <f t="shared" ca="1" si="570"/>
        <v>2037</v>
      </c>
      <c r="S62" s="217">
        <f t="shared" ca="1" si="570"/>
        <v>2038</v>
      </c>
      <c r="T62" s="217">
        <f t="shared" ca="1" si="570"/>
        <v>2039</v>
      </c>
      <c r="U62" s="217">
        <f t="shared" ca="1" si="570"/>
        <v>2040</v>
      </c>
      <c r="V62" s="217">
        <f t="shared" ca="1" si="570"/>
        <v>2041</v>
      </c>
      <c r="W62" s="217">
        <f t="shared" ca="1" si="570"/>
        <v>2042</v>
      </c>
      <c r="X62" s="217">
        <f t="shared" ca="1" si="570"/>
        <v>2043</v>
      </c>
      <c r="Y62" s="217">
        <f t="shared" ca="1" si="570"/>
        <v>2044</v>
      </c>
      <c r="Z62" s="217">
        <f t="shared" ca="1" si="570"/>
        <v>2045</v>
      </c>
      <c r="AA62" s="217">
        <f t="shared" ca="1" si="570"/>
        <v>2046</v>
      </c>
      <c r="AB62" s="217">
        <f t="shared" ca="1" si="570"/>
        <v>2047</v>
      </c>
      <c r="AC62" s="217">
        <f t="shared" ca="1" si="570"/>
        <v>2048</v>
      </c>
      <c r="AD62" s="217">
        <f t="shared" ca="1" si="570"/>
        <v>2049</v>
      </c>
      <c r="AE62" s="217">
        <f t="shared" ca="1" si="570"/>
        <v>2050</v>
      </c>
      <c r="AF62" s="217">
        <f t="shared" ca="1" si="570"/>
        <v>2051</v>
      </c>
      <c r="AG62" s="217">
        <f t="shared" ca="1" si="570"/>
        <v>2052</v>
      </c>
      <c r="AH62" s="217">
        <f t="shared" ca="1" si="570"/>
        <v>2053</v>
      </c>
      <c r="AI62" s="217">
        <f t="shared" ca="1" si="570"/>
        <v>2054</v>
      </c>
      <c r="AJ62" s="217">
        <f t="shared" ca="1" si="570"/>
        <v>2055</v>
      </c>
      <c r="AK62" s="217">
        <f t="shared" ca="1" si="570"/>
        <v>2056</v>
      </c>
      <c r="AL62" s="217">
        <f t="shared" ca="1" si="570"/>
        <v>2057</v>
      </c>
      <c r="AM62" s="217">
        <f t="shared" ca="1" si="570"/>
        <v>2058</v>
      </c>
      <c r="AN62" s="217">
        <f t="shared" ca="1" si="570"/>
        <v>2059</v>
      </c>
      <c r="AO62" s="217">
        <f t="shared" ca="1" si="570"/>
        <v>2060</v>
      </c>
      <c r="AP62" s="217">
        <f t="shared" ca="1" si="570"/>
        <v>2061</v>
      </c>
      <c r="AQ62" s="217">
        <f t="shared" ca="1" si="570"/>
        <v>2062</v>
      </c>
      <c r="AR62" s="217">
        <f t="shared" ca="1" si="570"/>
        <v>2063</v>
      </c>
      <c r="AS62" s="217">
        <f t="shared" ca="1" si="570"/>
        <v>2064</v>
      </c>
      <c r="AT62" s="217">
        <f t="shared" ca="1" si="570"/>
        <v>2065</v>
      </c>
      <c r="AU62" s="217">
        <f t="shared" ca="1" si="570"/>
        <v>2066</v>
      </c>
      <c r="AV62" s="217">
        <f t="shared" ca="1" si="570"/>
        <v>2067</v>
      </c>
      <c r="AW62" s="217">
        <f t="shared" ca="1" si="570"/>
        <v>2068</v>
      </c>
      <c r="AX62" s="217">
        <f t="shared" ca="1" si="570"/>
        <v>2069</v>
      </c>
      <c r="AY62" s="217">
        <f t="shared" ca="1" si="570"/>
        <v>2070</v>
      </c>
      <c r="AZ62" s="217">
        <f t="shared" ca="1" si="570"/>
        <v>2071</v>
      </c>
      <c r="BA62" s="217">
        <f t="shared" ca="1" si="570"/>
        <v>2072</v>
      </c>
      <c r="BB62" s="217">
        <f t="shared" ca="1" si="570"/>
        <v>2073</v>
      </c>
      <c r="BC62" s="217">
        <f t="shared" ca="1" si="570"/>
        <v>2074</v>
      </c>
      <c r="BD62" s="217">
        <f t="shared" ca="1" si="570"/>
        <v>2075</v>
      </c>
      <c r="BE62" s="217">
        <f t="shared" ca="1" si="570"/>
        <v>2076</v>
      </c>
      <c r="BF62" s="217">
        <f t="shared" ca="1" si="570"/>
        <v>2077</v>
      </c>
      <c r="BG62" s="217">
        <f t="shared" ca="1" si="570"/>
        <v>2078</v>
      </c>
      <c r="BH62" s="217">
        <f t="shared" ca="1" si="570"/>
        <v>2079</v>
      </c>
      <c r="BI62" s="217">
        <f t="shared" ca="1" si="570"/>
        <v>2080</v>
      </c>
      <c r="BJ62" s="217">
        <f t="shared" ca="1" si="570"/>
        <v>2081</v>
      </c>
      <c r="BK62" s="217">
        <f t="shared" ca="1" si="570"/>
        <v>2082</v>
      </c>
      <c r="BL62" s="217">
        <f t="shared" ca="1" si="570"/>
        <v>2083</v>
      </c>
      <c r="BM62" s="217">
        <f t="shared" ca="1" si="570"/>
        <v>2084</v>
      </c>
      <c r="BN62" s="217">
        <f t="shared" ca="1" si="570"/>
        <v>2085</v>
      </c>
      <c r="BO62" s="217">
        <f t="shared" ca="1" si="570"/>
        <v>2086</v>
      </c>
      <c r="BP62" s="217">
        <f t="shared" ca="1" si="570"/>
        <v>2087</v>
      </c>
      <c r="BQ62" s="217">
        <f t="shared" ref="BQ62:CH62" ca="1" si="571">BQ$13</f>
        <v>2088</v>
      </c>
      <c r="BR62" s="217">
        <f t="shared" ca="1" si="571"/>
        <v>2089</v>
      </c>
      <c r="BS62" s="217">
        <f t="shared" ca="1" si="571"/>
        <v>2090</v>
      </c>
      <c r="BT62" s="217">
        <f t="shared" ca="1" si="571"/>
        <v>2091</v>
      </c>
      <c r="BU62" s="217">
        <f t="shared" ca="1" si="571"/>
        <v>2092</v>
      </c>
      <c r="BV62" s="217">
        <f t="shared" ca="1" si="571"/>
        <v>2093</v>
      </c>
      <c r="BW62" s="217">
        <f t="shared" ca="1" si="571"/>
        <v>2094</v>
      </c>
      <c r="BX62" s="217">
        <f t="shared" ca="1" si="571"/>
        <v>2095</v>
      </c>
      <c r="BY62" s="217">
        <f t="shared" ca="1" si="571"/>
        <v>2096</v>
      </c>
      <c r="BZ62" s="217">
        <f t="shared" ca="1" si="571"/>
        <v>2097</v>
      </c>
      <c r="CA62" s="217">
        <f t="shared" ca="1" si="571"/>
        <v>2098</v>
      </c>
      <c r="CB62" s="217">
        <f t="shared" ca="1" si="571"/>
        <v>2099</v>
      </c>
      <c r="CC62" s="217">
        <f t="shared" ca="1" si="571"/>
        <v>2100</v>
      </c>
      <c r="CD62" s="217">
        <f t="shared" ca="1" si="571"/>
        <v>2101</v>
      </c>
      <c r="CE62" s="217">
        <f t="shared" ca="1" si="571"/>
        <v>2102</v>
      </c>
      <c r="CF62" s="217">
        <f t="shared" ca="1" si="571"/>
        <v>2103</v>
      </c>
      <c r="CG62" s="217">
        <f t="shared" ca="1" si="571"/>
        <v>2104</v>
      </c>
      <c r="CH62" s="218">
        <f t="shared" ca="1" si="571"/>
        <v>2105</v>
      </c>
    </row>
    <row r="63" spans="2:86">
      <c r="B63" s="496" t="s">
        <v>43</v>
      </c>
      <c r="C63" s="497"/>
      <c r="D63" s="224">
        <f t="shared" ref="D63:AI63" si="572">D32+D49</f>
        <v>0</v>
      </c>
      <c r="E63" s="224">
        <f t="shared" si="572"/>
        <v>0</v>
      </c>
      <c r="F63" s="224">
        <f t="shared" si="572"/>
        <v>0</v>
      </c>
      <c r="G63" s="224">
        <f t="shared" si="572"/>
        <v>0</v>
      </c>
      <c r="H63" s="224">
        <f t="shared" si="572"/>
        <v>0</v>
      </c>
      <c r="I63" s="224">
        <f t="shared" si="572"/>
        <v>0</v>
      </c>
      <c r="J63" s="224">
        <f t="shared" si="572"/>
        <v>0</v>
      </c>
      <c r="K63" s="224">
        <f t="shared" si="572"/>
        <v>0</v>
      </c>
      <c r="L63" s="224">
        <f t="shared" si="572"/>
        <v>0</v>
      </c>
      <c r="M63" s="224">
        <f t="shared" si="572"/>
        <v>0</v>
      </c>
      <c r="N63" s="224">
        <f t="shared" si="572"/>
        <v>0</v>
      </c>
      <c r="O63" s="224">
        <f t="shared" si="572"/>
        <v>0</v>
      </c>
      <c r="P63" s="224">
        <f t="shared" si="572"/>
        <v>0</v>
      </c>
      <c r="Q63" s="224">
        <f t="shared" si="572"/>
        <v>0</v>
      </c>
      <c r="R63" s="224">
        <f t="shared" si="572"/>
        <v>0</v>
      </c>
      <c r="S63" s="224">
        <f t="shared" si="572"/>
        <v>0</v>
      </c>
      <c r="T63" s="224">
        <f t="shared" si="572"/>
        <v>0</v>
      </c>
      <c r="U63" s="224">
        <f t="shared" si="572"/>
        <v>0</v>
      </c>
      <c r="V63" s="224">
        <f t="shared" si="572"/>
        <v>0</v>
      </c>
      <c r="W63" s="224">
        <f t="shared" si="572"/>
        <v>0</v>
      </c>
      <c r="X63" s="224">
        <f t="shared" si="572"/>
        <v>0</v>
      </c>
      <c r="Y63" s="224">
        <f t="shared" si="572"/>
        <v>0</v>
      </c>
      <c r="Z63" s="224">
        <f t="shared" si="572"/>
        <v>0</v>
      </c>
      <c r="AA63" s="224">
        <f t="shared" si="572"/>
        <v>0</v>
      </c>
      <c r="AB63" s="224">
        <f t="shared" si="572"/>
        <v>0</v>
      </c>
      <c r="AC63" s="224">
        <f t="shared" si="572"/>
        <v>0</v>
      </c>
      <c r="AD63" s="224">
        <f t="shared" si="572"/>
        <v>0</v>
      </c>
      <c r="AE63" s="224">
        <f t="shared" si="572"/>
        <v>0</v>
      </c>
      <c r="AF63" s="224">
        <f t="shared" si="572"/>
        <v>0</v>
      </c>
      <c r="AG63" s="224">
        <f t="shared" si="572"/>
        <v>0</v>
      </c>
      <c r="AH63" s="224">
        <f t="shared" si="572"/>
        <v>0</v>
      </c>
      <c r="AI63" s="224">
        <f t="shared" si="572"/>
        <v>0</v>
      </c>
      <c r="AJ63" s="224">
        <f t="shared" ref="AJ63:BA63" si="573">AJ32+AJ49</f>
        <v>0</v>
      </c>
      <c r="AK63" s="224">
        <f t="shared" si="573"/>
        <v>0</v>
      </c>
      <c r="AL63" s="224">
        <f t="shared" si="573"/>
        <v>0</v>
      </c>
      <c r="AM63" s="224">
        <f t="shared" si="573"/>
        <v>0</v>
      </c>
      <c r="AN63" s="224">
        <f t="shared" si="573"/>
        <v>0</v>
      </c>
      <c r="AO63" s="224">
        <f t="shared" si="573"/>
        <v>0</v>
      </c>
      <c r="AP63" s="224">
        <f t="shared" si="573"/>
        <v>0</v>
      </c>
      <c r="AQ63" s="224">
        <f t="shared" si="573"/>
        <v>0</v>
      </c>
      <c r="AR63" s="224">
        <f t="shared" si="573"/>
        <v>0</v>
      </c>
      <c r="AS63" s="224">
        <f t="shared" si="573"/>
        <v>0</v>
      </c>
      <c r="AT63" s="224">
        <f t="shared" si="573"/>
        <v>0</v>
      </c>
      <c r="AU63" s="224">
        <f t="shared" si="573"/>
        <v>0</v>
      </c>
      <c r="AV63" s="224">
        <f t="shared" si="573"/>
        <v>0</v>
      </c>
      <c r="AW63" s="224">
        <f t="shared" si="573"/>
        <v>0</v>
      </c>
      <c r="AX63" s="224">
        <f t="shared" si="573"/>
        <v>0</v>
      </c>
      <c r="AY63" s="224">
        <f t="shared" si="573"/>
        <v>0</v>
      </c>
      <c r="AZ63" s="224">
        <f t="shared" si="573"/>
        <v>0</v>
      </c>
      <c r="BA63" s="224">
        <f t="shared" si="573"/>
        <v>0</v>
      </c>
      <c r="BB63" s="224">
        <f t="shared" ref="BB63:CH63" si="574">BB32+BB49</f>
        <v>0</v>
      </c>
      <c r="BC63" s="224">
        <f t="shared" si="574"/>
        <v>0</v>
      </c>
      <c r="BD63" s="224">
        <f t="shared" si="574"/>
        <v>0</v>
      </c>
      <c r="BE63" s="224">
        <f t="shared" si="574"/>
        <v>0</v>
      </c>
      <c r="BF63" s="224">
        <f t="shared" si="574"/>
        <v>0</v>
      </c>
      <c r="BG63" s="224">
        <f t="shared" si="574"/>
        <v>0</v>
      </c>
      <c r="BH63" s="224">
        <f t="shared" si="574"/>
        <v>0</v>
      </c>
      <c r="BI63" s="224">
        <f t="shared" si="574"/>
        <v>0</v>
      </c>
      <c r="BJ63" s="224">
        <f t="shared" si="574"/>
        <v>0</v>
      </c>
      <c r="BK63" s="224">
        <f t="shared" si="574"/>
        <v>0</v>
      </c>
      <c r="BL63" s="224">
        <f t="shared" si="574"/>
        <v>0</v>
      </c>
      <c r="BM63" s="224">
        <f t="shared" si="574"/>
        <v>0</v>
      </c>
      <c r="BN63" s="224">
        <f t="shared" si="574"/>
        <v>0</v>
      </c>
      <c r="BO63" s="224">
        <f t="shared" si="574"/>
        <v>0</v>
      </c>
      <c r="BP63" s="224">
        <f t="shared" si="574"/>
        <v>0</v>
      </c>
      <c r="BQ63" s="224">
        <f t="shared" si="574"/>
        <v>0</v>
      </c>
      <c r="BR63" s="224">
        <f t="shared" si="574"/>
        <v>0</v>
      </c>
      <c r="BS63" s="224">
        <f t="shared" si="574"/>
        <v>0</v>
      </c>
      <c r="BT63" s="224">
        <f t="shared" si="574"/>
        <v>0</v>
      </c>
      <c r="BU63" s="224">
        <f t="shared" si="574"/>
        <v>0</v>
      </c>
      <c r="BV63" s="224">
        <f t="shared" si="574"/>
        <v>0</v>
      </c>
      <c r="BW63" s="224">
        <f t="shared" si="574"/>
        <v>0</v>
      </c>
      <c r="BX63" s="224">
        <f t="shared" si="574"/>
        <v>0</v>
      </c>
      <c r="BY63" s="224">
        <f t="shared" si="574"/>
        <v>0</v>
      </c>
      <c r="BZ63" s="224">
        <f t="shared" si="574"/>
        <v>0</v>
      </c>
      <c r="CA63" s="224">
        <f t="shared" si="574"/>
        <v>0</v>
      </c>
      <c r="CB63" s="224">
        <f t="shared" si="574"/>
        <v>0</v>
      </c>
      <c r="CC63" s="224">
        <f t="shared" si="574"/>
        <v>0</v>
      </c>
      <c r="CD63" s="224">
        <f t="shared" si="574"/>
        <v>0</v>
      </c>
      <c r="CE63" s="224">
        <f t="shared" si="574"/>
        <v>0</v>
      </c>
      <c r="CF63" s="224">
        <f t="shared" si="574"/>
        <v>0</v>
      </c>
      <c r="CG63" s="224">
        <f t="shared" si="574"/>
        <v>0</v>
      </c>
      <c r="CH63" s="225">
        <f t="shared" si="574"/>
        <v>0</v>
      </c>
    </row>
    <row r="64" spans="2:86">
      <c r="B64" s="500" t="s">
        <v>221</v>
      </c>
      <c r="C64" s="501"/>
      <c r="D64" s="35">
        <f t="shared" ref="D64:AI64" si="575">D32</f>
        <v>0</v>
      </c>
      <c r="E64" s="35">
        <f t="shared" si="575"/>
        <v>0</v>
      </c>
      <c r="F64" s="35">
        <f t="shared" si="575"/>
        <v>0</v>
      </c>
      <c r="G64" s="35">
        <f t="shared" si="575"/>
        <v>0</v>
      </c>
      <c r="H64" s="35">
        <f t="shared" si="575"/>
        <v>0</v>
      </c>
      <c r="I64" s="35">
        <f t="shared" si="575"/>
        <v>0</v>
      </c>
      <c r="J64" s="35">
        <f t="shared" si="575"/>
        <v>0</v>
      </c>
      <c r="K64" s="35">
        <f t="shared" si="575"/>
        <v>0</v>
      </c>
      <c r="L64" s="35">
        <f t="shared" si="575"/>
        <v>0</v>
      </c>
      <c r="M64" s="35">
        <f t="shared" si="575"/>
        <v>0</v>
      </c>
      <c r="N64" s="35">
        <f t="shared" si="575"/>
        <v>0</v>
      </c>
      <c r="O64" s="35">
        <f t="shared" si="575"/>
        <v>0</v>
      </c>
      <c r="P64" s="35">
        <f t="shared" si="575"/>
        <v>0</v>
      </c>
      <c r="Q64" s="35">
        <f t="shared" si="575"/>
        <v>0</v>
      </c>
      <c r="R64" s="35">
        <f t="shared" si="575"/>
        <v>0</v>
      </c>
      <c r="S64" s="35">
        <f t="shared" si="575"/>
        <v>0</v>
      </c>
      <c r="T64" s="35">
        <f t="shared" si="575"/>
        <v>0</v>
      </c>
      <c r="U64" s="35">
        <f t="shared" si="575"/>
        <v>0</v>
      </c>
      <c r="V64" s="35">
        <f t="shared" si="575"/>
        <v>0</v>
      </c>
      <c r="W64" s="35">
        <f t="shared" si="575"/>
        <v>0</v>
      </c>
      <c r="X64" s="35">
        <f t="shared" si="575"/>
        <v>0</v>
      </c>
      <c r="Y64" s="35">
        <f t="shared" si="575"/>
        <v>0</v>
      </c>
      <c r="Z64" s="35">
        <f t="shared" si="575"/>
        <v>0</v>
      </c>
      <c r="AA64" s="35">
        <f t="shared" si="575"/>
        <v>0</v>
      </c>
      <c r="AB64" s="35">
        <f t="shared" si="575"/>
        <v>0</v>
      </c>
      <c r="AC64" s="35">
        <f t="shared" si="575"/>
        <v>0</v>
      </c>
      <c r="AD64" s="35">
        <f t="shared" si="575"/>
        <v>0</v>
      </c>
      <c r="AE64" s="35">
        <f t="shared" si="575"/>
        <v>0</v>
      </c>
      <c r="AF64" s="35">
        <f t="shared" si="575"/>
        <v>0</v>
      </c>
      <c r="AG64" s="35">
        <f t="shared" si="575"/>
        <v>0</v>
      </c>
      <c r="AH64" s="35">
        <f t="shared" si="575"/>
        <v>0</v>
      </c>
      <c r="AI64" s="35">
        <f t="shared" si="575"/>
        <v>0</v>
      </c>
      <c r="AJ64" s="35">
        <f t="shared" ref="AJ64:BA64" si="576">AJ32</f>
        <v>0</v>
      </c>
      <c r="AK64" s="35">
        <f t="shared" si="576"/>
        <v>0</v>
      </c>
      <c r="AL64" s="35">
        <f t="shared" si="576"/>
        <v>0</v>
      </c>
      <c r="AM64" s="35">
        <f t="shared" si="576"/>
        <v>0</v>
      </c>
      <c r="AN64" s="35">
        <f t="shared" si="576"/>
        <v>0</v>
      </c>
      <c r="AO64" s="35">
        <f t="shared" si="576"/>
        <v>0</v>
      </c>
      <c r="AP64" s="35">
        <f t="shared" si="576"/>
        <v>0</v>
      </c>
      <c r="AQ64" s="35">
        <f t="shared" si="576"/>
        <v>0</v>
      </c>
      <c r="AR64" s="35">
        <f t="shared" si="576"/>
        <v>0</v>
      </c>
      <c r="AS64" s="35">
        <f t="shared" si="576"/>
        <v>0</v>
      </c>
      <c r="AT64" s="35">
        <f t="shared" si="576"/>
        <v>0</v>
      </c>
      <c r="AU64" s="35">
        <f t="shared" si="576"/>
        <v>0</v>
      </c>
      <c r="AV64" s="35">
        <f t="shared" si="576"/>
        <v>0</v>
      </c>
      <c r="AW64" s="35">
        <f t="shared" si="576"/>
        <v>0</v>
      </c>
      <c r="AX64" s="35">
        <f t="shared" si="576"/>
        <v>0</v>
      </c>
      <c r="AY64" s="35">
        <f t="shared" si="576"/>
        <v>0</v>
      </c>
      <c r="AZ64" s="35">
        <f t="shared" si="576"/>
        <v>0</v>
      </c>
      <c r="BA64" s="35">
        <f t="shared" si="576"/>
        <v>0</v>
      </c>
      <c r="BB64" s="35">
        <f t="shared" ref="BB64:CH64" si="577">BB32</f>
        <v>0</v>
      </c>
      <c r="BC64" s="35">
        <f t="shared" si="577"/>
        <v>0</v>
      </c>
      <c r="BD64" s="35">
        <f t="shared" si="577"/>
        <v>0</v>
      </c>
      <c r="BE64" s="35">
        <f t="shared" si="577"/>
        <v>0</v>
      </c>
      <c r="BF64" s="35">
        <f t="shared" si="577"/>
        <v>0</v>
      </c>
      <c r="BG64" s="35">
        <f t="shared" si="577"/>
        <v>0</v>
      </c>
      <c r="BH64" s="35">
        <f t="shared" si="577"/>
        <v>0</v>
      </c>
      <c r="BI64" s="35">
        <f t="shared" si="577"/>
        <v>0</v>
      </c>
      <c r="BJ64" s="35">
        <f t="shared" si="577"/>
        <v>0</v>
      </c>
      <c r="BK64" s="35">
        <f t="shared" si="577"/>
        <v>0</v>
      </c>
      <c r="BL64" s="35">
        <f t="shared" si="577"/>
        <v>0</v>
      </c>
      <c r="BM64" s="35">
        <f t="shared" si="577"/>
        <v>0</v>
      </c>
      <c r="BN64" s="35">
        <f t="shared" si="577"/>
        <v>0</v>
      </c>
      <c r="BO64" s="35">
        <f t="shared" si="577"/>
        <v>0</v>
      </c>
      <c r="BP64" s="35">
        <f t="shared" si="577"/>
        <v>0</v>
      </c>
      <c r="BQ64" s="35">
        <f t="shared" si="577"/>
        <v>0</v>
      </c>
      <c r="BR64" s="35">
        <f t="shared" si="577"/>
        <v>0</v>
      </c>
      <c r="BS64" s="35">
        <f t="shared" si="577"/>
        <v>0</v>
      </c>
      <c r="BT64" s="35">
        <f t="shared" si="577"/>
        <v>0</v>
      </c>
      <c r="BU64" s="35">
        <f t="shared" si="577"/>
        <v>0</v>
      </c>
      <c r="BV64" s="35">
        <f t="shared" si="577"/>
        <v>0</v>
      </c>
      <c r="BW64" s="35">
        <f t="shared" si="577"/>
        <v>0</v>
      </c>
      <c r="BX64" s="35">
        <f t="shared" si="577"/>
        <v>0</v>
      </c>
      <c r="BY64" s="35">
        <f t="shared" si="577"/>
        <v>0</v>
      </c>
      <c r="BZ64" s="35">
        <f t="shared" si="577"/>
        <v>0</v>
      </c>
      <c r="CA64" s="35">
        <f t="shared" si="577"/>
        <v>0</v>
      </c>
      <c r="CB64" s="35">
        <f t="shared" si="577"/>
        <v>0</v>
      </c>
      <c r="CC64" s="35">
        <f t="shared" si="577"/>
        <v>0</v>
      </c>
      <c r="CD64" s="35">
        <f t="shared" si="577"/>
        <v>0</v>
      </c>
      <c r="CE64" s="35">
        <f t="shared" si="577"/>
        <v>0</v>
      </c>
      <c r="CF64" s="35">
        <f t="shared" si="577"/>
        <v>0</v>
      </c>
      <c r="CG64" s="35">
        <f t="shared" si="577"/>
        <v>0</v>
      </c>
      <c r="CH64" s="235">
        <f t="shared" si="577"/>
        <v>0</v>
      </c>
    </row>
    <row r="65" spans="1:86">
      <c r="A65"/>
      <c r="B65" s="500" t="s">
        <v>270</v>
      </c>
      <c r="C65" s="501"/>
      <c r="D65" s="35">
        <f t="shared" ref="D65:AI65" si="578">D49</f>
        <v>0</v>
      </c>
      <c r="E65" s="35">
        <f t="shared" si="578"/>
        <v>0</v>
      </c>
      <c r="F65" s="35">
        <f t="shared" si="578"/>
        <v>0</v>
      </c>
      <c r="G65" s="35">
        <f t="shared" si="578"/>
        <v>0</v>
      </c>
      <c r="H65" s="35">
        <f t="shared" si="578"/>
        <v>0</v>
      </c>
      <c r="I65" s="35">
        <f t="shared" si="578"/>
        <v>0</v>
      </c>
      <c r="J65" s="35">
        <f t="shared" si="578"/>
        <v>0</v>
      </c>
      <c r="K65" s="35">
        <f t="shared" si="578"/>
        <v>0</v>
      </c>
      <c r="L65" s="35">
        <f t="shared" si="578"/>
        <v>0</v>
      </c>
      <c r="M65" s="35">
        <f t="shared" si="578"/>
        <v>0</v>
      </c>
      <c r="N65" s="35">
        <f t="shared" si="578"/>
        <v>0</v>
      </c>
      <c r="O65" s="35">
        <f t="shared" si="578"/>
        <v>0</v>
      </c>
      <c r="P65" s="35">
        <f t="shared" si="578"/>
        <v>0</v>
      </c>
      <c r="Q65" s="35">
        <f t="shared" si="578"/>
        <v>0</v>
      </c>
      <c r="R65" s="35">
        <f t="shared" si="578"/>
        <v>0</v>
      </c>
      <c r="S65" s="35">
        <f t="shared" si="578"/>
        <v>0</v>
      </c>
      <c r="T65" s="35">
        <f t="shared" si="578"/>
        <v>0</v>
      </c>
      <c r="U65" s="35">
        <f t="shared" si="578"/>
        <v>0</v>
      </c>
      <c r="V65" s="35">
        <f t="shared" si="578"/>
        <v>0</v>
      </c>
      <c r="W65" s="35">
        <f t="shared" si="578"/>
        <v>0</v>
      </c>
      <c r="X65" s="35">
        <f t="shared" si="578"/>
        <v>0</v>
      </c>
      <c r="Y65" s="35">
        <f t="shared" si="578"/>
        <v>0</v>
      </c>
      <c r="Z65" s="35">
        <f t="shared" si="578"/>
        <v>0</v>
      </c>
      <c r="AA65" s="35">
        <f t="shared" si="578"/>
        <v>0</v>
      </c>
      <c r="AB65" s="35">
        <f t="shared" si="578"/>
        <v>0</v>
      </c>
      <c r="AC65" s="35">
        <f t="shared" si="578"/>
        <v>0</v>
      </c>
      <c r="AD65" s="35">
        <f t="shared" si="578"/>
        <v>0</v>
      </c>
      <c r="AE65" s="35">
        <f t="shared" si="578"/>
        <v>0</v>
      </c>
      <c r="AF65" s="35">
        <f t="shared" si="578"/>
        <v>0</v>
      </c>
      <c r="AG65" s="35">
        <f t="shared" si="578"/>
        <v>0</v>
      </c>
      <c r="AH65" s="35">
        <f t="shared" si="578"/>
        <v>0</v>
      </c>
      <c r="AI65" s="35">
        <f t="shared" si="578"/>
        <v>0</v>
      </c>
      <c r="AJ65" s="35">
        <f t="shared" ref="AJ65:BA65" si="579">AJ49</f>
        <v>0</v>
      </c>
      <c r="AK65" s="35">
        <f t="shared" si="579"/>
        <v>0</v>
      </c>
      <c r="AL65" s="35">
        <f t="shared" si="579"/>
        <v>0</v>
      </c>
      <c r="AM65" s="35">
        <f t="shared" si="579"/>
        <v>0</v>
      </c>
      <c r="AN65" s="35">
        <f t="shared" si="579"/>
        <v>0</v>
      </c>
      <c r="AO65" s="35">
        <f t="shared" si="579"/>
        <v>0</v>
      </c>
      <c r="AP65" s="35">
        <f t="shared" si="579"/>
        <v>0</v>
      </c>
      <c r="AQ65" s="35">
        <f t="shared" si="579"/>
        <v>0</v>
      </c>
      <c r="AR65" s="35">
        <f t="shared" si="579"/>
        <v>0</v>
      </c>
      <c r="AS65" s="35">
        <f t="shared" si="579"/>
        <v>0</v>
      </c>
      <c r="AT65" s="35">
        <f t="shared" si="579"/>
        <v>0</v>
      </c>
      <c r="AU65" s="35">
        <f t="shared" si="579"/>
        <v>0</v>
      </c>
      <c r="AV65" s="35">
        <f t="shared" si="579"/>
        <v>0</v>
      </c>
      <c r="AW65" s="35">
        <f t="shared" si="579"/>
        <v>0</v>
      </c>
      <c r="AX65" s="35">
        <f t="shared" si="579"/>
        <v>0</v>
      </c>
      <c r="AY65" s="35">
        <f t="shared" si="579"/>
        <v>0</v>
      </c>
      <c r="AZ65" s="35">
        <f t="shared" si="579"/>
        <v>0</v>
      </c>
      <c r="BA65" s="35">
        <f t="shared" si="579"/>
        <v>0</v>
      </c>
      <c r="BB65" s="35">
        <f t="shared" ref="BB65:CH65" si="580">BB49</f>
        <v>0</v>
      </c>
      <c r="BC65" s="35">
        <f t="shared" si="580"/>
        <v>0</v>
      </c>
      <c r="BD65" s="35">
        <f t="shared" si="580"/>
        <v>0</v>
      </c>
      <c r="BE65" s="35">
        <f t="shared" si="580"/>
        <v>0</v>
      </c>
      <c r="BF65" s="35">
        <f t="shared" si="580"/>
        <v>0</v>
      </c>
      <c r="BG65" s="35">
        <f t="shared" si="580"/>
        <v>0</v>
      </c>
      <c r="BH65" s="35">
        <f t="shared" si="580"/>
        <v>0</v>
      </c>
      <c r="BI65" s="35">
        <f t="shared" si="580"/>
        <v>0</v>
      </c>
      <c r="BJ65" s="35">
        <f t="shared" si="580"/>
        <v>0</v>
      </c>
      <c r="BK65" s="35">
        <f t="shared" si="580"/>
        <v>0</v>
      </c>
      <c r="BL65" s="35">
        <f t="shared" si="580"/>
        <v>0</v>
      </c>
      <c r="BM65" s="35">
        <f t="shared" si="580"/>
        <v>0</v>
      </c>
      <c r="BN65" s="35">
        <f t="shared" si="580"/>
        <v>0</v>
      </c>
      <c r="BO65" s="35">
        <f t="shared" si="580"/>
        <v>0</v>
      </c>
      <c r="BP65" s="35">
        <f t="shared" si="580"/>
        <v>0</v>
      </c>
      <c r="BQ65" s="35">
        <f t="shared" si="580"/>
        <v>0</v>
      </c>
      <c r="BR65" s="35">
        <f t="shared" si="580"/>
        <v>0</v>
      </c>
      <c r="BS65" s="35">
        <f t="shared" si="580"/>
        <v>0</v>
      </c>
      <c r="BT65" s="35">
        <f t="shared" si="580"/>
        <v>0</v>
      </c>
      <c r="BU65" s="35">
        <f t="shared" si="580"/>
        <v>0</v>
      </c>
      <c r="BV65" s="35">
        <f t="shared" si="580"/>
        <v>0</v>
      </c>
      <c r="BW65" s="35">
        <f t="shared" si="580"/>
        <v>0</v>
      </c>
      <c r="BX65" s="35">
        <f t="shared" si="580"/>
        <v>0</v>
      </c>
      <c r="BY65" s="35">
        <f t="shared" si="580"/>
        <v>0</v>
      </c>
      <c r="BZ65" s="35">
        <f t="shared" si="580"/>
        <v>0</v>
      </c>
      <c r="CA65" s="35">
        <f t="shared" si="580"/>
        <v>0</v>
      </c>
      <c r="CB65" s="35">
        <f t="shared" si="580"/>
        <v>0</v>
      </c>
      <c r="CC65" s="35">
        <f t="shared" si="580"/>
        <v>0</v>
      </c>
      <c r="CD65" s="35">
        <f t="shared" si="580"/>
        <v>0</v>
      </c>
      <c r="CE65" s="35">
        <f t="shared" si="580"/>
        <v>0</v>
      </c>
      <c r="CF65" s="35">
        <f t="shared" si="580"/>
        <v>0</v>
      </c>
      <c r="CG65" s="35">
        <f t="shared" si="580"/>
        <v>0</v>
      </c>
      <c r="CH65" s="235">
        <f t="shared" si="580"/>
        <v>0</v>
      </c>
    </row>
    <row r="66" spans="1:86">
      <c r="A66"/>
      <c r="B66" s="236"/>
      <c r="C66" s="108"/>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235"/>
    </row>
    <row r="67" spans="1:86">
      <c r="B67" s="465" t="s">
        <v>44</v>
      </c>
      <c r="C67" s="466"/>
      <c r="D67" s="3">
        <f t="shared" ref="D67:AI67" si="581">D33+D50</f>
        <v>0</v>
      </c>
      <c r="E67" s="3">
        <f t="shared" si="581"/>
        <v>0</v>
      </c>
      <c r="F67" s="3">
        <f t="shared" si="581"/>
        <v>0</v>
      </c>
      <c r="G67" s="3">
        <f t="shared" si="581"/>
        <v>0</v>
      </c>
      <c r="H67" s="3">
        <f t="shared" si="581"/>
        <v>0</v>
      </c>
      <c r="I67" s="3">
        <f t="shared" si="581"/>
        <v>0</v>
      </c>
      <c r="J67" s="3">
        <f t="shared" si="581"/>
        <v>0</v>
      </c>
      <c r="K67" s="3">
        <f t="shared" si="581"/>
        <v>0</v>
      </c>
      <c r="L67" s="3">
        <f t="shared" si="581"/>
        <v>0</v>
      </c>
      <c r="M67" s="3">
        <f t="shared" si="581"/>
        <v>0</v>
      </c>
      <c r="N67" s="3">
        <f t="shared" si="581"/>
        <v>0</v>
      </c>
      <c r="O67" s="3">
        <f t="shared" si="581"/>
        <v>0</v>
      </c>
      <c r="P67" s="3">
        <f t="shared" si="581"/>
        <v>0</v>
      </c>
      <c r="Q67" s="3">
        <f t="shared" si="581"/>
        <v>0</v>
      </c>
      <c r="R67" s="3">
        <f t="shared" si="581"/>
        <v>0</v>
      </c>
      <c r="S67" s="3">
        <f t="shared" si="581"/>
        <v>0</v>
      </c>
      <c r="T67" s="3">
        <f t="shared" si="581"/>
        <v>0</v>
      </c>
      <c r="U67" s="3">
        <f t="shared" si="581"/>
        <v>0</v>
      </c>
      <c r="V67" s="3">
        <f t="shared" si="581"/>
        <v>0</v>
      </c>
      <c r="W67" s="3">
        <f t="shared" si="581"/>
        <v>0</v>
      </c>
      <c r="X67" s="3">
        <f t="shared" si="581"/>
        <v>0</v>
      </c>
      <c r="Y67" s="3">
        <f t="shared" si="581"/>
        <v>0</v>
      </c>
      <c r="Z67" s="3">
        <f t="shared" si="581"/>
        <v>0</v>
      </c>
      <c r="AA67" s="3">
        <f t="shared" si="581"/>
        <v>0</v>
      </c>
      <c r="AB67" s="3">
        <f t="shared" si="581"/>
        <v>0</v>
      </c>
      <c r="AC67" s="3">
        <f t="shared" si="581"/>
        <v>0</v>
      </c>
      <c r="AD67" s="3">
        <f t="shared" si="581"/>
        <v>0</v>
      </c>
      <c r="AE67" s="3">
        <f t="shared" si="581"/>
        <v>0</v>
      </c>
      <c r="AF67" s="3">
        <f t="shared" si="581"/>
        <v>0</v>
      </c>
      <c r="AG67" s="3">
        <f t="shared" si="581"/>
        <v>0</v>
      </c>
      <c r="AH67" s="3">
        <f t="shared" si="581"/>
        <v>0</v>
      </c>
      <c r="AI67" s="3">
        <f t="shared" si="581"/>
        <v>0</v>
      </c>
      <c r="AJ67" s="3">
        <f t="shared" ref="AJ67:BA67" si="582">AJ33+AJ50</f>
        <v>0</v>
      </c>
      <c r="AK67" s="3">
        <f t="shared" si="582"/>
        <v>0</v>
      </c>
      <c r="AL67" s="3">
        <f t="shared" si="582"/>
        <v>0</v>
      </c>
      <c r="AM67" s="3">
        <f t="shared" si="582"/>
        <v>0</v>
      </c>
      <c r="AN67" s="3">
        <f t="shared" si="582"/>
        <v>0</v>
      </c>
      <c r="AO67" s="3">
        <f t="shared" si="582"/>
        <v>0</v>
      </c>
      <c r="AP67" s="3">
        <f t="shared" si="582"/>
        <v>0</v>
      </c>
      <c r="AQ67" s="3">
        <f t="shared" si="582"/>
        <v>0</v>
      </c>
      <c r="AR67" s="3">
        <f t="shared" si="582"/>
        <v>0</v>
      </c>
      <c r="AS67" s="3">
        <f t="shared" si="582"/>
        <v>0</v>
      </c>
      <c r="AT67" s="3">
        <f t="shared" si="582"/>
        <v>0</v>
      </c>
      <c r="AU67" s="3">
        <f t="shared" si="582"/>
        <v>0</v>
      </c>
      <c r="AV67" s="3">
        <f t="shared" si="582"/>
        <v>0</v>
      </c>
      <c r="AW67" s="3">
        <f t="shared" si="582"/>
        <v>0</v>
      </c>
      <c r="AX67" s="3">
        <f t="shared" si="582"/>
        <v>0</v>
      </c>
      <c r="AY67" s="3">
        <f t="shared" si="582"/>
        <v>0</v>
      </c>
      <c r="AZ67" s="3">
        <f t="shared" si="582"/>
        <v>0</v>
      </c>
      <c r="BA67" s="3">
        <f t="shared" si="582"/>
        <v>0</v>
      </c>
      <c r="BB67" s="3">
        <f t="shared" ref="BB67:CH67" si="583">BB33+BB50</f>
        <v>0</v>
      </c>
      <c r="BC67" s="3">
        <f t="shared" si="583"/>
        <v>0</v>
      </c>
      <c r="BD67" s="3">
        <f t="shared" si="583"/>
        <v>0</v>
      </c>
      <c r="BE67" s="3">
        <f t="shared" si="583"/>
        <v>0</v>
      </c>
      <c r="BF67" s="3">
        <f t="shared" si="583"/>
        <v>0</v>
      </c>
      <c r="BG67" s="3">
        <f t="shared" si="583"/>
        <v>0</v>
      </c>
      <c r="BH67" s="3">
        <f t="shared" si="583"/>
        <v>0</v>
      </c>
      <c r="BI67" s="3">
        <f t="shared" si="583"/>
        <v>0</v>
      </c>
      <c r="BJ67" s="3">
        <f t="shared" si="583"/>
        <v>0</v>
      </c>
      <c r="BK67" s="3">
        <f t="shared" si="583"/>
        <v>0</v>
      </c>
      <c r="BL67" s="3">
        <f t="shared" si="583"/>
        <v>0</v>
      </c>
      <c r="BM67" s="3">
        <f t="shared" si="583"/>
        <v>0</v>
      </c>
      <c r="BN67" s="3">
        <f t="shared" si="583"/>
        <v>0</v>
      </c>
      <c r="BO67" s="3">
        <f t="shared" si="583"/>
        <v>0</v>
      </c>
      <c r="BP67" s="3">
        <f t="shared" si="583"/>
        <v>0</v>
      </c>
      <c r="BQ67" s="3">
        <f t="shared" si="583"/>
        <v>0</v>
      </c>
      <c r="BR67" s="3">
        <f t="shared" si="583"/>
        <v>0</v>
      </c>
      <c r="BS67" s="3">
        <f t="shared" si="583"/>
        <v>0</v>
      </c>
      <c r="BT67" s="3">
        <f t="shared" si="583"/>
        <v>0</v>
      </c>
      <c r="BU67" s="3">
        <f t="shared" si="583"/>
        <v>0</v>
      </c>
      <c r="BV67" s="3">
        <f t="shared" si="583"/>
        <v>0</v>
      </c>
      <c r="BW67" s="3">
        <f t="shared" si="583"/>
        <v>0</v>
      </c>
      <c r="BX67" s="3">
        <f t="shared" si="583"/>
        <v>0</v>
      </c>
      <c r="BY67" s="3">
        <f t="shared" si="583"/>
        <v>0</v>
      </c>
      <c r="BZ67" s="3">
        <f t="shared" si="583"/>
        <v>0</v>
      </c>
      <c r="CA67" s="3">
        <f t="shared" si="583"/>
        <v>0</v>
      </c>
      <c r="CB67" s="3">
        <f t="shared" si="583"/>
        <v>0</v>
      </c>
      <c r="CC67" s="3">
        <f t="shared" si="583"/>
        <v>0</v>
      </c>
      <c r="CD67" s="3">
        <f t="shared" si="583"/>
        <v>0</v>
      </c>
      <c r="CE67" s="3">
        <f t="shared" si="583"/>
        <v>0</v>
      </c>
      <c r="CF67" s="3">
        <f t="shared" si="583"/>
        <v>0</v>
      </c>
      <c r="CG67" s="3">
        <f t="shared" si="583"/>
        <v>0</v>
      </c>
      <c r="CH67" s="226">
        <f t="shared" si="583"/>
        <v>0</v>
      </c>
    </row>
    <row r="68" spans="1:86">
      <c r="B68" s="490" t="s">
        <v>58</v>
      </c>
      <c r="C68" s="491"/>
      <c r="D68" s="3">
        <f>D67</f>
        <v>0</v>
      </c>
      <c r="E68" s="3">
        <f>D68+E67</f>
        <v>0</v>
      </c>
      <c r="F68" s="3">
        <f t="shared" ref="F68:BA68" si="584">E68+F67</f>
        <v>0</v>
      </c>
      <c r="G68" s="3">
        <f t="shared" si="584"/>
        <v>0</v>
      </c>
      <c r="H68" s="3">
        <f t="shared" si="584"/>
        <v>0</v>
      </c>
      <c r="I68" s="3">
        <f t="shared" si="584"/>
        <v>0</v>
      </c>
      <c r="J68" s="3">
        <f t="shared" si="584"/>
        <v>0</v>
      </c>
      <c r="K68" s="3">
        <f t="shared" si="584"/>
        <v>0</v>
      </c>
      <c r="L68" s="3">
        <f t="shared" si="584"/>
        <v>0</v>
      </c>
      <c r="M68" s="3">
        <f t="shared" si="584"/>
        <v>0</v>
      </c>
      <c r="N68" s="3">
        <f t="shared" si="584"/>
        <v>0</v>
      </c>
      <c r="O68" s="3">
        <f t="shared" si="584"/>
        <v>0</v>
      </c>
      <c r="P68" s="3">
        <f t="shared" si="584"/>
        <v>0</v>
      </c>
      <c r="Q68" s="3">
        <f t="shared" si="584"/>
        <v>0</v>
      </c>
      <c r="R68" s="3">
        <f t="shared" si="584"/>
        <v>0</v>
      </c>
      <c r="S68" s="3">
        <f t="shared" si="584"/>
        <v>0</v>
      </c>
      <c r="T68" s="3">
        <f t="shared" si="584"/>
        <v>0</v>
      </c>
      <c r="U68" s="3">
        <f t="shared" si="584"/>
        <v>0</v>
      </c>
      <c r="V68" s="3">
        <f t="shared" si="584"/>
        <v>0</v>
      </c>
      <c r="W68" s="3">
        <f t="shared" si="584"/>
        <v>0</v>
      </c>
      <c r="X68" s="3">
        <f t="shared" si="584"/>
        <v>0</v>
      </c>
      <c r="Y68" s="3">
        <f t="shared" si="584"/>
        <v>0</v>
      </c>
      <c r="Z68" s="3">
        <f t="shared" si="584"/>
        <v>0</v>
      </c>
      <c r="AA68" s="3">
        <f t="shared" si="584"/>
        <v>0</v>
      </c>
      <c r="AB68" s="3">
        <f t="shared" si="584"/>
        <v>0</v>
      </c>
      <c r="AC68" s="3">
        <f t="shared" si="584"/>
        <v>0</v>
      </c>
      <c r="AD68" s="3">
        <f t="shared" si="584"/>
        <v>0</v>
      </c>
      <c r="AE68" s="3">
        <f t="shared" si="584"/>
        <v>0</v>
      </c>
      <c r="AF68" s="3">
        <f t="shared" si="584"/>
        <v>0</v>
      </c>
      <c r="AG68" s="3">
        <f t="shared" si="584"/>
        <v>0</v>
      </c>
      <c r="AH68" s="3">
        <f t="shared" si="584"/>
        <v>0</v>
      </c>
      <c r="AI68" s="3">
        <f t="shared" si="584"/>
        <v>0</v>
      </c>
      <c r="AJ68" s="3">
        <f t="shared" si="584"/>
        <v>0</v>
      </c>
      <c r="AK68" s="3">
        <f t="shared" si="584"/>
        <v>0</v>
      </c>
      <c r="AL68" s="3">
        <f t="shared" si="584"/>
        <v>0</v>
      </c>
      <c r="AM68" s="3">
        <f t="shared" si="584"/>
        <v>0</v>
      </c>
      <c r="AN68" s="3">
        <f t="shared" si="584"/>
        <v>0</v>
      </c>
      <c r="AO68" s="3">
        <f t="shared" si="584"/>
        <v>0</v>
      </c>
      <c r="AP68" s="3">
        <f t="shared" si="584"/>
        <v>0</v>
      </c>
      <c r="AQ68" s="3">
        <f t="shared" si="584"/>
        <v>0</v>
      </c>
      <c r="AR68" s="3">
        <f t="shared" si="584"/>
        <v>0</v>
      </c>
      <c r="AS68" s="3">
        <f t="shared" si="584"/>
        <v>0</v>
      </c>
      <c r="AT68" s="3">
        <f t="shared" si="584"/>
        <v>0</v>
      </c>
      <c r="AU68" s="3">
        <f t="shared" si="584"/>
        <v>0</v>
      </c>
      <c r="AV68" s="3">
        <f t="shared" si="584"/>
        <v>0</v>
      </c>
      <c r="AW68" s="3">
        <f t="shared" si="584"/>
        <v>0</v>
      </c>
      <c r="AX68" s="3">
        <f t="shared" si="584"/>
        <v>0</v>
      </c>
      <c r="AY68" s="3">
        <f t="shared" si="584"/>
        <v>0</v>
      </c>
      <c r="AZ68" s="3">
        <f t="shared" si="584"/>
        <v>0</v>
      </c>
      <c r="BA68" s="3">
        <f t="shared" si="584"/>
        <v>0</v>
      </c>
      <c r="BB68" s="3">
        <f t="shared" ref="BB68" si="585">BA68+BB67</f>
        <v>0</v>
      </c>
      <c r="BC68" s="3">
        <f t="shared" ref="BC68" si="586">BB68+BC67</f>
        <v>0</v>
      </c>
      <c r="BD68" s="3">
        <f t="shared" ref="BD68" si="587">BC68+BD67</f>
        <v>0</v>
      </c>
      <c r="BE68" s="3">
        <f t="shared" ref="BE68" si="588">BD68+BE67</f>
        <v>0</v>
      </c>
      <c r="BF68" s="3">
        <f t="shared" ref="BF68" si="589">BE68+BF67</f>
        <v>0</v>
      </c>
      <c r="BG68" s="3">
        <f t="shared" ref="BG68" si="590">BF68+BG67</f>
        <v>0</v>
      </c>
      <c r="BH68" s="3">
        <f t="shared" ref="BH68" si="591">BG68+BH67</f>
        <v>0</v>
      </c>
      <c r="BI68" s="3">
        <f t="shared" ref="BI68" si="592">BH68+BI67</f>
        <v>0</v>
      </c>
      <c r="BJ68" s="3">
        <f t="shared" ref="BJ68" si="593">BI68+BJ67</f>
        <v>0</v>
      </c>
      <c r="BK68" s="3">
        <f t="shared" ref="BK68" si="594">BJ68+BK67</f>
        <v>0</v>
      </c>
      <c r="BL68" s="3">
        <f t="shared" ref="BL68" si="595">BK68+BL67</f>
        <v>0</v>
      </c>
      <c r="BM68" s="3">
        <f t="shared" ref="BM68" si="596">BL68+BM67</f>
        <v>0</v>
      </c>
      <c r="BN68" s="3">
        <f t="shared" ref="BN68" si="597">BM68+BN67</f>
        <v>0</v>
      </c>
      <c r="BO68" s="3">
        <f t="shared" ref="BO68" si="598">BN68+BO67</f>
        <v>0</v>
      </c>
      <c r="BP68" s="3">
        <f t="shared" ref="BP68" si="599">BO68+BP67</f>
        <v>0</v>
      </c>
      <c r="BQ68" s="3">
        <f t="shared" ref="BQ68" si="600">BP68+BQ67</f>
        <v>0</v>
      </c>
      <c r="BR68" s="3">
        <f t="shared" ref="BR68" si="601">BQ68+BR67</f>
        <v>0</v>
      </c>
      <c r="BS68" s="3">
        <f t="shared" ref="BS68" si="602">BR68+BS67</f>
        <v>0</v>
      </c>
      <c r="BT68" s="3">
        <f t="shared" ref="BT68" si="603">BS68+BT67</f>
        <v>0</v>
      </c>
      <c r="BU68" s="3">
        <f t="shared" ref="BU68" si="604">BT68+BU67</f>
        <v>0</v>
      </c>
      <c r="BV68" s="3">
        <f t="shared" ref="BV68" si="605">BU68+BV67</f>
        <v>0</v>
      </c>
      <c r="BW68" s="3">
        <f t="shared" ref="BW68" si="606">BV68+BW67</f>
        <v>0</v>
      </c>
      <c r="BX68" s="3">
        <f t="shared" ref="BX68" si="607">BW68+BX67</f>
        <v>0</v>
      </c>
      <c r="BY68" s="3">
        <f t="shared" ref="BY68" si="608">BX68+BY67</f>
        <v>0</v>
      </c>
      <c r="BZ68" s="3">
        <f t="shared" ref="BZ68" si="609">BY68+BZ67</f>
        <v>0</v>
      </c>
      <c r="CA68" s="3">
        <f t="shared" ref="CA68" si="610">BZ68+CA67</f>
        <v>0</v>
      </c>
      <c r="CB68" s="3">
        <f t="shared" ref="CB68" si="611">CA68+CB67</f>
        <v>0</v>
      </c>
      <c r="CC68" s="3">
        <f t="shared" ref="CC68" si="612">CB68+CC67</f>
        <v>0</v>
      </c>
      <c r="CD68" s="3">
        <f t="shared" ref="CD68" si="613">CC68+CD67</f>
        <v>0</v>
      </c>
      <c r="CE68" s="3">
        <f t="shared" ref="CE68" si="614">CD68+CE67</f>
        <v>0</v>
      </c>
      <c r="CF68" s="3">
        <f t="shared" ref="CF68" si="615">CE68+CF67</f>
        <v>0</v>
      </c>
      <c r="CG68" s="3">
        <f t="shared" ref="CG68" si="616">CF68+CG67</f>
        <v>0</v>
      </c>
      <c r="CH68" s="226">
        <f t="shared" ref="CH68" si="617">CG68+CH67</f>
        <v>0</v>
      </c>
    </row>
    <row r="69" spans="1:86">
      <c r="B69" s="490" t="s">
        <v>51</v>
      </c>
      <c r="C69" s="491"/>
      <c r="D69" s="36">
        <f>IF(D63&gt;0,D67/D63,)</f>
        <v>0</v>
      </c>
      <c r="E69" s="36">
        <f t="shared" ref="E69:BA69" si="618">IF(E63&gt;0,E67/E63,)</f>
        <v>0</v>
      </c>
      <c r="F69" s="36">
        <f t="shared" si="618"/>
        <v>0</v>
      </c>
      <c r="G69" s="36">
        <f t="shared" si="618"/>
        <v>0</v>
      </c>
      <c r="H69" s="36">
        <f t="shared" si="618"/>
        <v>0</v>
      </c>
      <c r="I69" s="36">
        <f t="shared" si="618"/>
        <v>0</v>
      </c>
      <c r="J69" s="36">
        <f t="shared" si="618"/>
        <v>0</v>
      </c>
      <c r="K69" s="36">
        <f t="shared" si="618"/>
        <v>0</v>
      </c>
      <c r="L69" s="36">
        <f t="shared" si="618"/>
        <v>0</v>
      </c>
      <c r="M69" s="36">
        <f t="shared" si="618"/>
        <v>0</v>
      </c>
      <c r="N69" s="36">
        <f t="shared" si="618"/>
        <v>0</v>
      </c>
      <c r="O69" s="36">
        <f t="shared" si="618"/>
        <v>0</v>
      </c>
      <c r="P69" s="36">
        <f t="shared" si="618"/>
        <v>0</v>
      </c>
      <c r="Q69" s="36">
        <f t="shared" si="618"/>
        <v>0</v>
      </c>
      <c r="R69" s="36">
        <f t="shared" si="618"/>
        <v>0</v>
      </c>
      <c r="S69" s="36">
        <f t="shared" si="618"/>
        <v>0</v>
      </c>
      <c r="T69" s="36">
        <f t="shared" si="618"/>
        <v>0</v>
      </c>
      <c r="U69" s="36">
        <f t="shared" si="618"/>
        <v>0</v>
      </c>
      <c r="V69" s="36">
        <f t="shared" si="618"/>
        <v>0</v>
      </c>
      <c r="W69" s="36">
        <f t="shared" si="618"/>
        <v>0</v>
      </c>
      <c r="X69" s="36">
        <f t="shared" si="618"/>
        <v>0</v>
      </c>
      <c r="Y69" s="36">
        <f t="shared" si="618"/>
        <v>0</v>
      </c>
      <c r="Z69" s="36">
        <f t="shared" si="618"/>
        <v>0</v>
      </c>
      <c r="AA69" s="36">
        <f t="shared" si="618"/>
        <v>0</v>
      </c>
      <c r="AB69" s="36">
        <f t="shared" si="618"/>
        <v>0</v>
      </c>
      <c r="AC69" s="36">
        <f t="shared" si="618"/>
        <v>0</v>
      </c>
      <c r="AD69" s="36">
        <f t="shared" si="618"/>
        <v>0</v>
      </c>
      <c r="AE69" s="36">
        <f t="shared" si="618"/>
        <v>0</v>
      </c>
      <c r="AF69" s="36">
        <f t="shared" si="618"/>
        <v>0</v>
      </c>
      <c r="AG69" s="36">
        <f t="shared" si="618"/>
        <v>0</v>
      </c>
      <c r="AH69" s="36">
        <f t="shared" si="618"/>
        <v>0</v>
      </c>
      <c r="AI69" s="36">
        <f t="shared" si="618"/>
        <v>0</v>
      </c>
      <c r="AJ69" s="36">
        <f t="shared" si="618"/>
        <v>0</v>
      </c>
      <c r="AK69" s="36">
        <f t="shared" si="618"/>
        <v>0</v>
      </c>
      <c r="AL69" s="36">
        <f t="shared" si="618"/>
        <v>0</v>
      </c>
      <c r="AM69" s="36">
        <f t="shared" si="618"/>
        <v>0</v>
      </c>
      <c r="AN69" s="36">
        <f t="shared" si="618"/>
        <v>0</v>
      </c>
      <c r="AO69" s="36">
        <f t="shared" si="618"/>
        <v>0</v>
      </c>
      <c r="AP69" s="36">
        <f t="shared" si="618"/>
        <v>0</v>
      </c>
      <c r="AQ69" s="36">
        <f t="shared" si="618"/>
        <v>0</v>
      </c>
      <c r="AR69" s="36">
        <f t="shared" si="618"/>
        <v>0</v>
      </c>
      <c r="AS69" s="36">
        <f t="shared" si="618"/>
        <v>0</v>
      </c>
      <c r="AT69" s="36">
        <f t="shared" si="618"/>
        <v>0</v>
      </c>
      <c r="AU69" s="36">
        <f t="shared" si="618"/>
        <v>0</v>
      </c>
      <c r="AV69" s="36">
        <f t="shared" si="618"/>
        <v>0</v>
      </c>
      <c r="AW69" s="36">
        <f t="shared" si="618"/>
        <v>0</v>
      </c>
      <c r="AX69" s="36">
        <f t="shared" si="618"/>
        <v>0</v>
      </c>
      <c r="AY69" s="36">
        <f t="shared" si="618"/>
        <v>0</v>
      </c>
      <c r="AZ69" s="36">
        <f t="shared" si="618"/>
        <v>0</v>
      </c>
      <c r="BA69" s="36">
        <f t="shared" si="618"/>
        <v>0</v>
      </c>
      <c r="BB69" s="36">
        <f t="shared" ref="BB69:CH69" si="619">IF(BB63&gt;0,BB67/BB63,)</f>
        <v>0</v>
      </c>
      <c r="BC69" s="36">
        <f t="shared" si="619"/>
        <v>0</v>
      </c>
      <c r="BD69" s="36">
        <f t="shared" si="619"/>
        <v>0</v>
      </c>
      <c r="BE69" s="36">
        <f t="shared" si="619"/>
        <v>0</v>
      </c>
      <c r="BF69" s="36">
        <f t="shared" si="619"/>
        <v>0</v>
      </c>
      <c r="BG69" s="36">
        <f t="shared" si="619"/>
        <v>0</v>
      </c>
      <c r="BH69" s="36">
        <f t="shared" si="619"/>
        <v>0</v>
      </c>
      <c r="BI69" s="36">
        <f t="shared" si="619"/>
        <v>0</v>
      </c>
      <c r="BJ69" s="36">
        <f t="shared" si="619"/>
        <v>0</v>
      </c>
      <c r="BK69" s="36">
        <f t="shared" si="619"/>
        <v>0</v>
      </c>
      <c r="BL69" s="36">
        <f t="shared" si="619"/>
        <v>0</v>
      </c>
      <c r="BM69" s="36">
        <f t="shared" si="619"/>
        <v>0</v>
      </c>
      <c r="BN69" s="36">
        <f t="shared" si="619"/>
        <v>0</v>
      </c>
      <c r="BO69" s="36">
        <f t="shared" si="619"/>
        <v>0</v>
      </c>
      <c r="BP69" s="36">
        <f t="shared" si="619"/>
        <v>0</v>
      </c>
      <c r="BQ69" s="36">
        <f t="shared" si="619"/>
        <v>0</v>
      </c>
      <c r="BR69" s="36">
        <f t="shared" si="619"/>
        <v>0</v>
      </c>
      <c r="BS69" s="36">
        <f t="shared" si="619"/>
        <v>0</v>
      </c>
      <c r="BT69" s="36">
        <f t="shared" si="619"/>
        <v>0</v>
      </c>
      <c r="BU69" s="36">
        <f t="shared" si="619"/>
        <v>0</v>
      </c>
      <c r="BV69" s="36">
        <f t="shared" si="619"/>
        <v>0</v>
      </c>
      <c r="BW69" s="36">
        <f t="shared" si="619"/>
        <v>0</v>
      </c>
      <c r="BX69" s="36">
        <f t="shared" si="619"/>
        <v>0</v>
      </c>
      <c r="BY69" s="36">
        <f t="shared" si="619"/>
        <v>0</v>
      </c>
      <c r="BZ69" s="36">
        <f t="shared" si="619"/>
        <v>0</v>
      </c>
      <c r="CA69" s="36">
        <f t="shared" si="619"/>
        <v>0</v>
      </c>
      <c r="CB69" s="36">
        <f t="shared" si="619"/>
        <v>0</v>
      </c>
      <c r="CC69" s="36">
        <f t="shared" si="619"/>
        <v>0</v>
      </c>
      <c r="CD69" s="36">
        <f t="shared" si="619"/>
        <v>0</v>
      </c>
      <c r="CE69" s="36">
        <f t="shared" si="619"/>
        <v>0</v>
      </c>
      <c r="CF69" s="36">
        <f t="shared" si="619"/>
        <v>0</v>
      </c>
      <c r="CG69" s="36">
        <f t="shared" si="619"/>
        <v>0</v>
      </c>
      <c r="CH69" s="237">
        <f t="shared" si="619"/>
        <v>0</v>
      </c>
    </row>
    <row r="70" spans="1:86">
      <c r="B70" s="490"/>
      <c r="C70" s="491"/>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237"/>
    </row>
    <row r="71" spans="1:86">
      <c r="B71" s="465" t="s">
        <v>45</v>
      </c>
      <c r="C71" s="466"/>
      <c r="D71" s="3">
        <f t="shared" ref="D71:AI71" si="620">D36+D53</f>
        <v>0</v>
      </c>
      <c r="E71" s="3">
        <f t="shared" si="620"/>
        <v>0</v>
      </c>
      <c r="F71" s="3">
        <f t="shared" si="620"/>
        <v>0</v>
      </c>
      <c r="G71" s="3">
        <f t="shared" si="620"/>
        <v>0</v>
      </c>
      <c r="H71" s="3">
        <f t="shared" si="620"/>
        <v>0</v>
      </c>
      <c r="I71" s="3">
        <f t="shared" si="620"/>
        <v>0</v>
      </c>
      <c r="J71" s="3">
        <f t="shared" si="620"/>
        <v>0</v>
      </c>
      <c r="K71" s="3">
        <f t="shared" si="620"/>
        <v>0</v>
      </c>
      <c r="L71" s="3">
        <f t="shared" si="620"/>
        <v>0</v>
      </c>
      <c r="M71" s="3">
        <f t="shared" si="620"/>
        <v>0</v>
      </c>
      <c r="N71" s="3">
        <f t="shared" si="620"/>
        <v>0</v>
      </c>
      <c r="O71" s="3">
        <f t="shared" si="620"/>
        <v>0</v>
      </c>
      <c r="P71" s="3">
        <f t="shared" si="620"/>
        <v>0</v>
      </c>
      <c r="Q71" s="3">
        <f t="shared" si="620"/>
        <v>0</v>
      </c>
      <c r="R71" s="3">
        <f t="shared" si="620"/>
        <v>0</v>
      </c>
      <c r="S71" s="3">
        <f t="shared" si="620"/>
        <v>0</v>
      </c>
      <c r="T71" s="3">
        <f t="shared" si="620"/>
        <v>0</v>
      </c>
      <c r="U71" s="3">
        <f t="shared" si="620"/>
        <v>0</v>
      </c>
      <c r="V71" s="3">
        <f t="shared" si="620"/>
        <v>0</v>
      </c>
      <c r="W71" s="3">
        <f t="shared" si="620"/>
        <v>0</v>
      </c>
      <c r="X71" s="3">
        <f t="shared" si="620"/>
        <v>0</v>
      </c>
      <c r="Y71" s="3">
        <f t="shared" si="620"/>
        <v>0</v>
      </c>
      <c r="Z71" s="3">
        <f t="shared" si="620"/>
        <v>0</v>
      </c>
      <c r="AA71" s="3">
        <f t="shared" si="620"/>
        <v>0</v>
      </c>
      <c r="AB71" s="3">
        <f t="shared" si="620"/>
        <v>0</v>
      </c>
      <c r="AC71" s="3">
        <f t="shared" si="620"/>
        <v>0</v>
      </c>
      <c r="AD71" s="3">
        <f t="shared" si="620"/>
        <v>0</v>
      </c>
      <c r="AE71" s="3">
        <f t="shared" si="620"/>
        <v>0</v>
      </c>
      <c r="AF71" s="3">
        <f t="shared" si="620"/>
        <v>0</v>
      </c>
      <c r="AG71" s="3">
        <f t="shared" si="620"/>
        <v>0</v>
      </c>
      <c r="AH71" s="3">
        <f t="shared" si="620"/>
        <v>0</v>
      </c>
      <c r="AI71" s="3">
        <f t="shared" si="620"/>
        <v>0</v>
      </c>
      <c r="AJ71" s="3">
        <f t="shared" ref="AJ71:BA71" si="621">AJ36+AJ53</f>
        <v>0</v>
      </c>
      <c r="AK71" s="3">
        <f t="shared" si="621"/>
        <v>0</v>
      </c>
      <c r="AL71" s="3">
        <f t="shared" si="621"/>
        <v>0</v>
      </c>
      <c r="AM71" s="3">
        <f t="shared" si="621"/>
        <v>0</v>
      </c>
      <c r="AN71" s="3">
        <f t="shared" si="621"/>
        <v>0</v>
      </c>
      <c r="AO71" s="3">
        <f t="shared" si="621"/>
        <v>0</v>
      </c>
      <c r="AP71" s="3">
        <f t="shared" si="621"/>
        <v>0</v>
      </c>
      <c r="AQ71" s="3">
        <f t="shared" si="621"/>
        <v>0</v>
      </c>
      <c r="AR71" s="3">
        <f t="shared" si="621"/>
        <v>0</v>
      </c>
      <c r="AS71" s="3">
        <f t="shared" si="621"/>
        <v>0</v>
      </c>
      <c r="AT71" s="3">
        <f t="shared" si="621"/>
        <v>0</v>
      </c>
      <c r="AU71" s="3">
        <f t="shared" si="621"/>
        <v>0</v>
      </c>
      <c r="AV71" s="3">
        <f t="shared" si="621"/>
        <v>0</v>
      </c>
      <c r="AW71" s="3">
        <f t="shared" si="621"/>
        <v>0</v>
      </c>
      <c r="AX71" s="3">
        <f t="shared" si="621"/>
        <v>0</v>
      </c>
      <c r="AY71" s="3">
        <f t="shared" si="621"/>
        <v>0</v>
      </c>
      <c r="AZ71" s="3">
        <f t="shared" si="621"/>
        <v>0</v>
      </c>
      <c r="BA71" s="3">
        <f t="shared" si="621"/>
        <v>0</v>
      </c>
      <c r="BB71" s="3">
        <f t="shared" ref="BB71:CH71" si="622">BB36+BB53</f>
        <v>0</v>
      </c>
      <c r="BC71" s="3">
        <f t="shared" si="622"/>
        <v>0</v>
      </c>
      <c r="BD71" s="3">
        <f t="shared" si="622"/>
        <v>0</v>
      </c>
      <c r="BE71" s="3">
        <f t="shared" si="622"/>
        <v>0</v>
      </c>
      <c r="BF71" s="3">
        <f t="shared" si="622"/>
        <v>0</v>
      </c>
      <c r="BG71" s="3">
        <f t="shared" si="622"/>
        <v>0</v>
      </c>
      <c r="BH71" s="3">
        <f t="shared" si="622"/>
        <v>0</v>
      </c>
      <c r="BI71" s="3">
        <f t="shared" si="622"/>
        <v>0</v>
      </c>
      <c r="BJ71" s="3">
        <f t="shared" si="622"/>
        <v>0</v>
      </c>
      <c r="BK71" s="3">
        <f t="shared" si="622"/>
        <v>0</v>
      </c>
      <c r="BL71" s="3">
        <f t="shared" si="622"/>
        <v>0</v>
      </c>
      <c r="BM71" s="3">
        <f t="shared" si="622"/>
        <v>0</v>
      </c>
      <c r="BN71" s="3">
        <f t="shared" si="622"/>
        <v>0</v>
      </c>
      <c r="BO71" s="3">
        <f t="shared" si="622"/>
        <v>0</v>
      </c>
      <c r="BP71" s="3">
        <f t="shared" si="622"/>
        <v>0</v>
      </c>
      <c r="BQ71" s="3">
        <f t="shared" si="622"/>
        <v>0</v>
      </c>
      <c r="BR71" s="3">
        <f t="shared" si="622"/>
        <v>0</v>
      </c>
      <c r="BS71" s="3">
        <f t="shared" si="622"/>
        <v>0</v>
      </c>
      <c r="BT71" s="3">
        <f t="shared" si="622"/>
        <v>0</v>
      </c>
      <c r="BU71" s="3">
        <f t="shared" si="622"/>
        <v>0</v>
      </c>
      <c r="BV71" s="3">
        <f t="shared" si="622"/>
        <v>0</v>
      </c>
      <c r="BW71" s="3">
        <f t="shared" si="622"/>
        <v>0</v>
      </c>
      <c r="BX71" s="3">
        <f t="shared" si="622"/>
        <v>0</v>
      </c>
      <c r="BY71" s="3">
        <f t="shared" si="622"/>
        <v>0</v>
      </c>
      <c r="BZ71" s="3">
        <f t="shared" si="622"/>
        <v>0</v>
      </c>
      <c r="CA71" s="3">
        <f t="shared" si="622"/>
        <v>0</v>
      </c>
      <c r="CB71" s="3">
        <f t="shared" si="622"/>
        <v>0</v>
      </c>
      <c r="CC71" s="3">
        <f t="shared" si="622"/>
        <v>0</v>
      </c>
      <c r="CD71" s="3">
        <f t="shared" si="622"/>
        <v>0</v>
      </c>
      <c r="CE71" s="3">
        <f t="shared" si="622"/>
        <v>0</v>
      </c>
      <c r="CF71" s="3">
        <f t="shared" si="622"/>
        <v>0</v>
      </c>
      <c r="CG71" s="3">
        <f t="shared" si="622"/>
        <v>0</v>
      </c>
      <c r="CH71" s="226">
        <f t="shared" si="622"/>
        <v>0</v>
      </c>
    </row>
    <row r="72" spans="1:86">
      <c r="B72" s="500" t="s">
        <v>55</v>
      </c>
      <c r="C72" s="501"/>
      <c r="D72" s="31">
        <f>IF(D63&gt;0,D71/D63,)</f>
        <v>0</v>
      </c>
      <c r="E72" s="31">
        <f t="shared" ref="E72:BA72" si="623">IF(E63&gt;0,E71/E63,)</f>
        <v>0</v>
      </c>
      <c r="F72" s="31">
        <f t="shared" si="623"/>
        <v>0</v>
      </c>
      <c r="G72" s="31">
        <f t="shared" si="623"/>
        <v>0</v>
      </c>
      <c r="H72" s="31">
        <f t="shared" si="623"/>
        <v>0</v>
      </c>
      <c r="I72" s="31">
        <f t="shared" si="623"/>
        <v>0</v>
      </c>
      <c r="J72" s="31">
        <f t="shared" si="623"/>
        <v>0</v>
      </c>
      <c r="K72" s="31">
        <f t="shared" si="623"/>
        <v>0</v>
      </c>
      <c r="L72" s="31">
        <f t="shared" si="623"/>
        <v>0</v>
      </c>
      <c r="M72" s="31">
        <f t="shared" si="623"/>
        <v>0</v>
      </c>
      <c r="N72" s="31">
        <f t="shared" si="623"/>
        <v>0</v>
      </c>
      <c r="O72" s="31">
        <f t="shared" si="623"/>
        <v>0</v>
      </c>
      <c r="P72" s="31">
        <f t="shared" si="623"/>
        <v>0</v>
      </c>
      <c r="Q72" s="31">
        <f t="shared" si="623"/>
        <v>0</v>
      </c>
      <c r="R72" s="31">
        <f t="shared" si="623"/>
        <v>0</v>
      </c>
      <c r="S72" s="31">
        <f t="shared" si="623"/>
        <v>0</v>
      </c>
      <c r="T72" s="31">
        <f t="shared" si="623"/>
        <v>0</v>
      </c>
      <c r="U72" s="31">
        <f t="shared" si="623"/>
        <v>0</v>
      </c>
      <c r="V72" s="31">
        <f t="shared" si="623"/>
        <v>0</v>
      </c>
      <c r="W72" s="31">
        <f t="shared" si="623"/>
        <v>0</v>
      </c>
      <c r="X72" s="31">
        <f t="shared" si="623"/>
        <v>0</v>
      </c>
      <c r="Y72" s="31">
        <f t="shared" si="623"/>
        <v>0</v>
      </c>
      <c r="Z72" s="31">
        <f t="shared" si="623"/>
        <v>0</v>
      </c>
      <c r="AA72" s="31">
        <f t="shared" si="623"/>
        <v>0</v>
      </c>
      <c r="AB72" s="31">
        <f t="shared" si="623"/>
        <v>0</v>
      </c>
      <c r="AC72" s="31">
        <f t="shared" si="623"/>
        <v>0</v>
      </c>
      <c r="AD72" s="31">
        <f t="shared" si="623"/>
        <v>0</v>
      </c>
      <c r="AE72" s="31">
        <f t="shared" si="623"/>
        <v>0</v>
      </c>
      <c r="AF72" s="31">
        <f t="shared" si="623"/>
        <v>0</v>
      </c>
      <c r="AG72" s="31">
        <f t="shared" si="623"/>
        <v>0</v>
      </c>
      <c r="AH72" s="31">
        <f t="shared" si="623"/>
        <v>0</v>
      </c>
      <c r="AI72" s="31">
        <f t="shared" si="623"/>
        <v>0</v>
      </c>
      <c r="AJ72" s="31">
        <f t="shared" si="623"/>
        <v>0</v>
      </c>
      <c r="AK72" s="31">
        <f t="shared" si="623"/>
        <v>0</v>
      </c>
      <c r="AL72" s="31">
        <f t="shared" si="623"/>
        <v>0</v>
      </c>
      <c r="AM72" s="31">
        <f t="shared" si="623"/>
        <v>0</v>
      </c>
      <c r="AN72" s="31">
        <f t="shared" si="623"/>
        <v>0</v>
      </c>
      <c r="AO72" s="31">
        <f t="shared" si="623"/>
        <v>0</v>
      </c>
      <c r="AP72" s="31">
        <f t="shared" si="623"/>
        <v>0</v>
      </c>
      <c r="AQ72" s="31">
        <f t="shared" si="623"/>
        <v>0</v>
      </c>
      <c r="AR72" s="31">
        <f t="shared" si="623"/>
        <v>0</v>
      </c>
      <c r="AS72" s="31">
        <f t="shared" si="623"/>
        <v>0</v>
      </c>
      <c r="AT72" s="31">
        <f t="shared" si="623"/>
        <v>0</v>
      </c>
      <c r="AU72" s="31">
        <f t="shared" si="623"/>
        <v>0</v>
      </c>
      <c r="AV72" s="31">
        <f t="shared" si="623"/>
        <v>0</v>
      </c>
      <c r="AW72" s="31">
        <f t="shared" si="623"/>
        <v>0</v>
      </c>
      <c r="AX72" s="31">
        <f t="shared" si="623"/>
        <v>0</v>
      </c>
      <c r="AY72" s="31">
        <f t="shared" si="623"/>
        <v>0</v>
      </c>
      <c r="AZ72" s="31">
        <f t="shared" si="623"/>
        <v>0</v>
      </c>
      <c r="BA72" s="31">
        <f t="shared" si="623"/>
        <v>0</v>
      </c>
      <c r="BB72" s="31">
        <f t="shared" ref="BB72:CH72" si="624">IF(BB63&gt;0,BB71/BB63,)</f>
        <v>0</v>
      </c>
      <c r="BC72" s="31">
        <f t="shared" si="624"/>
        <v>0</v>
      </c>
      <c r="BD72" s="31">
        <f t="shared" si="624"/>
        <v>0</v>
      </c>
      <c r="BE72" s="31">
        <f t="shared" si="624"/>
        <v>0</v>
      </c>
      <c r="BF72" s="31">
        <f t="shared" si="624"/>
        <v>0</v>
      </c>
      <c r="BG72" s="31">
        <f t="shared" si="624"/>
        <v>0</v>
      </c>
      <c r="BH72" s="31">
        <f t="shared" si="624"/>
        <v>0</v>
      </c>
      <c r="BI72" s="31">
        <f t="shared" si="624"/>
        <v>0</v>
      </c>
      <c r="BJ72" s="31">
        <f t="shared" si="624"/>
        <v>0</v>
      </c>
      <c r="BK72" s="31">
        <f t="shared" si="624"/>
        <v>0</v>
      </c>
      <c r="BL72" s="31">
        <f t="shared" si="624"/>
        <v>0</v>
      </c>
      <c r="BM72" s="31">
        <f t="shared" si="624"/>
        <v>0</v>
      </c>
      <c r="BN72" s="31">
        <f t="shared" si="624"/>
        <v>0</v>
      </c>
      <c r="BO72" s="31">
        <f t="shared" si="624"/>
        <v>0</v>
      </c>
      <c r="BP72" s="31">
        <f t="shared" si="624"/>
        <v>0</v>
      </c>
      <c r="BQ72" s="31">
        <f t="shared" si="624"/>
        <v>0</v>
      </c>
      <c r="BR72" s="31">
        <f t="shared" si="624"/>
        <v>0</v>
      </c>
      <c r="BS72" s="31">
        <f t="shared" si="624"/>
        <v>0</v>
      </c>
      <c r="BT72" s="31">
        <f t="shared" si="624"/>
        <v>0</v>
      </c>
      <c r="BU72" s="31">
        <f t="shared" si="624"/>
        <v>0</v>
      </c>
      <c r="BV72" s="31">
        <f t="shared" si="624"/>
        <v>0</v>
      </c>
      <c r="BW72" s="31">
        <f t="shared" si="624"/>
        <v>0</v>
      </c>
      <c r="BX72" s="31">
        <f t="shared" si="624"/>
        <v>0</v>
      </c>
      <c r="BY72" s="31">
        <f t="shared" si="624"/>
        <v>0</v>
      </c>
      <c r="BZ72" s="31">
        <f t="shared" si="624"/>
        <v>0</v>
      </c>
      <c r="CA72" s="31">
        <f t="shared" si="624"/>
        <v>0</v>
      </c>
      <c r="CB72" s="31">
        <f t="shared" si="624"/>
        <v>0</v>
      </c>
      <c r="CC72" s="31">
        <f t="shared" si="624"/>
        <v>0</v>
      </c>
      <c r="CD72" s="31">
        <f t="shared" si="624"/>
        <v>0</v>
      </c>
      <c r="CE72" s="31">
        <f t="shared" si="624"/>
        <v>0</v>
      </c>
      <c r="CF72" s="31">
        <f t="shared" si="624"/>
        <v>0</v>
      </c>
      <c r="CG72" s="31">
        <f t="shared" si="624"/>
        <v>0</v>
      </c>
      <c r="CH72" s="231">
        <f t="shared" si="624"/>
        <v>0</v>
      </c>
    </row>
    <row r="73" spans="1:86">
      <c r="B73" s="500"/>
      <c r="C73" s="50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231"/>
    </row>
    <row r="74" spans="1:86">
      <c r="B74" s="465" t="s">
        <v>46</v>
      </c>
      <c r="C74" s="466"/>
      <c r="D74" s="3">
        <f t="shared" ref="D74:AI74" si="625">D39+D56</f>
        <v>0</v>
      </c>
      <c r="E74" s="3">
        <f t="shared" si="625"/>
        <v>0</v>
      </c>
      <c r="F74" s="3">
        <f t="shared" si="625"/>
        <v>0</v>
      </c>
      <c r="G74" s="3">
        <f t="shared" si="625"/>
        <v>0</v>
      </c>
      <c r="H74" s="3">
        <f t="shared" si="625"/>
        <v>0</v>
      </c>
      <c r="I74" s="3">
        <f t="shared" si="625"/>
        <v>0</v>
      </c>
      <c r="J74" s="3">
        <f t="shared" si="625"/>
        <v>0</v>
      </c>
      <c r="K74" s="3">
        <f t="shared" si="625"/>
        <v>0</v>
      </c>
      <c r="L74" s="3">
        <f t="shared" si="625"/>
        <v>0</v>
      </c>
      <c r="M74" s="3">
        <f t="shared" si="625"/>
        <v>0</v>
      </c>
      <c r="N74" s="3">
        <f t="shared" si="625"/>
        <v>0</v>
      </c>
      <c r="O74" s="3">
        <f t="shared" si="625"/>
        <v>0</v>
      </c>
      <c r="P74" s="3">
        <f t="shared" si="625"/>
        <v>0</v>
      </c>
      <c r="Q74" s="3">
        <f t="shared" si="625"/>
        <v>0</v>
      </c>
      <c r="R74" s="3">
        <f t="shared" si="625"/>
        <v>0</v>
      </c>
      <c r="S74" s="3">
        <f t="shared" si="625"/>
        <v>0</v>
      </c>
      <c r="T74" s="3">
        <f t="shared" si="625"/>
        <v>0</v>
      </c>
      <c r="U74" s="3">
        <f t="shared" si="625"/>
        <v>0</v>
      </c>
      <c r="V74" s="3">
        <f t="shared" si="625"/>
        <v>0</v>
      </c>
      <c r="W74" s="3">
        <f t="shared" si="625"/>
        <v>0</v>
      </c>
      <c r="X74" s="3">
        <f t="shared" si="625"/>
        <v>0</v>
      </c>
      <c r="Y74" s="3">
        <f t="shared" si="625"/>
        <v>0</v>
      </c>
      <c r="Z74" s="3">
        <f t="shared" si="625"/>
        <v>0</v>
      </c>
      <c r="AA74" s="3">
        <f t="shared" si="625"/>
        <v>0</v>
      </c>
      <c r="AB74" s="3">
        <f t="shared" si="625"/>
        <v>0</v>
      </c>
      <c r="AC74" s="3">
        <f t="shared" si="625"/>
        <v>0</v>
      </c>
      <c r="AD74" s="3">
        <f t="shared" si="625"/>
        <v>0</v>
      </c>
      <c r="AE74" s="3">
        <f t="shared" si="625"/>
        <v>0</v>
      </c>
      <c r="AF74" s="3">
        <f t="shared" si="625"/>
        <v>0</v>
      </c>
      <c r="AG74" s="3">
        <f t="shared" si="625"/>
        <v>0</v>
      </c>
      <c r="AH74" s="3">
        <f t="shared" si="625"/>
        <v>0</v>
      </c>
      <c r="AI74" s="3">
        <f t="shared" si="625"/>
        <v>0</v>
      </c>
      <c r="AJ74" s="3">
        <f t="shared" ref="AJ74:BA74" si="626">AJ39+AJ56</f>
        <v>0</v>
      </c>
      <c r="AK74" s="3">
        <f t="shared" si="626"/>
        <v>0</v>
      </c>
      <c r="AL74" s="3">
        <f t="shared" si="626"/>
        <v>0</v>
      </c>
      <c r="AM74" s="3">
        <f t="shared" si="626"/>
        <v>0</v>
      </c>
      <c r="AN74" s="3">
        <f t="shared" si="626"/>
        <v>0</v>
      </c>
      <c r="AO74" s="3">
        <f t="shared" si="626"/>
        <v>0</v>
      </c>
      <c r="AP74" s="3">
        <f t="shared" si="626"/>
        <v>0</v>
      </c>
      <c r="AQ74" s="3">
        <f t="shared" si="626"/>
        <v>0</v>
      </c>
      <c r="AR74" s="3">
        <f t="shared" si="626"/>
        <v>0</v>
      </c>
      <c r="AS74" s="3">
        <f t="shared" si="626"/>
        <v>0</v>
      </c>
      <c r="AT74" s="3">
        <f t="shared" si="626"/>
        <v>0</v>
      </c>
      <c r="AU74" s="3">
        <f t="shared" si="626"/>
        <v>0</v>
      </c>
      <c r="AV74" s="3">
        <f t="shared" si="626"/>
        <v>0</v>
      </c>
      <c r="AW74" s="3">
        <f t="shared" si="626"/>
        <v>0</v>
      </c>
      <c r="AX74" s="3">
        <f t="shared" si="626"/>
        <v>0</v>
      </c>
      <c r="AY74" s="3">
        <f t="shared" si="626"/>
        <v>0</v>
      </c>
      <c r="AZ74" s="3">
        <f t="shared" si="626"/>
        <v>0</v>
      </c>
      <c r="BA74" s="3">
        <f t="shared" si="626"/>
        <v>0</v>
      </c>
      <c r="BB74" s="3">
        <f t="shared" ref="BB74:CH74" si="627">BB39+BB56</f>
        <v>0</v>
      </c>
      <c r="BC74" s="3">
        <f t="shared" si="627"/>
        <v>0</v>
      </c>
      <c r="BD74" s="3">
        <f t="shared" si="627"/>
        <v>0</v>
      </c>
      <c r="BE74" s="3">
        <f t="shared" si="627"/>
        <v>0</v>
      </c>
      <c r="BF74" s="3">
        <f t="shared" si="627"/>
        <v>0</v>
      </c>
      <c r="BG74" s="3">
        <f t="shared" si="627"/>
        <v>0</v>
      </c>
      <c r="BH74" s="3">
        <f t="shared" si="627"/>
        <v>0</v>
      </c>
      <c r="BI74" s="3">
        <f t="shared" si="627"/>
        <v>0</v>
      </c>
      <c r="BJ74" s="3">
        <f t="shared" si="627"/>
        <v>0</v>
      </c>
      <c r="BK74" s="3">
        <f t="shared" si="627"/>
        <v>0</v>
      </c>
      <c r="BL74" s="3">
        <f t="shared" si="627"/>
        <v>0</v>
      </c>
      <c r="BM74" s="3">
        <f t="shared" si="627"/>
        <v>0</v>
      </c>
      <c r="BN74" s="3">
        <f t="shared" si="627"/>
        <v>0</v>
      </c>
      <c r="BO74" s="3">
        <f t="shared" si="627"/>
        <v>0</v>
      </c>
      <c r="BP74" s="3">
        <f t="shared" si="627"/>
        <v>0</v>
      </c>
      <c r="BQ74" s="3">
        <f t="shared" si="627"/>
        <v>0</v>
      </c>
      <c r="BR74" s="3">
        <f t="shared" si="627"/>
        <v>0</v>
      </c>
      <c r="BS74" s="3">
        <f t="shared" si="627"/>
        <v>0</v>
      </c>
      <c r="BT74" s="3">
        <f t="shared" si="627"/>
        <v>0</v>
      </c>
      <c r="BU74" s="3">
        <f t="shared" si="627"/>
        <v>0</v>
      </c>
      <c r="BV74" s="3">
        <f t="shared" si="627"/>
        <v>0</v>
      </c>
      <c r="BW74" s="3">
        <f t="shared" si="627"/>
        <v>0</v>
      </c>
      <c r="BX74" s="3">
        <f t="shared" si="627"/>
        <v>0</v>
      </c>
      <c r="BY74" s="3">
        <f t="shared" si="627"/>
        <v>0</v>
      </c>
      <c r="BZ74" s="3">
        <f t="shared" si="627"/>
        <v>0</v>
      </c>
      <c r="CA74" s="3">
        <f t="shared" si="627"/>
        <v>0</v>
      </c>
      <c r="CB74" s="3">
        <f t="shared" si="627"/>
        <v>0</v>
      </c>
      <c r="CC74" s="3">
        <f t="shared" si="627"/>
        <v>0</v>
      </c>
      <c r="CD74" s="3">
        <f t="shared" si="627"/>
        <v>0</v>
      </c>
      <c r="CE74" s="3">
        <f t="shared" si="627"/>
        <v>0</v>
      </c>
      <c r="CF74" s="3">
        <f t="shared" si="627"/>
        <v>0</v>
      </c>
      <c r="CG74" s="3">
        <f t="shared" si="627"/>
        <v>0</v>
      </c>
      <c r="CH74" s="226">
        <f t="shared" si="627"/>
        <v>0</v>
      </c>
    </row>
    <row r="75" spans="1:86">
      <c r="B75" s="465" t="s">
        <v>48</v>
      </c>
      <c r="C75" s="466"/>
      <c r="D75" s="3">
        <f t="shared" ref="D75:AI75" si="628">D41+D58</f>
        <v>0</v>
      </c>
      <c r="E75" s="3">
        <f t="shared" si="628"/>
        <v>0</v>
      </c>
      <c r="F75" s="3">
        <f t="shared" si="628"/>
        <v>0</v>
      </c>
      <c r="G75" s="3">
        <f t="shared" si="628"/>
        <v>0</v>
      </c>
      <c r="H75" s="3">
        <f t="shared" si="628"/>
        <v>0</v>
      </c>
      <c r="I75" s="3">
        <f t="shared" si="628"/>
        <v>0</v>
      </c>
      <c r="J75" s="3">
        <f t="shared" si="628"/>
        <v>0</v>
      </c>
      <c r="K75" s="3">
        <f t="shared" si="628"/>
        <v>0</v>
      </c>
      <c r="L75" s="3">
        <f t="shared" si="628"/>
        <v>0</v>
      </c>
      <c r="M75" s="3">
        <f t="shared" si="628"/>
        <v>0</v>
      </c>
      <c r="N75" s="3">
        <f t="shared" si="628"/>
        <v>0</v>
      </c>
      <c r="O75" s="3">
        <f t="shared" si="628"/>
        <v>0</v>
      </c>
      <c r="P75" s="3">
        <f t="shared" si="628"/>
        <v>0</v>
      </c>
      <c r="Q75" s="3">
        <f t="shared" si="628"/>
        <v>0</v>
      </c>
      <c r="R75" s="3">
        <f t="shared" si="628"/>
        <v>0</v>
      </c>
      <c r="S75" s="3">
        <f t="shared" si="628"/>
        <v>0</v>
      </c>
      <c r="T75" s="3">
        <f t="shared" si="628"/>
        <v>0</v>
      </c>
      <c r="U75" s="3">
        <f t="shared" si="628"/>
        <v>0</v>
      </c>
      <c r="V75" s="3">
        <f t="shared" si="628"/>
        <v>0</v>
      </c>
      <c r="W75" s="3">
        <f t="shared" si="628"/>
        <v>0</v>
      </c>
      <c r="X75" s="3">
        <f t="shared" si="628"/>
        <v>0</v>
      </c>
      <c r="Y75" s="3">
        <f t="shared" si="628"/>
        <v>0</v>
      </c>
      <c r="Z75" s="3">
        <f t="shared" si="628"/>
        <v>0</v>
      </c>
      <c r="AA75" s="3">
        <f t="shared" si="628"/>
        <v>0</v>
      </c>
      <c r="AB75" s="3">
        <f t="shared" si="628"/>
        <v>0</v>
      </c>
      <c r="AC75" s="3">
        <f t="shared" si="628"/>
        <v>0</v>
      </c>
      <c r="AD75" s="3">
        <f t="shared" si="628"/>
        <v>0</v>
      </c>
      <c r="AE75" s="3">
        <f t="shared" si="628"/>
        <v>0</v>
      </c>
      <c r="AF75" s="3">
        <f t="shared" si="628"/>
        <v>0</v>
      </c>
      <c r="AG75" s="3">
        <f t="shared" si="628"/>
        <v>0</v>
      </c>
      <c r="AH75" s="3">
        <f t="shared" si="628"/>
        <v>0</v>
      </c>
      <c r="AI75" s="3">
        <f t="shared" si="628"/>
        <v>0</v>
      </c>
      <c r="AJ75" s="3">
        <f t="shared" ref="AJ75:BA75" si="629">AJ41+AJ58</f>
        <v>0</v>
      </c>
      <c r="AK75" s="3">
        <f t="shared" si="629"/>
        <v>0</v>
      </c>
      <c r="AL75" s="3">
        <f t="shared" si="629"/>
        <v>0</v>
      </c>
      <c r="AM75" s="3">
        <f t="shared" si="629"/>
        <v>0</v>
      </c>
      <c r="AN75" s="3">
        <f t="shared" si="629"/>
        <v>0</v>
      </c>
      <c r="AO75" s="3">
        <f t="shared" si="629"/>
        <v>0</v>
      </c>
      <c r="AP75" s="3">
        <f t="shared" si="629"/>
        <v>0</v>
      </c>
      <c r="AQ75" s="3">
        <f t="shared" si="629"/>
        <v>0</v>
      </c>
      <c r="AR75" s="3">
        <f t="shared" si="629"/>
        <v>0</v>
      </c>
      <c r="AS75" s="3">
        <f t="shared" si="629"/>
        <v>0</v>
      </c>
      <c r="AT75" s="3">
        <f t="shared" si="629"/>
        <v>0</v>
      </c>
      <c r="AU75" s="3">
        <f t="shared" si="629"/>
        <v>0</v>
      </c>
      <c r="AV75" s="3">
        <f t="shared" si="629"/>
        <v>0</v>
      </c>
      <c r="AW75" s="3">
        <f t="shared" si="629"/>
        <v>0</v>
      </c>
      <c r="AX75" s="3">
        <f t="shared" si="629"/>
        <v>0</v>
      </c>
      <c r="AY75" s="3">
        <f t="shared" si="629"/>
        <v>0</v>
      </c>
      <c r="AZ75" s="3">
        <f t="shared" si="629"/>
        <v>0</v>
      </c>
      <c r="BA75" s="3">
        <f t="shared" si="629"/>
        <v>0</v>
      </c>
      <c r="BB75" s="3">
        <f t="shared" ref="BB75:CH75" si="630">BB41+BB58</f>
        <v>0</v>
      </c>
      <c r="BC75" s="3">
        <f t="shared" si="630"/>
        <v>0</v>
      </c>
      <c r="BD75" s="3">
        <f t="shared" si="630"/>
        <v>0</v>
      </c>
      <c r="BE75" s="3">
        <f t="shared" si="630"/>
        <v>0</v>
      </c>
      <c r="BF75" s="3">
        <f t="shared" si="630"/>
        <v>0</v>
      </c>
      <c r="BG75" s="3">
        <f t="shared" si="630"/>
        <v>0</v>
      </c>
      <c r="BH75" s="3">
        <f t="shared" si="630"/>
        <v>0</v>
      </c>
      <c r="BI75" s="3">
        <f t="shared" si="630"/>
        <v>0</v>
      </c>
      <c r="BJ75" s="3">
        <f t="shared" si="630"/>
        <v>0</v>
      </c>
      <c r="BK75" s="3">
        <f t="shared" si="630"/>
        <v>0</v>
      </c>
      <c r="BL75" s="3">
        <f t="shared" si="630"/>
        <v>0</v>
      </c>
      <c r="BM75" s="3">
        <f t="shared" si="630"/>
        <v>0</v>
      </c>
      <c r="BN75" s="3">
        <f t="shared" si="630"/>
        <v>0</v>
      </c>
      <c r="BO75" s="3">
        <f t="shared" si="630"/>
        <v>0</v>
      </c>
      <c r="BP75" s="3">
        <f t="shared" si="630"/>
        <v>0</v>
      </c>
      <c r="BQ75" s="3">
        <f t="shared" si="630"/>
        <v>0</v>
      </c>
      <c r="BR75" s="3">
        <f t="shared" si="630"/>
        <v>0</v>
      </c>
      <c r="BS75" s="3">
        <f t="shared" si="630"/>
        <v>0</v>
      </c>
      <c r="BT75" s="3">
        <f t="shared" si="630"/>
        <v>0</v>
      </c>
      <c r="BU75" s="3">
        <f t="shared" si="630"/>
        <v>0</v>
      </c>
      <c r="BV75" s="3">
        <f t="shared" si="630"/>
        <v>0</v>
      </c>
      <c r="BW75" s="3">
        <f t="shared" si="630"/>
        <v>0</v>
      </c>
      <c r="BX75" s="3">
        <f t="shared" si="630"/>
        <v>0</v>
      </c>
      <c r="BY75" s="3">
        <f t="shared" si="630"/>
        <v>0</v>
      </c>
      <c r="BZ75" s="3">
        <f t="shared" si="630"/>
        <v>0</v>
      </c>
      <c r="CA75" s="3">
        <f t="shared" si="630"/>
        <v>0</v>
      </c>
      <c r="CB75" s="3">
        <f t="shared" si="630"/>
        <v>0</v>
      </c>
      <c r="CC75" s="3">
        <f t="shared" si="630"/>
        <v>0</v>
      </c>
      <c r="CD75" s="3">
        <f t="shared" si="630"/>
        <v>0</v>
      </c>
      <c r="CE75" s="3">
        <f t="shared" si="630"/>
        <v>0</v>
      </c>
      <c r="CF75" s="3">
        <f t="shared" si="630"/>
        <v>0</v>
      </c>
      <c r="CG75" s="3">
        <f t="shared" si="630"/>
        <v>0</v>
      </c>
      <c r="CH75" s="226">
        <f t="shared" si="630"/>
        <v>0</v>
      </c>
    </row>
    <row r="76" spans="1:86" ht="15" thickBot="1">
      <c r="B76" s="473" t="s">
        <v>26</v>
      </c>
      <c r="C76" s="474"/>
      <c r="D76" s="233">
        <f t="shared" ref="D76:AI76" si="631">D42+D59</f>
        <v>0</v>
      </c>
      <c r="E76" s="233">
        <f t="shared" si="631"/>
        <v>0</v>
      </c>
      <c r="F76" s="233">
        <f t="shared" si="631"/>
        <v>0</v>
      </c>
      <c r="G76" s="233">
        <f t="shared" si="631"/>
        <v>0</v>
      </c>
      <c r="H76" s="233">
        <f t="shared" si="631"/>
        <v>0</v>
      </c>
      <c r="I76" s="233">
        <f t="shared" si="631"/>
        <v>0</v>
      </c>
      <c r="J76" s="233">
        <f t="shared" si="631"/>
        <v>0</v>
      </c>
      <c r="K76" s="233">
        <f t="shared" si="631"/>
        <v>0</v>
      </c>
      <c r="L76" s="233">
        <f t="shared" si="631"/>
        <v>0</v>
      </c>
      <c r="M76" s="233">
        <f t="shared" si="631"/>
        <v>0</v>
      </c>
      <c r="N76" s="233">
        <f t="shared" si="631"/>
        <v>0</v>
      </c>
      <c r="O76" s="233">
        <f t="shared" si="631"/>
        <v>0</v>
      </c>
      <c r="P76" s="233">
        <f t="shared" si="631"/>
        <v>0</v>
      </c>
      <c r="Q76" s="233">
        <f t="shared" si="631"/>
        <v>0</v>
      </c>
      <c r="R76" s="233">
        <f t="shared" si="631"/>
        <v>0</v>
      </c>
      <c r="S76" s="233">
        <f t="shared" si="631"/>
        <v>0</v>
      </c>
      <c r="T76" s="233">
        <f t="shared" si="631"/>
        <v>0</v>
      </c>
      <c r="U76" s="233">
        <f t="shared" si="631"/>
        <v>0</v>
      </c>
      <c r="V76" s="233">
        <f t="shared" si="631"/>
        <v>0</v>
      </c>
      <c r="W76" s="233">
        <f t="shared" si="631"/>
        <v>0</v>
      </c>
      <c r="X76" s="233">
        <f t="shared" si="631"/>
        <v>0</v>
      </c>
      <c r="Y76" s="233">
        <f t="shared" si="631"/>
        <v>0</v>
      </c>
      <c r="Z76" s="233">
        <f t="shared" si="631"/>
        <v>0</v>
      </c>
      <c r="AA76" s="233">
        <f t="shared" si="631"/>
        <v>0</v>
      </c>
      <c r="AB76" s="233">
        <f t="shared" si="631"/>
        <v>0</v>
      </c>
      <c r="AC76" s="233">
        <f t="shared" si="631"/>
        <v>0</v>
      </c>
      <c r="AD76" s="233">
        <f t="shared" si="631"/>
        <v>0</v>
      </c>
      <c r="AE76" s="233">
        <f t="shared" si="631"/>
        <v>0</v>
      </c>
      <c r="AF76" s="233">
        <f t="shared" si="631"/>
        <v>0</v>
      </c>
      <c r="AG76" s="233">
        <f t="shared" si="631"/>
        <v>0</v>
      </c>
      <c r="AH76" s="233">
        <f t="shared" si="631"/>
        <v>0</v>
      </c>
      <c r="AI76" s="233">
        <f t="shared" si="631"/>
        <v>0</v>
      </c>
      <c r="AJ76" s="233">
        <f t="shared" ref="AJ76:BA76" si="632">AJ42+AJ59</f>
        <v>0</v>
      </c>
      <c r="AK76" s="233">
        <f t="shared" si="632"/>
        <v>0</v>
      </c>
      <c r="AL76" s="233">
        <f t="shared" si="632"/>
        <v>0</v>
      </c>
      <c r="AM76" s="233">
        <f t="shared" si="632"/>
        <v>0</v>
      </c>
      <c r="AN76" s="233">
        <f t="shared" si="632"/>
        <v>0</v>
      </c>
      <c r="AO76" s="233">
        <f t="shared" si="632"/>
        <v>0</v>
      </c>
      <c r="AP76" s="233">
        <f t="shared" si="632"/>
        <v>0</v>
      </c>
      <c r="AQ76" s="233">
        <f t="shared" si="632"/>
        <v>0</v>
      </c>
      <c r="AR76" s="233">
        <f t="shared" si="632"/>
        <v>0</v>
      </c>
      <c r="AS76" s="233">
        <f t="shared" si="632"/>
        <v>0</v>
      </c>
      <c r="AT76" s="233">
        <f t="shared" si="632"/>
        <v>0</v>
      </c>
      <c r="AU76" s="233">
        <f t="shared" si="632"/>
        <v>0</v>
      </c>
      <c r="AV76" s="233">
        <f t="shared" si="632"/>
        <v>0</v>
      </c>
      <c r="AW76" s="233">
        <f t="shared" si="632"/>
        <v>0</v>
      </c>
      <c r="AX76" s="233">
        <f t="shared" si="632"/>
        <v>0</v>
      </c>
      <c r="AY76" s="233">
        <f t="shared" si="632"/>
        <v>0</v>
      </c>
      <c r="AZ76" s="233">
        <f t="shared" si="632"/>
        <v>0</v>
      </c>
      <c r="BA76" s="233">
        <f t="shared" si="632"/>
        <v>0</v>
      </c>
      <c r="BB76" s="233">
        <f t="shared" ref="BB76:CH76" si="633">BB42+BB59</f>
        <v>0</v>
      </c>
      <c r="BC76" s="233">
        <f t="shared" si="633"/>
        <v>0</v>
      </c>
      <c r="BD76" s="233">
        <f t="shared" si="633"/>
        <v>0</v>
      </c>
      <c r="BE76" s="233">
        <f t="shared" si="633"/>
        <v>0</v>
      </c>
      <c r="BF76" s="233">
        <f t="shared" si="633"/>
        <v>0</v>
      </c>
      <c r="BG76" s="233">
        <f t="shared" si="633"/>
        <v>0</v>
      </c>
      <c r="BH76" s="233">
        <f t="shared" si="633"/>
        <v>0</v>
      </c>
      <c r="BI76" s="233">
        <f t="shared" si="633"/>
        <v>0</v>
      </c>
      <c r="BJ76" s="233">
        <f t="shared" si="633"/>
        <v>0</v>
      </c>
      <c r="BK76" s="233">
        <f t="shared" si="633"/>
        <v>0</v>
      </c>
      <c r="BL76" s="233">
        <f t="shared" si="633"/>
        <v>0</v>
      </c>
      <c r="BM76" s="233">
        <f t="shared" si="633"/>
        <v>0</v>
      </c>
      <c r="BN76" s="233">
        <f t="shared" si="633"/>
        <v>0</v>
      </c>
      <c r="BO76" s="233">
        <f t="shared" si="633"/>
        <v>0</v>
      </c>
      <c r="BP76" s="233">
        <f t="shared" si="633"/>
        <v>0</v>
      </c>
      <c r="BQ76" s="233">
        <f t="shared" si="633"/>
        <v>0</v>
      </c>
      <c r="BR76" s="233">
        <f t="shared" si="633"/>
        <v>0</v>
      </c>
      <c r="BS76" s="233">
        <f t="shared" si="633"/>
        <v>0</v>
      </c>
      <c r="BT76" s="233">
        <f t="shared" si="633"/>
        <v>0</v>
      </c>
      <c r="BU76" s="233">
        <f t="shared" si="633"/>
        <v>0</v>
      </c>
      <c r="BV76" s="233">
        <f t="shared" si="633"/>
        <v>0</v>
      </c>
      <c r="BW76" s="233">
        <f t="shared" si="633"/>
        <v>0</v>
      </c>
      <c r="BX76" s="233">
        <f t="shared" si="633"/>
        <v>0</v>
      </c>
      <c r="BY76" s="233">
        <f t="shared" si="633"/>
        <v>0</v>
      </c>
      <c r="BZ76" s="233">
        <f t="shared" si="633"/>
        <v>0</v>
      </c>
      <c r="CA76" s="233">
        <f t="shared" si="633"/>
        <v>0</v>
      </c>
      <c r="CB76" s="233">
        <f t="shared" si="633"/>
        <v>0</v>
      </c>
      <c r="CC76" s="233">
        <f t="shared" si="633"/>
        <v>0</v>
      </c>
      <c r="CD76" s="233">
        <f t="shared" si="633"/>
        <v>0</v>
      </c>
      <c r="CE76" s="233">
        <f t="shared" si="633"/>
        <v>0</v>
      </c>
      <c r="CF76" s="233">
        <f t="shared" si="633"/>
        <v>0</v>
      </c>
      <c r="CG76" s="233">
        <f t="shared" si="633"/>
        <v>0</v>
      </c>
      <c r="CH76" s="234">
        <f t="shared" si="633"/>
        <v>0</v>
      </c>
    </row>
    <row r="77" spans="1:86">
      <c r="D77" s="263">
        <f ca="1">D62</f>
        <v>2023</v>
      </c>
      <c r="E77" s="263">
        <f t="shared" ref="E77:BP77" ca="1" si="634">E62</f>
        <v>2024</v>
      </c>
      <c r="F77" s="263">
        <f t="shared" ca="1" si="634"/>
        <v>2025</v>
      </c>
      <c r="G77" s="263">
        <f t="shared" ca="1" si="634"/>
        <v>2026</v>
      </c>
      <c r="H77" s="263">
        <f t="shared" ca="1" si="634"/>
        <v>2027</v>
      </c>
      <c r="I77" s="263">
        <f t="shared" ca="1" si="634"/>
        <v>2028</v>
      </c>
      <c r="J77" s="263">
        <f t="shared" ca="1" si="634"/>
        <v>2029</v>
      </c>
      <c r="K77" s="263">
        <f t="shared" ca="1" si="634"/>
        <v>2030</v>
      </c>
      <c r="L77" s="263">
        <f t="shared" ca="1" si="634"/>
        <v>2031</v>
      </c>
      <c r="M77" s="263">
        <f t="shared" ca="1" si="634"/>
        <v>2032</v>
      </c>
      <c r="N77" s="263">
        <f t="shared" ca="1" si="634"/>
        <v>2033</v>
      </c>
      <c r="O77" s="263">
        <f t="shared" ca="1" si="634"/>
        <v>2034</v>
      </c>
      <c r="P77" s="263">
        <f t="shared" ca="1" si="634"/>
        <v>2035</v>
      </c>
      <c r="Q77" s="263">
        <f t="shared" ca="1" si="634"/>
        <v>2036</v>
      </c>
      <c r="R77" s="263">
        <f t="shared" ca="1" si="634"/>
        <v>2037</v>
      </c>
      <c r="S77" s="263">
        <f t="shared" ca="1" si="634"/>
        <v>2038</v>
      </c>
      <c r="T77" s="263">
        <f t="shared" ca="1" si="634"/>
        <v>2039</v>
      </c>
      <c r="U77" s="263">
        <f t="shared" ca="1" si="634"/>
        <v>2040</v>
      </c>
      <c r="V77" s="263">
        <f t="shared" ca="1" si="634"/>
        <v>2041</v>
      </c>
      <c r="W77" s="263">
        <f t="shared" ca="1" si="634"/>
        <v>2042</v>
      </c>
      <c r="X77" s="263">
        <f t="shared" ca="1" si="634"/>
        <v>2043</v>
      </c>
      <c r="Y77" s="263">
        <f t="shared" ca="1" si="634"/>
        <v>2044</v>
      </c>
      <c r="Z77" s="263">
        <f t="shared" ca="1" si="634"/>
        <v>2045</v>
      </c>
      <c r="AA77" s="263">
        <f t="shared" ca="1" si="634"/>
        <v>2046</v>
      </c>
      <c r="AB77" s="263">
        <f t="shared" ca="1" si="634"/>
        <v>2047</v>
      </c>
      <c r="AC77" s="263">
        <f t="shared" ca="1" si="634"/>
        <v>2048</v>
      </c>
      <c r="AD77" s="263">
        <f t="shared" ca="1" si="634"/>
        <v>2049</v>
      </c>
      <c r="AE77" s="263">
        <f t="shared" ca="1" si="634"/>
        <v>2050</v>
      </c>
      <c r="AF77" s="263">
        <f t="shared" ca="1" si="634"/>
        <v>2051</v>
      </c>
      <c r="AG77" s="263">
        <f t="shared" ca="1" si="634"/>
        <v>2052</v>
      </c>
      <c r="AH77" s="263">
        <f t="shared" ca="1" si="634"/>
        <v>2053</v>
      </c>
      <c r="AI77" s="263">
        <f t="shared" ca="1" si="634"/>
        <v>2054</v>
      </c>
      <c r="AJ77" s="263">
        <f t="shared" ca="1" si="634"/>
        <v>2055</v>
      </c>
      <c r="AK77" s="263">
        <f t="shared" ca="1" si="634"/>
        <v>2056</v>
      </c>
      <c r="AL77" s="263">
        <f t="shared" ca="1" si="634"/>
        <v>2057</v>
      </c>
      <c r="AM77" s="263">
        <f t="shared" ca="1" si="634"/>
        <v>2058</v>
      </c>
      <c r="AN77" s="263">
        <f t="shared" ca="1" si="634"/>
        <v>2059</v>
      </c>
      <c r="AO77" s="263">
        <f t="shared" ca="1" si="634"/>
        <v>2060</v>
      </c>
      <c r="AP77" s="263">
        <f t="shared" ca="1" si="634"/>
        <v>2061</v>
      </c>
      <c r="AQ77" s="263">
        <f t="shared" ca="1" si="634"/>
        <v>2062</v>
      </c>
      <c r="AR77" s="263">
        <f t="shared" ca="1" si="634"/>
        <v>2063</v>
      </c>
      <c r="AS77" s="263">
        <f t="shared" ca="1" si="634"/>
        <v>2064</v>
      </c>
      <c r="AT77" s="263">
        <f t="shared" ca="1" si="634"/>
        <v>2065</v>
      </c>
      <c r="AU77" s="263">
        <f t="shared" ca="1" si="634"/>
        <v>2066</v>
      </c>
      <c r="AV77" s="263">
        <f t="shared" ca="1" si="634"/>
        <v>2067</v>
      </c>
      <c r="AW77" s="263">
        <f t="shared" ca="1" si="634"/>
        <v>2068</v>
      </c>
      <c r="AX77" s="263">
        <f t="shared" ca="1" si="634"/>
        <v>2069</v>
      </c>
      <c r="AY77" s="263">
        <f t="shared" ca="1" si="634"/>
        <v>2070</v>
      </c>
      <c r="AZ77" s="263">
        <f t="shared" ca="1" si="634"/>
        <v>2071</v>
      </c>
      <c r="BA77" s="263">
        <f t="shared" ca="1" si="634"/>
        <v>2072</v>
      </c>
      <c r="BB77" s="263">
        <f t="shared" ca="1" si="634"/>
        <v>2073</v>
      </c>
      <c r="BC77" s="263">
        <f t="shared" ca="1" si="634"/>
        <v>2074</v>
      </c>
      <c r="BD77" s="263">
        <f t="shared" ca="1" si="634"/>
        <v>2075</v>
      </c>
      <c r="BE77" s="263">
        <f t="shared" ca="1" si="634"/>
        <v>2076</v>
      </c>
      <c r="BF77" s="263">
        <f t="shared" ca="1" si="634"/>
        <v>2077</v>
      </c>
      <c r="BG77" s="263">
        <f t="shared" ca="1" si="634"/>
        <v>2078</v>
      </c>
      <c r="BH77" s="263">
        <f t="shared" ca="1" si="634"/>
        <v>2079</v>
      </c>
      <c r="BI77" s="263">
        <f t="shared" ca="1" si="634"/>
        <v>2080</v>
      </c>
      <c r="BJ77" s="263">
        <f t="shared" ca="1" si="634"/>
        <v>2081</v>
      </c>
      <c r="BK77" s="263">
        <f t="shared" ca="1" si="634"/>
        <v>2082</v>
      </c>
      <c r="BL77" s="263">
        <f t="shared" ca="1" si="634"/>
        <v>2083</v>
      </c>
      <c r="BM77" s="263">
        <f t="shared" ca="1" si="634"/>
        <v>2084</v>
      </c>
      <c r="BN77" s="263">
        <f t="shared" ca="1" si="634"/>
        <v>2085</v>
      </c>
      <c r="BO77" s="263">
        <f t="shared" ca="1" si="634"/>
        <v>2086</v>
      </c>
      <c r="BP77" s="263">
        <f t="shared" ca="1" si="634"/>
        <v>2087</v>
      </c>
      <c r="BQ77" s="263">
        <f t="shared" ref="BQ77:CH77" ca="1" si="635">BQ62</f>
        <v>2088</v>
      </c>
      <c r="BR77" s="263">
        <f t="shared" ca="1" si="635"/>
        <v>2089</v>
      </c>
      <c r="BS77" s="263">
        <f t="shared" ca="1" si="635"/>
        <v>2090</v>
      </c>
      <c r="BT77" s="263">
        <f t="shared" ca="1" si="635"/>
        <v>2091</v>
      </c>
      <c r="BU77" s="263">
        <f t="shared" ca="1" si="635"/>
        <v>2092</v>
      </c>
      <c r="BV77" s="263">
        <f t="shared" ca="1" si="635"/>
        <v>2093</v>
      </c>
      <c r="BW77" s="263">
        <f t="shared" ca="1" si="635"/>
        <v>2094</v>
      </c>
      <c r="BX77" s="263">
        <f t="shared" ca="1" si="635"/>
        <v>2095</v>
      </c>
      <c r="BY77" s="263">
        <f t="shared" ca="1" si="635"/>
        <v>2096</v>
      </c>
      <c r="BZ77" s="263">
        <f t="shared" ca="1" si="635"/>
        <v>2097</v>
      </c>
      <c r="CA77" s="263">
        <f t="shared" ca="1" si="635"/>
        <v>2098</v>
      </c>
      <c r="CB77" s="263">
        <f t="shared" ca="1" si="635"/>
        <v>2099</v>
      </c>
      <c r="CC77" s="263">
        <f t="shared" ca="1" si="635"/>
        <v>2100</v>
      </c>
      <c r="CD77" s="263">
        <f t="shared" ca="1" si="635"/>
        <v>2101</v>
      </c>
      <c r="CE77" s="263">
        <f t="shared" ca="1" si="635"/>
        <v>2102</v>
      </c>
      <c r="CF77" s="263">
        <f t="shared" ca="1" si="635"/>
        <v>2103</v>
      </c>
      <c r="CG77" s="263">
        <f t="shared" ca="1" si="635"/>
        <v>2104</v>
      </c>
      <c r="CH77" s="263">
        <f t="shared" ca="1" si="635"/>
        <v>2105</v>
      </c>
    </row>
    <row r="78" spans="1:86">
      <c r="B78" s="107" t="s">
        <v>269</v>
      </c>
      <c r="C78" s="37"/>
      <c r="I78" s="5"/>
      <c r="J78" s="5"/>
      <c r="K78" s="5"/>
      <c r="L78" s="5"/>
    </row>
    <row r="79" spans="1:86">
      <c r="I79" s="5"/>
      <c r="J79" s="5"/>
      <c r="K79" s="5"/>
      <c r="L79" s="5"/>
    </row>
    <row r="80" spans="1:86">
      <c r="I80" s="5"/>
      <c r="J80" s="5"/>
      <c r="K80" s="5"/>
      <c r="L80" s="5"/>
    </row>
    <row r="81" spans="9:14">
      <c r="I81" s="5"/>
      <c r="J81" s="5"/>
      <c r="K81" s="5"/>
      <c r="L81" s="5"/>
    </row>
    <row r="82" spans="9:14">
      <c r="I82" s="5"/>
      <c r="J82" s="5"/>
      <c r="K82" s="5"/>
      <c r="L82" s="5"/>
    </row>
    <row r="83" spans="9:14">
      <c r="I83" s="5"/>
      <c r="J83" s="5"/>
      <c r="K83" s="5"/>
      <c r="L83" s="5"/>
    </row>
    <row r="84" spans="9:14">
      <c r="I84" s="5"/>
      <c r="J84" s="5"/>
      <c r="K84" s="5"/>
      <c r="L84" s="5"/>
    </row>
    <row r="85" spans="9:14">
      <c r="I85" s="5"/>
      <c r="J85" s="5"/>
      <c r="K85" s="5"/>
      <c r="L85" s="5"/>
    </row>
    <row r="86" spans="9:14">
      <c r="I86" s="5"/>
      <c r="J86" s="5"/>
      <c r="K86" s="5"/>
      <c r="L86" s="5"/>
    </row>
    <row r="87" spans="9:14">
      <c r="I87" s="5"/>
      <c r="J87" s="5"/>
      <c r="K87" s="5"/>
      <c r="L87" s="5"/>
    </row>
    <row r="88" spans="9:14">
      <c r="I88" s="5"/>
      <c r="J88" s="5"/>
      <c r="K88" s="5"/>
      <c r="L88" s="5"/>
    </row>
    <row r="90" spans="9:14" ht="18">
      <c r="N90" s="38"/>
    </row>
  </sheetData>
  <sheetProtection algorithmName="SHA-512" hashValue="wo5dg2MkCQedo+JiCpoqonyViyaVpuHeelSwbCS2qtX3VeyAvL7og82kPUiXMvmr44TSDxBKvxBKFkcIz/zd5g==" saltValue="R+Q6+pWB85Kf1MisCszdGw==" spinCount="100000" sheet="1" objects="1" scenarios="1" formatCells="0" formatColumns="0"/>
  <mergeCells count="54">
    <mergeCell ref="B29:C29"/>
    <mergeCell ref="B30:C30"/>
    <mergeCell ref="B31:C31"/>
    <mergeCell ref="B35:C35"/>
    <mergeCell ref="B36:C36"/>
    <mergeCell ref="B39:C39"/>
    <mergeCell ref="B40:C40"/>
    <mergeCell ref="B32:C32"/>
    <mergeCell ref="B33:C33"/>
    <mergeCell ref="B46:C46"/>
    <mergeCell ref="B42:C42"/>
    <mergeCell ref="B37:C37"/>
    <mergeCell ref="B38:C38"/>
    <mergeCell ref="B34:C34"/>
    <mergeCell ref="B41:C41"/>
    <mergeCell ref="B59:C59"/>
    <mergeCell ref="B64:C64"/>
    <mergeCell ref="B47:C47"/>
    <mergeCell ref="B49:C49"/>
    <mergeCell ref="B50:C50"/>
    <mergeCell ref="B52:C52"/>
    <mergeCell ref="B53:C53"/>
    <mergeCell ref="B54:C54"/>
    <mergeCell ref="B56:C56"/>
    <mergeCell ref="B57:C57"/>
    <mergeCell ref="B58:C58"/>
    <mergeCell ref="B75:C75"/>
    <mergeCell ref="B76:C76"/>
    <mergeCell ref="B63:C63"/>
    <mergeCell ref="B67:C67"/>
    <mergeCell ref="B68:C68"/>
    <mergeCell ref="B69:C69"/>
    <mergeCell ref="B71:C71"/>
    <mergeCell ref="B73:C73"/>
    <mergeCell ref="B70:C70"/>
    <mergeCell ref="B72:C72"/>
    <mergeCell ref="B74:C74"/>
    <mergeCell ref="B65:C65"/>
    <mergeCell ref="B17:C17"/>
    <mergeCell ref="E1:K3"/>
    <mergeCell ref="T1:U3"/>
    <mergeCell ref="B24:C24"/>
    <mergeCell ref="B25:C25"/>
    <mergeCell ref="B23:C23"/>
    <mergeCell ref="P1:R3"/>
    <mergeCell ref="B22:C22"/>
    <mergeCell ref="B1:C3"/>
    <mergeCell ref="B14:C14"/>
    <mergeCell ref="B15:C15"/>
    <mergeCell ref="B16:C16"/>
    <mergeCell ref="B21:C21"/>
    <mergeCell ref="B8:C8"/>
    <mergeCell ref="B9:C9"/>
    <mergeCell ref="B10:C10"/>
  </mergeCells>
  <dataValidations count="41">
    <dataValidation allowBlank="1" showInputMessage="1" showErrorMessage="1" promptTitle="Wertentwicklung" prompt="In diesem Bereich ist die Wertentwicklung im Verlauf für einen Zeitraum von 50 Jahren ab Kauf abgebildet." sqref="B12" xr:uid="{00000000-0002-0000-1400-000000000000}"/>
    <dataValidation allowBlank="1" showInputMessage="1" showErrorMessage="1" promptTitle="Abschreibung" prompt="In diesem Bereich ist die Abschreibung im Verlauf für einen Zeitraum von 50 Jahren ab Kauf abgebildet." sqref="B19" xr:uid="{00000000-0002-0000-1400-000001000000}"/>
    <dataValidation allowBlank="1" showInputMessage="1" showErrorMessage="1" promptTitle="Darlehensverlauf" prompt="In diesem Bereich ist der Verlauf des Darlehens für einen Zeitraum von 50 Jahren ab Kauf abgebildet." sqref="B27 B44" xr:uid="{00000000-0002-0000-1400-000002000000}"/>
    <dataValidation allowBlank="1" showInputMessage="1" showErrorMessage="1" promptTitle="Summe Darlehensverlauf" prompt="In diesem Bereich ist der Verlauf der Summe aller Darlehen für einen Zeitraum von 50 Jahren ab Kauf abgebildet." sqref="B61" xr:uid="{00000000-0002-0000-1400-000003000000}"/>
    <dataValidation allowBlank="1" showInputMessage="1" showErrorMessage="1" promptTitle="Wert der Immobilie Jahresanfang" prompt="Der Wert der Immobilie am Jahresanfang entspricht dem Wert der Immobilie am Ende des Vorjahres." sqref="B14:C14 E14:CH14" xr:uid="{00000000-0002-0000-1400-000004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14" xr:uid="{00000000-0002-0000-1400-000005000000}"/>
    <dataValidation allowBlank="1" showInputMessage="1" showErrorMessage="1" promptTitle="Nettovermögen" prompt="Nach Abzug der Summe aller Darlehens-Restschulden ergibt sich dieses aufgebaute Nettovermögen." sqref="B15:CH15" xr:uid="{00000000-0002-0000-1400-000006000000}"/>
    <dataValidation allowBlank="1" showInputMessage="1" showErrorMessage="1" promptTitle="Wertentwicklung" prompt="Diese Wertsteigerung ergibt sich für das jeweilige Jahr aus dem auf dem Reiter &quot;Cockpit&quot; festgelegten Prozentsatz für die jährliche Wertsteigerung." sqref="B16:CH16" xr:uid="{00000000-0002-0000-1400-000007000000}"/>
    <dataValidation allowBlank="1" showInputMessage="1" showErrorMessage="1" promptTitle="Wert der Immobilie Jahresende" prompt="Dies ist der neue Wert der Immobilie am Jahresende." sqref="B17:CH17" xr:uid="{00000000-0002-0000-1400-000008000000}"/>
    <dataValidation allowBlank="1" showInputMessage="1" showErrorMessage="1" promptTitle="Basis langfristige Abschreibung" prompt="Die Basis für die langfristige Abschreibung wird auf dem Reiter &quot;Cockpit&quot; ermittelt und bleibt unverändert. Sie wird im Laufe der Zeit in gleichen Teilen (linear) abgeschrieben." sqref="B21:CH21" xr:uid="{00000000-0002-0000-1400-000009000000}"/>
    <dataValidation allowBlank="1" showInputMessage="1" showErrorMessage="1" promptTitle="Abschreibungssatz pro Jahr" prompt="Der Abschreibungssatz pro Jahr wird auf dem Reiter &quot;Cockpit&quot; festgelegt und verändert sich im Zeitverlauf nicht (lineare Abschreibung)." sqref="B22:CH22" xr:uid="{00000000-0002-0000-1400-00000A000000}"/>
    <dataValidation allowBlank="1" showInputMessage="1" showErrorMessage="1" promptTitle="Abschreibung pro Jahr" prompt="Aus der Abschreibungsbasis und dem Abschreibungssatz ergibt sich diese Abschreibung pro Jahr." sqref="B23:CH23" xr:uid="{00000000-0002-0000-1400-00000B000000}"/>
    <dataValidation allowBlank="1" showInputMessage="1" showErrorMessage="1" promptTitle="Abschreibung pro Monat" prompt="Dies ist die sich ergebende monatliche Abschreibung." sqref="B24:CH24" xr:uid="{00000000-0002-0000-1400-00000C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5:CH25" xr:uid="{00000000-0002-0000-1400-00000D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29:CH29 E46:CH46" xr:uid="{00000000-0002-0000-1400-00000E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29:C29 B46:C46" xr:uid="{00000000-0002-0000-1400-00000F000000}"/>
    <dataValidation allowBlank="1" showInputMessage="1" showErrorMessage="1" promptTitle="Gültiger Zinssatz" prompt="Dies ist der Zinssatz, mit dem tatsächlich gerechnet wird. Dies ist entweder der Zinssatz der Vorperiode oder der hierüber geänderte Zinssatz." sqref="B30:CH30 B47:CH47" xr:uid="{00000000-0002-0000-1400-000010000000}"/>
    <dataValidation allowBlank="1" showInputMessage="1" showErrorMessage="1" promptTitle="Restschuld Periodenbeginn" prompt="Die Restschuld am Periodenbeginn (= Jahresanfang) entspricht der Restschuld am Ende der Vorperiode (= Vorjahresende)." sqref="B32:CH32 B49:CH49" xr:uid="{00000000-0002-0000-1400-000011000000}"/>
    <dataValidation allowBlank="1" showInputMessage="1" showErrorMessage="1" promptTitle="Zinsen" prompt="Diese Zinsen ergeben sich aus dem gültigen Zinssatz, der auf die Restschuld zu bezahlen ist." sqref="B33:CH33 B50:CH50" xr:uid="{00000000-0002-0000-1400-000012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35:C35 E35:CH35 B52:C52 E52:CH52" xr:uid="{00000000-0002-0000-1400-000013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36:CH36 B53:CH53" xr:uid="{00000000-0002-0000-1400-000014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37:CH37 B54:CH54" xr:uid="{00000000-0002-0000-1400-000015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39:CH39 B56:CH56" xr:uid="{00000000-0002-0000-1400-000016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0:CH40 D57:CH57" xr:uid="{00000000-0002-0000-1400-000017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41:CH41 B58:CH58" xr:uid="{00000000-0002-0000-1400-000018000000}"/>
    <dataValidation allowBlank="1" showInputMessage="1" showErrorMessage="1" promptTitle="Kapitaldienst pro Monat" prompt="Dieser Kapitaldienst pro Monat ergibt sich aus der neu errechneten Annuität. Er wird in allen übrigen Berechnungen des Tools verwendet." sqref="B42:CH42 B59:CH59" xr:uid="{00000000-0002-0000-1400-000019000000}"/>
    <dataValidation allowBlank="1" showInputMessage="1" showErrorMessage="1" promptTitle="Restschuld am Periodenbeginn" prompt="Dies ist die Summe der Restschulden aller Darlehen am Perodenbeginn bzw. Jahresanfang." sqref="B63:CH63" xr:uid="{00000000-0002-0000-1400-00001A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64:CH64" xr:uid="{00000000-0002-0000-1400-00001B000000}"/>
    <dataValidation allowBlank="1" showInputMessage="1" showErrorMessage="1" promptTitle="Restschuld weitere Darlehen" prompt="Dieser Betrag der Restschuld am Periodenbeginn entfällt auf das Darlehen II. Dieser Wert wird für die grafische Aufbereitung auf den anderen Tabellenblättern benötigt." sqref="B65:CH65" xr:uid="{00000000-0002-0000-1400-00001C000000}"/>
    <dataValidation allowBlank="1" showInputMessage="1" showErrorMessage="1" promptTitle="Zinsen" prompt="Diese Zinsen fallen insgesamt für alle Darlehen an." sqref="B67:CH67" xr:uid="{00000000-0002-0000-1400-00001D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68:CH68" xr:uid="{00000000-0002-0000-1400-00001E000000}"/>
    <dataValidation allowBlank="1" showInputMessage="1" showErrorMessage="1" promptTitle="Gewichteter Zinssatz" prompt="Diesem gewichteten Zinssatz entsprechen die ZInszahlungen bezogen auf die aktuelle Darlehensrestschuld." sqref="B69:CH69" xr:uid="{00000000-0002-0000-1400-00001F000000}"/>
    <dataValidation allowBlank="1" showInputMessage="1" showErrorMessage="1" promptTitle="Tilgung" prompt="Diese Tilgung fällt insgesamt für alle Darlehen an." sqref="B71:CH71" xr:uid="{00000000-0002-0000-1400-000020000000}"/>
    <dataValidation allowBlank="1" showInputMessage="1" showErrorMessage="1" promptTitle="Tilgung in % der Restschuld" prompt="Die Tilgung in der jeweiligen Periode entspricht diesem Prozentsatz der verblebenden Restschuld." sqref="B72:CH72" xr:uid="{00000000-0002-0000-1400-000021000000}"/>
    <dataValidation allowBlank="1" showInputMessage="1" showErrorMessage="1" promptTitle="Annuität" prompt="Diese Annuität ergibt sich für alle Darlehen zusammen." sqref="B74:CH74" xr:uid="{00000000-0002-0000-1400-000022000000}"/>
    <dataValidation allowBlank="1" showInputMessage="1" showErrorMessage="1" promptTitle="Restschuld am Periodenende" prompt="Diese Restschuld ergibt sich für alle Darlehen am Periodenende." sqref="B75:CH75" xr:uid="{00000000-0002-0000-1400-000023000000}"/>
    <dataValidation allowBlank="1" showInputMessage="1" showErrorMessage="1" promptTitle="Kapitaldienst" prompt="Dieser monatliche Kapitaldienst ergibt sich insgesamt für alle Darlehen zusammen." sqref="B76:CH76" xr:uid="{00000000-0002-0000-1400-000024000000}"/>
    <dataValidation allowBlank="1" showInputMessage="1" showErrorMessage="1" promptTitle="Warmmiete" prompt="Ergibt sich durch Addition der Nettokaltmiete (effektiv) und der umlagefähigen Kosten." sqref="B10:CH10" xr:uid="{00000000-0002-0000-1400-000025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9:CH9" xr:uid="{00000000-0002-0000-1400-000026000000}"/>
    <dataValidation allowBlank="1" showInputMessage="1" showErrorMessage="1" promptTitle="Nettokaltmiete" prompt="Diese Nettokaltmiete ergibt sich im jeweiligen Jahr unter Berücksichtigung der auf dem Reiter &quot;Cockpit&quot; festgelegten jährlichen Mietsteigerung." sqref="B8:CH8" xr:uid="{00000000-0002-0000-1400-00002700000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1400-000028000000}"/>
  </dataValidations>
  <hyperlinks>
    <hyperlink ref="B1:B3" location="Rendite!A1" display="Zurück zum Cockpit" xr:uid="{00000000-0004-0000-1400-000000000000}"/>
    <hyperlink ref="B1:C3" location="Cockpit!A1" display="zurück zum Cockpit" xr:uid="{00000000-0004-0000-1400-000001000000}"/>
    <hyperlink ref="B78" location="Deckblatt!A1" display="Keine Gewähr für die Richtigkeit der Angaben. Dieses Tool ersetzt keine fundierte Rechts-, Steuer- oder Finanzberatung. Mehr Details hier." xr:uid="{00000000-0004-0000-1400-000002000000}"/>
  </hyperlinks>
  <pageMargins left="0.23622047244094491" right="0.23622047244094491" top="0.74803149606299213" bottom="0.74803149606299213" header="0.31496062992125984" footer="0.31496062992125984"/>
  <pageSetup paperSize="9" scale="53" fitToWidth="0" fitToHeight="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6">
    <tabColor theme="3"/>
    <pageSetUpPr fitToPage="1"/>
  </sheetPr>
  <dimension ref="B1:R77"/>
  <sheetViews>
    <sheetView showGridLines="0" showRowColHeaders="0" zoomScaleNormal="100" workbookViewId="0">
      <pane ySplit="4" topLeftCell="A5" activePane="bottomLeft" state="frozen"/>
      <selection pane="bottomLeft" activeCell="V25" sqref="V25"/>
    </sheetView>
  </sheetViews>
  <sheetFormatPr defaultColWidth="11.453125" defaultRowHeight="14.5"/>
  <cols>
    <col min="1" max="1" width="11.453125" style="5"/>
    <col min="2" max="2" width="11.453125" style="5" customWidth="1"/>
    <col min="3" max="8" width="11.453125" style="5"/>
    <col min="9" max="9" width="11.453125" style="5" customWidth="1"/>
    <col min="10" max="11" width="11.453125" style="5"/>
    <col min="12" max="12" width="22.453125" style="5" customWidth="1"/>
    <col min="13" max="17" width="11.453125" style="5"/>
    <col min="18" max="18" width="6" style="5" customWidth="1"/>
    <col min="19" max="16384" width="11.453125" style="5"/>
  </cols>
  <sheetData>
    <row r="1" spans="2:18" s="113" customFormat="1" ht="12.75" customHeight="1">
      <c r="B1" s="505" t="s">
        <v>254</v>
      </c>
      <c r="C1" s="505"/>
      <c r="D1" s="505"/>
      <c r="E1" s="489" t="s">
        <v>117</v>
      </c>
      <c r="F1" s="489"/>
      <c r="G1" s="489"/>
      <c r="N1" s="478"/>
      <c r="O1" s="478"/>
    </row>
    <row r="2" spans="2:18" s="113" customFormat="1" ht="15" customHeight="1">
      <c r="B2" s="505"/>
      <c r="C2" s="505"/>
      <c r="D2" s="505"/>
      <c r="E2" s="489"/>
      <c r="F2" s="489"/>
      <c r="G2" s="489"/>
      <c r="N2" s="478"/>
      <c r="O2" s="478"/>
    </row>
    <row r="3" spans="2:18" s="113" customFormat="1" ht="12.75" customHeight="1">
      <c r="B3" s="505"/>
      <c r="C3" s="505"/>
      <c r="D3" s="505"/>
      <c r="E3" s="489"/>
      <c r="F3" s="489"/>
      <c r="G3" s="489"/>
      <c r="N3" s="478"/>
      <c r="O3" s="478"/>
    </row>
    <row r="4" spans="2:18" ht="18.75" customHeight="1">
      <c r="N4" s="4"/>
      <c r="O4" s="4"/>
      <c r="P4" s="4"/>
      <c r="Q4" s="4"/>
    </row>
    <row r="5" spans="2:18" ht="9" customHeight="1">
      <c r="N5" s="4"/>
      <c r="O5" s="4"/>
      <c r="P5" s="4"/>
      <c r="Q5" s="4"/>
    </row>
    <row r="6" spans="2:18" ht="28.5" customHeight="1">
      <c r="B6" s="504" t="str">
        <f>Cockpit!C9</f>
        <v>Bitte gib im roten Faden eine Adresse ein</v>
      </c>
      <c r="C6" s="504"/>
      <c r="D6" s="504"/>
      <c r="E6" s="504"/>
      <c r="F6" s="504"/>
      <c r="G6" s="504"/>
      <c r="H6" s="504"/>
      <c r="I6" s="504"/>
      <c r="J6" s="504"/>
      <c r="K6" s="504"/>
      <c r="L6" s="504"/>
      <c r="M6" s="504"/>
      <c r="N6" s="504"/>
      <c r="O6" s="504"/>
      <c r="P6" s="504"/>
      <c r="Q6" s="504"/>
      <c r="R6" s="504"/>
    </row>
    <row r="9" spans="2:18">
      <c r="M9" s="5" t="s">
        <v>61</v>
      </c>
      <c r="N9" s="5" t="s">
        <v>62</v>
      </c>
    </row>
    <row r="10" spans="2:18">
      <c r="C10" s="5" t="s">
        <v>1</v>
      </c>
      <c r="D10" s="6">
        <f>Cockpit!D14</f>
        <v>0</v>
      </c>
      <c r="H10" s="5" t="s">
        <v>261</v>
      </c>
      <c r="I10" s="6" t="e">
        <f>IF((Cockpit!N17)=0,#N/A,Cockpit!N17)</f>
        <v>#N/A</v>
      </c>
      <c r="L10" s="5" t="s">
        <v>13</v>
      </c>
      <c r="M10" s="5">
        <f>Cockpit!Q19</f>
        <v>0</v>
      </c>
    </row>
    <row r="11" spans="2:18">
      <c r="C11" s="5" t="s">
        <v>267</v>
      </c>
      <c r="D11" s="6" t="e">
        <f>IF(Cockpit!E21=0,#N/A,Cockpit!E21)</f>
        <v>#N/A</v>
      </c>
      <c r="H11" s="5" t="s">
        <v>218</v>
      </c>
      <c r="I11" s="6" t="e">
        <f>IF((Cockpit!N9-Cockpit!N17)=0,#N/A,Cockpit!N9-Cockpit!N17)</f>
        <v>#N/A</v>
      </c>
      <c r="L11" s="5" t="s">
        <v>317</v>
      </c>
      <c r="M11" s="5">
        <f>Cockpit!H9</f>
        <v>0</v>
      </c>
    </row>
    <row r="12" spans="2:18">
      <c r="C12" s="5" t="s">
        <v>268</v>
      </c>
      <c r="D12" s="6" t="e">
        <f>IF(Cockpit!C29=0,#N/A,Cockpit!C29)</f>
        <v>#N/A</v>
      </c>
      <c r="H12" s="5" t="s">
        <v>28</v>
      </c>
      <c r="I12" s="6">
        <f>Cockpit!N10</f>
        <v>0</v>
      </c>
      <c r="L12" s="5" t="s">
        <v>353</v>
      </c>
      <c r="N12" s="7">
        <f>Cockpit!K29</f>
        <v>0</v>
      </c>
    </row>
    <row r="13" spans="2:18">
      <c r="L13" s="5" t="s">
        <v>78</v>
      </c>
      <c r="N13" s="7">
        <f>-Cockpit!Q20</f>
        <v>0</v>
      </c>
    </row>
    <row r="14" spans="2:18">
      <c r="L14" s="5" t="s">
        <v>44</v>
      </c>
      <c r="N14" s="7">
        <f>-Cockpit!Q21</f>
        <v>0</v>
      </c>
    </row>
    <row r="15" spans="2:18">
      <c r="L15" s="5" t="s">
        <v>45</v>
      </c>
      <c r="N15" s="7">
        <f>-Cockpit!Q22</f>
        <v>0</v>
      </c>
    </row>
    <row r="16" spans="2:18">
      <c r="L16" s="5" t="s">
        <v>104</v>
      </c>
      <c r="N16" s="7">
        <f>-Cockpit!Q24</f>
        <v>0</v>
      </c>
    </row>
    <row r="17" spans="14:14">
      <c r="N17" s="7"/>
    </row>
    <row r="20" spans="14:14">
      <c r="N20" s="7"/>
    </row>
    <row r="52" ht="5.25" customHeight="1"/>
    <row r="53" ht="5.25" customHeight="1"/>
    <row r="54" ht="5.25" customHeight="1"/>
    <row r="77" spans="2:2">
      <c r="B77" s="107" t="s">
        <v>269</v>
      </c>
    </row>
  </sheetData>
  <sheetProtection algorithmName="SHA-512" hashValue="o++xjyQkAwkg1u9LH3MgVst9kPCwG81xl2RF/hhKth7r8YUhNA7BN6pT4ET0OB75PdKSMftc13vm9sZPTcRDmQ==" saltValue="+CjSTmMbnbP6cE53aVuuPw==" spinCount="100000" sheet="1" objects="1" scenarios="1" formatCells="0" formatColumns="0"/>
  <mergeCells count="4">
    <mergeCell ref="B6:R6"/>
    <mergeCell ref="B1:D3"/>
    <mergeCell ref="E1:G3"/>
    <mergeCell ref="N1:O3"/>
  </mergeCells>
  <hyperlinks>
    <hyperlink ref="B1:B3" location="Rendite!A1" display="Zurück zum Cockpit" xr:uid="{00000000-0004-0000-1500-000000000000}"/>
    <hyperlink ref="B1:D3" location="Cockpit!A1" display="zurück zum Cockpit" xr:uid="{00000000-0004-0000-1500-000001000000}"/>
    <hyperlink ref="B77" location="Deckblatt!A1" display="Keine Gewähr für die Richtigkeit der Angaben. Dieses Tool ersetzt keine fundierte Rechts-, Steuer- oder Finanzberatung. Mehr Details hier." xr:uid="{00000000-0004-0000-15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theme="3"/>
  </sheetPr>
  <dimension ref="B1:Q35"/>
  <sheetViews>
    <sheetView showGridLines="0" showRowColHeaders="0" workbookViewId="0">
      <pane ySplit="4" topLeftCell="A5" activePane="bottomLeft" state="frozen"/>
      <selection pane="bottomLeft" activeCell="B6" sqref="B6:E6"/>
    </sheetView>
  </sheetViews>
  <sheetFormatPr defaultColWidth="11.453125" defaultRowHeight="13"/>
  <cols>
    <col min="1" max="1" width="4.1796875" style="4" customWidth="1"/>
    <col min="2" max="2" width="22" style="4" customWidth="1"/>
    <col min="3" max="6" width="11.453125" style="4"/>
    <col min="7" max="7" width="11.453125" style="4" customWidth="1"/>
    <col min="8" max="8" width="23.453125" style="4" customWidth="1"/>
    <col min="9" max="16384" width="11.453125" style="4"/>
  </cols>
  <sheetData>
    <row r="1" spans="2:17" s="113" customFormat="1" ht="12.75" customHeight="1">
      <c r="B1" s="425" t="s">
        <v>254</v>
      </c>
      <c r="C1" s="425"/>
      <c r="D1" s="425"/>
      <c r="E1" s="442" t="s">
        <v>133</v>
      </c>
      <c r="F1" s="442"/>
      <c r="G1" s="442"/>
      <c r="H1" s="243"/>
      <c r="N1" s="425"/>
      <c r="O1" s="425"/>
    </row>
    <row r="2" spans="2:17" s="113" customFormat="1" ht="15" customHeight="1">
      <c r="B2" s="425"/>
      <c r="C2" s="425"/>
      <c r="D2" s="425"/>
      <c r="E2" s="442"/>
      <c r="F2" s="442"/>
      <c r="G2" s="442"/>
      <c r="H2" s="243"/>
      <c r="N2" s="425"/>
      <c r="O2" s="425"/>
    </row>
    <row r="3" spans="2:17" s="113" customFormat="1" ht="12.75" customHeight="1">
      <c r="B3" s="425"/>
      <c r="C3" s="425"/>
      <c r="D3" s="425"/>
      <c r="E3" s="442"/>
      <c r="F3" s="442"/>
      <c r="G3" s="442"/>
      <c r="H3" s="243"/>
      <c r="N3" s="425"/>
      <c r="O3" s="425"/>
    </row>
    <row r="4" spans="2:17" s="5" customFormat="1" ht="18.75" customHeight="1">
      <c r="N4" s="4"/>
      <c r="O4" s="4"/>
      <c r="P4" s="4"/>
      <c r="Q4" s="4"/>
    </row>
    <row r="5" spans="2:17" ht="13.5" thickBot="1"/>
    <row r="6" spans="2:17" ht="13.5" thickBot="1">
      <c r="B6" s="456" t="s">
        <v>70</v>
      </c>
      <c r="C6" s="457"/>
      <c r="D6" s="457"/>
      <c r="E6" s="458"/>
    </row>
    <row r="7" spans="2:17">
      <c r="B7" s="244" t="s">
        <v>73</v>
      </c>
      <c r="C7" s="245" t="s">
        <v>67</v>
      </c>
      <c r="D7" s="246" t="s">
        <v>69</v>
      </c>
      <c r="E7" s="247" t="s">
        <v>68</v>
      </c>
    </row>
    <row r="8" spans="2:17">
      <c r="B8" s="115" t="s">
        <v>17</v>
      </c>
      <c r="C8" s="370">
        <v>0.05</v>
      </c>
      <c r="D8" s="370">
        <v>0.04</v>
      </c>
      <c r="E8" s="371">
        <v>0.03</v>
      </c>
      <c r="F8" s="4" t="str">
        <f>IF(NOT(AND(C8&gt;D8,D8&gt;E8)),"Ungültige Kombination. Grün muss &gt; gelb muss &gt; rot sein.","")</f>
        <v/>
      </c>
    </row>
    <row r="9" spans="2:17">
      <c r="B9" s="115" t="s">
        <v>18</v>
      </c>
      <c r="C9" s="370">
        <v>0.04</v>
      </c>
      <c r="D9" s="370">
        <v>0.03</v>
      </c>
      <c r="E9" s="371">
        <v>0.02</v>
      </c>
      <c r="F9" s="4" t="str">
        <f>IF(NOT(AND(C9&gt;D9,D9&gt;E9)),"Ungültige Kombination. Grün muss &gt; gelb muss &gt; rot sein.","")</f>
        <v/>
      </c>
    </row>
    <row r="10" spans="2:17">
      <c r="B10" s="115" t="s">
        <v>71</v>
      </c>
      <c r="C10" s="248">
        <v>0.2</v>
      </c>
      <c r="D10" s="248">
        <v>0.1</v>
      </c>
      <c r="E10" s="249">
        <v>0.05</v>
      </c>
      <c r="F10" s="4" t="str">
        <f>IF(NOT(AND(C10&gt;D10,D10&gt;E10)),"Ungültige Kombination. Grün muss &gt; gelb muss &gt; rot sein.","")</f>
        <v/>
      </c>
    </row>
    <row r="11" spans="2:17">
      <c r="B11" s="115" t="s">
        <v>36</v>
      </c>
      <c r="C11" s="250">
        <f>Cockpit!Q22/4</f>
        <v>0</v>
      </c>
      <c r="D11" s="250">
        <f>Cockpit!Q22/2</f>
        <v>0</v>
      </c>
      <c r="E11" s="251">
        <f>Cockpit!Q22</f>
        <v>0</v>
      </c>
      <c r="F11" s="4" t="str">
        <f>IF(NOT(AND(C11&gt;D11,D11&gt;E11)),"Ungültige Kombination. Grün muss &gt; gelb muss &gt; rot sein.","")</f>
        <v>Ungültige Kombination. Grün muss &gt; gelb muss &gt; rot sein.</v>
      </c>
    </row>
    <row r="12" spans="2:17" ht="13.5" thickBot="1">
      <c r="B12" s="116" t="s">
        <v>72</v>
      </c>
      <c r="C12" s="252">
        <f>Cockpit!Q22/4</f>
        <v>0</v>
      </c>
      <c r="D12" s="252">
        <f>Cockpit!Q22/2</f>
        <v>0</v>
      </c>
      <c r="E12" s="253">
        <f>Cockpit!Q22</f>
        <v>0</v>
      </c>
      <c r="F12" s="4" t="str">
        <f>IF(NOT(AND(C12&gt;D12,D12&gt;E12)),"Ungültige Kombination. Grün muss &gt; gelb muss &gt; rot sein.","")</f>
        <v>Ungültige Kombination. Grün muss &gt; gelb muss &gt; rot sein.</v>
      </c>
    </row>
    <row r="13" spans="2:17" ht="13.5" thickBot="1"/>
    <row r="14" spans="2:17" ht="13.5" thickBot="1">
      <c r="B14" s="506" t="s">
        <v>300</v>
      </c>
      <c r="C14" s="507"/>
    </row>
    <row r="15" spans="2:17" ht="15.75" customHeight="1">
      <c r="B15" s="283" t="s">
        <v>356</v>
      </c>
      <c r="C15" s="357">
        <v>0</v>
      </c>
    </row>
    <row r="16" spans="2:17">
      <c r="B16" s="321" t="s">
        <v>283</v>
      </c>
      <c r="C16" s="322">
        <v>0.05</v>
      </c>
    </row>
    <row r="17" spans="2:3">
      <c r="B17" s="284" t="s">
        <v>284</v>
      </c>
      <c r="C17" s="286">
        <v>3.5000000000000003E-2</v>
      </c>
    </row>
    <row r="18" spans="2:3">
      <c r="B18" s="284" t="s">
        <v>285</v>
      </c>
      <c r="C18" s="286">
        <v>0.06</v>
      </c>
    </row>
    <row r="19" spans="2:3">
      <c r="B19" s="284" t="s">
        <v>286</v>
      </c>
      <c r="C19" s="286">
        <v>6.5000000000000002E-2</v>
      </c>
    </row>
    <row r="20" spans="2:3">
      <c r="B20" s="284" t="s">
        <v>287</v>
      </c>
      <c r="C20" s="286">
        <v>0.05</v>
      </c>
    </row>
    <row r="21" spans="2:3">
      <c r="B21" s="284" t="s">
        <v>288</v>
      </c>
      <c r="C21" s="286">
        <v>5.5E-2</v>
      </c>
    </row>
    <row r="22" spans="2:3">
      <c r="B22" s="284" t="s">
        <v>289</v>
      </c>
      <c r="C22" s="286">
        <v>0.06</v>
      </c>
    </row>
    <row r="23" spans="2:3">
      <c r="B23" s="284" t="s">
        <v>290</v>
      </c>
      <c r="C23" s="286">
        <v>0.06</v>
      </c>
    </row>
    <row r="24" spans="2:3">
      <c r="B24" s="284" t="s">
        <v>291</v>
      </c>
      <c r="C24" s="286">
        <v>0.05</v>
      </c>
    </row>
    <row r="25" spans="2:3">
      <c r="B25" s="284" t="s">
        <v>292</v>
      </c>
      <c r="C25" s="286">
        <v>6.5000000000000002E-2</v>
      </c>
    </row>
    <row r="26" spans="2:3">
      <c r="B26" s="284" t="s">
        <v>293</v>
      </c>
      <c r="C26" s="286">
        <v>0.05</v>
      </c>
    </row>
    <row r="27" spans="2:3">
      <c r="B27" s="284" t="s">
        <v>294</v>
      </c>
      <c r="C27" s="286">
        <v>6.5000000000000002E-2</v>
      </c>
    </row>
    <row r="28" spans="2:3">
      <c r="B28" s="284" t="s">
        <v>295</v>
      </c>
      <c r="C28" s="286">
        <v>5.5E-2</v>
      </c>
    </row>
    <row r="29" spans="2:3">
      <c r="B29" s="284" t="s">
        <v>296</v>
      </c>
      <c r="C29" s="286">
        <v>0.05</v>
      </c>
    </row>
    <row r="30" spans="2:3">
      <c r="B30" s="284" t="s">
        <v>297</v>
      </c>
      <c r="C30" s="286">
        <v>6.5000000000000002E-2</v>
      </c>
    </row>
    <row r="31" spans="2:3" ht="13.5" thickBot="1">
      <c r="B31" s="285" t="s">
        <v>298</v>
      </c>
      <c r="C31" s="287">
        <v>6.5000000000000002E-2</v>
      </c>
    </row>
    <row r="35" spans="2:5" ht="14.5">
      <c r="B35" s="107" t="s">
        <v>269</v>
      </c>
      <c r="E35" s="37"/>
    </row>
  </sheetData>
  <sheetProtection algorithmName="SHA-512" hashValue="6z0KnWslpqKPyBX1wOCR21qrUwNvQFOWDzoKRR9Yz7Br27cF1JNgSjMdzn7I5SJ4+rFLKK0Tn4Y/iB20edVvOw==" saltValue="F0GihkOn0VsX+5pdoH5wvg==" spinCount="100000" sheet="1" objects="1" scenarios="1" formatCells="0" formatColumns="0"/>
  <mergeCells count="5">
    <mergeCell ref="B6:E6"/>
    <mergeCell ref="E1:G3"/>
    <mergeCell ref="N1:O3"/>
    <mergeCell ref="B1:D3"/>
    <mergeCell ref="B14:C14"/>
  </mergeCells>
  <dataValidations count="17">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16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16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16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16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16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16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16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16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16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16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16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16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16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16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16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1600-00000F000000}"/>
    <dataValidation allowBlank="1" showInputMessage="1" promptTitle="Grunderwerbsteuer" prompt="Hier kannst du bei Bedarf die Grunderwerbsteuer-Sätze für einzelne Bundesländer anpassen." sqref="B14" xr:uid="{00000000-0002-0000-1600-000010000000}"/>
  </dataValidations>
  <hyperlinks>
    <hyperlink ref="B1:B3" location="Rendite!A1" display="Zurück zum Cockpit" xr:uid="{00000000-0004-0000-1600-000000000000}"/>
    <hyperlink ref="B1:D3" location="Cockpit!A1" display="zurück zum Cockpit" xr:uid="{00000000-0004-0000-1600-000001000000}"/>
    <hyperlink ref="B35" location="Deckblatt!A1" display="Keine Gewähr für die Richtigkeit der Angaben. Dieses Tool ersetzt keine fundierte Rechts-, Steuer- oder Finanzberatung. Mehr Details hier." xr:uid="{00000000-0004-0000-16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tint="0.89999084444715716"/>
    <pageSetUpPr fitToPage="1"/>
  </sheetPr>
  <dimension ref="B1:T53"/>
  <sheetViews>
    <sheetView showGridLines="0" showRowColHeaders="0" zoomScaleNormal="100" workbookViewId="0">
      <pane ySplit="4" topLeftCell="A5" activePane="bottomLeft" state="frozen"/>
      <selection pane="bottomLeft" activeCell="D12" sqref="D12"/>
    </sheetView>
  </sheetViews>
  <sheetFormatPr defaultColWidth="9.1796875" defaultRowHeight="14.5"/>
  <cols>
    <col min="1" max="1" width="9.1796875" style="24"/>
    <col min="2" max="2" width="2.54296875" style="24" customWidth="1"/>
    <col min="3" max="3" width="11" style="24" customWidth="1"/>
    <col min="4" max="6" width="9.1796875" style="24"/>
    <col min="7" max="7" width="5.26953125" style="24" customWidth="1"/>
    <col min="8" max="9" width="10.453125" style="24" customWidth="1"/>
    <col min="10" max="10" width="5.54296875" style="24" customWidth="1"/>
    <col min="11" max="14" width="9.1796875" style="24"/>
    <col min="15" max="15" width="2.81640625" style="24" customWidth="1"/>
    <col min="16" max="16" width="2.54296875" style="24" customWidth="1"/>
    <col min="17" max="16384" width="9.1796875" style="24"/>
  </cols>
  <sheetData>
    <row r="1" spans="2:20" s="113" customFormat="1" ht="12.75" customHeight="1">
      <c r="B1" s="505" t="s">
        <v>263</v>
      </c>
      <c r="C1" s="505"/>
      <c r="D1" s="505"/>
      <c r="E1" s="505"/>
      <c r="F1" s="505"/>
      <c r="G1" s="479" t="s">
        <v>264</v>
      </c>
      <c r="H1" s="479"/>
      <c r="I1" s="479"/>
      <c r="J1" s="479"/>
      <c r="K1" s="479"/>
      <c r="L1" s="479"/>
      <c r="O1" s="177"/>
      <c r="S1" s="186"/>
      <c r="T1" s="254"/>
    </row>
    <row r="2" spans="2:20" s="113" customFormat="1" ht="15" customHeight="1">
      <c r="B2" s="505"/>
      <c r="C2" s="505"/>
      <c r="D2" s="505"/>
      <c r="E2" s="505"/>
      <c r="F2" s="505"/>
      <c r="G2" s="479"/>
      <c r="H2" s="479"/>
      <c r="I2" s="479"/>
      <c r="J2" s="479"/>
      <c r="K2" s="479"/>
      <c r="L2" s="479"/>
      <c r="O2" s="177"/>
      <c r="S2" s="186"/>
      <c r="T2" s="254"/>
    </row>
    <row r="3" spans="2:20" s="113" customFormat="1" ht="12.75" customHeight="1">
      <c r="B3" s="505"/>
      <c r="C3" s="505"/>
      <c r="D3" s="505"/>
      <c r="E3" s="505"/>
      <c r="F3" s="505"/>
      <c r="G3" s="479"/>
      <c r="H3" s="479"/>
      <c r="I3" s="479"/>
      <c r="J3" s="479"/>
      <c r="K3" s="479"/>
      <c r="L3" s="479"/>
      <c r="O3" s="177"/>
      <c r="S3" s="186"/>
      <c r="T3" s="254"/>
    </row>
    <row r="4" spans="2:20" s="5" customFormat="1" ht="18.75" customHeight="1">
      <c r="L4" s="4"/>
      <c r="M4" s="4"/>
      <c r="N4" s="4"/>
      <c r="O4" s="4"/>
    </row>
    <row r="6" spans="2:20" ht="7.5" customHeight="1">
      <c r="B6" s="39"/>
      <c r="C6" s="40"/>
      <c r="D6" s="40"/>
      <c r="E6" s="40"/>
      <c r="F6" s="40"/>
      <c r="G6" s="40"/>
      <c r="H6" s="40"/>
      <c r="I6" s="40"/>
      <c r="J6" s="40"/>
      <c r="K6" s="40"/>
      <c r="L6" s="40"/>
      <c r="M6" s="40"/>
      <c r="N6" s="40"/>
      <c r="O6" s="40"/>
      <c r="P6" s="41"/>
    </row>
    <row r="7" spans="2:20" ht="20.5">
      <c r="B7" s="42"/>
      <c r="C7" s="508" t="s">
        <v>134</v>
      </c>
      <c r="D7" s="508"/>
      <c r="E7" s="508"/>
      <c r="F7" s="508"/>
      <c r="G7" s="508"/>
      <c r="H7" s="508"/>
      <c r="I7" s="508"/>
      <c r="J7" s="508"/>
      <c r="K7" s="508"/>
      <c r="L7" s="508"/>
      <c r="M7" s="508"/>
      <c r="N7" s="508"/>
      <c r="O7" s="508"/>
      <c r="P7" s="43"/>
    </row>
    <row r="8" spans="2:20" ht="19">
      <c r="B8" s="42"/>
      <c r="C8" s="44" t="s">
        <v>135</v>
      </c>
      <c r="D8" s="45"/>
      <c r="E8" s="45"/>
      <c r="F8" s="45"/>
      <c r="G8" s="46"/>
      <c r="H8" s="45"/>
      <c r="I8" s="45"/>
      <c r="J8" s="45"/>
      <c r="K8" s="46"/>
      <c r="L8" s="46"/>
      <c r="M8" s="46"/>
      <c r="N8" s="44"/>
      <c r="O8" s="47" t="s">
        <v>136</v>
      </c>
      <c r="P8" s="43"/>
    </row>
    <row r="9" spans="2:20">
      <c r="B9" s="42"/>
      <c r="C9" s="46"/>
      <c r="D9" s="46"/>
      <c r="E9" s="46"/>
      <c r="F9" s="46"/>
      <c r="G9" s="46"/>
      <c r="H9" s="46"/>
      <c r="I9" s="46"/>
      <c r="J9" s="46"/>
      <c r="K9" s="46"/>
      <c r="L9" s="46"/>
      <c r="M9" s="46"/>
      <c r="N9" s="46"/>
      <c r="O9" s="46"/>
      <c r="P9" s="43"/>
    </row>
    <row r="10" spans="2:20">
      <c r="B10" s="42"/>
      <c r="C10" s="48" t="s">
        <v>137</v>
      </c>
      <c r="D10" s="49"/>
      <c r="E10" s="49"/>
      <c r="F10" s="49"/>
      <c r="G10" s="49"/>
      <c r="H10" s="49"/>
      <c r="I10" s="49"/>
      <c r="J10" s="49"/>
      <c r="K10" s="49"/>
      <c r="L10" s="49"/>
      <c r="M10" s="49"/>
      <c r="N10" s="49"/>
      <c r="O10" s="50"/>
      <c r="P10" s="43"/>
    </row>
    <row r="11" spans="2:20">
      <c r="B11" s="42"/>
      <c r="C11" s="51" t="s">
        <v>138</v>
      </c>
      <c r="D11" s="52" t="s">
        <v>135</v>
      </c>
      <c r="E11" s="52"/>
      <c r="F11" s="52"/>
      <c r="G11" s="52"/>
      <c r="H11" s="52"/>
      <c r="I11" s="52"/>
      <c r="J11" s="52"/>
      <c r="K11" s="52" t="s">
        <v>139</v>
      </c>
      <c r="L11" s="52"/>
      <c r="M11" s="52" t="s">
        <v>140</v>
      </c>
      <c r="N11" s="52"/>
      <c r="O11" s="53"/>
      <c r="P11" s="43"/>
    </row>
    <row r="12" spans="2:20">
      <c r="B12" s="42"/>
      <c r="C12" s="51" t="s">
        <v>141</v>
      </c>
      <c r="D12" s="52" t="s">
        <v>142</v>
      </c>
      <c r="E12" s="52"/>
      <c r="F12" s="52"/>
      <c r="G12" s="52"/>
      <c r="H12" s="52"/>
      <c r="I12" s="52"/>
      <c r="J12" s="52"/>
      <c r="K12" s="52" t="s">
        <v>143</v>
      </c>
      <c r="L12" s="52"/>
      <c r="M12" s="52" t="s">
        <v>144</v>
      </c>
      <c r="N12" s="52"/>
      <c r="O12" s="53"/>
      <c r="P12" s="43"/>
    </row>
    <row r="13" spans="2:20">
      <c r="B13" s="42"/>
      <c r="C13" s="54"/>
      <c r="D13" s="55" t="s">
        <v>145</v>
      </c>
      <c r="E13" s="55"/>
      <c r="F13" s="55"/>
      <c r="G13" s="55"/>
      <c r="H13" s="55"/>
      <c r="I13" s="55"/>
      <c r="J13" s="55"/>
      <c r="K13" s="55" t="s">
        <v>146</v>
      </c>
      <c r="L13" s="55"/>
      <c r="M13" s="55" t="s">
        <v>147</v>
      </c>
      <c r="N13" s="55"/>
      <c r="O13" s="56"/>
      <c r="P13" s="43"/>
    </row>
    <row r="14" spans="2:20">
      <c r="B14" s="42"/>
      <c r="C14" s="52"/>
      <c r="D14" s="52"/>
      <c r="E14" s="52"/>
      <c r="F14" s="52"/>
      <c r="G14" s="52"/>
      <c r="H14" s="52"/>
      <c r="I14" s="52"/>
      <c r="J14" s="52"/>
      <c r="K14" s="52"/>
      <c r="L14" s="52"/>
      <c r="M14" s="52"/>
      <c r="N14" s="52"/>
      <c r="O14" s="52"/>
      <c r="P14" s="43"/>
    </row>
    <row r="15" spans="2:20">
      <c r="B15" s="42"/>
      <c r="C15" s="57" t="s">
        <v>148</v>
      </c>
      <c r="D15" s="58"/>
      <c r="E15" s="58"/>
      <c r="F15" s="58"/>
      <c r="G15" s="58"/>
      <c r="H15" s="58"/>
      <c r="I15" s="58"/>
      <c r="J15" s="58"/>
      <c r="K15" s="58"/>
      <c r="L15" s="58"/>
      <c r="M15" s="58"/>
      <c r="N15" s="58"/>
      <c r="O15" s="59"/>
      <c r="P15" s="43"/>
    </row>
    <row r="16" spans="2:20" ht="9" customHeight="1">
      <c r="B16" s="42"/>
      <c r="C16" s="52"/>
      <c r="D16" s="52"/>
      <c r="E16" s="52"/>
      <c r="F16" s="52"/>
      <c r="G16" s="52"/>
      <c r="H16" s="52"/>
      <c r="I16" s="52"/>
      <c r="J16" s="52"/>
      <c r="K16" s="52"/>
      <c r="L16" s="52"/>
      <c r="M16" s="52"/>
      <c r="N16" s="52"/>
      <c r="O16" s="52"/>
      <c r="P16" s="43"/>
    </row>
    <row r="17" spans="2:16">
      <c r="B17" s="42"/>
      <c r="C17" s="60" t="s">
        <v>149</v>
      </c>
      <c r="D17" s="61"/>
      <c r="E17" s="61"/>
      <c r="F17" s="61"/>
      <c r="G17" s="61"/>
      <c r="H17" s="62" t="s">
        <v>150</v>
      </c>
      <c r="I17" s="62" t="s">
        <v>151</v>
      </c>
      <c r="J17" s="61"/>
      <c r="K17" s="61" t="s">
        <v>152</v>
      </c>
      <c r="L17" s="61"/>
      <c r="M17" s="61"/>
      <c r="N17" s="61"/>
      <c r="O17" s="63"/>
      <c r="P17" s="43"/>
    </row>
    <row r="18" spans="2:16">
      <c r="B18" s="42"/>
      <c r="C18" s="64" t="s">
        <v>153</v>
      </c>
      <c r="D18" s="65"/>
      <c r="E18" s="65"/>
      <c r="F18" s="65"/>
      <c r="G18" s="65"/>
      <c r="H18" s="66">
        <f>12*I18</f>
        <v>26400</v>
      </c>
      <c r="I18" s="66">
        <v>2200</v>
      </c>
      <c r="J18" s="65"/>
      <c r="K18" s="65"/>
      <c r="L18" s="65"/>
      <c r="M18" s="65"/>
      <c r="N18" s="65"/>
      <c r="O18" s="67"/>
      <c r="P18" s="43"/>
    </row>
    <row r="19" spans="2:16">
      <c r="B19" s="42"/>
      <c r="C19" s="64" t="s">
        <v>154</v>
      </c>
      <c r="D19" s="65"/>
      <c r="E19" s="65"/>
      <c r="F19" s="65"/>
      <c r="G19" s="65"/>
      <c r="H19" s="66">
        <f>12*I19</f>
        <v>2400</v>
      </c>
      <c r="I19" s="66">
        <v>200</v>
      </c>
      <c r="J19" s="65"/>
      <c r="K19" s="65"/>
      <c r="L19" s="65"/>
      <c r="M19" s="65"/>
      <c r="N19" s="65"/>
      <c r="O19" s="67"/>
      <c r="P19" s="43"/>
    </row>
    <row r="20" spans="2:16">
      <c r="B20" s="42"/>
      <c r="C20" s="68" t="s">
        <v>155</v>
      </c>
      <c r="D20" s="69"/>
      <c r="E20" s="69"/>
      <c r="F20" s="69"/>
      <c r="G20" s="69"/>
      <c r="H20" s="66">
        <f>12*I20</f>
        <v>0</v>
      </c>
      <c r="I20" s="70">
        <v>0</v>
      </c>
      <c r="J20" s="69"/>
      <c r="K20" s="69"/>
      <c r="L20" s="69"/>
      <c r="M20" s="69"/>
      <c r="N20" s="69"/>
      <c r="O20" s="71"/>
      <c r="P20" s="43"/>
    </row>
    <row r="21" spans="2:16">
      <c r="B21" s="42"/>
      <c r="C21" s="68" t="s">
        <v>156</v>
      </c>
      <c r="D21" s="69"/>
      <c r="E21" s="69"/>
      <c r="F21" s="69"/>
      <c r="G21" s="69"/>
      <c r="H21" s="70">
        <f t="shared" ref="H21:H25" si="0">12*I21</f>
        <v>0</v>
      </c>
      <c r="I21" s="70">
        <v>0</v>
      </c>
      <c r="J21" s="69"/>
      <c r="K21" s="69"/>
      <c r="L21" s="69"/>
      <c r="M21" s="69"/>
      <c r="N21" s="69"/>
      <c r="O21" s="71"/>
      <c r="P21" s="43"/>
    </row>
    <row r="22" spans="2:16">
      <c r="B22" s="42"/>
      <c r="C22" s="68" t="s">
        <v>44</v>
      </c>
      <c r="D22" s="69"/>
      <c r="E22" s="69"/>
      <c r="F22" s="69"/>
      <c r="G22" s="69"/>
      <c r="H22" s="70">
        <f t="shared" si="0"/>
        <v>600</v>
      </c>
      <c r="I22" s="70">
        <v>50</v>
      </c>
      <c r="J22" s="69"/>
      <c r="K22" s="69"/>
      <c r="L22" s="69"/>
      <c r="M22" s="69"/>
      <c r="N22" s="69"/>
      <c r="O22" s="71"/>
      <c r="P22" s="43"/>
    </row>
    <row r="23" spans="2:16">
      <c r="B23" s="42"/>
      <c r="C23" s="68" t="s">
        <v>157</v>
      </c>
      <c r="D23" s="69"/>
      <c r="E23" s="69"/>
      <c r="F23" s="69"/>
      <c r="G23" s="69"/>
      <c r="H23" s="70">
        <f t="shared" si="0"/>
        <v>3600</v>
      </c>
      <c r="I23" s="70">
        <v>300</v>
      </c>
      <c r="J23" s="69"/>
      <c r="K23" s="69"/>
      <c r="L23" s="69"/>
      <c r="M23" s="69"/>
      <c r="N23" s="69"/>
      <c r="O23" s="71"/>
      <c r="P23" s="43"/>
    </row>
    <row r="24" spans="2:16">
      <c r="B24" s="42"/>
      <c r="C24" s="68" t="s">
        <v>158</v>
      </c>
      <c r="D24" s="69"/>
      <c r="E24" s="69"/>
      <c r="F24" s="69"/>
      <c r="G24" s="69"/>
      <c r="H24" s="70">
        <f t="shared" si="0"/>
        <v>0</v>
      </c>
      <c r="I24" s="70">
        <v>0</v>
      </c>
      <c r="J24" s="69"/>
      <c r="K24" s="69"/>
      <c r="L24" s="69"/>
      <c r="M24" s="69"/>
      <c r="N24" s="69"/>
      <c r="O24" s="71"/>
      <c r="P24" s="43"/>
    </row>
    <row r="25" spans="2:16" ht="15" thickBot="1">
      <c r="B25" s="42"/>
      <c r="C25" s="68" t="s">
        <v>159</v>
      </c>
      <c r="D25" s="69"/>
      <c r="E25" s="69"/>
      <c r="F25" s="69"/>
      <c r="G25" s="69"/>
      <c r="H25" s="70">
        <f t="shared" si="0"/>
        <v>0</v>
      </c>
      <c r="I25" s="70">
        <v>0</v>
      </c>
      <c r="J25" s="69"/>
      <c r="K25" s="69"/>
      <c r="L25" s="69"/>
      <c r="M25" s="69"/>
      <c r="N25" s="69"/>
      <c r="O25" s="71"/>
      <c r="P25" s="43"/>
    </row>
    <row r="26" spans="2:16" ht="15" thickTop="1">
      <c r="B26" s="42"/>
      <c r="C26" s="72" t="s">
        <v>7</v>
      </c>
      <c r="D26" s="73"/>
      <c r="E26" s="73"/>
      <c r="F26" s="73"/>
      <c r="G26" s="73"/>
      <c r="H26" s="74">
        <f>12*I26</f>
        <v>33000</v>
      </c>
      <c r="I26" s="74">
        <f>SUM(I18:I25)</f>
        <v>2750</v>
      </c>
      <c r="J26" s="73"/>
      <c r="K26" s="73"/>
      <c r="L26" s="73"/>
      <c r="M26" s="73"/>
      <c r="N26" s="73"/>
      <c r="O26" s="75"/>
      <c r="P26" s="43"/>
    </row>
    <row r="27" spans="2:16" ht="9" customHeight="1">
      <c r="B27" s="42"/>
      <c r="C27" s="52"/>
      <c r="D27" s="52"/>
      <c r="E27" s="52"/>
      <c r="F27" s="52"/>
      <c r="G27" s="52"/>
      <c r="H27" s="52"/>
      <c r="I27" s="52"/>
      <c r="J27" s="52"/>
      <c r="K27" s="52"/>
      <c r="L27" s="52"/>
      <c r="M27" s="52"/>
      <c r="N27" s="52"/>
      <c r="O27" s="52"/>
      <c r="P27" s="43"/>
    </row>
    <row r="28" spans="2:16">
      <c r="B28" s="42"/>
      <c r="C28" s="76" t="s">
        <v>62</v>
      </c>
      <c r="D28" s="77"/>
      <c r="E28" s="77"/>
      <c r="F28" s="77"/>
      <c r="G28" s="77"/>
      <c r="H28" s="78" t="s">
        <v>150</v>
      </c>
      <c r="I28" s="62" t="s">
        <v>151</v>
      </c>
      <c r="J28" s="77"/>
      <c r="K28" s="77" t="s">
        <v>152</v>
      </c>
      <c r="L28" s="77"/>
      <c r="M28" s="77"/>
      <c r="N28" s="77"/>
      <c r="O28" s="79"/>
      <c r="P28" s="43"/>
    </row>
    <row r="29" spans="2:16">
      <c r="B29" s="42"/>
      <c r="C29" s="64" t="s">
        <v>160</v>
      </c>
      <c r="D29" s="65"/>
      <c r="E29" s="65"/>
      <c r="F29" s="65"/>
      <c r="G29" s="65"/>
      <c r="H29" s="80">
        <f>I29*12</f>
        <v>7800</v>
      </c>
      <c r="I29" s="80">
        <v>650</v>
      </c>
      <c r="J29" s="65"/>
      <c r="K29" s="69" t="s">
        <v>161</v>
      </c>
      <c r="L29" s="65"/>
      <c r="M29" s="65"/>
      <c r="N29" s="65"/>
      <c r="O29" s="67"/>
      <c r="P29" s="43"/>
    </row>
    <row r="30" spans="2:16">
      <c r="B30" s="42"/>
      <c r="C30" s="68" t="s">
        <v>162</v>
      </c>
      <c r="D30" s="69"/>
      <c r="E30" s="69"/>
      <c r="F30" s="69"/>
      <c r="G30" s="69"/>
      <c r="H30" s="81">
        <f>I30*12</f>
        <v>2400</v>
      </c>
      <c r="I30" s="81">
        <v>200</v>
      </c>
      <c r="J30" s="69"/>
      <c r="K30" s="69"/>
      <c r="L30" s="69"/>
      <c r="M30" s="69"/>
      <c r="N30" s="69"/>
      <c r="O30" s="71"/>
      <c r="P30" s="43"/>
    </row>
    <row r="31" spans="2:16">
      <c r="B31" s="42"/>
      <c r="C31" s="68" t="s">
        <v>163</v>
      </c>
      <c r="D31" s="69"/>
      <c r="E31" s="69"/>
      <c r="F31" s="69"/>
      <c r="G31" s="69"/>
      <c r="H31" s="81">
        <f>I31*12</f>
        <v>1200</v>
      </c>
      <c r="I31" s="81">
        <v>100</v>
      </c>
      <c r="J31" s="69"/>
      <c r="K31" s="69" t="s">
        <v>164</v>
      </c>
      <c r="L31" s="69"/>
      <c r="M31" s="69"/>
      <c r="N31" s="69"/>
      <c r="O31" s="71"/>
      <c r="P31" s="43"/>
    </row>
    <row r="32" spans="2:16">
      <c r="B32" s="42"/>
      <c r="C32" s="68" t="s">
        <v>165</v>
      </c>
      <c r="D32" s="69"/>
      <c r="E32" s="69"/>
      <c r="F32" s="69"/>
      <c r="G32" s="69"/>
      <c r="H32" s="81">
        <f t="shared" ref="H32:H45" si="1">I32*12</f>
        <v>1200</v>
      </c>
      <c r="I32" s="81">
        <v>100</v>
      </c>
      <c r="J32" s="69"/>
      <c r="K32" s="69" t="s">
        <v>166</v>
      </c>
      <c r="L32" s="69"/>
      <c r="M32" s="69"/>
      <c r="N32" s="69"/>
      <c r="O32" s="71"/>
      <c r="P32" s="43"/>
    </row>
    <row r="33" spans="2:16">
      <c r="B33" s="42"/>
      <c r="C33" s="68" t="s">
        <v>167</v>
      </c>
      <c r="D33" s="69"/>
      <c r="E33" s="69"/>
      <c r="F33" s="69"/>
      <c r="G33" s="69"/>
      <c r="H33" s="81">
        <f>I33*12</f>
        <v>900</v>
      </c>
      <c r="I33" s="81">
        <v>75</v>
      </c>
      <c r="J33" s="69"/>
      <c r="K33" s="69"/>
      <c r="L33" s="69"/>
      <c r="M33" s="69"/>
      <c r="N33" s="69"/>
      <c r="O33" s="71"/>
      <c r="P33" s="43"/>
    </row>
    <row r="34" spans="2:16">
      <c r="B34" s="42"/>
      <c r="C34" s="68" t="s">
        <v>168</v>
      </c>
      <c r="D34" s="69"/>
      <c r="E34" s="69"/>
      <c r="F34" s="69"/>
      <c r="G34" s="69"/>
      <c r="H34" s="81">
        <f t="shared" si="1"/>
        <v>1800</v>
      </c>
      <c r="I34" s="81">
        <v>150</v>
      </c>
      <c r="J34" s="69"/>
      <c r="K34" s="69" t="s">
        <v>169</v>
      </c>
      <c r="L34" s="69"/>
      <c r="M34" s="69"/>
      <c r="N34" s="69"/>
      <c r="O34" s="71"/>
      <c r="P34" s="43"/>
    </row>
    <row r="35" spans="2:16">
      <c r="B35" s="42"/>
      <c r="C35" s="68" t="s">
        <v>170</v>
      </c>
      <c r="D35" s="69"/>
      <c r="E35" s="69"/>
      <c r="F35" s="69"/>
      <c r="G35" s="69"/>
      <c r="H35" s="81">
        <f t="shared" si="1"/>
        <v>300</v>
      </c>
      <c r="I35" s="81">
        <v>25</v>
      </c>
      <c r="J35" s="69"/>
      <c r="K35" s="69"/>
      <c r="L35" s="69"/>
      <c r="M35" s="69"/>
      <c r="N35" s="69"/>
      <c r="O35" s="71"/>
      <c r="P35" s="43"/>
    </row>
    <row r="36" spans="2:16">
      <c r="B36" s="42"/>
      <c r="C36" s="68" t="s">
        <v>171</v>
      </c>
      <c r="D36" s="69"/>
      <c r="E36" s="69"/>
      <c r="F36" s="69"/>
      <c r="G36" s="69"/>
      <c r="H36" s="81">
        <f>I36*12</f>
        <v>600</v>
      </c>
      <c r="I36" s="81">
        <v>50</v>
      </c>
      <c r="J36" s="69"/>
      <c r="K36" s="69"/>
      <c r="L36" s="69"/>
      <c r="M36" s="69"/>
      <c r="N36" s="69"/>
      <c r="O36" s="71"/>
      <c r="P36" s="43"/>
    </row>
    <row r="37" spans="2:16">
      <c r="B37" s="42"/>
      <c r="C37" s="68" t="s">
        <v>172</v>
      </c>
      <c r="D37" s="69"/>
      <c r="E37" s="69"/>
      <c r="F37" s="69"/>
      <c r="G37" s="69"/>
      <c r="H37" s="81">
        <f t="shared" si="1"/>
        <v>600</v>
      </c>
      <c r="I37" s="81">
        <v>50</v>
      </c>
      <c r="J37" s="69"/>
      <c r="K37" s="69" t="s">
        <v>173</v>
      </c>
      <c r="L37" s="69"/>
      <c r="M37" s="69"/>
      <c r="N37" s="69"/>
      <c r="O37" s="71"/>
      <c r="P37" s="43"/>
    </row>
    <row r="38" spans="2:16">
      <c r="B38" s="42"/>
      <c r="C38" s="68" t="s">
        <v>174</v>
      </c>
      <c r="D38" s="69"/>
      <c r="E38" s="69"/>
      <c r="F38" s="69"/>
      <c r="G38" s="69"/>
      <c r="H38" s="81">
        <f t="shared" si="1"/>
        <v>1944</v>
      </c>
      <c r="I38" s="81">
        <v>162</v>
      </c>
      <c r="J38" s="69"/>
      <c r="K38" s="69" t="s">
        <v>175</v>
      </c>
      <c r="L38" s="69"/>
      <c r="M38" s="69"/>
      <c r="N38" s="69"/>
      <c r="O38" s="71"/>
      <c r="P38" s="43"/>
    </row>
    <row r="39" spans="2:16">
      <c r="B39" s="42"/>
      <c r="C39" s="68" t="s">
        <v>176</v>
      </c>
      <c r="D39" s="69"/>
      <c r="E39" s="69"/>
      <c r="F39" s="69"/>
      <c r="G39" s="69"/>
      <c r="H39" s="81">
        <f t="shared" si="1"/>
        <v>960</v>
      </c>
      <c r="I39" s="81">
        <v>80</v>
      </c>
      <c r="J39" s="69"/>
      <c r="K39" s="69" t="s">
        <v>177</v>
      </c>
      <c r="L39" s="69"/>
      <c r="M39" s="69"/>
      <c r="N39" s="69"/>
      <c r="O39" s="71"/>
      <c r="P39" s="43"/>
    </row>
    <row r="40" spans="2:16">
      <c r="B40" s="42"/>
      <c r="C40" s="68" t="s">
        <v>178</v>
      </c>
      <c r="D40" s="69"/>
      <c r="E40" s="69"/>
      <c r="F40" s="69"/>
      <c r="G40" s="69"/>
      <c r="H40" s="81">
        <f t="shared" si="1"/>
        <v>1044</v>
      </c>
      <c r="I40" s="81">
        <v>87</v>
      </c>
      <c r="J40" s="69"/>
      <c r="K40" s="69" t="s">
        <v>179</v>
      </c>
      <c r="L40" s="69"/>
      <c r="M40" s="69"/>
      <c r="N40" s="69"/>
      <c r="O40" s="71"/>
      <c r="P40" s="43"/>
    </row>
    <row r="41" spans="2:16">
      <c r="B41" s="42"/>
      <c r="C41" s="68" t="s">
        <v>180</v>
      </c>
      <c r="D41" s="69"/>
      <c r="E41" s="69"/>
      <c r="F41" s="69"/>
      <c r="G41" s="69"/>
      <c r="H41" s="81">
        <f t="shared" si="1"/>
        <v>2244</v>
      </c>
      <c r="I41" s="81">
        <v>187</v>
      </c>
      <c r="J41" s="69"/>
      <c r="K41" s="69"/>
      <c r="L41" s="69"/>
      <c r="M41" s="69"/>
      <c r="N41" s="69"/>
      <c r="O41" s="71"/>
      <c r="P41" s="43"/>
    </row>
    <row r="42" spans="2:16">
      <c r="B42" s="42"/>
      <c r="C42" s="68" t="s">
        <v>181</v>
      </c>
      <c r="D42" s="69"/>
      <c r="E42" s="69"/>
      <c r="F42" s="69"/>
      <c r="G42" s="69"/>
      <c r="H42" s="81">
        <f>I42*12</f>
        <v>0</v>
      </c>
      <c r="I42" s="81">
        <v>0</v>
      </c>
      <c r="J42" s="69"/>
      <c r="K42" s="69"/>
      <c r="L42" s="69"/>
      <c r="M42" s="69"/>
      <c r="N42" s="69"/>
      <c r="O42" s="71"/>
      <c r="P42" s="43"/>
    </row>
    <row r="43" spans="2:16">
      <c r="B43" s="42"/>
      <c r="C43" s="68" t="s">
        <v>182</v>
      </c>
      <c r="D43" s="69"/>
      <c r="E43" s="69"/>
      <c r="F43" s="69"/>
      <c r="G43" s="69"/>
      <c r="H43" s="81">
        <f>I43*12</f>
        <v>0</v>
      </c>
      <c r="I43" s="81">
        <v>0</v>
      </c>
      <c r="J43" s="69"/>
      <c r="K43" s="69"/>
      <c r="L43" s="69"/>
      <c r="M43" s="69"/>
      <c r="N43" s="69"/>
      <c r="O43" s="71"/>
      <c r="P43" s="43"/>
    </row>
    <row r="44" spans="2:16" ht="15" thickBot="1">
      <c r="B44" s="42"/>
      <c r="C44" s="51" t="s">
        <v>10</v>
      </c>
      <c r="D44" s="52"/>
      <c r="E44" s="52"/>
      <c r="F44" s="52"/>
      <c r="G44" s="52"/>
      <c r="H44" s="82">
        <f t="shared" si="1"/>
        <v>1200</v>
      </c>
      <c r="I44" s="82">
        <v>100</v>
      </c>
      <c r="J44" s="52"/>
      <c r="K44" s="52"/>
      <c r="L44" s="52"/>
      <c r="M44" s="52"/>
      <c r="N44" s="52"/>
      <c r="O44" s="53"/>
      <c r="P44" s="43"/>
    </row>
    <row r="45" spans="2:16" ht="15" thickTop="1">
      <c r="B45" s="42"/>
      <c r="C45" s="72" t="s">
        <v>7</v>
      </c>
      <c r="D45" s="73"/>
      <c r="E45" s="73"/>
      <c r="F45" s="73"/>
      <c r="G45" s="73"/>
      <c r="H45" s="83">
        <f t="shared" si="1"/>
        <v>24192</v>
      </c>
      <c r="I45" s="83">
        <f>SUM(I29:I44)</f>
        <v>2016</v>
      </c>
      <c r="J45" s="73"/>
      <c r="K45" s="73"/>
      <c r="L45" s="73"/>
      <c r="M45" s="73"/>
      <c r="N45" s="73"/>
      <c r="O45" s="75"/>
      <c r="P45" s="43"/>
    </row>
    <row r="46" spans="2:16" ht="9" customHeight="1">
      <c r="B46" s="42"/>
      <c r="C46" s="52"/>
      <c r="D46" s="52"/>
      <c r="E46" s="52"/>
      <c r="F46" s="52"/>
      <c r="G46" s="52"/>
      <c r="H46" s="52"/>
      <c r="I46" s="52"/>
      <c r="J46" s="52"/>
      <c r="K46" s="52"/>
      <c r="L46" s="52"/>
      <c r="M46" s="52"/>
      <c r="N46" s="52"/>
      <c r="O46" s="52"/>
      <c r="P46" s="43"/>
    </row>
    <row r="47" spans="2:16">
      <c r="B47" s="42"/>
      <c r="C47" s="60" t="s">
        <v>183</v>
      </c>
      <c r="D47" s="61"/>
      <c r="E47" s="61"/>
      <c r="F47" s="61"/>
      <c r="G47" s="61"/>
      <c r="H47" s="62" t="s">
        <v>150</v>
      </c>
      <c r="I47" s="62" t="s">
        <v>151</v>
      </c>
      <c r="J47" s="61"/>
      <c r="K47" s="61" t="s">
        <v>152</v>
      </c>
      <c r="L47" s="61"/>
      <c r="M47" s="61"/>
      <c r="N47" s="61"/>
      <c r="O47" s="63"/>
      <c r="P47" s="43"/>
    </row>
    <row r="48" spans="2:16">
      <c r="B48" s="42"/>
      <c r="C48" s="64" t="s">
        <v>61</v>
      </c>
      <c r="D48" s="65"/>
      <c r="E48" s="65"/>
      <c r="F48" s="65"/>
      <c r="G48" s="65"/>
      <c r="H48" s="80">
        <f>12*I48</f>
        <v>33000</v>
      </c>
      <c r="I48" s="80">
        <f>I26</f>
        <v>2750</v>
      </c>
      <c r="J48" s="65"/>
      <c r="K48" s="65"/>
      <c r="L48" s="65"/>
      <c r="M48" s="65"/>
      <c r="N48" s="65"/>
      <c r="O48" s="67"/>
      <c r="P48" s="43"/>
    </row>
    <row r="49" spans="2:16" ht="15" thickBot="1">
      <c r="B49" s="42"/>
      <c r="C49" s="84" t="s">
        <v>62</v>
      </c>
      <c r="D49" s="85"/>
      <c r="E49" s="85"/>
      <c r="F49" s="85"/>
      <c r="G49" s="85"/>
      <c r="H49" s="86">
        <f>12*I49</f>
        <v>24192</v>
      </c>
      <c r="I49" s="86">
        <f>I45</f>
        <v>2016</v>
      </c>
      <c r="J49" s="85"/>
      <c r="K49" s="85"/>
      <c r="L49" s="85"/>
      <c r="M49" s="85"/>
      <c r="N49" s="85"/>
      <c r="O49" s="87"/>
      <c r="P49" s="43"/>
    </row>
    <row r="50" spans="2:16" ht="15" thickTop="1">
      <c r="B50" s="42"/>
      <c r="C50" s="72" t="s">
        <v>184</v>
      </c>
      <c r="D50" s="73"/>
      <c r="E50" s="73"/>
      <c r="F50" s="73"/>
      <c r="G50" s="73"/>
      <c r="H50" s="83">
        <f>12*I50</f>
        <v>8808</v>
      </c>
      <c r="I50" s="83">
        <f>I48-I49</f>
        <v>734</v>
      </c>
      <c r="J50" s="73"/>
      <c r="K50" s="73" t="s">
        <v>185</v>
      </c>
      <c r="L50" s="73"/>
      <c r="M50" s="73"/>
      <c r="N50" s="73"/>
      <c r="O50" s="75"/>
      <c r="P50" s="43"/>
    </row>
    <row r="51" spans="2:16">
      <c r="B51" s="88"/>
      <c r="C51" s="89"/>
      <c r="D51" s="89"/>
      <c r="E51" s="89"/>
      <c r="F51" s="89"/>
      <c r="G51" s="89"/>
      <c r="H51" s="90"/>
      <c r="I51" s="90"/>
      <c r="J51" s="89"/>
      <c r="K51" s="89"/>
      <c r="L51" s="89"/>
      <c r="M51" s="89"/>
      <c r="N51" s="89"/>
      <c r="O51" s="89"/>
      <c r="P51" s="91"/>
    </row>
    <row r="53" spans="2:16" ht="18">
      <c r="B53" s="107" t="s">
        <v>269</v>
      </c>
      <c r="P53" s="92"/>
    </row>
  </sheetData>
  <sheetProtection algorithmName="SHA-512" hashValue="t1KmJ4VuxcaOVFI2ewaUimOAi0TRC412xR8dxJy0+hwFieyz/Bl9KIbaDVQ22PU7PLgJ+mQmLZP40w9fXbJ5Dw==" saltValue="Cbqjxwh9LapO3cjO1in9Mw==" spinCount="100000" sheet="1" objects="1" scenarios="1" formatCells="0" formatColumns="0" insertRows="0"/>
  <mergeCells count="3">
    <mergeCell ref="C7:O7"/>
    <mergeCell ref="B1:F3"/>
    <mergeCell ref="G1:L3"/>
  </mergeCells>
  <hyperlinks>
    <hyperlink ref="B1:F3" location="Bankgespräch!A1" display="zurück zum Bankgespräch" xr:uid="{00000000-0004-0000-1700-000000000000}"/>
    <hyperlink ref="B53" location="Deckblatt!A1" display="Keine Gewähr für die Richtigkeit der Angaben. Dieses Tool ersetzt keine fundierte Rechts-, Steuer- oder Finanzberatung. Mehr Details hier." xr:uid="{00000000-0004-0000-17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tint="0.89999084444715716"/>
    <pageSetUpPr fitToPage="1"/>
  </sheetPr>
  <dimension ref="B1:T41"/>
  <sheetViews>
    <sheetView showGridLines="0" showRowColHeaders="0" zoomScaleNormal="100" workbookViewId="0">
      <pane ySplit="4" topLeftCell="A5" activePane="bottomLeft" state="frozen"/>
      <selection pane="bottomLeft" activeCell="A4" sqref="A4"/>
    </sheetView>
  </sheetViews>
  <sheetFormatPr defaultColWidth="9.1796875" defaultRowHeight="14.5"/>
  <cols>
    <col min="1" max="1" width="9.1796875" style="24"/>
    <col min="2" max="2" width="2.54296875" style="24" customWidth="1"/>
    <col min="3" max="3" width="11" style="24" customWidth="1"/>
    <col min="4" max="6" width="9.1796875" style="24"/>
    <col min="7" max="7" width="5.26953125" style="24" customWidth="1"/>
    <col min="8" max="9" width="10.453125" style="24" customWidth="1"/>
    <col min="10" max="10" width="5.54296875" style="24" customWidth="1"/>
    <col min="11" max="14" width="9.1796875" style="24"/>
    <col min="15" max="15" width="2.81640625" style="24" customWidth="1"/>
    <col min="16" max="16" width="2.54296875" style="24" customWidth="1"/>
    <col min="17" max="16384" width="9.1796875" style="24"/>
  </cols>
  <sheetData>
    <row r="1" spans="2:20" s="113" customFormat="1" ht="12.75" customHeight="1">
      <c r="B1" s="509" t="s">
        <v>263</v>
      </c>
      <c r="C1" s="509"/>
      <c r="D1" s="509"/>
      <c r="E1" s="509"/>
      <c r="F1" s="509"/>
      <c r="G1" s="442" t="s">
        <v>265</v>
      </c>
      <c r="H1" s="442"/>
      <c r="I1" s="442"/>
      <c r="J1" s="442"/>
      <c r="K1" s="442"/>
      <c r="L1" s="442"/>
      <c r="O1" s="177"/>
      <c r="S1" s="425"/>
      <c r="T1" s="426"/>
    </row>
    <row r="2" spans="2:20" s="113" customFormat="1" ht="15" customHeight="1">
      <c r="B2" s="509"/>
      <c r="C2" s="509"/>
      <c r="D2" s="509"/>
      <c r="E2" s="509"/>
      <c r="F2" s="509"/>
      <c r="G2" s="442"/>
      <c r="H2" s="442"/>
      <c r="I2" s="442"/>
      <c r="J2" s="442"/>
      <c r="K2" s="442"/>
      <c r="L2" s="442"/>
      <c r="O2" s="177"/>
      <c r="S2" s="425"/>
      <c r="T2" s="426"/>
    </row>
    <row r="3" spans="2:20" s="113" customFormat="1" ht="12.75" customHeight="1">
      <c r="B3" s="509"/>
      <c r="C3" s="509"/>
      <c r="D3" s="509"/>
      <c r="E3" s="509"/>
      <c r="F3" s="509"/>
      <c r="G3" s="442"/>
      <c r="H3" s="442"/>
      <c r="I3" s="442"/>
      <c r="J3" s="442"/>
      <c r="K3" s="442"/>
      <c r="L3" s="442"/>
      <c r="O3" s="177"/>
      <c r="S3" s="425"/>
      <c r="T3" s="426"/>
    </row>
    <row r="4" spans="2:20" s="5" customFormat="1" ht="18.75" customHeight="1">
      <c r="L4" s="4"/>
      <c r="M4" s="4"/>
      <c r="N4" s="4"/>
      <c r="O4" s="4"/>
    </row>
    <row r="6" spans="2:20" ht="7.5" customHeight="1">
      <c r="B6" s="93"/>
      <c r="C6" s="94"/>
      <c r="D6" s="94"/>
      <c r="E6" s="94"/>
      <c r="F6" s="94"/>
      <c r="G6" s="94"/>
      <c r="H6" s="94"/>
      <c r="I6" s="94"/>
      <c r="J6" s="94"/>
      <c r="K6" s="94"/>
      <c r="L6" s="94"/>
      <c r="M6" s="94"/>
      <c r="N6" s="94"/>
      <c r="O6" s="94"/>
      <c r="P6" s="95"/>
    </row>
    <row r="7" spans="2:20" ht="20.5">
      <c r="B7" s="96"/>
      <c r="C7" s="508" t="s">
        <v>186</v>
      </c>
      <c r="D7" s="508"/>
      <c r="E7" s="508"/>
      <c r="F7" s="508"/>
      <c r="G7" s="508"/>
      <c r="H7" s="508"/>
      <c r="I7" s="508"/>
      <c r="J7" s="508"/>
      <c r="K7" s="508"/>
      <c r="L7" s="508"/>
      <c r="M7" s="508"/>
      <c r="N7" s="508"/>
      <c r="O7" s="508"/>
      <c r="P7" s="97"/>
    </row>
    <row r="8" spans="2:20" ht="18">
      <c r="B8" s="96"/>
      <c r="C8" s="44" t="s">
        <v>135</v>
      </c>
      <c r="D8" s="98"/>
      <c r="E8" s="98"/>
      <c r="F8" s="98"/>
      <c r="G8" s="99"/>
      <c r="H8" s="98"/>
      <c r="I8" s="98"/>
      <c r="J8" s="98"/>
      <c r="K8" s="99"/>
      <c r="L8" s="99"/>
      <c r="M8" s="99"/>
      <c r="N8" s="99"/>
      <c r="O8" s="47" t="s">
        <v>136</v>
      </c>
      <c r="P8" s="97"/>
    </row>
    <row r="9" spans="2:20">
      <c r="B9" s="96"/>
      <c r="C9" s="99"/>
      <c r="D9" s="99"/>
      <c r="E9" s="99"/>
      <c r="F9" s="99"/>
      <c r="G9" s="99"/>
      <c r="H9" s="99"/>
      <c r="I9" s="99"/>
      <c r="J9" s="99"/>
      <c r="K9" s="99"/>
      <c r="L9" s="99"/>
      <c r="M9" s="99"/>
      <c r="N9" s="99"/>
      <c r="O9" s="99"/>
      <c r="P9" s="97"/>
    </row>
    <row r="10" spans="2:20">
      <c r="B10" s="96"/>
      <c r="C10" s="48" t="s">
        <v>137</v>
      </c>
      <c r="D10" s="49"/>
      <c r="E10" s="49"/>
      <c r="F10" s="49"/>
      <c r="G10" s="49"/>
      <c r="H10" s="49"/>
      <c r="I10" s="49"/>
      <c r="J10" s="49"/>
      <c r="K10" s="49"/>
      <c r="L10" s="49"/>
      <c r="M10" s="49"/>
      <c r="N10" s="49"/>
      <c r="O10" s="50"/>
      <c r="P10" s="97"/>
    </row>
    <row r="11" spans="2:20">
      <c r="B11" s="96"/>
      <c r="C11" s="51" t="s">
        <v>138</v>
      </c>
      <c r="D11" s="52" t="s">
        <v>135</v>
      </c>
      <c r="E11" s="52"/>
      <c r="F11" s="52"/>
      <c r="G11" s="52"/>
      <c r="H11" s="52"/>
      <c r="I11" s="52"/>
      <c r="J11" s="52"/>
      <c r="K11" s="52" t="s">
        <v>139</v>
      </c>
      <c r="L11" s="52"/>
      <c r="M11" s="52" t="s">
        <v>140</v>
      </c>
      <c r="N11" s="52"/>
      <c r="O11" s="53"/>
      <c r="P11" s="97"/>
    </row>
    <row r="12" spans="2:20">
      <c r="B12" s="96"/>
      <c r="C12" s="51" t="s">
        <v>141</v>
      </c>
      <c r="D12" s="52" t="s">
        <v>142</v>
      </c>
      <c r="E12" s="52"/>
      <c r="F12" s="52"/>
      <c r="G12" s="52"/>
      <c r="H12" s="52"/>
      <c r="I12" s="52"/>
      <c r="J12" s="52"/>
      <c r="K12" s="52" t="s">
        <v>143</v>
      </c>
      <c r="L12" s="52"/>
      <c r="M12" s="52" t="s">
        <v>144</v>
      </c>
      <c r="N12" s="52"/>
      <c r="O12" s="53"/>
      <c r="P12" s="97"/>
    </row>
    <row r="13" spans="2:20">
      <c r="B13" s="96"/>
      <c r="C13" s="54"/>
      <c r="D13" s="55" t="s">
        <v>145</v>
      </c>
      <c r="E13" s="55"/>
      <c r="F13" s="55"/>
      <c r="G13" s="55"/>
      <c r="H13" s="55"/>
      <c r="I13" s="55"/>
      <c r="J13" s="55"/>
      <c r="K13" s="55" t="s">
        <v>146</v>
      </c>
      <c r="L13" s="55"/>
      <c r="M13" s="55" t="s">
        <v>147</v>
      </c>
      <c r="N13" s="55"/>
      <c r="O13" s="56"/>
      <c r="P13" s="97"/>
    </row>
    <row r="14" spans="2:20">
      <c r="B14" s="96"/>
      <c r="C14" s="52"/>
      <c r="D14" s="52"/>
      <c r="E14" s="52"/>
      <c r="F14" s="52"/>
      <c r="G14" s="52"/>
      <c r="H14" s="52"/>
      <c r="I14" s="52"/>
      <c r="J14" s="52"/>
      <c r="K14" s="52"/>
      <c r="L14" s="52"/>
      <c r="M14" s="52"/>
      <c r="N14" s="52"/>
      <c r="O14" s="52"/>
      <c r="P14" s="97"/>
    </row>
    <row r="15" spans="2:20">
      <c r="B15" s="96"/>
      <c r="C15" s="57" t="s">
        <v>187</v>
      </c>
      <c r="D15" s="58"/>
      <c r="E15" s="58"/>
      <c r="F15" s="58"/>
      <c r="G15" s="58"/>
      <c r="H15" s="58"/>
      <c r="I15" s="58"/>
      <c r="J15" s="58"/>
      <c r="K15" s="58"/>
      <c r="L15" s="58"/>
      <c r="M15" s="58"/>
      <c r="N15" s="58"/>
      <c r="O15" s="59"/>
      <c r="P15" s="97"/>
    </row>
    <row r="16" spans="2:20" ht="9" customHeight="1">
      <c r="B16" s="96"/>
      <c r="C16" s="52"/>
      <c r="D16" s="52"/>
      <c r="E16" s="52"/>
      <c r="F16" s="52"/>
      <c r="G16" s="52"/>
      <c r="H16" s="52"/>
      <c r="I16" s="52"/>
      <c r="J16" s="52"/>
      <c r="K16" s="52"/>
      <c r="L16" s="52"/>
      <c r="M16" s="52"/>
      <c r="N16" s="52"/>
      <c r="O16" s="52"/>
      <c r="P16" s="97"/>
    </row>
    <row r="17" spans="2:16">
      <c r="B17" s="96"/>
      <c r="C17" s="60" t="s">
        <v>188</v>
      </c>
      <c r="D17" s="61"/>
      <c r="E17" s="61"/>
      <c r="F17" s="61"/>
      <c r="G17" s="61"/>
      <c r="H17" s="62" t="s">
        <v>189</v>
      </c>
      <c r="I17" s="100" t="s">
        <v>190</v>
      </c>
      <c r="J17" s="100"/>
      <c r="K17" s="61" t="s">
        <v>152</v>
      </c>
      <c r="L17" s="61"/>
      <c r="M17" s="61"/>
      <c r="N17" s="61"/>
      <c r="O17" s="63"/>
      <c r="P17" s="97"/>
    </row>
    <row r="18" spans="2:16">
      <c r="B18" s="96"/>
      <c r="C18" s="68" t="s">
        <v>191</v>
      </c>
      <c r="D18" s="69"/>
      <c r="E18" s="69"/>
      <c r="F18" s="65"/>
      <c r="G18" s="69"/>
      <c r="H18" s="81">
        <v>5100</v>
      </c>
      <c r="I18" s="101" t="s">
        <v>192</v>
      </c>
      <c r="J18" s="101"/>
      <c r="K18" s="69"/>
      <c r="L18" s="69"/>
      <c r="M18" s="69"/>
      <c r="N18" s="69"/>
      <c r="O18" s="71"/>
      <c r="P18" s="97"/>
    </row>
    <row r="19" spans="2:16">
      <c r="B19" s="96"/>
      <c r="C19" s="68" t="s">
        <v>193</v>
      </c>
      <c r="D19" s="69"/>
      <c r="E19" s="69"/>
      <c r="F19" s="65"/>
      <c r="G19" s="69"/>
      <c r="H19" s="81">
        <v>4200</v>
      </c>
      <c r="I19" s="101" t="s">
        <v>192</v>
      </c>
      <c r="J19" s="101"/>
      <c r="K19" s="69" t="s">
        <v>194</v>
      </c>
      <c r="L19" s="69"/>
      <c r="M19" s="69"/>
      <c r="N19" s="69"/>
      <c r="O19" s="71"/>
      <c r="P19" s="97"/>
    </row>
    <row r="20" spans="2:16">
      <c r="B20" s="96"/>
      <c r="C20" s="68" t="s">
        <v>195</v>
      </c>
      <c r="D20" s="69"/>
      <c r="E20" s="69"/>
      <c r="F20" s="65"/>
      <c r="G20" s="69"/>
      <c r="H20" s="81">
        <v>22000</v>
      </c>
      <c r="I20" s="101" t="s">
        <v>192</v>
      </c>
      <c r="J20" s="101"/>
      <c r="K20" s="69" t="s">
        <v>196</v>
      </c>
      <c r="L20" s="69"/>
      <c r="M20" s="69"/>
      <c r="N20" s="69"/>
      <c r="O20" s="71"/>
      <c r="P20" s="97"/>
    </row>
    <row r="21" spans="2:16">
      <c r="B21" s="96"/>
      <c r="C21" s="68" t="s">
        <v>197</v>
      </c>
      <c r="D21" s="69"/>
      <c r="E21" s="69"/>
      <c r="F21" s="65"/>
      <c r="G21" s="69"/>
      <c r="H21" s="81">
        <v>4500</v>
      </c>
      <c r="I21" s="101" t="s">
        <v>192</v>
      </c>
      <c r="J21" s="101"/>
      <c r="K21" s="69"/>
      <c r="L21" s="69"/>
      <c r="M21" s="69"/>
      <c r="N21" s="69"/>
      <c r="O21" s="71"/>
      <c r="P21" s="97"/>
    </row>
    <row r="22" spans="2:16">
      <c r="B22" s="96"/>
      <c r="C22" s="68" t="s">
        <v>198</v>
      </c>
      <c r="D22" s="69"/>
      <c r="E22" s="69"/>
      <c r="F22" s="65"/>
      <c r="G22" s="69"/>
      <c r="H22" s="81">
        <v>179000</v>
      </c>
      <c r="I22" s="101" t="s">
        <v>192</v>
      </c>
      <c r="J22" s="101"/>
      <c r="K22" s="69" t="s">
        <v>199</v>
      </c>
      <c r="L22" s="69"/>
      <c r="M22" s="69"/>
      <c r="N22" s="69"/>
      <c r="O22" s="71"/>
      <c r="P22" s="97"/>
    </row>
    <row r="23" spans="2:16">
      <c r="B23" s="96"/>
      <c r="C23" s="68" t="s">
        <v>200</v>
      </c>
      <c r="D23" s="69"/>
      <c r="E23" s="69"/>
      <c r="F23" s="65"/>
      <c r="G23" s="69"/>
      <c r="H23" s="81">
        <v>24000</v>
      </c>
      <c r="I23" s="101" t="s">
        <v>192</v>
      </c>
      <c r="J23" s="101"/>
      <c r="K23" s="69" t="s">
        <v>201</v>
      </c>
      <c r="L23" s="69"/>
      <c r="M23" s="69"/>
      <c r="N23" s="69"/>
      <c r="O23" s="71"/>
      <c r="P23" s="97"/>
    </row>
    <row r="24" spans="2:16" ht="15" thickBot="1">
      <c r="B24" s="96"/>
      <c r="C24" s="68" t="s">
        <v>202</v>
      </c>
      <c r="D24" s="69"/>
      <c r="E24" s="69"/>
      <c r="F24" s="65"/>
      <c r="G24" s="69"/>
      <c r="H24" s="81">
        <v>22000</v>
      </c>
      <c r="I24" s="101" t="s">
        <v>192</v>
      </c>
      <c r="J24" s="101"/>
      <c r="K24" s="65" t="s">
        <v>203</v>
      </c>
      <c r="L24" s="69"/>
      <c r="M24" s="69"/>
      <c r="N24" s="69"/>
      <c r="O24" s="71"/>
      <c r="P24" s="97"/>
    </row>
    <row r="25" spans="2:16" ht="15" thickTop="1">
      <c r="B25" s="96"/>
      <c r="C25" s="72" t="s">
        <v>7</v>
      </c>
      <c r="D25" s="73"/>
      <c r="E25" s="73"/>
      <c r="F25" s="73"/>
      <c r="G25" s="73"/>
      <c r="H25" s="83">
        <f>SUM(H18:H24)</f>
        <v>260800</v>
      </c>
      <c r="I25" s="83"/>
      <c r="J25" s="73"/>
      <c r="K25" s="73"/>
      <c r="L25" s="73"/>
      <c r="M25" s="73"/>
      <c r="N25" s="73"/>
      <c r="O25" s="75"/>
      <c r="P25" s="97"/>
    </row>
    <row r="26" spans="2:16">
      <c r="B26" s="96"/>
      <c r="C26" s="52"/>
      <c r="D26" s="52"/>
      <c r="E26" s="52"/>
      <c r="F26" s="52"/>
      <c r="G26" s="52"/>
      <c r="H26" s="52"/>
      <c r="I26" s="52"/>
      <c r="J26" s="52"/>
      <c r="K26" s="52"/>
      <c r="L26" s="52"/>
      <c r="M26" s="52"/>
      <c r="N26" s="52"/>
      <c r="O26" s="52"/>
      <c r="P26" s="97"/>
    </row>
    <row r="27" spans="2:16">
      <c r="B27" s="96"/>
      <c r="C27" s="76" t="s">
        <v>204</v>
      </c>
      <c r="D27" s="77"/>
      <c r="E27" s="77"/>
      <c r="F27" s="77"/>
      <c r="G27" s="77"/>
      <c r="H27" s="78" t="s">
        <v>205</v>
      </c>
      <c r="I27" s="78"/>
      <c r="J27" s="77"/>
      <c r="K27" s="77" t="s">
        <v>152</v>
      </c>
      <c r="L27" s="77"/>
      <c r="M27" s="77"/>
      <c r="N27" s="77"/>
      <c r="O27" s="79"/>
      <c r="P27" s="97"/>
    </row>
    <row r="28" spans="2:16">
      <c r="B28" s="96"/>
      <c r="C28" s="68" t="s">
        <v>206</v>
      </c>
      <c r="D28" s="69"/>
      <c r="E28" s="69"/>
      <c r="F28" s="69"/>
      <c r="G28" s="69"/>
      <c r="H28" s="81">
        <v>0</v>
      </c>
      <c r="I28" s="81"/>
      <c r="J28" s="69"/>
      <c r="K28" s="69" t="s">
        <v>207</v>
      </c>
      <c r="L28" s="69"/>
      <c r="M28" s="69"/>
      <c r="N28" s="69"/>
      <c r="O28" s="71"/>
      <c r="P28" s="97"/>
    </row>
    <row r="29" spans="2:16">
      <c r="B29" s="96"/>
      <c r="C29" s="68" t="s">
        <v>208</v>
      </c>
      <c r="D29" s="69"/>
      <c r="E29" s="69"/>
      <c r="F29" s="69"/>
      <c r="G29" s="69"/>
      <c r="H29" s="81">
        <v>16000</v>
      </c>
      <c r="I29" s="81"/>
      <c r="J29" s="69"/>
      <c r="K29" s="69" t="s">
        <v>209</v>
      </c>
      <c r="L29" s="69"/>
      <c r="M29" s="69"/>
      <c r="N29" s="69"/>
      <c r="O29" s="71"/>
      <c r="P29" s="97"/>
    </row>
    <row r="30" spans="2:16">
      <c r="B30" s="96"/>
      <c r="C30" s="68" t="s">
        <v>210</v>
      </c>
      <c r="D30" s="69"/>
      <c r="E30" s="69"/>
      <c r="F30" s="69"/>
      <c r="G30" s="69"/>
      <c r="H30" s="81">
        <v>122000</v>
      </c>
      <c r="I30" s="81"/>
      <c r="J30" s="69"/>
      <c r="K30" s="69" t="s">
        <v>199</v>
      </c>
      <c r="L30" s="69"/>
      <c r="M30" s="69"/>
      <c r="N30" s="69"/>
      <c r="O30" s="71"/>
      <c r="P30" s="97"/>
    </row>
    <row r="31" spans="2:16">
      <c r="B31" s="96"/>
      <c r="C31" s="68" t="s">
        <v>211</v>
      </c>
      <c r="D31" s="69"/>
      <c r="E31" s="69"/>
      <c r="F31" s="69"/>
      <c r="G31" s="69"/>
      <c r="H31" s="81">
        <v>0</v>
      </c>
      <c r="I31" s="81"/>
      <c r="J31" s="69"/>
      <c r="K31" s="69" t="s">
        <v>207</v>
      </c>
      <c r="L31" s="69"/>
      <c r="M31" s="69"/>
      <c r="N31" s="69"/>
      <c r="O31" s="71"/>
      <c r="P31" s="97"/>
    </row>
    <row r="32" spans="2:16" ht="15" thickBot="1">
      <c r="B32" s="96"/>
      <c r="C32" s="68" t="s">
        <v>212</v>
      </c>
      <c r="D32" s="69"/>
      <c r="E32" s="69"/>
      <c r="F32" s="69"/>
      <c r="G32" s="69"/>
      <c r="H32" s="81">
        <v>0</v>
      </c>
      <c r="I32" s="81"/>
      <c r="J32" s="69"/>
      <c r="K32" s="69" t="s">
        <v>207</v>
      </c>
      <c r="L32" s="69"/>
      <c r="M32" s="69"/>
      <c r="N32" s="69"/>
      <c r="O32" s="71"/>
      <c r="P32" s="97"/>
    </row>
    <row r="33" spans="2:16" ht="15" thickTop="1">
      <c r="B33" s="96"/>
      <c r="C33" s="72" t="s">
        <v>7</v>
      </c>
      <c r="D33" s="73"/>
      <c r="E33" s="73"/>
      <c r="F33" s="73"/>
      <c r="G33" s="73"/>
      <c r="H33" s="83">
        <f>SUM(H28:H32)</f>
        <v>138000</v>
      </c>
      <c r="I33" s="83"/>
      <c r="J33" s="73"/>
      <c r="K33" s="73"/>
      <c r="L33" s="73"/>
      <c r="M33" s="73"/>
      <c r="N33" s="73"/>
      <c r="O33" s="75"/>
      <c r="P33" s="97"/>
    </row>
    <row r="34" spans="2:16">
      <c r="B34" s="96"/>
      <c r="C34" s="52"/>
      <c r="D34" s="52"/>
      <c r="E34" s="52"/>
      <c r="F34" s="52"/>
      <c r="G34" s="52"/>
      <c r="H34" s="52"/>
      <c r="I34" s="52"/>
      <c r="J34" s="52"/>
      <c r="K34" s="52"/>
      <c r="L34" s="52"/>
      <c r="M34" s="52"/>
      <c r="N34" s="52"/>
      <c r="O34" s="52"/>
      <c r="P34" s="97"/>
    </row>
    <row r="35" spans="2:16">
      <c r="B35" s="96"/>
      <c r="C35" s="60" t="s">
        <v>186</v>
      </c>
      <c r="D35" s="61"/>
      <c r="E35" s="61"/>
      <c r="F35" s="61"/>
      <c r="G35" s="61"/>
      <c r="H35" s="62" t="s">
        <v>189</v>
      </c>
      <c r="I35" s="62"/>
      <c r="J35" s="61"/>
      <c r="K35" s="61" t="s">
        <v>152</v>
      </c>
      <c r="L35" s="61"/>
      <c r="M35" s="61"/>
      <c r="N35" s="61"/>
      <c r="O35" s="63"/>
      <c r="P35" s="97"/>
    </row>
    <row r="36" spans="2:16">
      <c r="B36" s="96"/>
      <c r="C36" s="68" t="s">
        <v>188</v>
      </c>
      <c r="D36" s="69"/>
      <c r="E36" s="69"/>
      <c r="F36" s="69"/>
      <c r="G36" s="69"/>
      <c r="H36" s="81">
        <f>H25</f>
        <v>260800</v>
      </c>
      <c r="I36" s="81"/>
      <c r="J36" s="69"/>
      <c r="K36" s="69"/>
      <c r="L36" s="69"/>
      <c r="M36" s="69"/>
      <c r="N36" s="69"/>
      <c r="O36" s="71"/>
      <c r="P36" s="97"/>
    </row>
    <row r="37" spans="2:16" ht="15" thickBot="1">
      <c r="B37" s="96"/>
      <c r="C37" s="68" t="s">
        <v>204</v>
      </c>
      <c r="D37" s="69"/>
      <c r="E37" s="69"/>
      <c r="F37" s="69"/>
      <c r="G37" s="69"/>
      <c r="H37" s="81">
        <f>-H33</f>
        <v>-138000</v>
      </c>
      <c r="I37" s="81"/>
      <c r="J37" s="69"/>
      <c r="K37" s="69"/>
      <c r="L37" s="69"/>
      <c r="M37" s="69"/>
      <c r="N37" s="69"/>
      <c r="O37" s="71"/>
      <c r="P37" s="97"/>
    </row>
    <row r="38" spans="2:16" ht="15" thickTop="1">
      <c r="B38" s="96"/>
      <c r="C38" s="72" t="s">
        <v>184</v>
      </c>
      <c r="D38" s="73"/>
      <c r="E38" s="73"/>
      <c r="F38" s="73"/>
      <c r="G38" s="73"/>
      <c r="H38" s="83">
        <f>SUM(H36:H37)</f>
        <v>122800</v>
      </c>
      <c r="I38" s="83"/>
      <c r="J38" s="73"/>
      <c r="K38" s="102" t="s">
        <v>52</v>
      </c>
      <c r="L38" s="73"/>
      <c r="M38" s="73"/>
      <c r="N38" s="73"/>
      <c r="O38" s="75"/>
      <c r="P38" s="97"/>
    </row>
    <row r="39" spans="2:16">
      <c r="B39" s="103"/>
      <c r="C39" s="104"/>
      <c r="D39" s="104"/>
      <c r="E39" s="104"/>
      <c r="F39" s="104"/>
      <c r="G39" s="104"/>
      <c r="H39" s="105"/>
      <c r="I39" s="105"/>
      <c r="J39" s="104"/>
      <c r="K39" s="104"/>
      <c r="L39" s="104"/>
      <c r="M39" s="104"/>
      <c r="N39" s="104"/>
      <c r="O39" s="104"/>
      <c r="P39" s="106"/>
    </row>
    <row r="41" spans="2:16" ht="18">
      <c r="B41" s="107" t="s">
        <v>269</v>
      </c>
      <c r="P41" s="92"/>
    </row>
  </sheetData>
  <sheetProtection algorithmName="SHA-512" hashValue="2HC4FQ9jbu3xmxrmsJo5JWQy0Uns7jvDMu3Lx5QuMC0vHHxSsxYX+Si9of2oWHZlJBbAfjNn+CDEt7MJrq02tQ==" saltValue="gqSp0unqXB2Mze49cJqjaw=="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1800-000000000000}"/>
    <hyperlink ref="B41" location="Deckblatt!A1" display="Keine Gewähr für die Richtigkeit der Angaben. Dieses Tool ersetzt keine fundierte Rechts-, Steuer- oder Finanzberatung. Mehr Details hier." xr:uid="{00000000-0004-0000-18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F24"/>
  <sheetViews>
    <sheetView showGridLines="0" workbookViewId="0">
      <selection activeCell="Q31" sqref="Q31"/>
    </sheetView>
  </sheetViews>
  <sheetFormatPr defaultColWidth="9.1796875" defaultRowHeight="14.5"/>
  <cols>
    <col min="2" max="2" width="30.453125" customWidth="1"/>
    <col min="3" max="3" width="17" customWidth="1"/>
    <col min="4" max="4" width="10.54296875" bestFit="1" customWidth="1"/>
    <col min="5" max="5" width="30.54296875" customWidth="1"/>
    <col min="6" max="6" width="10.26953125" customWidth="1"/>
    <col min="8" max="8" width="11.7265625" bestFit="1" customWidth="1"/>
    <col min="9" max="25" width="9" customWidth="1"/>
  </cols>
  <sheetData>
    <row r="2" spans="2:6" ht="16">
      <c r="B2" s="311" t="s">
        <v>395</v>
      </c>
    </row>
    <row r="3" spans="2:6" ht="33" customHeight="1" thickBot="1"/>
    <row r="4" spans="2:6" ht="15" thickBot="1">
      <c r="B4" s="456" t="s">
        <v>279</v>
      </c>
      <c r="C4" s="458"/>
      <c r="E4" s="456" t="s">
        <v>280</v>
      </c>
      <c r="F4" s="458"/>
    </row>
    <row r="5" spans="2:6">
      <c r="B5" s="128" t="s">
        <v>102</v>
      </c>
      <c r="C5" s="362">
        <f ca="1">IFERROR(HLOOKUP(0,'Kennzahlen im Verlauf'!75:77,3,FALSE),"-")</f>
        <v>2023</v>
      </c>
      <c r="E5" s="114" t="s">
        <v>99</v>
      </c>
      <c r="F5" s="280">
        <f ca="1">calc_rf!C5+1</f>
        <v>2024</v>
      </c>
    </row>
    <row r="6" spans="2:6" ht="15" thickBot="1">
      <c r="B6" s="141" t="s">
        <v>101</v>
      </c>
      <c r="C6" s="373">
        <f ca="1">C5-'Kennzahlen im Verlauf'!D28</f>
        <v>0</v>
      </c>
      <c r="E6" s="116" t="s">
        <v>101</v>
      </c>
      <c r="F6" s="158">
        <f ca="1">F5-'Kennzahlen im Verlauf'!D28</f>
        <v>1</v>
      </c>
    </row>
    <row r="7" spans="2:6" ht="15" thickBot="1">
      <c r="B7" s="374" t="s">
        <v>399</v>
      </c>
      <c r="C7" s="373" t="str">
        <f ca="1">IFERROR(IF(C6=0,"sofort",IF(C6=1,"in einem Jahr",CONCATENATE("in ",C6," Jahren"))),"in &gt;99 Jahren")</f>
        <v>sofort</v>
      </c>
      <c r="E7" s="5"/>
      <c r="F7" s="5"/>
    </row>
    <row r="8" spans="2:6" ht="15" thickBot="1">
      <c r="B8" s="142" t="s">
        <v>28</v>
      </c>
      <c r="C8" s="363">
        <f>Cockpit!N10</f>
        <v>0</v>
      </c>
      <c r="E8" s="456" t="s">
        <v>93</v>
      </c>
      <c r="F8" s="458"/>
    </row>
    <row r="9" spans="2:6">
      <c r="B9" s="296" t="str">
        <f>CONCATENATE("Gleiche Rate in ",IF(C9=1,"1 Jahr:",CONCATENATE(C9," Jahren:")))</f>
        <v>Gleiche Rate in 1 Jahr:</v>
      </c>
      <c r="C9" s="297">
        <f>MAX('8'!E10,1)</f>
        <v>1</v>
      </c>
      <c r="E9" s="114" t="s">
        <v>13</v>
      </c>
      <c r="F9" s="153">
        <f ca="1">OFFSET('Kennzahlen im Verlauf'!D10,,F6)</f>
        <v>0</v>
      </c>
    </row>
    <row r="10" spans="2:6">
      <c r="B10" s="296" t="str">
        <f>CONCATENATE("Restschulden in ",C9," Jahren")</f>
        <v>Restschulden in 1 Jahren</v>
      </c>
      <c r="C10" s="363">
        <f ca="1">OFFSET('Kennzahlen im Verlauf'!D63,,C9)</f>
        <v>0</v>
      </c>
      <c r="E10" s="130" t="s">
        <v>31</v>
      </c>
      <c r="F10" s="150">
        <f ca="1">-(Cockpit!K12-Cockpit!K27)*(1+Cockpit!H25)^F6-Cockpit!H20*F9</f>
        <v>0</v>
      </c>
    </row>
    <row r="11" spans="2:6">
      <c r="B11" s="142" t="str">
        <f>CONCATENATE("Zins gleiche Rate ",C9," Jahre")</f>
        <v>Zins gleiche Rate 1 Jahre</v>
      </c>
      <c r="C11" s="364" t="str">
        <f ca="1">IFERROR((OFFSET('Kennzahlen im Verlauf'!D74,,C9)-'Kennzahlen im Verlauf'!D71)/C10,"-")</f>
        <v>-</v>
      </c>
      <c r="E11" s="130" t="s">
        <v>33</v>
      </c>
      <c r="F11" s="150">
        <f ca="1">-OFFSET('Kennzahlen im Verlauf'!D67,,F6)/12</f>
        <v>0</v>
      </c>
    </row>
    <row r="12" spans="2:6">
      <c r="B12" s="142" t="s">
        <v>314</v>
      </c>
      <c r="C12" s="365">
        <f ca="1">0.01*C10/12</f>
        <v>0</v>
      </c>
      <c r="E12" s="130" t="s">
        <v>34</v>
      </c>
      <c r="F12" s="150">
        <f ca="1">-OFFSET('Kennzahlen im Verlauf'!D71,,F6)/12</f>
        <v>0</v>
      </c>
    </row>
    <row r="13" spans="2:6">
      <c r="B13" s="142"/>
      <c r="C13" s="365"/>
      <c r="E13" s="130" t="s">
        <v>32</v>
      </c>
      <c r="F13" s="150">
        <f ca="1">SUM(F9:F12)</f>
        <v>0</v>
      </c>
    </row>
    <row r="14" spans="2:6">
      <c r="B14" s="300" t="s">
        <v>320</v>
      </c>
      <c r="C14" s="366">
        <f>IF('10'!H8="Besonders wenig",0.5,IF('10'!H8="Besonders viel",3,1.5))</f>
        <v>1.5</v>
      </c>
      <c r="E14" s="130" t="s">
        <v>40</v>
      </c>
      <c r="F14" s="150">
        <f ca="1">-F24</f>
        <v>0</v>
      </c>
    </row>
    <row r="15" spans="2:6" ht="15" thickBot="1">
      <c r="B15" s="142" t="s">
        <v>336</v>
      </c>
      <c r="C15" s="367">
        <f>Cockpit!C11*C14</f>
        <v>0</v>
      </c>
      <c r="E15" s="133" t="s">
        <v>42</v>
      </c>
      <c r="F15" s="144">
        <f ca="1">F13+F14</f>
        <v>0</v>
      </c>
    </row>
    <row r="16" spans="2:6" ht="15" thickBot="1">
      <c r="B16" s="142" t="s">
        <v>332</v>
      </c>
      <c r="C16" s="365" t="e">
        <f>VLOOKUP(Cockpit!D15,cnfg_rf!B18:C25,2,TRUE)</f>
        <v>#N/A</v>
      </c>
      <c r="E16" s="5"/>
      <c r="F16" s="5"/>
    </row>
    <row r="17" spans="2:6" ht="15" thickBot="1">
      <c r="B17" s="296" t="s">
        <v>333</v>
      </c>
      <c r="C17" s="368" t="e">
        <f>C16*C15</f>
        <v>#N/A</v>
      </c>
      <c r="E17" s="456" t="s">
        <v>39</v>
      </c>
      <c r="F17" s="458"/>
    </row>
    <row r="18" spans="2:6">
      <c r="B18" s="296" t="s">
        <v>334</v>
      </c>
      <c r="C18" s="368">
        <f>IFERROR(VLOOKUP('11'!E8,cnfg_rf!B6:C14,2,FALSE),0)</f>
        <v>0</v>
      </c>
      <c r="E18" s="114" t="s">
        <v>13</v>
      </c>
      <c r="F18" s="153">
        <f ca="1">F9</f>
        <v>0</v>
      </c>
    </row>
    <row r="19" spans="2:6">
      <c r="B19" s="296" t="s">
        <v>352</v>
      </c>
      <c r="C19" s="368">
        <f>IF('11'!E10="Ja",8*calc_rf!C18,0)</f>
        <v>0</v>
      </c>
      <c r="E19" s="130" t="s">
        <v>244</v>
      </c>
      <c r="F19" s="150">
        <f ca="1">-(Cockpit!K12-Cockpit!K26-Cockpit!K27)*(1+Cockpit!H25)^F6</f>
        <v>0</v>
      </c>
    </row>
    <row r="20" spans="2:6">
      <c r="B20" s="296" t="s">
        <v>335</v>
      </c>
      <c r="C20" s="368">
        <f>C18*Cockpit!C11+C19</f>
        <v>0</v>
      </c>
      <c r="E20" s="130" t="s">
        <v>33</v>
      </c>
      <c r="F20" s="150">
        <f ca="1">F11</f>
        <v>0</v>
      </c>
    </row>
    <row r="21" spans="2:6" ht="15" thickBot="1">
      <c r="B21" s="143" t="s">
        <v>319</v>
      </c>
      <c r="C21" s="369">
        <f>IFERROR(C20/(C17+C20),0)</f>
        <v>0</v>
      </c>
      <c r="E21" s="130" t="s">
        <v>229</v>
      </c>
      <c r="F21" s="150">
        <f ca="1">-OFFSET('Kennzahlen im Verlauf'!D24,,F6)</f>
        <v>0</v>
      </c>
    </row>
    <row r="22" spans="2:6">
      <c r="B22" s="5"/>
      <c r="C22" s="5"/>
      <c r="E22" s="130" t="s">
        <v>38</v>
      </c>
      <c r="F22" s="150">
        <f ca="1">SUM(F18:F21)</f>
        <v>0</v>
      </c>
    </row>
    <row r="23" spans="2:6">
      <c r="E23" s="115" t="s">
        <v>230</v>
      </c>
      <c r="F23" s="137">
        <v>0.25</v>
      </c>
    </row>
    <row r="24" spans="2:6" ht="15" thickBot="1">
      <c r="E24" s="133" t="s">
        <v>41</v>
      </c>
      <c r="F24" s="144">
        <f ca="1">F23*F22</f>
        <v>0</v>
      </c>
    </row>
  </sheetData>
  <sheetProtection algorithmName="SHA-512" hashValue="0UZcPIUED2pzXnrkIVMTtett74apjYNhOaiGCHLQx5f7rcNQr/wTWf/V0pB/M4j2LIu47qyTwvIftp9fSaKmzg==" saltValue="17AkX4dqRVH9EXwh2lrUVw==" spinCount="100000" sheet="1" objects="1" scenarios="1"/>
  <mergeCells count="4">
    <mergeCell ref="E17:F17"/>
    <mergeCell ref="B4:C4"/>
    <mergeCell ref="E4:F4"/>
    <mergeCell ref="E8:F8"/>
  </mergeCells>
  <dataValidations count="18">
    <dataValidation allowBlank="1" showInputMessage="1" showErrorMessage="1" promptTitle="entspricht Jahre nach dem Kauf" prompt="Das ausgewählte Jahr entspricht dieser Anzahl von Jahren ab dem Kaufdatum." sqref="F6" xr:uid="{00000000-0002-0000-1A00-000000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E4:F4 B4:C4" xr:uid="{00000000-0002-0000-1A00-000001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F15" xr:uid="{00000000-0002-0000-1A00-000002000000}"/>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F24" xr:uid="{00000000-0002-0000-1A00-000003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48%. Bitte inkl. Solidaritätszuschlag und Kirchensteuer eingeben." sqref="F23" xr:uid="{00000000-0002-0000-1A00-000004000000}">
      <formula1>0</formula1>
      <formula2>1</formula2>
    </dataValidation>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F22" xr:uid="{00000000-0002-0000-1A00-000005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F21" xr:uid="{00000000-0002-0000-1A00-000006000000}"/>
    <dataValidation allowBlank="1" showInputMessage="1" showErrorMessage="1" promptTitle="Zinsen" prompt="Zinsen mindern bei vermieteten Immobilien die Besteuerungsbasis." sqref="F20" xr:uid="{00000000-0002-0000-1A00-000007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F19" xr:uid="{00000000-0002-0000-1A00-000008000000}"/>
    <dataValidation allowBlank="1" showInputMessage="1" showErrorMessage="1" promptTitle="Warmmiete" prompt="Die Berechnung der Steuer beginnt mit der Warmmiete." sqref="F18" xr:uid="{00000000-0002-0000-1A00-000009000000}"/>
    <dataValidation allowBlank="1" showInputMessage="1" showErrorMessage="1" promptTitle="Nebenrechnung Steuer" prompt="Hier wird durch eine Nebenrechnung die rechnerische monatliche Steuerbelastung ermittelt, um daraus den Cashflow nach Steuern ableiten zu können." sqref="E17:F17" xr:uid="{00000000-0002-0000-1A00-00000A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F14" xr:uid="{00000000-0002-0000-1A00-00000B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F13" xr:uid="{00000000-0002-0000-1A00-00000C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F12" xr:uid="{00000000-0002-0000-1A00-00000D000000}"/>
    <dataValidation allowBlank="1" showInputMessage="1" showErrorMessage="1" promptTitle="Zinsen" prompt="Die Zinsen bezahlst du aus deiner Miete. Sie mindern somit deinen Cashflow." sqref="F11" xr:uid="{00000000-0002-0000-1A00-00000E000000}"/>
    <dataValidation allowBlank="1" showInputMessage="1" showErrorMessage="1" promptTitle="Bewirtschaftungskosten" prompt="Die Bewirtschaftungskosten bezahlst du aus der Warmmiete und sie mindern somit deinen Cashflow." sqref="F10" xr:uid="{00000000-0002-0000-1A00-00000F000000}"/>
    <dataValidation allowBlank="1" showInputMessage="1" showErrorMessage="1" promptTitle="Warmmiete" prompt="Die Cashflow Berechnung beginnt mit der Warmmiete." sqref="F9" xr:uid="{00000000-0002-0000-1A00-000010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E8:F8" xr:uid="{00000000-0002-0000-1A00-000011000000}"/>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lorScale" priority="1" id="{AC2D81CB-5A2E-402F-8185-4131212B762C}">
            <x14:colorScale>
              <x14:cfvo type="num">
                <xm:f>Konfiguration!$E$11</xm:f>
              </x14:cfvo>
              <x14:cfvo type="num">
                <xm:f>Konfiguration!$D$11</xm:f>
              </x14:cfvo>
              <x14:cfvo type="num">
                <xm:f>Konfiguration!$C$11</xm:f>
              </x14:cfvo>
              <x14:color rgb="FFF8696B"/>
              <x14:color rgb="FFFFEB84"/>
              <x14:color rgb="FF63BE7B"/>
            </x14:colorScale>
          </x14:cfRule>
          <xm:sqref>F13</xm:sqref>
        </x14:conditionalFormatting>
        <x14:conditionalFormatting xmlns:xm="http://schemas.microsoft.com/office/excel/2006/main">
          <x14:cfRule type="colorScale" priority="2" id="{AC54BC7C-8A7D-4CFB-BEA9-74C3D4AA647A}">
            <x14:colorScale>
              <x14:cfvo type="num">
                <xm:f>Konfiguration!$E$12</xm:f>
              </x14:cfvo>
              <x14:cfvo type="num">
                <xm:f>Konfiguration!$D$12</xm:f>
              </x14:cfvo>
              <x14:cfvo type="num">
                <xm:f>Konfiguration!$C$12</xm:f>
              </x14:cfvo>
              <x14:color rgb="FFF8696B"/>
              <x14:color rgb="FFFFEB84"/>
              <x14:color rgb="FF63BE7B"/>
            </x14:colorScale>
          </x14:cfRule>
          <xm:sqref>F15</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AC47"/>
  <sheetViews>
    <sheetView showGridLines="0" workbookViewId="0">
      <selection activeCell="F29" sqref="F29"/>
    </sheetView>
  </sheetViews>
  <sheetFormatPr defaultColWidth="9.1796875" defaultRowHeight="14.5"/>
  <cols>
    <col min="2" max="3" width="17" customWidth="1"/>
    <col min="4" max="4" width="10.54296875" bestFit="1" customWidth="1"/>
    <col min="5" max="5" width="22.26953125" bestFit="1" customWidth="1"/>
    <col min="8" max="8" width="11.7265625" bestFit="1" customWidth="1"/>
    <col min="9" max="9" width="11.7265625" customWidth="1"/>
    <col min="10" max="26" width="9" customWidth="1"/>
    <col min="27" max="27" width="1.7265625" customWidth="1"/>
    <col min="28" max="28" width="37.1796875" customWidth="1"/>
  </cols>
  <sheetData>
    <row r="2" spans="2:26" ht="16">
      <c r="B2" s="311" t="s">
        <v>323</v>
      </c>
    </row>
    <row r="3" spans="2:26" ht="33" customHeight="1" thickBot="1"/>
    <row r="4" spans="2:26">
      <c r="B4" s="506" t="s">
        <v>339</v>
      </c>
      <c r="C4" s="507"/>
      <c r="E4" s="518" t="s">
        <v>355</v>
      </c>
      <c r="F4" s="519"/>
      <c r="G4" s="519"/>
      <c r="H4" s="519"/>
      <c r="I4" s="519"/>
      <c r="J4" s="519"/>
      <c r="K4" s="519"/>
      <c r="L4" s="519"/>
      <c r="M4" s="519"/>
      <c r="N4" s="519"/>
      <c r="O4" s="519"/>
      <c r="P4" s="519"/>
      <c r="Q4" s="519"/>
      <c r="R4" s="519"/>
      <c r="S4" s="519"/>
      <c r="T4" s="519"/>
      <c r="U4" s="519"/>
      <c r="V4" s="519"/>
      <c r="W4" s="519"/>
      <c r="X4" s="519"/>
      <c r="Y4" s="519"/>
      <c r="Z4" s="519"/>
    </row>
    <row r="5" spans="2:26">
      <c r="B5" s="303" t="s">
        <v>338</v>
      </c>
      <c r="C5" s="304" t="s">
        <v>340</v>
      </c>
      <c r="E5" s="15" t="s">
        <v>73</v>
      </c>
      <c r="F5" s="324" t="s">
        <v>360</v>
      </c>
      <c r="G5" s="512" t="s">
        <v>374</v>
      </c>
      <c r="H5" s="404" t="s">
        <v>371</v>
      </c>
      <c r="I5" s="325" t="s">
        <v>11</v>
      </c>
      <c r="J5" s="325" t="s">
        <v>258</v>
      </c>
      <c r="K5" s="325" t="s">
        <v>1</v>
      </c>
      <c r="L5" s="325" t="s">
        <v>317</v>
      </c>
      <c r="M5" s="325" t="s">
        <v>299</v>
      </c>
      <c r="N5" s="325" t="s">
        <v>361</v>
      </c>
      <c r="O5" s="325" t="s">
        <v>44</v>
      </c>
      <c r="P5" s="325" t="s">
        <v>45</v>
      </c>
      <c r="Q5" s="325" t="s">
        <v>131</v>
      </c>
      <c r="R5" s="325" t="s">
        <v>362</v>
      </c>
      <c r="S5" s="325" t="s">
        <v>363</v>
      </c>
      <c r="T5" s="325" t="s">
        <v>364</v>
      </c>
      <c r="U5" s="325" t="s">
        <v>365</v>
      </c>
      <c r="V5" s="325" t="s">
        <v>366</v>
      </c>
      <c r="W5" s="325" t="s">
        <v>367</v>
      </c>
      <c r="X5" s="325" t="s">
        <v>345</v>
      </c>
      <c r="Y5" s="325" t="s">
        <v>372</v>
      </c>
      <c r="Z5" s="325" t="s">
        <v>373</v>
      </c>
    </row>
    <row r="6" spans="2:26">
      <c r="B6" s="305" t="s">
        <v>325</v>
      </c>
      <c r="C6" s="307">
        <v>462</v>
      </c>
      <c r="E6" s="15"/>
      <c r="F6" s="324"/>
      <c r="G6" s="513"/>
      <c r="H6" s="324" t="s">
        <v>368</v>
      </c>
      <c r="I6" s="325">
        <f>IF('0'!E12&lt;&gt;"",1,0)</f>
        <v>0</v>
      </c>
      <c r="J6" s="325">
        <f ca="1">IF('0'!E14&lt;&gt;"",1,0)</f>
        <v>1</v>
      </c>
      <c r="K6" s="325">
        <f>IF('1'!E8&lt;&gt;"",1,0)</f>
        <v>0</v>
      </c>
      <c r="L6" s="325">
        <f>IF('1'!E10&lt;&gt;"",1,0)</f>
        <v>0</v>
      </c>
      <c r="M6" s="325">
        <f>IF('2'!D8&lt;&gt;Konfiguration!B15,1,0)</f>
        <v>0</v>
      </c>
      <c r="N6" s="325">
        <f>IF('4'!E8&lt;&gt;"",1,0)</f>
        <v>0</v>
      </c>
      <c r="O6" s="325">
        <f>IF('4'!E12&lt;&gt;"",1,0)</f>
        <v>0</v>
      </c>
      <c r="P6" s="325">
        <f>IF('4'!E14&lt;&gt;"",1,0)</f>
        <v>0</v>
      </c>
      <c r="Q6" s="325">
        <f>IF('6'!E8&lt;&gt;"",1,0)</f>
        <v>0</v>
      </c>
      <c r="R6" s="325">
        <f>IF('6'!E11&lt;&gt;"",1,0)</f>
        <v>0</v>
      </c>
      <c r="S6" s="325">
        <f>IF('6'!E13&lt;&gt;"",1,0)</f>
        <v>0</v>
      </c>
      <c r="T6" s="325">
        <f>IF('8'!E10&lt;&gt;"",1,0)</f>
        <v>0</v>
      </c>
      <c r="U6" s="325">
        <f>IF('10'!H8&lt;&gt;"",1,0)</f>
        <v>0</v>
      </c>
      <c r="V6" s="325">
        <f>IF('11'!E8&lt;&gt;"",1,0)</f>
        <v>0</v>
      </c>
      <c r="W6" s="325">
        <f>IF('11'!E10&lt;&gt;"",1,0)</f>
        <v>0</v>
      </c>
      <c r="X6" s="325">
        <f>IF('12'!D8&lt;&gt;"",1,0)</f>
        <v>0</v>
      </c>
      <c r="Y6" s="325">
        <f>IF('12'!E10&lt;&gt;"",1,0)</f>
        <v>0</v>
      </c>
      <c r="Z6" s="325">
        <f>IF('12'!E12&lt;&gt;"",1,0)</f>
        <v>0</v>
      </c>
    </row>
    <row r="7" spans="2:26">
      <c r="B7" s="305" t="s">
        <v>324</v>
      </c>
      <c r="C7" s="307">
        <v>462</v>
      </c>
      <c r="E7" s="15" t="s">
        <v>28</v>
      </c>
      <c r="F7" s="324">
        <f>Cockpit!N10</f>
        <v>0</v>
      </c>
      <c r="G7" s="324" t="str">
        <f t="shared" ref="G7:G12" ca="1" si="0">IF(H7="x",F7,"-")</f>
        <v>-</v>
      </c>
      <c r="H7" s="325" t="str">
        <f t="shared" ref="H7:H12" ca="1" si="1">IF(SUMPRODUCT($I$6:$Z$6,I7:Z7)=SUM(I7:Z7),"x","")</f>
        <v/>
      </c>
      <c r="I7" s="325"/>
      <c r="J7" s="325"/>
      <c r="K7" s="325">
        <v>1</v>
      </c>
      <c r="L7" s="325"/>
      <c r="M7" s="325"/>
      <c r="N7" s="325">
        <v>1</v>
      </c>
      <c r="O7" s="325"/>
      <c r="P7" s="325"/>
      <c r="Q7" s="325"/>
      <c r="R7" s="325"/>
      <c r="S7" s="325"/>
      <c r="T7" s="325"/>
      <c r="U7" s="325"/>
      <c r="V7" s="325"/>
      <c r="W7" s="325"/>
      <c r="X7" s="325"/>
      <c r="Y7" s="325"/>
      <c r="Z7" s="325"/>
    </row>
    <row r="8" spans="2:26">
      <c r="B8" s="305" t="s">
        <v>326</v>
      </c>
      <c r="C8" s="307">
        <v>462</v>
      </c>
      <c r="E8" s="15" t="s">
        <v>357</v>
      </c>
      <c r="F8" s="325" t="str">
        <f ca="1">calc_rf!C7</f>
        <v>sofort</v>
      </c>
      <c r="G8" s="325" t="str">
        <f t="shared" ca="1" si="0"/>
        <v>-</v>
      </c>
      <c r="H8" s="325" t="str">
        <f t="shared" ca="1" si="1"/>
        <v/>
      </c>
      <c r="I8" s="325"/>
      <c r="J8" s="325">
        <v>1</v>
      </c>
      <c r="K8" s="325">
        <v>1</v>
      </c>
      <c r="L8" s="325"/>
      <c r="M8" s="325"/>
      <c r="N8" s="325">
        <v>1</v>
      </c>
      <c r="O8" s="325">
        <v>1</v>
      </c>
      <c r="P8" s="325">
        <v>1</v>
      </c>
      <c r="Q8" s="325"/>
      <c r="R8" s="325"/>
      <c r="S8" s="325"/>
      <c r="T8" s="325"/>
      <c r="U8" s="325"/>
      <c r="V8" s="325"/>
      <c r="W8" s="325"/>
      <c r="X8" s="325"/>
      <c r="Y8" s="325"/>
      <c r="Z8" s="325"/>
    </row>
    <row r="9" spans="2:26">
      <c r="B9" s="305" t="s">
        <v>321</v>
      </c>
      <c r="C9" s="307">
        <v>538</v>
      </c>
      <c r="E9" s="15" t="s">
        <v>358</v>
      </c>
      <c r="F9" s="324">
        <f>Cockpit!Q23</f>
        <v>0</v>
      </c>
      <c r="G9" s="324" t="str">
        <f t="shared" ca="1" si="0"/>
        <v>-</v>
      </c>
      <c r="H9" s="325" t="str">
        <f t="shared" ca="1" si="1"/>
        <v/>
      </c>
      <c r="I9" s="325">
        <v>1</v>
      </c>
      <c r="J9" s="325">
        <v>1</v>
      </c>
      <c r="K9" s="325">
        <v>1</v>
      </c>
      <c r="L9" s="325">
        <v>1</v>
      </c>
      <c r="M9" s="325">
        <v>1</v>
      </c>
      <c r="N9" s="325">
        <v>1</v>
      </c>
      <c r="O9" s="325">
        <v>1</v>
      </c>
      <c r="P9" s="325">
        <v>1</v>
      </c>
      <c r="Q9" s="325">
        <v>1</v>
      </c>
      <c r="R9" s="325">
        <v>1</v>
      </c>
      <c r="S9" s="325">
        <v>1</v>
      </c>
      <c r="T9" s="325"/>
      <c r="U9" s="325"/>
      <c r="V9" s="325"/>
      <c r="W9" s="325"/>
      <c r="X9" s="325"/>
      <c r="Y9" s="325"/>
      <c r="Z9" s="325"/>
    </row>
    <row r="10" spans="2:26">
      <c r="B10" s="305" t="s">
        <v>331</v>
      </c>
      <c r="C10" s="307">
        <v>730</v>
      </c>
      <c r="E10" s="15" t="s">
        <v>369</v>
      </c>
      <c r="F10" s="324">
        <f>Cockpit!Q25</f>
        <v>0</v>
      </c>
      <c r="G10" s="324" t="str">
        <f t="shared" ca="1" si="0"/>
        <v>-</v>
      </c>
      <c r="H10" s="325" t="str">
        <f t="shared" ca="1" si="1"/>
        <v/>
      </c>
      <c r="I10" s="325">
        <v>1</v>
      </c>
      <c r="J10" s="325">
        <v>1</v>
      </c>
      <c r="K10" s="325">
        <v>1</v>
      </c>
      <c r="L10" s="325">
        <v>1</v>
      </c>
      <c r="M10" s="325">
        <v>1</v>
      </c>
      <c r="N10" s="325">
        <v>1</v>
      </c>
      <c r="O10" s="325">
        <v>1</v>
      </c>
      <c r="P10" s="325">
        <v>1</v>
      </c>
      <c r="Q10" s="325">
        <v>1</v>
      </c>
      <c r="R10" s="325">
        <v>1</v>
      </c>
      <c r="S10" s="325">
        <v>1</v>
      </c>
      <c r="T10" s="325">
        <v>1</v>
      </c>
      <c r="U10" s="325">
        <v>1</v>
      </c>
      <c r="V10" s="325">
        <v>1</v>
      </c>
      <c r="W10" s="325">
        <v>1</v>
      </c>
      <c r="X10" s="325">
        <v>1</v>
      </c>
      <c r="Y10" s="325">
        <v>1</v>
      </c>
      <c r="Z10" s="325">
        <v>1</v>
      </c>
    </row>
    <row r="11" spans="2:26">
      <c r="B11" s="305" t="s">
        <v>330</v>
      </c>
      <c r="C11" s="307">
        <v>922</v>
      </c>
      <c r="E11" s="15" t="s">
        <v>370</v>
      </c>
      <c r="F11" s="324">
        <f ca="1">IFERROR(calc_rf!F15,"-")</f>
        <v>0</v>
      </c>
      <c r="G11" s="324" t="str">
        <f t="shared" ca="1" si="0"/>
        <v>-</v>
      </c>
      <c r="H11" s="325" t="str">
        <f t="shared" ca="1" si="1"/>
        <v/>
      </c>
      <c r="I11" s="325">
        <v>1</v>
      </c>
      <c r="J11" s="325">
        <v>1</v>
      </c>
      <c r="K11" s="325">
        <v>1</v>
      </c>
      <c r="L11" s="325">
        <v>1</v>
      </c>
      <c r="M11" s="325">
        <v>1</v>
      </c>
      <c r="N11" s="325">
        <v>1</v>
      </c>
      <c r="O11" s="325">
        <v>1</v>
      </c>
      <c r="P11" s="325">
        <v>1</v>
      </c>
      <c r="Q11" s="325">
        <v>1</v>
      </c>
      <c r="R11" s="325">
        <v>1</v>
      </c>
      <c r="S11" s="325">
        <v>1</v>
      </c>
      <c r="T11" s="325">
        <v>1</v>
      </c>
      <c r="U11" s="325">
        <v>1</v>
      </c>
      <c r="V11" s="325">
        <v>1</v>
      </c>
      <c r="W11" s="325">
        <v>1</v>
      </c>
      <c r="X11" s="325">
        <v>1</v>
      </c>
      <c r="Y11" s="325">
        <v>1</v>
      </c>
      <c r="Z11" s="325">
        <v>1</v>
      </c>
    </row>
    <row r="12" spans="2:26">
      <c r="B12" s="305" t="s">
        <v>329</v>
      </c>
      <c r="C12" s="307">
        <v>1281</v>
      </c>
      <c r="E12" s="15" t="s">
        <v>359</v>
      </c>
      <c r="F12" s="326" t="str">
        <f ca="1">calc_rf!C11</f>
        <v>-</v>
      </c>
      <c r="G12" s="326" t="str">
        <f t="shared" ca="1" si="0"/>
        <v>-</v>
      </c>
      <c r="H12" s="325" t="str">
        <f t="shared" ca="1" si="1"/>
        <v/>
      </c>
      <c r="I12" s="325">
        <v>1</v>
      </c>
      <c r="J12" s="325">
        <v>1</v>
      </c>
      <c r="K12" s="325">
        <v>1</v>
      </c>
      <c r="L12" s="325">
        <v>1</v>
      </c>
      <c r="M12" s="325">
        <v>1</v>
      </c>
      <c r="N12" s="325">
        <v>1</v>
      </c>
      <c r="O12" s="325">
        <v>1</v>
      </c>
      <c r="P12" s="325">
        <v>1</v>
      </c>
      <c r="Q12" s="325">
        <v>1</v>
      </c>
      <c r="R12" s="325">
        <v>1</v>
      </c>
      <c r="S12" s="325">
        <v>1</v>
      </c>
      <c r="T12" s="325">
        <v>1</v>
      </c>
      <c r="U12" s="325"/>
      <c r="V12" s="325"/>
      <c r="W12" s="325"/>
      <c r="X12" s="325"/>
      <c r="Y12" s="325"/>
      <c r="Z12" s="325"/>
    </row>
    <row r="13" spans="2:26">
      <c r="B13" s="305" t="s">
        <v>328</v>
      </c>
      <c r="C13" s="307">
        <v>1793</v>
      </c>
    </row>
    <row r="14" spans="2:26" ht="15" thickBot="1">
      <c r="B14" s="306" t="s">
        <v>327</v>
      </c>
      <c r="C14" s="308">
        <v>2057</v>
      </c>
    </row>
    <row r="15" spans="2:26" ht="15" thickBot="1"/>
    <row r="16" spans="2:26">
      <c r="B16" s="506" t="s">
        <v>341</v>
      </c>
      <c r="C16" s="507"/>
      <c r="E16" s="518" t="s">
        <v>418</v>
      </c>
      <c r="F16" s="519"/>
      <c r="G16" s="519"/>
      <c r="H16" s="519"/>
      <c r="I16" s="519"/>
      <c r="J16" s="519"/>
      <c r="K16" s="519"/>
      <c r="L16" s="519"/>
      <c r="M16" s="519"/>
      <c r="N16" s="519"/>
      <c r="O16" s="519"/>
      <c r="P16" s="519"/>
      <c r="Q16" s="519"/>
      <c r="R16" s="519"/>
      <c r="S16" s="519"/>
      <c r="T16" s="519"/>
      <c r="U16" s="519"/>
      <c r="V16" s="519"/>
      <c r="W16" s="519"/>
      <c r="X16" s="519"/>
      <c r="Y16" s="519"/>
      <c r="Z16" s="519"/>
    </row>
    <row r="17" spans="2:29" ht="15" customHeight="1">
      <c r="B17" s="323" t="s">
        <v>342</v>
      </c>
      <c r="C17" s="304" t="s">
        <v>340</v>
      </c>
      <c r="E17" s="15" t="s">
        <v>73</v>
      </c>
      <c r="F17" s="467" t="s">
        <v>371</v>
      </c>
      <c r="G17" s="517"/>
      <c r="H17" s="405"/>
      <c r="I17" s="325" t="s">
        <v>11</v>
      </c>
      <c r="J17" s="325" t="s">
        <v>258</v>
      </c>
      <c r="K17" s="325" t="s">
        <v>1</v>
      </c>
      <c r="L17" s="325" t="s">
        <v>317</v>
      </c>
      <c r="M17" s="325" t="s">
        <v>299</v>
      </c>
      <c r="N17" s="325" t="s">
        <v>361</v>
      </c>
      <c r="O17" s="325" t="s">
        <v>44</v>
      </c>
      <c r="P17" s="325" t="s">
        <v>45</v>
      </c>
      <c r="Q17" s="325" t="s">
        <v>131</v>
      </c>
      <c r="R17" s="325" t="s">
        <v>362</v>
      </c>
      <c r="S17" s="325" t="s">
        <v>363</v>
      </c>
      <c r="T17" s="325" t="s">
        <v>364</v>
      </c>
      <c r="U17" s="325" t="s">
        <v>365</v>
      </c>
      <c r="V17" s="325" t="s">
        <v>366</v>
      </c>
      <c r="W17" s="325" t="s">
        <v>367</v>
      </c>
      <c r="X17" s="325" t="s">
        <v>345</v>
      </c>
      <c r="Y17" s="325" t="s">
        <v>372</v>
      </c>
      <c r="Z17" s="325" t="s">
        <v>373</v>
      </c>
    </row>
    <row r="18" spans="2:29">
      <c r="B18" s="309">
        <v>0</v>
      </c>
      <c r="C18" s="307">
        <v>150</v>
      </c>
      <c r="E18" s="15"/>
      <c r="F18" s="324" t="s">
        <v>368</v>
      </c>
      <c r="G18" s="324" t="s">
        <v>416</v>
      </c>
      <c r="H18" s="324"/>
      <c r="I18" s="325">
        <f>I6</f>
        <v>0</v>
      </c>
      <c r="J18" s="325">
        <f t="shared" ref="J18:Z18" ca="1" si="2">J6</f>
        <v>1</v>
      </c>
      <c r="K18" s="325">
        <f t="shared" si="2"/>
        <v>0</v>
      </c>
      <c r="L18" s="325">
        <f t="shared" si="2"/>
        <v>0</v>
      </c>
      <c r="M18" s="325">
        <f t="shared" si="2"/>
        <v>0</v>
      </c>
      <c r="N18" s="325">
        <f t="shared" si="2"/>
        <v>0</v>
      </c>
      <c r="O18" s="325">
        <f t="shared" si="2"/>
        <v>0</v>
      </c>
      <c r="P18" s="325">
        <f t="shared" si="2"/>
        <v>0</v>
      </c>
      <c r="Q18" s="325">
        <f t="shared" si="2"/>
        <v>0</v>
      </c>
      <c r="R18" s="325">
        <f t="shared" si="2"/>
        <v>0</v>
      </c>
      <c r="S18" s="325">
        <f t="shared" si="2"/>
        <v>0</v>
      </c>
      <c r="T18" s="325">
        <f t="shared" si="2"/>
        <v>0</v>
      </c>
      <c r="U18" s="325">
        <f t="shared" si="2"/>
        <v>0</v>
      </c>
      <c r="V18" s="325">
        <f t="shared" si="2"/>
        <v>0</v>
      </c>
      <c r="W18" s="325">
        <f t="shared" si="2"/>
        <v>0</v>
      </c>
      <c r="X18" s="325">
        <f t="shared" si="2"/>
        <v>0</v>
      </c>
      <c r="Y18" s="325">
        <f t="shared" si="2"/>
        <v>0</v>
      </c>
      <c r="Z18" s="325">
        <f t="shared" si="2"/>
        <v>0</v>
      </c>
    </row>
    <row r="19" spans="2:29">
      <c r="B19" s="309">
        <v>1000</v>
      </c>
      <c r="C19" s="307">
        <v>250</v>
      </c>
      <c r="E19" s="15" t="s">
        <v>28</v>
      </c>
      <c r="F19" s="325" t="str">
        <f ca="1">H7</f>
        <v/>
      </c>
      <c r="G19" s="406" t="str">
        <f t="shared" ref="G19:G24" ca="1" si="3">IF(AND(F19="x",SUMPRODUCT($I$18:$Z$18,I19:Z19)=SUMIF(I19:Z19,1)),"x","")</f>
        <v/>
      </c>
      <c r="H19" s="406"/>
      <c r="I19" s="325">
        <v>1</v>
      </c>
      <c r="J19" s="325">
        <v>1</v>
      </c>
      <c r="K19" s="325">
        <v>1</v>
      </c>
      <c r="L19" s="325">
        <v>1</v>
      </c>
      <c r="M19" s="325">
        <v>1</v>
      </c>
      <c r="N19" s="325">
        <v>1</v>
      </c>
      <c r="O19" s="325">
        <v>1</v>
      </c>
      <c r="P19" s="325">
        <v>1</v>
      </c>
      <c r="Q19" s="325">
        <v>-1</v>
      </c>
      <c r="R19" s="325">
        <v>-1</v>
      </c>
      <c r="S19" s="325">
        <v>-1</v>
      </c>
      <c r="T19" s="325">
        <v>-1</v>
      </c>
      <c r="U19" s="325">
        <v>-1</v>
      </c>
      <c r="V19" s="325">
        <v>-1</v>
      </c>
      <c r="W19" s="325">
        <v>-1</v>
      </c>
      <c r="X19" s="325">
        <v>-1</v>
      </c>
      <c r="Y19" s="325">
        <v>-1</v>
      </c>
      <c r="Z19" s="325">
        <v>-1</v>
      </c>
      <c r="AC19" s="22"/>
    </row>
    <row r="20" spans="2:29">
      <c r="B20" s="309">
        <v>1500</v>
      </c>
      <c r="C20" s="307">
        <v>300</v>
      </c>
      <c r="E20" s="15" t="s">
        <v>357</v>
      </c>
      <c r="F20" s="325" t="str">
        <f t="shared" ref="F20:F24" ca="1" si="4">H8</f>
        <v/>
      </c>
      <c r="G20" s="406" t="str">
        <f t="shared" ca="1" si="3"/>
        <v/>
      </c>
      <c r="H20" s="325"/>
      <c r="I20" s="325">
        <v>1</v>
      </c>
      <c r="J20" s="325">
        <v>1</v>
      </c>
      <c r="K20" s="325">
        <v>1</v>
      </c>
      <c r="L20" s="325">
        <v>1</v>
      </c>
      <c r="M20" s="325">
        <v>1</v>
      </c>
      <c r="N20" s="325">
        <v>1</v>
      </c>
      <c r="O20" s="325">
        <v>1</v>
      </c>
      <c r="P20" s="325">
        <v>1</v>
      </c>
      <c r="Q20" s="325">
        <v>-1</v>
      </c>
      <c r="R20" s="325">
        <v>-1</v>
      </c>
      <c r="S20" s="325">
        <v>-1</v>
      </c>
      <c r="T20" s="325">
        <v>-1</v>
      </c>
      <c r="U20" s="325">
        <v>-1</v>
      </c>
      <c r="V20" s="325">
        <v>-1</v>
      </c>
      <c r="W20" s="325">
        <v>-1</v>
      </c>
      <c r="X20" s="325">
        <v>-1</v>
      </c>
      <c r="Y20" s="325">
        <v>-1</v>
      </c>
      <c r="Z20" s="325">
        <v>-1</v>
      </c>
    </row>
    <row r="21" spans="2:29">
      <c r="B21" s="309">
        <v>2000</v>
      </c>
      <c r="C21" s="307">
        <v>500</v>
      </c>
      <c r="E21" s="15" t="s">
        <v>358</v>
      </c>
      <c r="F21" s="325" t="str">
        <f t="shared" ca="1" si="4"/>
        <v/>
      </c>
      <c r="G21" s="406" t="str">
        <f t="shared" ca="1" si="3"/>
        <v/>
      </c>
      <c r="H21" s="325"/>
      <c r="I21" s="325">
        <v>1</v>
      </c>
      <c r="J21" s="325">
        <v>1</v>
      </c>
      <c r="K21" s="325">
        <v>1</v>
      </c>
      <c r="L21" s="325">
        <v>1</v>
      </c>
      <c r="M21" s="325">
        <v>1</v>
      </c>
      <c r="N21" s="325">
        <v>1</v>
      </c>
      <c r="O21" s="325">
        <v>1</v>
      </c>
      <c r="P21" s="325">
        <v>1</v>
      </c>
      <c r="Q21" s="325">
        <v>1</v>
      </c>
      <c r="R21" s="325">
        <v>1</v>
      </c>
      <c r="S21" s="325">
        <v>1</v>
      </c>
      <c r="T21" s="325">
        <v>-1</v>
      </c>
      <c r="U21" s="325">
        <v>-1</v>
      </c>
      <c r="V21" s="325">
        <v>-1</v>
      </c>
      <c r="W21" s="325">
        <v>-1</v>
      </c>
      <c r="X21" s="325">
        <v>-1</v>
      </c>
      <c r="Y21" s="325">
        <v>-1</v>
      </c>
      <c r="Z21" s="325">
        <v>-1</v>
      </c>
    </row>
    <row r="22" spans="2:29">
      <c r="B22" s="309">
        <v>2500</v>
      </c>
      <c r="C22" s="307">
        <v>750</v>
      </c>
      <c r="E22" s="15" t="s">
        <v>369</v>
      </c>
      <c r="F22" s="325" t="str">
        <f t="shared" ca="1" si="4"/>
        <v/>
      </c>
      <c r="G22" s="406" t="str">
        <f t="shared" ca="1" si="3"/>
        <v/>
      </c>
      <c r="H22" s="325"/>
      <c r="I22" s="325">
        <v>1</v>
      </c>
      <c r="J22" s="325">
        <v>1</v>
      </c>
      <c r="K22" s="325">
        <v>1</v>
      </c>
      <c r="L22" s="325">
        <v>1</v>
      </c>
      <c r="M22" s="325">
        <v>1</v>
      </c>
      <c r="N22" s="325">
        <v>1</v>
      </c>
      <c r="O22" s="325">
        <v>1</v>
      </c>
      <c r="P22" s="325">
        <v>1</v>
      </c>
      <c r="Q22" s="325">
        <v>1</v>
      </c>
      <c r="R22" s="325">
        <v>1</v>
      </c>
      <c r="S22" s="325">
        <v>1</v>
      </c>
      <c r="T22" s="325">
        <v>1</v>
      </c>
      <c r="U22" s="325">
        <v>1</v>
      </c>
      <c r="V22" s="325">
        <v>1</v>
      </c>
      <c r="W22" s="325">
        <v>1</v>
      </c>
      <c r="X22" s="325">
        <v>1</v>
      </c>
      <c r="Y22" s="325">
        <v>1</v>
      </c>
      <c r="Z22" s="325">
        <v>1</v>
      </c>
    </row>
    <row r="23" spans="2:29">
      <c r="B23" s="309">
        <v>3000</v>
      </c>
      <c r="C23" s="307">
        <v>1000</v>
      </c>
      <c r="E23" s="15" t="s">
        <v>370</v>
      </c>
      <c r="F23" s="325" t="str">
        <f t="shared" ca="1" si="4"/>
        <v/>
      </c>
      <c r="G23" s="406" t="str">
        <f t="shared" ca="1" si="3"/>
        <v/>
      </c>
      <c r="H23" s="325"/>
      <c r="I23" s="325">
        <v>1</v>
      </c>
      <c r="J23" s="325">
        <v>1</v>
      </c>
      <c r="K23" s="325">
        <v>1</v>
      </c>
      <c r="L23" s="325">
        <v>1</v>
      </c>
      <c r="M23" s="325">
        <v>1</v>
      </c>
      <c r="N23" s="325">
        <v>1</v>
      </c>
      <c r="O23" s="325">
        <v>1</v>
      </c>
      <c r="P23" s="325">
        <v>1</v>
      </c>
      <c r="Q23" s="325">
        <v>1</v>
      </c>
      <c r="R23" s="325">
        <v>1</v>
      </c>
      <c r="S23" s="325">
        <v>1</v>
      </c>
      <c r="T23" s="325">
        <v>1</v>
      </c>
      <c r="U23" s="325">
        <v>1</v>
      </c>
      <c r="V23" s="325">
        <v>1</v>
      </c>
      <c r="W23" s="325">
        <v>1</v>
      </c>
      <c r="X23" s="325">
        <v>1</v>
      </c>
      <c r="Y23" s="325">
        <v>1</v>
      </c>
      <c r="Z23" s="325">
        <v>1</v>
      </c>
    </row>
    <row r="24" spans="2:29">
      <c r="B24" s="309">
        <v>4000</v>
      </c>
      <c r="C24" s="307">
        <v>1500</v>
      </c>
      <c r="E24" s="15" t="s">
        <v>359</v>
      </c>
      <c r="F24" s="325" t="str">
        <f t="shared" ca="1" si="4"/>
        <v/>
      </c>
      <c r="G24" s="406" t="str">
        <f t="shared" ca="1" si="3"/>
        <v/>
      </c>
      <c r="H24" s="325"/>
      <c r="I24" s="325">
        <v>1</v>
      </c>
      <c r="J24" s="325">
        <v>1</v>
      </c>
      <c r="K24" s="325">
        <v>1</v>
      </c>
      <c r="L24" s="325">
        <v>1</v>
      </c>
      <c r="M24" s="325">
        <v>1</v>
      </c>
      <c r="N24" s="325">
        <v>1</v>
      </c>
      <c r="O24" s="325">
        <v>1</v>
      </c>
      <c r="P24" s="325">
        <v>1</v>
      </c>
      <c r="Q24" s="325">
        <v>1</v>
      </c>
      <c r="R24" s="325">
        <v>1</v>
      </c>
      <c r="S24" s="325">
        <v>1</v>
      </c>
      <c r="T24" s="325">
        <v>1</v>
      </c>
      <c r="U24" s="325">
        <v>-1</v>
      </c>
      <c r="V24" s="325">
        <v>-1</v>
      </c>
      <c r="W24" s="325">
        <v>-1</v>
      </c>
      <c r="X24" s="325">
        <v>-1</v>
      </c>
      <c r="Y24" s="325">
        <v>-1</v>
      </c>
      <c r="Z24" s="325">
        <v>-1</v>
      </c>
    </row>
    <row r="25" spans="2:29" ht="15" thickBot="1">
      <c r="B25" s="310">
        <v>5000</v>
      </c>
      <c r="C25" s="308">
        <v>2000</v>
      </c>
    </row>
    <row r="26" spans="2:29" ht="15" thickBot="1"/>
    <row r="27" spans="2:29" ht="15" thickBot="1">
      <c r="B27" s="355" t="s">
        <v>393</v>
      </c>
      <c r="E27" s="22" t="s">
        <v>417</v>
      </c>
      <c r="F27" s="22"/>
    </row>
    <row r="28" spans="2:29">
      <c r="B28" s="360" t="s">
        <v>354</v>
      </c>
      <c r="E28" s="22"/>
      <c r="F28" s="22"/>
    </row>
    <row r="29" spans="2:29" ht="14.25" customHeight="1" thickBot="1">
      <c r="B29" s="361" t="s">
        <v>392</v>
      </c>
      <c r="E29" s="22" t="s">
        <v>400</v>
      </c>
      <c r="F29" s="403"/>
    </row>
    <row r="30" spans="2:29">
      <c r="E30" s="22"/>
      <c r="F30" s="22"/>
    </row>
    <row r="31" spans="2:29" ht="15" thickBot="1">
      <c r="F31" s="22"/>
    </row>
    <row r="32" spans="2:29">
      <c r="D32" s="178"/>
      <c r="E32" s="408"/>
      <c r="F32" s="408"/>
      <c r="G32" s="179"/>
      <c r="H32" s="179"/>
      <c r="I32" s="179"/>
      <c r="J32" s="180"/>
    </row>
    <row r="33" spans="2:10">
      <c r="D33" s="181"/>
      <c r="E33" s="514" t="s">
        <v>420</v>
      </c>
      <c r="F33" s="515"/>
      <c r="G33" s="515"/>
      <c r="H33" s="515"/>
      <c r="I33" s="516"/>
      <c r="J33" s="182"/>
    </row>
    <row r="34" spans="2:10">
      <c r="D34" s="181"/>
      <c r="E34" s="22"/>
      <c r="G34" s="511" t="s">
        <v>419</v>
      </c>
      <c r="H34" s="511"/>
      <c r="J34" s="182"/>
    </row>
    <row r="35" spans="2:10">
      <c r="D35" s="181"/>
      <c r="E35" s="22"/>
      <c r="G35" s="409"/>
      <c r="H35" s="409"/>
      <c r="J35" s="182"/>
    </row>
    <row r="36" spans="2:10">
      <c r="D36" s="181"/>
      <c r="E36" s="15" t="s">
        <v>28</v>
      </c>
      <c r="G36" s="510"/>
      <c r="H36" s="510"/>
      <c r="I36" s="510"/>
      <c r="J36" s="182"/>
    </row>
    <row r="37" spans="2:10">
      <c r="D37" s="181"/>
      <c r="E37" s="22"/>
      <c r="G37" s="22"/>
      <c r="J37" s="182"/>
    </row>
    <row r="38" spans="2:10">
      <c r="D38" s="181"/>
      <c r="E38" s="15" t="s">
        <v>357</v>
      </c>
      <c r="G38" s="510"/>
      <c r="H38" s="510"/>
      <c r="I38" s="510"/>
      <c r="J38" s="182"/>
    </row>
    <row r="39" spans="2:10">
      <c r="D39" s="181"/>
      <c r="E39" s="22"/>
      <c r="G39" s="407"/>
      <c r="H39" s="407"/>
      <c r="J39" s="182"/>
    </row>
    <row r="40" spans="2:10">
      <c r="B40" s="22"/>
      <c r="D40" s="181"/>
      <c r="E40" s="15" t="s">
        <v>358</v>
      </c>
      <c r="G40" s="510"/>
      <c r="H40" s="510"/>
      <c r="I40" s="510"/>
      <c r="J40" s="182"/>
    </row>
    <row r="41" spans="2:10">
      <c r="B41" s="22"/>
      <c r="D41" s="181"/>
      <c r="E41" s="22"/>
      <c r="J41" s="182"/>
    </row>
    <row r="42" spans="2:10">
      <c r="B42" s="22"/>
      <c r="D42" s="181"/>
      <c r="E42" s="15" t="s">
        <v>369</v>
      </c>
      <c r="G42" s="510"/>
      <c r="H42" s="510"/>
      <c r="I42" s="510"/>
      <c r="J42" s="182"/>
    </row>
    <row r="43" spans="2:10">
      <c r="B43" s="22"/>
      <c r="D43" s="181"/>
      <c r="E43" s="22"/>
      <c r="J43" s="182"/>
    </row>
    <row r="44" spans="2:10">
      <c r="B44" s="22"/>
      <c r="D44" s="181"/>
      <c r="E44" s="15" t="s">
        <v>370</v>
      </c>
      <c r="G44" s="510"/>
      <c r="H44" s="510"/>
      <c r="I44" s="510"/>
      <c r="J44" s="182"/>
    </row>
    <row r="45" spans="2:10">
      <c r="B45" s="22"/>
      <c r="D45" s="181"/>
      <c r="E45" s="22"/>
      <c r="J45" s="182"/>
    </row>
    <row r="46" spans="2:10">
      <c r="B46" s="22"/>
      <c r="D46" s="181"/>
      <c r="E46" s="15" t="s">
        <v>359</v>
      </c>
      <c r="G46" s="510"/>
      <c r="H46" s="510"/>
      <c r="I46" s="510"/>
      <c r="J46" s="182"/>
    </row>
    <row r="47" spans="2:10" ht="15" thickBot="1">
      <c r="D47" s="183"/>
      <c r="E47" s="184"/>
      <c r="F47" s="184"/>
      <c r="G47" s="184"/>
      <c r="H47" s="184"/>
      <c r="I47" s="184"/>
      <c r="J47" s="185"/>
    </row>
  </sheetData>
  <mergeCells count="14">
    <mergeCell ref="B16:C16"/>
    <mergeCell ref="B4:C4"/>
    <mergeCell ref="G5:G6"/>
    <mergeCell ref="E33:I33"/>
    <mergeCell ref="G38:I38"/>
    <mergeCell ref="G36:I36"/>
    <mergeCell ref="F17:G17"/>
    <mergeCell ref="E4:Z4"/>
    <mergeCell ref="E16:Z16"/>
    <mergeCell ref="G40:I40"/>
    <mergeCell ref="G42:I42"/>
    <mergeCell ref="G44:I44"/>
    <mergeCell ref="G46:I46"/>
    <mergeCell ref="G34:H34"/>
  </mergeCells>
  <conditionalFormatting sqref="F29">
    <cfRule type="expression" dxfId="6" priority="16">
      <formula>NOT($H$10="x")</formula>
    </cfRule>
  </conditionalFormatting>
  <conditionalFormatting sqref="G36:I36">
    <cfRule type="expression" dxfId="5" priority="5">
      <formula>$G$19="x"</formula>
    </cfRule>
  </conditionalFormatting>
  <conditionalFormatting sqref="G38:I38">
    <cfRule type="expression" dxfId="4" priority="10">
      <formula>$G$20="x"</formula>
    </cfRule>
  </conditionalFormatting>
  <conditionalFormatting sqref="G40:I40">
    <cfRule type="expression" dxfId="3" priority="4">
      <formula>$G$21="x"</formula>
    </cfRule>
  </conditionalFormatting>
  <conditionalFormatting sqref="G42:I42">
    <cfRule type="expression" dxfId="2" priority="3">
      <formula>$G$22="x"</formula>
    </cfRule>
  </conditionalFormatting>
  <conditionalFormatting sqref="G44:I44">
    <cfRule type="expression" dxfId="1" priority="2">
      <formula>$G$23="x"</formula>
    </cfRule>
  </conditionalFormatting>
  <conditionalFormatting sqref="G46:I46">
    <cfRule type="expression" dxfId="0" priority="1">
      <formula>$G$24="x"</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3" id="{975F5508-DB53-46D5-9774-2DD7B27212E6}">
            <xm:f>AND($H$10="x",$G$10&lt;Konfiguration!$D$12)</xm:f>
            <x14:dxf>
              <fill>
                <patternFill>
                  <bgColor theme="4"/>
                </patternFill>
              </fill>
            </x14:dxf>
          </x14:cfRule>
          <x14:cfRule type="expression" priority="14" id="{CA249178-558F-41DC-B1DC-70D8E57C10BE}">
            <xm:f>AND($H$10="x",$G$10&gt;Konfiguration!$C$12)</xm:f>
            <x14:dxf>
              <fill>
                <patternFill>
                  <bgColor theme="7"/>
                </patternFill>
              </fill>
            </x14:dxf>
          </x14:cfRule>
          <x14:cfRule type="expression" priority="15" id="{FCE21A82-CB69-41F8-A1CE-1769CB7FE724}">
            <xm:f>AND($H$10="x",$G$10&gt;Konfiguration!$D$12)</xm:f>
            <x14:dxf>
              <fill>
                <patternFill>
                  <bgColor rgb="FFFFFF00"/>
                </patternFill>
              </fill>
            </x14:dxf>
          </x14:cfRule>
          <xm:sqref>F29</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E30"/>
  <sheetViews>
    <sheetView showGridLines="0" workbookViewId="0">
      <selection activeCell="B16" sqref="B16:C16"/>
    </sheetView>
  </sheetViews>
  <sheetFormatPr defaultColWidth="9.1796875" defaultRowHeight="14.5"/>
  <cols>
    <col min="2" max="2" width="23.26953125" customWidth="1"/>
    <col min="3" max="3" width="31.26953125" customWidth="1"/>
    <col min="4" max="4" width="16.453125" customWidth="1"/>
    <col min="5" max="5" width="106.81640625" customWidth="1"/>
    <col min="6" max="18" width="9" customWidth="1"/>
  </cols>
  <sheetData>
    <row r="2" spans="2:5" ht="16">
      <c r="B2" s="311" t="s">
        <v>402</v>
      </c>
    </row>
    <row r="3" spans="2:5" ht="33" customHeight="1"/>
    <row r="5" spans="2:5">
      <c r="B5" s="380" t="s">
        <v>403</v>
      </c>
      <c r="C5" s="380" t="s">
        <v>391</v>
      </c>
      <c r="D5" s="380" t="s">
        <v>405</v>
      </c>
      <c r="E5" s="380" t="s">
        <v>413</v>
      </c>
    </row>
    <row r="6" spans="2:5">
      <c r="B6" s="378" t="s">
        <v>404</v>
      </c>
      <c r="C6" s="378" t="s">
        <v>409</v>
      </c>
      <c r="D6" s="378" t="s">
        <v>407</v>
      </c>
      <c r="E6" s="378" t="s">
        <v>408</v>
      </c>
    </row>
    <row r="7" spans="2:5">
      <c r="B7" s="378" t="s">
        <v>404</v>
      </c>
      <c r="C7" s="378" t="s">
        <v>409</v>
      </c>
      <c r="D7" s="378" t="s">
        <v>406</v>
      </c>
      <c r="E7" s="378" t="str">
        <f ca="1">IF(cnfg_rf!H9="x",E6,"")</f>
        <v/>
      </c>
    </row>
    <row r="8" spans="2:5">
      <c r="B8" s="378" t="s">
        <v>404</v>
      </c>
      <c r="C8" s="378" t="s">
        <v>410</v>
      </c>
      <c r="D8" s="378" t="s">
        <v>406</v>
      </c>
      <c r="E8" s="378" t="str">
        <f ca="1">IF(cnfg_rf!H9="x","Du weißt jetzt, wie viel von deiner Miete monatlich vor Steuern übrig bleibt.","Bitte fülle alle erforderlichen Eingabefelder, um den Cashflow vor Steuern zu berechnen.")</f>
        <v>Bitte fülle alle erforderlichen Eingabefelder, um den Cashflow vor Steuern zu berechnen.</v>
      </c>
    </row>
    <row r="9" spans="2:5">
      <c r="B9" s="378" t="s">
        <v>404</v>
      </c>
      <c r="C9" s="378" t="s">
        <v>411</v>
      </c>
      <c r="D9" s="379" t="s">
        <v>407</v>
      </c>
      <c r="E9" s="379" t="str">
        <f>CONCATENATE("Der Überschuss ergibt sich aus deiner Miete (",TEXT(ROUND(Cockpit!H9,0),"#.###")," €) abzüglich der Rate an die Bank (",TEXT(ROUND(Cockpit!N13,0),"#.###")," €), der nicht umlagefähigen Kosten (",TEXT(ROUND(Cockpit!K29-Cockpit!K26-Cockpit!K27,0),"#.###")," €) und deiner eigenen Rücklagen (",TEXT(ROUND(Cockpit!K26+Cockpit!K27,0),"#.###")," €).")</f>
        <v>Der Überschuss ergibt sich aus deiner Miete ( €) abzüglich der Rate an die Bank ( €), der nicht umlagefähigen Kosten ( €) und deiner eigenen Rücklagen ( €).</v>
      </c>
    </row>
    <row r="10" spans="2:5">
      <c r="B10" s="378" t="s">
        <v>404</v>
      </c>
      <c r="C10" s="378" t="s">
        <v>411</v>
      </c>
      <c r="D10" s="379" t="s">
        <v>406</v>
      </c>
      <c r="E10" s="379" t="str">
        <f ca="1">IF(cnfg_rf!H9="x",txt_rf!E9,"")</f>
        <v/>
      </c>
    </row>
    <row r="11" spans="2:5">
      <c r="B11" s="378"/>
      <c r="C11" s="378"/>
      <c r="D11" s="378"/>
      <c r="E11" s="378"/>
    </row>
    <row r="12" spans="2:5">
      <c r="B12" s="378" t="s">
        <v>404</v>
      </c>
      <c r="C12" s="378" t="s">
        <v>409</v>
      </c>
      <c r="D12" s="378" t="s">
        <v>406</v>
      </c>
      <c r="E12" s="378" t="str">
        <f ca="1">IF(cnfg_rf!H10="x","Herzlichen Glückwunsch!","")</f>
        <v/>
      </c>
    </row>
    <row r="13" spans="2:5">
      <c r="B13" s="378" t="s">
        <v>404</v>
      </c>
      <c r="C13" s="378" t="s">
        <v>410</v>
      </c>
      <c r="D13" s="378" t="s">
        <v>406</v>
      </c>
      <c r="E13" s="378" t="str">
        <f ca="1">IF(cnfg_rf!H10="x","Du weißt jetzt, wie viel von deiner Miete monatlich nach Steuern übrig bleibt.","Bitte fülle alle Eingabefelder, um den Cashflow nach Steuern zu berechnen.")</f>
        <v>Bitte fülle alle Eingabefelder, um den Cashflow nach Steuern zu berechnen.</v>
      </c>
    </row>
    <row r="14" spans="2:5">
      <c r="B14" s="378" t="s">
        <v>404</v>
      </c>
      <c r="C14" s="378" t="s">
        <v>411</v>
      </c>
      <c r="D14" s="379" t="s">
        <v>407</v>
      </c>
      <c r="E14" s="379" t="str">
        <f>CONCATENATE("Der Überschuss ergibt sich aus deiner Miete (",TEXT(ROUND(Cockpit!H9,0),"#.###")," €) abzüglich der Rate an die Bank (",TEXT(ROUND(Cockpit!N13,0),"#.###")," €), der nicht umlagefähigen Kosten (",TEXT(ROUND(Cockpit!K29-Cockpit!K26-Cockpit!K27,0),"#.###")," €) und deiner eigenen Rücklagen (",TEXT(ROUND(Cockpit!K26+Cockpit!K27,0),"#.###")," €) und der Steuern (",TEXT(ROUND(Cockpit!Q34,0),"#.###")," €).")</f>
        <v>Der Überschuss ergibt sich aus deiner Miete ( €) abzüglich der Rate an die Bank ( €), der nicht umlagefähigen Kosten ( €) und deiner eigenen Rücklagen ( €) und der Steuern ( €).</v>
      </c>
    </row>
    <row r="15" spans="2:5">
      <c r="B15" s="378" t="s">
        <v>404</v>
      </c>
      <c r="C15" s="378" t="s">
        <v>411</v>
      </c>
      <c r="D15" s="379" t="s">
        <v>406</v>
      </c>
      <c r="E15" s="379" t="str">
        <f ca="1">IF(cnfg_rf!H10="x",txt_rf!E14,"")</f>
        <v/>
      </c>
    </row>
    <row r="16" spans="2:5">
      <c r="B16" s="378"/>
      <c r="C16" s="378"/>
      <c r="D16" s="378"/>
      <c r="E16" s="378"/>
    </row>
    <row r="17" spans="2:5">
      <c r="B17" s="378"/>
      <c r="C17" s="378"/>
      <c r="D17" s="378"/>
      <c r="E17" s="378"/>
    </row>
    <row r="18" spans="2:5">
      <c r="B18" s="378" t="s">
        <v>412</v>
      </c>
      <c r="C18" s="378" t="s">
        <v>401</v>
      </c>
      <c r="D18" s="378" t="s">
        <v>406</v>
      </c>
      <c r="E18" s="378" t="str">
        <f>IF('3'!E16&gt;0,CONCATENATE("Bitte berücksichtige dabei auch, dass du ",TEXT(ROUND('3'!E16,0),"#.###")," Euro für Maßnahmen bei einem Mieterwechsel eingeplant hast."),"")</f>
        <v/>
      </c>
    </row>
    <row r="19" spans="2:5">
      <c r="B19" s="378"/>
      <c r="C19" s="378"/>
      <c r="D19" s="378"/>
      <c r="E19" s="378"/>
    </row>
    <row r="20" spans="2:5">
      <c r="B20" s="378" t="s">
        <v>414</v>
      </c>
      <c r="C20" s="378" t="s">
        <v>415</v>
      </c>
      <c r="D20" s="378" t="s">
        <v>406</v>
      </c>
      <c r="E20" s="378" t="str">
        <f ca="1">CONCATENATE("In ",IF(calc_rf!C9=1,"einem Jahr",CONCATENATE(calc_rf!C9," Jahren"))," hast du noch ",TEXT(ROUND(calc_rf!C10,0),"#.###0")," Euro Schulden. Bei einem neuen Zinssatz von ",IFERROR(TEXT(ROUND(calc_rf!C11*100,1),"#,0"),"-")," % bleibt deine Rate an die Bank genau gleich hoch wie jetzt am Anfang. Bei jedem Prozent darüber steigt deine Rate an die Bank um ",TEXT(ROUND(calc_rf!C12,0),"#.###0")," Euro.")</f>
        <v>In einem Jahr hast du noch 0 Euro Schulden. Bei einem neuen Zinssatz von - % bleibt deine Rate an die Bank genau gleich hoch wie jetzt am Anfang. Bei jedem Prozent darüber steigt deine Rate an die Bank um 0 Euro.</v>
      </c>
    </row>
    <row r="21" spans="2:5">
      <c r="B21" s="378"/>
      <c r="C21" s="378"/>
      <c r="D21" s="378"/>
      <c r="E21" s="378"/>
    </row>
    <row r="22" spans="2:5">
      <c r="B22" s="378"/>
      <c r="C22" s="378"/>
      <c r="D22" s="378"/>
      <c r="E22" s="378"/>
    </row>
    <row r="23" spans="2:5">
      <c r="B23" s="378"/>
      <c r="C23" s="378"/>
      <c r="D23" s="378"/>
      <c r="E23" s="378"/>
    </row>
    <row r="24" spans="2:5">
      <c r="B24" s="378"/>
      <c r="C24" s="378"/>
      <c r="D24" s="378"/>
      <c r="E24" s="378"/>
    </row>
    <row r="25" spans="2:5">
      <c r="B25" s="378"/>
      <c r="C25" s="378"/>
      <c r="D25" s="378"/>
      <c r="E25" s="378"/>
    </row>
    <row r="26" spans="2:5">
      <c r="B26" s="378"/>
      <c r="C26" s="378"/>
      <c r="D26" s="378"/>
      <c r="E26" s="378"/>
    </row>
    <row r="27" spans="2:5">
      <c r="B27" s="378"/>
      <c r="C27" s="378"/>
      <c r="D27" s="378"/>
      <c r="E27" s="378"/>
    </row>
    <row r="28" spans="2:5">
      <c r="B28" s="378"/>
      <c r="C28" s="378"/>
      <c r="D28" s="378"/>
      <c r="E28" s="378"/>
    </row>
    <row r="29" spans="2:5">
      <c r="B29" s="378"/>
      <c r="C29" s="378"/>
      <c r="D29" s="378"/>
      <c r="E29" s="378"/>
    </row>
    <row r="30" spans="2:5">
      <c r="B30" s="378"/>
      <c r="C30" s="378"/>
      <c r="D30" s="378"/>
      <c r="E30" s="378"/>
    </row>
  </sheetData>
  <sheetProtection algorithmName="SHA-512" hashValue="vJVJfmF26mJqXL5SZKa91bAvtoh1gJt6Im4LxB0odnfB0eeIAhq7+t5B9wj/a5kLQC1+4LfttXX5H117wuf5dQ==" saltValue="NnwG92Bm+G+X5pR3y4RZbQ==" spinCount="100000" sheet="1" objects="1" scenarios="1"/>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E39"/>
  <sheetViews>
    <sheetView showGridLines="0" workbookViewId="0">
      <selection activeCell="B16" sqref="B16:C16"/>
    </sheetView>
  </sheetViews>
  <sheetFormatPr defaultColWidth="9.1796875" defaultRowHeight="14.5"/>
  <cols>
    <col min="2" max="2" width="42" customWidth="1"/>
    <col min="3" max="3" width="17" customWidth="1"/>
    <col min="4" max="4" width="10.54296875" bestFit="1" customWidth="1"/>
    <col min="5" max="5" width="15.453125" customWidth="1"/>
  </cols>
  <sheetData>
    <row r="2" spans="2:5" ht="16">
      <c r="B2" s="311" t="s">
        <v>375</v>
      </c>
    </row>
    <row r="3" spans="2:5" ht="30" customHeight="1" thickBot="1"/>
    <row r="4" spans="2:5" ht="26.5">
      <c r="B4" s="354" t="s">
        <v>391</v>
      </c>
      <c r="C4" s="334" t="s">
        <v>387</v>
      </c>
      <c r="D4" s="335"/>
      <c r="E4" s="336" t="s">
        <v>386</v>
      </c>
    </row>
    <row r="5" spans="2:5">
      <c r="B5" s="181"/>
      <c r="E5" s="182"/>
    </row>
    <row r="6" spans="2:5">
      <c r="B6" s="181"/>
      <c r="E6" s="182"/>
    </row>
    <row r="7" spans="2:5">
      <c r="B7" s="181" t="s">
        <v>344</v>
      </c>
      <c r="C7" s="337">
        <f>'12'!E10</f>
        <v>0</v>
      </c>
      <c r="E7" s="338">
        <f>'12'!E10</f>
        <v>0</v>
      </c>
    </row>
    <row r="8" spans="2:5">
      <c r="B8" s="181"/>
      <c r="E8" s="182"/>
    </row>
    <row r="9" spans="2:5">
      <c r="B9" s="181" t="s">
        <v>388</v>
      </c>
      <c r="C9" s="337">
        <f>ROUNDDOWN(C7,0)</f>
        <v>0</v>
      </c>
      <c r="E9" s="338">
        <f>ROUNDDOWN(E7,0)</f>
        <v>0</v>
      </c>
    </row>
    <row r="10" spans="2:5">
      <c r="B10" s="181"/>
      <c r="E10" s="182"/>
    </row>
    <row r="11" spans="2:5">
      <c r="B11" s="339"/>
      <c r="C11" s="34"/>
      <c r="D11" s="34"/>
      <c r="E11" s="340"/>
    </row>
    <row r="12" spans="2:5">
      <c r="B12" s="341" t="s">
        <v>385</v>
      </c>
      <c r="C12" s="327">
        <v>1</v>
      </c>
      <c r="D12" s="328"/>
      <c r="E12" s="342">
        <v>1</v>
      </c>
    </row>
    <row r="13" spans="2:5">
      <c r="B13" s="341"/>
      <c r="C13" s="327"/>
      <c r="D13" s="328"/>
      <c r="E13" s="342"/>
    </row>
    <row r="14" spans="2:5">
      <c r="B14" s="341" t="s">
        <v>384</v>
      </c>
      <c r="C14" s="327">
        <f>C9</f>
        <v>0</v>
      </c>
      <c r="D14" s="328"/>
      <c r="E14" s="342">
        <f>E9</f>
        <v>0</v>
      </c>
    </row>
    <row r="15" spans="2:5">
      <c r="B15" s="341"/>
      <c r="C15" s="327"/>
      <c r="D15" s="328"/>
      <c r="E15" s="342"/>
    </row>
    <row r="16" spans="2:5">
      <c r="B16" s="181" t="s">
        <v>381</v>
      </c>
      <c r="C16" s="343">
        <f>C14</f>
        <v>0</v>
      </c>
      <c r="D16" s="329"/>
      <c r="E16" s="344">
        <f>(E14/2)</f>
        <v>0</v>
      </c>
    </row>
    <row r="17" spans="2:5">
      <c r="B17" s="181" t="s">
        <v>380</v>
      </c>
      <c r="C17" s="343">
        <f>(C14-8472)/10000</f>
        <v>-0.84719999999999995</v>
      </c>
      <c r="D17" s="329"/>
      <c r="E17" s="344">
        <f>(E16-8472)/10000</f>
        <v>-0.84719999999999995</v>
      </c>
    </row>
    <row r="18" spans="2:5">
      <c r="B18" s="181" t="s">
        <v>379</v>
      </c>
      <c r="C18" s="343">
        <f>(C14-13469)/10000</f>
        <v>-1.3469</v>
      </c>
      <c r="D18" s="329"/>
      <c r="E18" s="344">
        <f>(E16-13469)/10000</f>
        <v>-1.3469</v>
      </c>
    </row>
    <row r="19" spans="2:5">
      <c r="B19" s="341"/>
      <c r="C19" s="327"/>
      <c r="D19" s="328"/>
      <c r="E19" s="342"/>
    </row>
    <row r="20" spans="2:5">
      <c r="B20" s="341"/>
      <c r="C20" s="327"/>
      <c r="D20" s="328"/>
      <c r="E20" s="342"/>
    </row>
    <row r="21" spans="2:5">
      <c r="B21" s="181"/>
      <c r="E21" s="182"/>
    </row>
    <row r="22" spans="2:5">
      <c r="B22" s="181" t="s">
        <v>383</v>
      </c>
      <c r="C22" s="345">
        <f>C9+C12</f>
        <v>1</v>
      </c>
      <c r="E22" s="346">
        <f>E9+E12</f>
        <v>1</v>
      </c>
    </row>
    <row r="23" spans="2:5">
      <c r="B23" s="181"/>
      <c r="E23" s="182"/>
    </row>
    <row r="24" spans="2:5">
      <c r="B24" s="181" t="s">
        <v>382</v>
      </c>
      <c r="C24" s="337">
        <f>ROUNDDOWN(C22,0)</f>
        <v>1</v>
      </c>
      <c r="E24" s="338">
        <f>ROUNDDOWN(E22,0)</f>
        <v>1</v>
      </c>
    </row>
    <row r="25" spans="2:5">
      <c r="B25" s="181"/>
      <c r="E25" s="182"/>
    </row>
    <row r="26" spans="2:5">
      <c r="B26" s="181" t="s">
        <v>381</v>
      </c>
      <c r="C26" s="343">
        <f>C24</f>
        <v>1</v>
      </c>
      <c r="E26" s="344">
        <f>E22/2</f>
        <v>0.5</v>
      </c>
    </row>
    <row r="27" spans="2:5">
      <c r="B27" s="181" t="s">
        <v>380</v>
      </c>
      <c r="C27" s="343">
        <f>(C24-8472)/10000</f>
        <v>-0.84709999999999996</v>
      </c>
      <c r="E27" s="344">
        <f>(E26-8472)/10000</f>
        <v>-0.84714999999999996</v>
      </c>
    </row>
    <row r="28" spans="2:5">
      <c r="B28" s="181" t="s">
        <v>379</v>
      </c>
      <c r="C28" s="343">
        <f>(C24-13469)/10000</f>
        <v>-1.3468</v>
      </c>
      <c r="E28" s="344">
        <f>(E26-13469)/10000</f>
        <v>-1.3468500000000001</v>
      </c>
    </row>
    <row r="29" spans="2:5">
      <c r="B29" s="181"/>
      <c r="E29" s="182"/>
    </row>
    <row r="30" spans="2:5">
      <c r="B30" s="347" t="s">
        <v>378</v>
      </c>
      <c r="C30" s="348">
        <f>IF(C14&lt;=8354,0,IF(C14&lt;=13469,(974.58*C17+1400)*C17,IF(C14&lt;=52881,(228.74*C18+2397)*C18+971,IF(C14&lt;=250730,0.42*C16-8239,0.45*C16-15761))))</f>
        <v>0</v>
      </c>
      <c r="D30" s="330"/>
      <c r="E30" s="349">
        <f>IF(E16&lt;=8354,0,IF(E16&lt;=13469,(974.58*E17+1400)*E17,IF(E16&lt;=52881,(228.74*E18+2397)*E18+971,IF(E16&lt;=250730,0.42*E16-8239,0.45*E16-15761))))*2</f>
        <v>0</v>
      </c>
    </row>
    <row r="31" spans="2:5" ht="26.5">
      <c r="B31" s="350" t="s">
        <v>377</v>
      </c>
      <c r="C31" s="348">
        <f>IF(C24&lt;=8354,0,IF(C24&lt;=13469,(974.58*C27+1400)*C27,IF(C24&lt;=52881,(228.74*C28+2397)*C28+971,IF(C24&lt;=250730,0.42*C26-8239,0.45*C26-15761))))</f>
        <v>0</v>
      </c>
      <c r="D31" s="330"/>
      <c r="E31" s="349">
        <f>IF(E26&lt;=8354,0,IF(E26&lt;=13469,(974.58*E27+1400)*E27,IF(E26&lt;=52881,(228.74*E28+2397)*E28+971,IF(E26&lt;=250730,0.42*E26-8239,0.45*E26-15761))))*2</f>
        <v>0</v>
      </c>
    </row>
    <row r="32" spans="2:5">
      <c r="B32" s="181"/>
      <c r="E32" s="182"/>
    </row>
    <row r="33" spans="2:5">
      <c r="B33" s="347" t="s">
        <v>376</v>
      </c>
      <c r="C33" s="332">
        <f>(C31-C30)/(C12)</f>
        <v>0</v>
      </c>
      <c r="E33" s="351">
        <f>(E31-E30)/(E12)</f>
        <v>0</v>
      </c>
    </row>
    <row r="34" spans="2:5">
      <c r="B34" s="181"/>
      <c r="E34" s="182"/>
    </row>
    <row r="35" spans="2:5">
      <c r="B35" s="181" t="s">
        <v>389</v>
      </c>
      <c r="C35" s="333">
        <f>C33*1.055</f>
        <v>0</v>
      </c>
      <c r="E35" s="188">
        <f>E33*1.055</f>
        <v>0</v>
      </c>
    </row>
    <row r="36" spans="2:5">
      <c r="B36" s="181"/>
      <c r="E36" s="182"/>
    </row>
    <row r="37" spans="2:5" ht="15" thickBot="1">
      <c r="B37" s="183" t="s">
        <v>390</v>
      </c>
      <c r="C37" s="352">
        <f>C35*1.085</f>
        <v>0</v>
      </c>
      <c r="D37" s="352"/>
      <c r="E37" s="353">
        <f>E35*1.085</f>
        <v>0</v>
      </c>
    </row>
    <row r="39" spans="2:5">
      <c r="B39" s="356" t="s">
        <v>394</v>
      </c>
      <c r="C39" s="331">
        <f>IF('12'!D8=cnfg_rf!B29,IF('12'!E12="Ja",ekst_rf!E37,ekst_rf!E35),IF('12'!E12="Ja",ekst_rf!C37,ekst_rf!C35))</f>
        <v>0</v>
      </c>
    </row>
  </sheetData>
  <sheetProtection algorithmName="SHA-512" hashValue="59lhuTVPoM9Wk2WC5R5rdigrHut+/nVvssy4xklONu6jaEcnJeOdSr5OYH+ynribwJNQY3ULa2cLb7R0lv64CA==" saltValue="hd3DD+bw3pby4JtjXD6v6w==" spinCount="100000" sheet="1" objects="1" scenarios="1"/>
  <protectedRanges>
    <protectedRange sqref="C7 E7" name="Bereich1_1"/>
  </protectedRange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Deckblatt</vt:lpstr>
      <vt:lpstr>Roter Faden</vt:lpstr>
      <vt:lpstr>0</vt:lpstr>
      <vt:lpstr>1</vt:lpstr>
      <vt:lpstr>2</vt:lpstr>
      <vt:lpstr>3</vt:lpstr>
      <vt:lpstr>4</vt:lpstr>
      <vt:lpstr>5</vt:lpstr>
      <vt:lpstr>6</vt:lpstr>
      <vt:lpstr>7</vt:lpstr>
      <vt:lpstr>8</vt:lpstr>
      <vt:lpstr>9</vt:lpstr>
      <vt:lpstr>10</vt:lpstr>
      <vt:lpstr>11</vt:lpstr>
      <vt:lpstr>12</vt:lpstr>
      <vt:lpstr>13</vt:lpstr>
      <vt:lpstr>14</vt:lpstr>
      <vt:lpstr>15</vt:lpstr>
      <vt:lpstr>Cockpit</vt:lpstr>
      <vt:lpstr>Bankgespräch</vt:lpstr>
      <vt:lpstr>Kennzahlen im Verlauf</vt:lpstr>
      <vt:lpstr>Diagramme</vt:lpstr>
      <vt:lpstr>Konfiguration</vt:lpstr>
      <vt:lpstr>Haushaltsrechnung</vt:lpstr>
      <vt:lpstr>Vermögensaufstellung</vt:lpstr>
      <vt:lpstr>calc_rf</vt:lpstr>
      <vt:lpstr>cnfg_rf</vt:lpstr>
      <vt:lpstr>txt_rf</vt:lpstr>
      <vt:lpstr>ekst_rf</vt:lpstr>
      <vt:lpstr>'0'!Print_Area</vt:lpstr>
      <vt:lpstr>'1'!Print_Area</vt:lpstr>
      <vt:lpstr>'10'!Print_Area</vt:lpstr>
      <vt:lpstr>'11'!Print_Area</vt:lpstr>
      <vt:lpstr>'12'!Print_Area</vt:lpstr>
      <vt:lpstr>'13'!Print_Area</vt:lpstr>
      <vt:lpstr>'14'!Print_Area</vt:lpstr>
      <vt:lpstr>'15'!Print_Area</vt:lpstr>
      <vt:lpstr>'2'!Print_Area</vt:lpstr>
      <vt:lpstr>'3'!Print_Area</vt:lpstr>
      <vt:lpstr>'4'!Print_Area</vt:lpstr>
      <vt:lpstr>'5'!Print_Area</vt:lpstr>
      <vt:lpstr>'6'!Print_Area</vt:lpstr>
      <vt:lpstr>'7'!Print_Area</vt:lpstr>
      <vt:lpstr>'8'!Print_Area</vt:lpstr>
      <vt:lpstr>'9'!Print_Area</vt:lpstr>
      <vt:lpstr>Bankgespräch!Print_Area</vt:lpstr>
      <vt:lpstr>Cockpit!Print_Area</vt:lpstr>
      <vt:lpstr>Deckblatt!Print_Area</vt:lpstr>
      <vt:lpstr>Diagramme!Print_Area</vt:lpstr>
      <vt:lpstr>Haushaltsrechnung!Print_Area</vt:lpstr>
      <vt:lpstr>'Kennzahlen im Verlauf'!Print_Area</vt:lpstr>
      <vt:lpstr>Konfiguration!Print_Area</vt:lpstr>
      <vt:lpstr>'Roter Faden'!Print_Area</vt:lpstr>
      <vt:lpstr>Vermögensaufstellung!Print_Area</vt:lpstr>
      <vt:lpstr>'Kennzahlen im Verlauf'!Print_Titles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2023-10-16T14:25:39Z</dcterms:modified>
</cp:coreProperties>
</file>