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 updateLinks="never"/>
  <mc:AlternateContent xmlns:mc="http://schemas.openxmlformats.org/markup-compatibility/2006">
    <mc:Choice Requires="x15">
      <x15ac:absPath xmlns:x15ac="http://schemas.microsoft.com/office/spreadsheetml/2010/11/ac" url="/Users/oezguercizer/Documents/DSI_DATA/ABSCHLUSSPROJEKT/ROHDATEN/"/>
    </mc:Choice>
  </mc:AlternateContent>
  <xr:revisionPtr revIDLastSave="0" documentId="13_ncr:1_{E693E58B-F6D1-A74B-B791-D5246D2F80E3}" xr6:coauthVersionLast="47" xr6:coauthVersionMax="47" xr10:uidLastSave="{00000000-0000-0000-0000-000000000000}"/>
  <bookViews>
    <workbookView xWindow="-1180" yWindow="-21100" windowWidth="38060" windowHeight="21100" tabRatio="839" activeTab="1" xr2:uid="{00000000-000D-0000-FFFF-FFFF00000000}"/>
  </bookViews>
  <sheets>
    <sheet name="MS Input" sheetId="26" r:id="rId1"/>
    <sheet name="Normalisiert" sheetId="31" r:id="rId2"/>
    <sheet name="Rohdaten" sheetId="28" r:id="rId3"/>
    <sheet name="Index" sheetId="25" r:id="rId4"/>
    <sheet name="MS Stats list" sheetId="27" r:id="rId5"/>
    <sheet name="Parameters" sheetId="20" r:id="rId6"/>
    <sheet name="PEC Total" sheetId="13" r:id="rId7"/>
    <sheet name="PEC Fossil" sheetId="12" r:id="rId8"/>
    <sheet name="PEC Solid" sheetId="4" r:id="rId9"/>
    <sheet name="PEC Liquid" sheetId="21" r:id="rId10"/>
    <sheet name="PEC Gaseous" sheetId="22" r:id="rId11"/>
    <sheet name="PEC Nuclear" sheetId="8" r:id="rId12"/>
    <sheet name="PEC Waste" sheetId="9" r:id="rId13"/>
    <sheet name="PEC Electricity" sheetId="10" r:id="rId14"/>
    <sheet name="PEC RES" sheetId="11" r:id="rId15"/>
    <sheet name="GFEC Total" sheetId="24" r:id="rId16"/>
    <sheet name="FEC Total" sheetId="17" r:id="rId17"/>
    <sheet name="FEC Industry" sheetId="14" r:id="rId18"/>
    <sheet name="FEC Transport" sheetId="15" r:id="rId19"/>
    <sheet name="FEC Other" sheetId="16" r:id="rId20"/>
    <sheet name="FEC Transport foss" sheetId="19" r:id="rId21"/>
    <sheet name="FEC Transport RES" sheetId="18" r:id="rId22"/>
  </sheets>
  <externalReferences>
    <externalReference r:id="rId23"/>
  </externalReferences>
  <definedNames>
    <definedName name="_xlnm._FilterDatabase" localSheetId="10" hidden="1">'PEC Gaseous'!$A$6:$AB$34</definedName>
    <definedName name="_xlnm._FilterDatabase" localSheetId="9" hidden="1">'PEC Liquid'!$A$6:$AB$34</definedName>
    <definedName name="_xlnm._FilterDatabase" localSheetId="8" hidden="1">'PEC Solid'!$A$6:$AB$34</definedName>
    <definedName name="ColYearProxy" localSheetId="4">[1]Parameters!$C$9</definedName>
    <definedName name="ColYearProxy">Parameters!$C$9</definedName>
    <definedName name="OffsetLast" localSheetId="4">[1]Parameters!$C$12</definedName>
    <definedName name="OffsetLast">Parameters!$C$12</definedName>
    <definedName name="OffsetLastData">Parameters!$C$12</definedName>
    <definedName name="TrendDuration" localSheetId="17">'FEC Industry'!$AG$4</definedName>
    <definedName name="TrendDuration" localSheetId="19">'FEC Other'!$AI$4</definedName>
    <definedName name="TrendDuration" localSheetId="18">'FEC Transport'!#REF!</definedName>
    <definedName name="TrendDuration" localSheetId="20">'FEC Transport foss'!$AG$4</definedName>
    <definedName name="TrendDuration" localSheetId="4">'[1]PEC RES'!$AD$4</definedName>
    <definedName name="TrendDuration" localSheetId="10">'PEC Gaseous'!$AK$4</definedName>
    <definedName name="TrendDuration" localSheetId="9">'PEC Liquid'!$AK$4</definedName>
    <definedName name="TrendDuration" localSheetId="8">'PEC Solid'!$AK$4</definedName>
    <definedName name="TrendDuration" localSheetId="12">'PEC Waste'!$AH$4</definedName>
    <definedName name="TrendDuration">'PEC RES'!$AH$4</definedName>
    <definedName name="YearLast" localSheetId="4">[1]Parameters!$C$8</definedName>
    <definedName name="YearLast">Parameters!$C$8</definedName>
    <definedName name="YearProxy" localSheetId="4">[1]Parameters!$C$6</definedName>
    <definedName name="YearProxy">Parameters!$C$6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31" l="1"/>
  <c r="K19" i="31"/>
  <c r="K18" i="31"/>
  <c r="K17" i="31"/>
  <c r="K16" i="31"/>
  <c r="K15" i="31"/>
  <c r="K14" i="31"/>
  <c r="K13" i="31"/>
  <c r="K12" i="31"/>
  <c r="K11" i="31"/>
  <c r="K10" i="31"/>
  <c r="K9" i="31"/>
  <c r="K8" i="31"/>
  <c r="K7" i="31"/>
  <c r="K6" i="31"/>
  <c r="EW2" i="28"/>
  <c r="EC32" i="28"/>
  <c r="EB32" i="28"/>
  <c r="EA32" i="28"/>
  <c r="DZ32" i="28"/>
  <c r="DY32" i="28"/>
  <c r="DX32" i="28"/>
  <c r="DW32" i="28"/>
  <c r="DV32" i="28"/>
  <c r="DU32" i="28"/>
  <c r="DT32" i="28"/>
  <c r="DS32" i="28"/>
  <c r="DR32" i="28"/>
  <c r="DQ32" i="28"/>
  <c r="DP32" i="28"/>
  <c r="DO32" i="28"/>
  <c r="DN32" i="28"/>
  <c r="DM32" i="28"/>
  <c r="DL32" i="28"/>
  <c r="EC31" i="28"/>
  <c r="EB31" i="28"/>
  <c r="EA31" i="28"/>
  <c r="DZ31" i="28"/>
  <c r="DY31" i="28"/>
  <c r="DX31" i="28"/>
  <c r="DW31" i="28"/>
  <c r="DV31" i="28"/>
  <c r="DU31" i="28"/>
  <c r="DT31" i="28"/>
  <c r="DS31" i="28"/>
  <c r="DR31" i="28"/>
  <c r="DQ31" i="28"/>
  <c r="DP31" i="28"/>
  <c r="DO31" i="28"/>
  <c r="DN31" i="28"/>
  <c r="DM31" i="28"/>
  <c r="DL31" i="28"/>
  <c r="ED2" i="28"/>
  <c r="DJ32" i="28"/>
  <c r="DI32" i="28"/>
  <c r="DH32" i="28"/>
  <c r="DG32" i="28"/>
  <c r="DF32" i="28"/>
  <c r="DE32" i="28"/>
  <c r="DD32" i="28"/>
  <c r="DC32" i="28"/>
  <c r="DB32" i="28"/>
  <c r="DA32" i="28"/>
  <c r="CZ32" i="28"/>
  <c r="CY32" i="28"/>
  <c r="CX32" i="28"/>
  <c r="CW32" i="28"/>
  <c r="CV32" i="28"/>
  <c r="CU32" i="28"/>
  <c r="CT32" i="28"/>
  <c r="CS32" i="28"/>
  <c r="DJ31" i="28"/>
  <c r="DI31" i="28"/>
  <c r="DH31" i="28"/>
  <c r="DG31" i="28"/>
  <c r="DF31" i="28"/>
  <c r="DE31" i="28"/>
  <c r="DD31" i="28"/>
  <c r="DC31" i="28"/>
  <c r="DB31" i="28"/>
  <c r="DA31" i="28"/>
  <c r="CZ31" i="28"/>
  <c r="CY31" i="28"/>
  <c r="CX31" i="28"/>
  <c r="CW31" i="28"/>
  <c r="CV31" i="28"/>
  <c r="CU31" i="28"/>
  <c r="CT31" i="28"/>
  <c r="CS31" i="28"/>
  <c r="CQ32" i="28"/>
  <c r="CP32" i="28"/>
  <c r="CO32" i="28"/>
  <c r="CN32" i="28"/>
  <c r="CM32" i="28"/>
  <c r="CL32" i="28"/>
  <c r="CK32" i="28"/>
  <c r="CJ32" i="28"/>
  <c r="CI32" i="28"/>
  <c r="CH32" i="28"/>
  <c r="CG32" i="28"/>
  <c r="CF32" i="28"/>
  <c r="CE32" i="28"/>
  <c r="CD32" i="28"/>
  <c r="CC32" i="28"/>
  <c r="CB32" i="28"/>
  <c r="CA32" i="28"/>
  <c r="BZ32" i="28"/>
  <c r="CQ31" i="28"/>
  <c r="CP31" i="28"/>
  <c r="CO31" i="28"/>
  <c r="CN31" i="28"/>
  <c r="CM31" i="28"/>
  <c r="CL31" i="28"/>
  <c r="CK31" i="28"/>
  <c r="CJ31" i="28"/>
  <c r="CI31" i="28"/>
  <c r="CH31" i="28"/>
  <c r="CG31" i="28"/>
  <c r="CF31" i="28"/>
  <c r="CE31" i="28"/>
  <c r="CD31" i="28"/>
  <c r="CC31" i="28"/>
  <c r="CB31" i="28"/>
  <c r="CA31" i="28"/>
  <c r="BZ31" i="28"/>
  <c r="BX32" i="28"/>
  <c r="BW32" i="28"/>
  <c r="BV32" i="28"/>
  <c r="BU32" i="28"/>
  <c r="BT32" i="28"/>
  <c r="BS32" i="28"/>
  <c r="BR32" i="28"/>
  <c r="BQ32" i="28"/>
  <c r="BP32" i="28"/>
  <c r="BO32" i="28"/>
  <c r="BN32" i="28"/>
  <c r="BM32" i="28"/>
  <c r="BL32" i="28"/>
  <c r="BK32" i="28"/>
  <c r="BJ32" i="28"/>
  <c r="BI32" i="28"/>
  <c r="BH32" i="28"/>
  <c r="BG32" i="28"/>
  <c r="BX31" i="28"/>
  <c r="BW31" i="28"/>
  <c r="BV31" i="28"/>
  <c r="BU31" i="28"/>
  <c r="BT31" i="28"/>
  <c r="BS31" i="28"/>
  <c r="BR31" i="28"/>
  <c r="BQ31" i="28"/>
  <c r="BP31" i="28"/>
  <c r="BO31" i="28"/>
  <c r="BN31" i="28"/>
  <c r="BM31" i="28"/>
  <c r="BL31" i="28"/>
  <c r="BK31" i="28"/>
  <c r="BJ31" i="28"/>
  <c r="BI31" i="28"/>
  <c r="BH31" i="28"/>
  <c r="BG31" i="28"/>
  <c r="BE32" i="28"/>
  <c r="BD32" i="28"/>
  <c r="BC32" i="28"/>
  <c r="BB32" i="28"/>
  <c r="BA32" i="28"/>
  <c r="AZ32" i="28"/>
  <c r="AY32" i="28"/>
  <c r="AX32" i="28"/>
  <c r="AW32" i="28"/>
  <c r="AV32" i="28"/>
  <c r="AU32" i="28"/>
  <c r="AT32" i="28"/>
  <c r="AS32" i="28"/>
  <c r="AR32" i="28"/>
  <c r="AQ32" i="28"/>
  <c r="AP32" i="28"/>
  <c r="AO32" i="28"/>
  <c r="AN32" i="28"/>
  <c r="BE31" i="28"/>
  <c r="BD31" i="28"/>
  <c r="BC31" i="28"/>
  <c r="BB31" i="28"/>
  <c r="BA31" i="28"/>
  <c r="AZ31" i="28"/>
  <c r="AY31" i="28"/>
  <c r="AX31" i="28"/>
  <c r="AW31" i="28"/>
  <c r="AV31" i="28"/>
  <c r="AU31" i="28"/>
  <c r="AT31" i="28"/>
  <c r="AS31" i="28"/>
  <c r="AR31" i="28"/>
  <c r="AQ31" i="28"/>
  <c r="AP31" i="28"/>
  <c r="AO31" i="28"/>
  <c r="AN31" i="28"/>
  <c r="AL32" i="28"/>
  <c r="AK32" i="28"/>
  <c r="AJ32" i="28"/>
  <c r="AI32" i="28"/>
  <c r="AH32" i="28"/>
  <c r="AG32" i="28"/>
  <c r="AF32" i="28"/>
  <c r="AE32" i="28"/>
  <c r="AD32" i="28"/>
  <c r="AC32" i="28"/>
  <c r="AB32" i="28"/>
  <c r="AA32" i="28"/>
  <c r="Z32" i="28"/>
  <c r="Y32" i="28"/>
  <c r="X32" i="28"/>
  <c r="W32" i="28"/>
  <c r="V32" i="28"/>
  <c r="U32" i="28"/>
  <c r="AL31" i="28"/>
  <c r="AK31" i="28"/>
  <c r="AJ31" i="28"/>
  <c r="AI31" i="28"/>
  <c r="AH31" i="28"/>
  <c r="AG31" i="28"/>
  <c r="AF31" i="28"/>
  <c r="AE31" i="28"/>
  <c r="AD31" i="28"/>
  <c r="AC31" i="28"/>
  <c r="AB31" i="28"/>
  <c r="AA31" i="28"/>
  <c r="Z31" i="28"/>
  <c r="Y31" i="28"/>
  <c r="X31" i="28"/>
  <c r="W31" i="28"/>
  <c r="V31" i="28"/>
  <c r="U31" i="28"/>
  <c r="S32" i="28"/>
  <c r="R32" i="28"/>
  <c r="Q32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B32" i="28"/>
  <c r="S31" i="28"/>
  <c r="R31" i="28"/>
  <c r="Q31" i="28"/>
  <c r="P31" i="28"/>
  <c r="O31" i="28"/>
  <c r="N31" i="28"/>
  <c r="M31" i="28"/>
  <c r="L31" i="28"/>
  <c r="K31" i="28"/>
  <c r="J31" i="28"/>
  <c r="I31" i="28"/>
  <c r="H31" i="28"/>
  <c r="G31" i="28"/>
  <c r="F31" i="28"/>
  <c r="E31" i="28"/>
  <c r="D31" i="28"/>
  <c r="C31" i="28"/>
  <c r="B31" i="28"/>
  <c r="U18" i="17"/>
  <c r="U10" i="17"/>
  <c r="U7" i="17"/>
  <c r="U13" i="17"/>
  <c r="U32" i="17"/>
  <c r="U15" i="17" l="1"/>
  <c r="U30" i="17"/>
  <c r="U31" i="17"/>
  <c r="U34" i="17"/>
  <c r="U8" i="17"/>
  <c r="U25" i="17"/>
  <c r="U33" i="17"/>
  <c r="U19" i="17"/>
  <c r="U29" i="17"/>
  <c r="U11" i="17"/>
  <c r="U16" i="17"/>
  <c r="U12" i="17"/>
  <c r="U17" i="17"/>
  <c r="U14" i="17"/>
  <c r="U27" i="17"/>
  <c r="U9" i="17"/>
  <c r="U28" i="17"/>
  <c r="U24" i="17"/>
  <c r="U26" i="17"/>
  <c r="U20" i="17"/>
  <c r="U21" i="17"/>
  <c r="U22" i="17"/>
  <c r="U23" i="1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9" i="27"/>
  <c r="U6" i="16" l="1"/>
  <c r="U6" i="15"/>
  <c r="U19" i="19" l="1"/>
  <c r="U27" i="19"/>
  <c r="U31" i="19"/>
  <c r="U14" i="19"/>
  <c r="U18" i="19"/>
  <c r="U22" i="19"/>
  <c r="U24" i="19"/>
  <c r="U26" i="19"/>
  <c r="U29" i="19"/>
  <c r="U30" i="19"/>
  <c r="U32" i="19"/>
  <c r="U34" i="19"/>
  <c r="T34" i="12"/>
  <c r="U27" i="12"/>
  <c r="U8" i="12"/>
  <c r="T11" i="12"/>
  <c r="U10" i="19"/>
  <c r="U36" i="18"/>
  <c r="U36" i="16"/>
  <c r="U36" i="15"/>
  <c r="U36" i="14"/>
  <c r="T8" i="12"/>
  <c r="T16" i="12"/>
  <c r="T24" i="12"/>
  <c r="T14" i="12"/>
  <c r="T22" i="12"/>
  <c r="S22" i="12"/>
  <c r="T26" i="12"/>
  <c r="S26" i="12"/>
  <c r="S20" i="12"/>
  <c r="T15" i="12"/>
  <c r="S33" i="12"/>
  <c r="S30" i="12"/>
  <c r="S34" i="12"/>
  <c r="U6" i="18"/>
  <c r="U41" i="18" s="1"/>
  <c r="V6" i="18"/>
  <c r="V41" i="18"/>
  <c r="U6" i="19"/>
  <c r="U41" i="19" s="1"/>
  <c r="AD26" i="19"/>
  <c r="AD27" i="19"/>
  <c r="AF26" i="16"/>
  <c r="AF27" i="16"/>
  <c r="AF28" i="16"/>
  <c r="AF29" i="16"/>
  <c r="AF30" i="16"/>
  <c r="AF31" i="16"/>
  <c r="AF32" i="16"/>
  <c r="AF33" i="16"/>
  <c r="U41" i="16"/>
  <c r="U41" i="15"/>
  <c r="U6" i="14"/>
  <c r="U41" i="14"/>
  <c r="T41" i="17"/>
  <c r="U41" i="17"/>
  <c r="T41" i="24"/>
  <c r="U41" i="24"/>
  <c r="U6" i="11"/>
  <c r="U41" i="11" s="1"/>
  <c r="AD26" i="11"/>
  <c r="AE26" i="10"/>
  <c r="U41" i="10"/>
  <c r="U6" i="9"/>
  <c r="U41" i="9" s="1"/>
  <c r="U41" i="8"/>
  <c r="AF26" i="22"/>
  <c r="AF27" i="22"/>
  <c r="AF28" i="22"/>
  <c r="AF29" i="22"/>
  <c r="AF30" i="22"/>
  <c r="AF31" i="22"/>
  <c r="U6" i="22"/>
  <c r="U41" i="22" s="1"/>
  <c r="AF26" i="21"/>
  <c r="AF27" i="21"/>
  <c r="AF28" i="21"/>
  <c r="AF29" i="21"/>
  <c r="AF30" i="21"/>
  <c r="AF31" i="21"/>
  <c r="AF33" i="21"/>
  <c r="AF34" i="21"/>
  <c r="U6" i="21"/>
  <c r="U41" i="21" s="1"/>
  <c r="U41" i="4"/>
  <c r="U6" i="12"/>
  <c r="U41" i="12" s="1"/>
  <c r="U41" i="13"/>
  <c r="T7" i="12" l="1"/>
  <c r="T32" i="12"/>
  <c r="U14" i="12"/>
  <c r="S34" i="13"/>
  <c r="S30" i="13"/>
  <c r="S13" i="12"/>
  <c r="S13" i="13" s="1"/>
  <c r="S11" i="12"/>
  <c r="T27" i="12"/>
  <c r="T27" i="13" s="1"/>
  <c r="U26" i="12"/>
  <c r="U35" i="18"/>
  <c r="U35" i="16"/>
  <c r="U33" i="19"/>
  <c r="U28" i="19"/>
  <c r="U25" i="19"/>
  <c r="U23" i="19"/>
  <c r="U21" i="19"/>
  <c r="U20" i="19"/>
  <c r="U17" i="19"/>
  <c r="U16" i="19"/>
  <c r="U15" i="19"/>
  <c r="U13" i="19"/>
  <c r="U12" i="19"/>
  <c r="U11" i="19"/>
  <c r="U35" i="15"/>
  <c r="U9" i="19"/>
  <c r="U8" i="19"/>
  <c r="U7" i="19"/>
  <c r="U35" i="14"/>
  <c r="U19" i="12"/>
  <c r="T11" i="13"/>
  <c r="U13" i="12"/>
  <c r="S32" i="12"/>
  <c r="S32" i="13" s="1"/>
  <c r="T10" i="12"/>
  <c r="U12" i="12"/>
  <c r="U20" i="12"/>
  <c r="U21" i="12"/>
  <c r="U9" i="12"/>
  <c r="S21" i="12"/>
  <c r="S21" i="13" s="1"/>
  <c r="T18" i="12"/>
  <c r="T18" i="13" s="1"/>
  <c r="T20" i="12"/>
  <c r="T20" i="13" s="1"/>
  <c r="T17" i="12"/>
  <c r="T17" i="13" s="1"/>
  <c r="T12" i="12"/>
  <c r="T12" i="13" s="1"/>
  <c r="T9" i="12"/>
  <c r="T9" i="13" s="1"/>
  <c r="T26" i="13"/>
  <c r="S25" i="12"/>
  <c r="S25" i="13" s="1"/>
  <c r="T22" i="13"/>
  <c r="S14" i="12"/>
  <c r="S14" i="13" s="1"/>
  <c r="S9" i="12"/>
  <c r="S9" i="13" s="1"/>
  <c r="T24" i="13"/>
  <c r="U31" i="12"/>
  <c r="T25" i="12"/>
  <c r="T25" i="13" s="1"/>
  <c r="U17" i="12"/>
  <c r="U33" i="12"/>
  <c r="T21" i="12"/>
  <c r="T21" i="13" s="1"/>
  <c r="U10" i="12"/>
  <c r="T30" i="12"/>
  <c r="T30" i="13" s="1"/>
  <c r="U18" i="12"/>
  <c r="U28" i="12"/>
  <c r="U15" i="12"/>
  <c r="T23" i="12"/>
  <c r="T23" i="13" s="1"/>
  <c r="S18" i="12"/>
  <c r="S18" i="13" s="1"/>
  <c r="T7" i="13"/>
  <c r="S20" i="13"/>
  <c r="S12" i="12"/>
  <c r="S12" i="13" s="1"/>
  <c r="S22" i="13"/>
  <c r="S17" i="12"/>
  <c r="S17" i="13" s="1"/>
  <c r="T28" i="12"/>
  <c r="T28" i="13" s="1"/>
  <c r="S24" i="12"/>
  <c r="S24" i="13" s="1"/>
  <c r="S19" i="12"/>
  <c r="S19" i="13" s="1"/>
  <c r="T16" i="13"/>
  <c r="U36" i="8"/>
  <c r="U32" i="12"/>
  <c r="U22" i="12"/>
  <c r="U34" i="12"/>
  <c r="U29" i="12"/>
  <c r="U16" i="12"/>
  <c r="S26" i="13"/>
  <c r="S16" i="12"/>
  <c r="S16" i="13" s="1"/>
  <c r="S11" i="13"/>
  <c r="T8" i="13"/>
  <c r="T32" i="13"/>
  <c r="T34" i="13"/>
  <c r="T29" i="12"/>
  <c r="T29" i="13" s="1"/>
  <c r="T31" i="12"/>
  <c r="T31" i="13" s="1"/>
  <c r="T10" i="13"/>
  <c r="S33" i="13"/>
  <c r="S31" i="12"/>
  <c r="S31" i="13" s="1"/>
  <c r="S29" i="12"/>
  <c r="S29" i="13" s="1"/>
  <c r="S27" i="12"/>
  <c r="S27" i="13" s="1"/>
  <c r="T15" i="13"/>
  <c r="S10" i="12"/>
  <c r="S10" i="13" s="1"/>
  <c r="S23" i="12"/>
  <c r="S23" i="13" s="1"/>
  <c r="S15" i="12"/>
  <c r="S15" i="13" s="1"/>
  <c r="T14" i="13"/>
  <c r="S28" i="12"/>
  <c r="S28" i="13" s="1"/>
  <c r="S8" i="12"/>
  <c r="S8" i="13" s="1"/>
  <c r="U25" i="12"/>
  <c r="T19" i="12"/>
  <c r="T19" i="13" s="1"/>
  <c r="T33" i="12"/>
  <c r="T33" i="13" s="1"/>
  <c r="U11" i="12"/>
  <c r="U30" i="12"/>
  <c r="U23" i="12"/>
  <c r="U7" i="12"/>
  <c r="U24" i="12"/>
  <c r="T13" i="12"/>
  <c r="T13" i="13" s="1"/>
  <c r="U35" i="10"/>
  <c r="U35" i="11"/>
  <c r="U35" i="9"/>
  <c r="U35" i="4"/>
  <c r="U35" i="22"/>
  <c r="U36" i="4"/>
  <c r="U36" i="10"/>
  <c r="U36" i="9"/>
  <c r="U36" i="22"/>
  <c r="U36" i="11"/>
  <c r="U35" i="8"/>
  <c r="U35" i="21"/>
  <c r="U36" i="21"/>
  <c r="U35" i="19" l="1"/>
  <c r="U36" i="19"/>
  <c r="U60" i="4"/>
  <c r="U50" i="21" l="1"/>
  <c r="U54" i="21"/>
  <c r="U51" i="21"/>
  <c r="U46" i="21"/>
  <c r="T46" i="21"/>
  <c r="U47" i="21"/>
  <c r="T59" i="21"/>
  <c r="U59" i="21"/>
  <c r="U59" i="8"/>
  <c r="T53" i="11"/>
  <c r="U53" i="11"/>
  <c r="U57" i="11"/>
  <c r="T61" i="11"/>
  <c r="U61" i="11"/>
  <c r="U65" i="11"/>
  <c r="T69" i="11"/>
  <c r="U69" i="11"/>
  <c r="U67" i="4"/>
  <c r="T47" i="21"/>
  <c r="T51" i="21"/>
  <c r="U66" i="4"/>
  <c r="U48" i="4"/>
  <c r="U55" i="4"/>
  <c r="U47" i="4"/>
  <c r="U52" i="4"/>
  <c r="U49" i="4"/>
  <c r="U42" i="4"/>
  <c r="U44" i="4"/>
  <c r="U45" i="4"/>
  <c r="U50" i="4"/>
  <c r="U64" i="4"/>
  <c r="U68" i="4"/>
  <c r="U43" i="4"/>
  <c r="U59" i="4"/>
  <c r="U46" i="4"/>
  <c r="U51" i="4"/>
  <c r="U56" i="4"/>
  <c r="U53" i="4"/>
  <c r="U57" i="4"/>
  <c r="U61" i="4"/>
  <c r="U65" i="4"/>
  <c r="U69" i="4"/>
  <c r="T54" i="21"/>
  <c r="T50" i="21"/>
  <c r="U54" i="4"/>
  <c r="U58" i="4"/>
  <c r="U62" i="4"/>
  <c r="U63" i="4"/>
  <c r="T59" i="8"/>
  <c r="T57" i="11"/>
  <c r="T65" i="11"/>
  <c r="U61" i="15" l="1"/>
  <c r="U69" i="15"/>
  <c r="U64" i="11"/>
  <c r="T64" i="11"/>
  <c r="U69" i="10"/>
  <c r="T69" i="10"/>
  <c r="U54" i="9"/>
  <c r="T54" i="9"/>
  <c r="T65" i="9"/>
  <c r="U65" i="9"/>
  <c r="U62" i="9"/>
  <c r="T62" i="9"/>
  <c r="T47" i="9"/>
  <c r="U47" i="9"/>
  <c r="T68" i="22"/>
  <c r="U68" i="22"/>
  <c r="U53" i="22"/>
  <c r="T53" i="22"/>
  <c r="U65" i="22"/>
  <c r="T65" i="22"/>
  <c r="T65" i="21"/>
  <c r="U65" i="21"/>
  <c r="T58" i="22"/>
  <c r="U58" i="22"/>
  <c r="T61" i="21"/>
  <c r="U61" i="21"/>
  <c r="U42" i="11"/>
  <c r="T42" i="11"/>
  <c r="U64" i="9"/>
  <c r="T64" i="9"/>
  <c r="T42" i="21"/>
  <c r="U42" i="21"/>
  <c r="U50" i="15"/>
  <c r="U66" i="15"/>
  <c r="U60" i="11"/>
  <c r="T60" i="11"/>
  <c r="T59" i="11"/>
  <c r="U59" i="11"/>
  <c r="U63" i="10"/>
  <c r="T63" i="10"/>
  <c r="T69" i="9"/>
  <c r="U69" i="9"/>
  <c r="T55" i="9"/>
  <c r="U55" i="9"/>
  <c r="U46" i="9"/>
  <c r="T46" i="9"/>
  <c r="T49" i="9"/>
  <c r="U49" i="9"/>
  <c r="T63" i="8"/>
  <c r="U63" i="8"/>
  <c r="T51" i="9"/>
  <c r="U51" i="9"/>
  <c r="T66" i="8"/>
  <c r="U66" i="8"/>
  <c r="T52" i="8"/>
  <c r="U52" i="8"/>
  <c r="T44" i="8"/>
  <c r="U44" i="8"/>
  <c r="T55" i="8"/>
  <c r="U55" i="8"/>
  <c r="T58" i="8"/>
  <c r="U58" i="8"/>
  <c r="T56" i="22"/>
  <c r="U56" i="22"/>
  <c r="T45" i="8"/>
  <c r="U45" i="8"/>
  <c r="T52" i="22"/>
  <c r="U52" i="22"/>
  <c r="T54" i="8"/>
  <c r="U54" i="8"/>
  <c r="T63" i="15"/>
  <c r="U63" i="15"/>
  <c r="U67" i="15"/>
  <c r="U56" i="11"/>
  <c r="T56" i="11"/>
  <c r="U48" i="11"/>
  <c r="T48" i="11"/>
  <c r="T55" i="11"/>
  <c r="U55" i="11"/>
  <c r="T47" i="11"/>
  <c r="U47" i="11"/>
  <c r="AI27" i="10"/>
  <c r="T62" i="10"/>
  <c r="U62" i="10"/>
  <c r="AI26" i="10"/>
  <c r="U61" i="10"/>
  <c r="T61" i="10"/>
  <c r="T50" i="10"/>
  <c r="U50" i="10"/>
  <c r="U49" i="10"/>
  <c r="T49" i="10"/>
  <c r="T59" i="9"/>
  <c r="U59" i="9"/>
  <c r="U50" i="9"/>
  <c r="T50" i="9"/>
  <c r="U66" i="9"/>
  <c r="T66" i="9"/>
  <c r="U47" i="10"/>
  <c r="T47" i="10"/>
  <c r="U58" i="9"/>
  <c r="T58" i="9"/>
  <c r="T42" i="10"/>
  <c r="U42" i="10"/>
  <c r="U51" i="10"/>
  <c r="T51" i="10"/>
  <c r="U44" i="9"/>
  <c r="T44" i="9"/>
  <c r="T57" i="9"/>
  <c r="U57" i="9"/>
  <c r="T53" i="8"/>
  <c r="U53" i="8"/>
  <c r="T67" i="8"/>
  <c r="U67" i="8"/>
  <c r="T64" i="8"/>
  <c r="U64" i="8"/>
  <c r="T56" i="8"/>
  <c r="U56" i="8"/>
  <c r="T48" i="8"/>
  <c r="U48" i="8"/>
  <c r="T43" i="9"/>
  <c r="U43" i="9"/>
  <c r="U42" i="9"/>
  <c r="T42" i="9"/>
  <c r="T51" i="8"/>
  <c r="U51" i="8"/>
  <c r="T55" i="22"/>
  <c r="U55" i="22"/>
  <c r="U49" i="22"/>
  <c r="T49" i="22"/>
  <c r="T46" i="8"/>
  <c r="U46" i="8"/>
  <c r="T62" i="22"/>
  <c r="U62" i="22"/>
  <c r="U61" i="22"/>
  <c r="T61" i="22"/>
  <c r="T60" i="22"/>
  <c r="U60" i="22"/>
  <c r="T48" i="22"/>
  <c r="U48" i="22"/>
  <c r="T59" i="22"/>
  <c r="U59" i="22"/>
  <c r="T50" i="8"/>
  <c r="U50" i="8"/>
  <c r="T67" i="21"/>
  <c r="U67" i="21"/>
  <c r="T47" i="22"/>
  <c r="U47" i="22"/>
  <c r="T68" i="21"/>
  <c r="U68" i="21"/>
  <c r="T60" i="21"/>
  <c r="U60" i="21"/>
  <c r="U45" i="21"/>
  <c r="T45" i="21"/>
  <c r="T63" i="21"/>
  <c r="U63" i="21"/>
  <c r="T43" i="21"/>
  <c r="U43" i="21"/>
  <c r="T50" i="22"/>
  <c r="U50" i="22"/>
  <c r="U56" i="9"/>
  <c r="T56" i="9"/>
  <c r="T60" i="8"/>
  <c r="U60" i="8"/>
  <c r="T55" i="21"/>
  <c r="U55" i="21"/>
  <c r="U50" i="11"/>
  <c r="T50" i="11"/>
  <c r="U46" i="11"/>
  <c r="T46" i="11"/>
  <c r="U69" i="18"/>
  <c r="T63" i="11"/>
  <c r="U63" i="11"/>
  <c r="AI31" i="10"/>
  <c r="T66" i="10"/>
  <c r="U66" i="10"/>
  <c r="T68" i="10"/>
  <c r="U68" i="10"/>
  <c r="T45" i="11"/>
  <c r="U45" i="11"/>
  <c r="AI32" i="10"/>
  <c r="U67" i="10"/>
  <c r="T67" i="10"/>
  <c r="T61" i="9"/>
  <c r="U61" i="9"/>
  <c r="T54" i="10"/>
  <c r="U54" i="10"/>
  <c r="T63" i="9"/>
  <c r="U63" i="9"/>
  <c r="U45" i="10"/>
  <c r="T45" i="10"/>
  <c r="T52" i="10"/>
  <c r="U52" i="10"/>
  <c r="T64" i="10"/>
  <c r="U64" i="10"/>
  <c r="T53" i="9"/>
  <c r="U53" i="9"/>
  <c r="T57" i="21"/>
  <c r="U57" i="21"/>
  <c r="U66" i="21"/>
  <c r="T66" i="21"/>
  <c r="T56" i="21"/>
  <c r="U56" i="21"/>
  <c r="U62" i="21"/>
  <c r="T62" i="21"/>
  <c r="T43" i="22"/>
  <c r="U43" i="22"/>
  <c r="U65" i="10"/>
  <c r="T65" i="10"/>
  <c r="U58" i="15"/>
  <c r="T62" i="15"/>
  <c r="U62" i="15"/>
  <c r="U44" i="11"/>
  <c r="T44" i="11"/>
  <c r="T60" i="10"/>
  <c r="U60" i="10"/>
  <c r="AI24" i="10"/>
  <c r="U59" i="10"/>
  <c r="T59" i="10"/>
  <c r="U68" i="9"/>
  <c r="T68" i="9"/>
  <c r="T56" i="10"/>
  <c r="U56" i="10"/>
  <c r="AI8" i="10"/>
  <c r="U43" i="10"/>
  <c r="T43" i="10"/>
  <c r="T58" i="10"/>
  <c r="U58" i="10"/>
  <c r="U53" i="10"/>
  <c r="T53" i="10"/>
  <c r="U52" i="9"/>
  <c r="T52" i="9"/>
  <c r="T65" i="8"/>
  <c r="U65" i="8"/>
  <c r="T69" i="8"/>
  <c r="U69" i="8"/>
  <c r="T64" i="22"/>
  <c r="U64" i="22"/>
  <c r="T46" i="22"/>
  <c r="U46" i="22"/>
  <c r="U69" i="22"/>
  <c r="T69" i="22"/>
  <c r="T42" i="8"/>
  <c r="U42" i="8"/>
  <c r="T51" i="22"/>
  <c r="U51" i="22"/>
  <c r="T64" i="21"/>
  <c r="U64" i="21"/>
  <c r="U45" i="22"/>
  <c r="T45" i="22"/>
  <c r="U48" i="9"/>
  <c r="T48" i="9"/>
  <c r="U44" i="21"/>
  <c r="T44" i="21"/>
  <c r="U54" i="11"/>
  <c r="T54" i="11"/>
  <c r="U56" i="15"/>
  <c r="T68" i="11"/>
  <c r="U68" i="11"/>
  <c r="U52" i="11"/>
  <c r="T52" i="11"/>
  <c r="T67" i="11"/>
  <c r="U67" i="11"/>
  <c r="T51" i="11"/>
  <c r="U51" i="11"/>
  <c r="T43" i="11"/>
  <c r="U43" i="11"/>
  <c r="T49" i="11"/>
  <c r="U49" i="11"/>
  <c r="U57" i="10"/>
  <c r="T57" i="10"/>
  <c r="T48" i="10"/>
  <c r="U48" i="10"/>
  <c r="U55" i="10"/>
  <c r="T55" i="10"/>
  <c r="U60" i="9"/>
  <c r="T60" i="9"/>
  <c r="T46" i="10"/>
  <c r="U46" i="10"/>
  <c r="T44" i="10"/>
  <c r="U44" i="10"/>
  <c r="T67" i="9"/>
  <c r="U67" i="9"/>
  <c r="T61" i="8"/>
  <c r="U61" i="8"/>
  <c r="T62" i="8"/>
  <c r="U62" i="8"/>
  <c r="T57" i="8"/>
  <c r="U57" i="8"/>
  <c r="T49" i="8"/>
  <c r="U49" i="8"/>
  <c r="T45" i="9"/>
  <c r="U45" i="9"/>
  <c r="T68" i="8"/>
  <c r="U68" i="8"/>
  <c r="T63" i="22"/>
  <c r="U63" i="22"/>
  <c r="T54" i="22"/>
  <c r="U54" i="22"/>
  <c r="T47" i="8"/>
  <c r="U47" i="8"/>
  <c r="T69" i="21"/>
  <c r="U69" i="21"/>
  <c r="T67" i="22"/>
  <c r="U67" i="22"/>
  <c r="T66" i="22"/>
  <c r="U66" i="22"/>
  <c r="T43" i="8"/>
  <c r="U43" i="8"/>
  <c r="U57" i="22"/>
  <c r="T57" i="22"/>
  <c r="T44" i="22"/>
  <c r="U44" i="22"/>
  <c r="T49" i="21"/>
  <c r="U49" i="21"/>
  <c r="T42" i="22"/>
  <c r="U42" i="22"/>
  <c r="T53" i="21"/>
  <c r="U53" i="21"/>
  <c r="U58" i="21"/>
  <c r="T58" i="21"/>
  <c r="T48" i="21"/>
  <c r="U48" i="21"/>
  <c r="U66" i="11"/>
  <c r="T66" i="11"/>
  <c r="U62" i="11"/>
  <c r="T62" i="11"/>
  <c r="U58" i="11"/>
  <c r="T58" i="11"/>
  <c r="T52" i="21"/>
  <c r="U52" i="21"/>
  <c r="AI12" i="10"/>
  <c r="AI34" i="10"/>
  <c r="AI19" i="10"/>
  <c r="AI30" i="10"/>
  <c r="AI16" i="10"/>
  <c r="AI33" i="10"/>
  <c r="AI10" i="10"/>
  <c r="AI17" i="10"/>
  <c r="AI29" i="10"/>
  <c r="AI21" i="10"/>
  <c r="AI22" i="10"/>
  <c r="AI13" i="10"/>
  <c r="AI28" i="10"/>
  <c r="AI25" i="10"/>
  <c r="AI23" i="10"/>
  <c r="AI18" i="10"/>
  <c r="AI15" i="10"/>
  <c r="AI14" i="10"/>
  <c r="AI7" i="10"/>
  <c r="AI20" i="10"/>
  <c r="AI11" i="10"/>
  <c r="AI9" i="10"/>
  <c r="T69" i="15"/>
  <c r="T56" i="15"/>
  <c r="T58" i="15"/>
  <c r="T50" i="15"/>
  <c r="T61" i="15"/>
  <c r="T66" i="15"/>
  <c r="T67" i="15"/>
  <c r="T69" i="18"/>
  <c r="T46" i="18" l="1"/>
  <c r="U46" i="18"/>
  <c r="T61" i="18"/>
  <c r="U61" i="18"/>
  <c r="T66" i="18"/>
  <c r="U66" i="18"/>
  <c r="T30" i="17"/>
  <c r="U65" i="16"/>
  <c r="T65" i="16"/>
  <c r="T45" i="14"/>
  <c r="U45" i="14"/>
  <c r="T18" i="17"/>
  <c r="U53" i="16"/>
  <c r="T53" i="16"/>
  <c r="T21" i="17"/>
  <c r="T56" i="16"/>
  <c r="U56" i="16"/>
  <c r="T12" i="17"/>
  <c r="U47" i="16"/>
  <c r="T47" i="16"/>
  <c r="T67" i="18"/>
  <c r="U67" i="18"/>
  <c r="T65" i="18"/>
  <c r="U65" i="18"/>
  <c r="T57" i="18"/>
  <c r="U57" i="18"/>
  <c r="T49" i="18"/>
  <c r="U49" i="18"/>
  <c r="T25" i="17"/>
  <c r="T60" i="16"/>
  <c r="U60" i="16"/>
  <c r="T54" i="18"/>
  <c r="U54" i="18"/>
  <c r="T53" i="18"/>
  <c r="U53" i="18"/>
  <c r="T60" i="18"/>
  <c r="U60" i="18"/>
  <c r="T33" i="17"/>
  <c r="T68" i="16"/>
  <c r="U68" i="16"/>
  <c r="T28" i="17"/>
  <c r="U63" i="16"/>
  <c r="T63" i="16"/>
  <c r="T43" i="18"/>
  <c r="U43" i="18"/>
  <c r="T42" i="18"/>
  <c r="U42" i="18"/>
  <c r="T50" i="18"/>
  <c r="U50" i="18"/>
  <c r="T68" i="14"/>
  <c r="U68" i="14"/>
  <c r="T55" i="14"/>
  <c r="U55" i="14"/>
  <c r="T52" i="14"/>
  <c r="U52" i="14"/>
  <c r="T54" i="14"/>
  <c r="U54" i="14"/>
  <c r="T58" i="14"/>
  <c r="U58" i="14"/>
  <c r="T48" i="14"/>
  <c r="U48" i="14"/>
  <c r="T26" i="17"/>
  <c r="U61" i="16"/>
  <c r="T61" i="16"/>
  <c r="T43" i="14"/>
  <c r="U43" i="14"/>
  <c r="T10" i="17"/>
  <c r="U45" i="16"/>
  <c r="T45" i="16"/>
  <c r="T16" i="17"/>
  <c r="U51" i="16"/>
  <c r="T51" i="16"/>
  <c r="T56" i="14"/>
  <c r="U56" i="14"/>
  <c r="T23" i="17"/>
  <c r="T58" i="16"/>
  <c r="U58" i="16"/>
  <c r="T9" i="17"/>
  <c r="T44" i="16"/>
  <c r="U44" i="16"/>
  <c r="T68" i="15"/>
  <c r="U68" i="15"/>
  <c r="U60" i="15"/>
  <c r="T60" i="15"/>
  <c r="T52" i="15"/>
  <c r="U52" i="15"/>
  <c r="T44" i="15"/>
  <c r="U44" i="15"/>
  <c r="T65" i="15"/>
  <c r="U65" i="15"/>
  <c r="U53" i="15"/>
  <c r="T53" i="15"/>
  <c r="U59" i="15"/>
  <c r="T59" i="15"/>
  <c r="T51" i="15"/>
  <c r="U51" i="15"/>
  <c r="U43" i="15"/>
  <c r="T43" i="15"/>
  <c r="T64" i="18"/>
  <c r="U64" i="18"/>
  <c r="T48" i="18"/>
  <c r="U48" i="18"/>
  <c r="T47" i="18"/>
  <c r="U47" i="18"/>
  <c r="T58" i="18"/>
  <c r="U58" i="18"/>
  <c r="T61" i="14"/>
  <c r="U61" i="14"/>
  <c r="T53" i="14"/>
  <c r="U53" i="14"/>
  <c r="T14" i="17"/>
  <c r="U49" i="16"/>
  <c r="T49" i="16"/>
  <c r="T15" i="17"/>
  <c r="T50" i="16"/>
  <c r="U50" i="16"/>
  <c r="T32" i="17"/>
  <c r="U67" i="16"/>
  <c r="T67" i="16"/>
  <c r="T27" i="17"/>
  <c r="T62" i="16"/>
  <c r="U62" i="16"/>
  <c r="T56" i="18"/>
  <c r="U56" i="18"/>
  <c r="T63" i="18"/>
  <c r="U63" i="18"/>
  <c r="T29" i="17"/>
  <c r="T64" i="16"/>
  <c r="U64" i="16"/>
  <c r="T62" i="18"/>
  <c r="U62" i="18"/>
  <c r="T45" i="18"/>
  <c r="U45" i="18"/>
  <c r="T52" i="18"/>
  <c r="U52" i="18"/>
  <c r="T59" i="18"/>
  <c r="U59" i="18"/>
  <c r="T66" i="14"/>
  <c r="U66" i="14"/>
  <c r="T50" i="14"/>
  <c r="U50" i="14"/>
  <c r="T63" i="14"/>
  <c r="U63" i="14"/>
  <c r="T60" i="14"/>
  <c r="U60" i="14"/>
  <c r="T65" i="14"/>
  <c r="U65" i="14"/>
  <c r="T46" i="14"/>
  <c r="U46" i="14"/>
  <c r="T44" i="14"/>
  <c r="U44" i="14"/>
  <c r="T13" i="17"/>
  <c r="T48" i="16"/>
  <c r="U48" i="16"/>
  <c r="T42" i="14"/>
  <c r="U42" i="14"/>
  <c r="T17" i="17"/>
  <c r="T52" i="16"/>
  <c r="U52" i="16"/>
  <c r="T8" i="17"/>
  <c r="U43" i="16"/>
  <c r="T43" i="16"/>
  <c r="T59" i="14"/>
  <c r="U59" i="14"/>
  <c r="T22" i="17"/>
  <c r="U57" i="16"/>
  <c r="T57" i="16"/>
  <c r="T19" i="17"/>
  <c r="T54" i="16"/>
  <c r="U54" i="16"/>
  <c r="T7" i="17"/>
  <c r="T42" i="16"/>
  <c r="U42" i="16"/>
  <c r="T54" i="15"/>
  <c r="U54" i="15"/>
  <c r="T35" i="15"/>
  <c r="T42" i="15"/>
  <c r="U42" i="15"/>
  <c r="T36" i="15"/>
  <c r="T49" i="15"/>
  <c r="U49" i="15"/>
  <c r="T68" i="18"/>
  <c r="U68" i="18"/>
  <c r="T51" i="18"/>
  <c r="U51" i="18"/>
  <c r="T57" i="14"/>
  <c r="U57" i="14"/>
  <c r="T64" i="14"/>
  <c r="U64" i="14"/>
  <c r="T11" i="17"/>
  <c r="T46" i="16"/>
  <c r="U46" i="16"/>
  <c r="T55" i="18"/>
  <c r="U55" i="18"/>
  <c r="T34" i="17"/>
  <c r="U69" i="16"/>
  <c r="T69" i="16"/>
  <c r="T31" i="17"/>
  <c r="T66" i="16"/>
  <c r="U66" i="16"/>
  <c r="T44" i="18"/>
  <c r="U44" i="18"/>
  <c r="T69" i="14"/>
  <c r="U69" i="14"/>
  <c r="T47" i="14"/>
  <c r="U47" i="14"/>
  <c r="T49" i="14"/>
  <c r="U49" i="14"/>
  <c r="T62" i="14"/>
  <c r="U62" i="14"/>
  <c r="T51" i="14"/>
  <c r="U51" i="14"/>
  <c r="T20" i="17"/>
  <c r="U55" i="16"/>
  <c r="T55" i="16"/>
  <c r="T24" i="17"/>
  <c r="U59" i="16"/>
  <c r="T59" i="16"/>
  <c r="T67" i="14"/>
  <c r="U67" i="14"/>
  <c r="U64" i="15"/>
  <c r="T64" i="15"/>
  <c r="U48" i="15"/>
  <c r="T48" i="15"/>
  <c r="T46" i="15"/>
  <c r="U46" i="15"/>
  <c r="T57" i="15"/>
  <c r="U57" i="15"/>
  <c r="T45" i="15"/>
  <c r="U45" i="15"/>
  <c r="T55" i="15"/>
  <c r="U55" i="15"/>
  <c r="T47" i="15"/>
  <c r="U47" i="15"/>
  <c r="T36" i="17" l="1"/>
  <c r="T35" i="17"/>
  <c r="U70" i="15"/>
  <c r="U71" i="15"/>
  <c r="T6" i="18"/>
  <c r="T41" i="18" s="1"/>
  <c r="T6" i="19"/>
  <c r="T41" i="19" s="1"/>
  <c r="T6" i="16"/>
  <c r="T41" i="16" s="1"/>
  <c r="T6" i="15"/>
  <c r="T41" i="15" s="1"/>
  <c r="T6" i="14"/>
  <c r="T41" i="14" s="1"/>
  <c r="T6" i="11"/>
  <c r="T41" i="11" s="1"/>
  <c r="T6" i="10"/>
  <c r="T41" i="10" s="1"/>
  <c r="T6" i="9"/>
  <c r="T41" i="9" s="1"/>
  <c r="T6" i="8"/>
  <c r="T41" i="8" s="1"/>
  <c r="T6" i="22"/>
  <c r="T41" i="22" s="1"/>
  <c r="T6" i="21"/>
  <c r="T41" i="21" s="1"/>
  <c r="T6" i="4"/>
  <c r="T41" i="4" s="1"/>
  <c r="T6" i="12"/>
  <c r="T41" i="12" s="1"/>
  <c r="T41" i="13"/>
  <c r="T20" i="19" l="1"/>
  <c r="U55" i="19" s="1"/>
  <c r="T28" i="19"/>
  <c r="U63" i="19" s="1"/>
  <c r="S42" i="21" l="1"/>
  <c r="T35" i="10"/>
  <c r="T35" i="14"/>
  <c r="T35" i="16"/>
  <c r="T36" i="16"/>
  <c r="T26" i="19"/>
  <c r="U61" i="19" s="1"/>
  <c r="T27" i="19"/>
  <c r="U62" i="19" s="1"/>
  <c r="T13" i="19"/>
  <c r="U48" i="19" s="1"/>
  <c r="T34" i="19"/>
  <c r="U69" i="19" s="1"/>
  <c r="T22" i="19"/>
  <c r="U57" i="19" s="1"/>
  <c r="T36" i="14"/>
  <c r="T9" i="19"/>
  <c r="U44" i="19" s="1"/>
  <c r="T21" i="19"/>
  <c r="U56" i="19" s="1"/>
  <c r="T30" i="19"/>
  <c r="U65" i="19" s="1"/>
  <c r="T8" i="19"/>
  <c r="U43" i="19" s="1"/>
  <c r="T17" i="19"/>
  <c r="U52" i="19" s="1"/>
  <c r="T29" i="19"/>
  <c r="U64" i="19" s="1"/>
  <c r="T7" i="19"/>
  <c r="U42" i="19" s="1"/>
  <c r="T16" i="19"/>
  <c r="U51" i="19" s="1"/>
  <c r="T25" i="19"/>
  <c r="U60" i="19" s="1"/>
  <c r="T14" i="19"/>
  <c r="U49" i="19" s="1"/>
  <c r="T15" i="19"/>
  <c r="U50" i="19" s="1"/>
  <c r="T24" i="19"/>
  <c r="U59" i="19" s="1"/>
  <c r="T35" i="18"/>
  <c r="T33" i="19"/>
  <c r="U68" i="19" s="1"/>
  <c r="T12" i="19"/>
  <c r="U47" i="19" s="1"/>
  <c r="T36" i="18"/>
  <c r="T23" i="19"/>
  <c r="U58" i="19" s="1"/>
  <c r="T32" i="19"/>
  <c r="U67" i="19" s="1"/>
  <c r="T10" i="19"/>
  <c r="U45" i="19" s="1"/>
  <c r="T11" i="19"/>
  <c r="U46" i="19" s="1"/>
  <c r="T31" i="19"/>
  <c r="U66" i="19" s="1"/>
  <c r="T18" i="19"/>
  <c r="U53" i="19" s="1"/>
  <c r="T19" i="19"/>
  <c r="U54" i="19" s="1"/>
  <c r="T36" i="22"/>
  <c r="T35" i="9"/>
  <c r="T36" i="8"/>
  <c r="T35" i="8"/>
  <c r="T35" i="22"/>
  <c r="T36" i="10"/>
  <c r="T35" i="11"/>
  <c r="T36" i="11"/>
  <c r="T36" i="9"/>
  <c r="U71" i="10" l="1"/>
  <c r="U70" i="18"/>
  <c r="U70" i="16"/>
  <c r="U71" i="22"/>
  <c r="U71" i="18"/>
  <c r="U71" i="14"/>
  <c r="U70" i="14"/>
  <c r="U71" i="11"/>
  <c r="U70" i="8"/>
  <c r="U70" i="10"/>
  <c r="U70" i="9"/>
  <c r="U71" i="9"/>
  <c r="U70" i="22"/>
  <c r="U70" i="11"/>
  <c r="U71" i="8"/>
  <c r="U71" i="16"/>
  <c r="T35" i="19"/>
  <c r="U70" i="19" s="1"/>
  <c r="T36" i="19"/>
  <c r="U71" i="19" s="1"/>
  <c r="T26" i="24"/>
  <c r="T33" i="24" l="1"/>
  <c r="T32" i="24"/>
  <c r="T31" i="24"/>
  <c r="T30" i="24"/>
  <c r="T29" i="24"/>
  <c r="T28" i="24"/>
  <c r="T27" i="24"/>
  <c r="T25" i="24"/>
  <c r="T24" i="24"/>
  <c r="T23" i="24"/>
  <c r="T22" i="24"/>
  <c r="T21" i="24"/>
  <c r="T20" i="24"/>
  <c r="T19" i="24"/>
  <c r="T18" i="24"/>
  <c r="T17" i="24"/>
  <c r="T16" i="24"/>
  <c r="T15" i="24"/>
  <c r="T14" i="24"/>
  <c r="T13" i="24"/>
  <c r="T12" i="24"/>
  <c r="T11" i="24"/>
  <c r="T10" i="24"/>
  <c r="T9" i="24"/>
  <c r="T8" i="24"/>
  <c r="T7" i="24"/>
  <c r="T36" i="24" l="1"/>
  <c r="T64" i="4"/>
  <c r="T69" i="4"/>
  <c r="T63" i="4" l="1"/>
  <c r="T45" i="4"/>
  <c r="T47" i="4"/>
  <c r="T56" i="4"/>
  <c r="T55" i="4"/>
  <c r="T66" i="4"/>
  <c r="T50" i="4"/>
  <c r="T58" i="4"/>
  <c r="T44" i="4"/>
  <c r="T46" i="4"/>
  <c r="T59" i="4"/>
  <c r="T49" i="4"/>
  <c r="T48" i="4"/>
  <c r="T68" i="4"/>
  <c r="T60" i="4"/>
  <c r="T51" i="4"/>
  <c r="T67" i="4"/>
  <c r="T43" i="4"/>
  <c r="T52" i="4"/>
  <c r="T42" i="4"/>
  <c r="T62" i="4"/>
  <c r="T53" i="4"/>
  <c r="T57" i="4"/>
  <c r="T35" i="21"/>
  <c r="T36" i="21"/>
  <c r="T54" i="4"/>
  <c r="T65" i="4"/>
  <c r="T61" i="4"/>
  <c r="T36" i="4"/>
  <c r="U71" i="4" s="1"/>
  <c r="T35" i="4"/>
  <c r="U70" i="4" s="1"/>
  <c r="U71" i="21" l="1"/>
  <c r="U70" i="21"/>
  <c r="T35" i="12"/>
  <c r="T36" i="12"/>
  <c r="T36" i="13" l="1"/>
  <c r="T35" i="13"/>
  <c r="AQ8" i="16"/>
  <c r="AQ9" i="16"/>
  <c r="AQ10" i="16"/>
  <c r="AQ11" i="16"/>
  <c r="AQ12" i="16"/>
  <c r="AQ13" i="16"/>
  <c r="AQ14" i="16"/>
  <c r="AQ15" i="16"/>
  <c r="AQ16" i="16"/>
  <c r="AQ17" i="16"/>
  <c r="AQ18" i="16"/>
  <c r="AQ19" i="16"/>
  <c r="AQ20" i="16"/>
  <c r="AQ21" i="16"/>
  <c r="AQ22" i="16"/>
  <c r="AQ23" i="16"/>
  <c r="AQ24" i="16"/>
  <c r="AQ25" i="16"/>
  <c r="AQ26" i="16"/>
  <c r="AQ27" i="16"/>
  <c r="AQ28" i="16"/>
  <c r="AQ29" i="16"/>
  <c r="AQ30" i="16"/>
  <c r="AQ31" i="16"/>
  <c r="AQ32" i="16"/>
  <c r="AQ33" i="16"/>
  <c r="AQ34" i="16"/>
  <c r="AQ7" i="16"/>
  <c r="AN8" i="19"/>
  <c r="AN9" i="19"/>
  <c r="AN10" i="19"/>
  <c r="AN11" i="19"/>
  <c r="AN12" i="19"/>
  <c r="AN13" i="19"/>
  <c r="AN14" i="19"/>
  <c r="AN15" i="19"/>
  <c r="AN16" i="19"/>
  <c r="AN17" i="19"/>
  <c r="AN18" i="19"/>
  <c r="AN19" i="19"/>
  <c r="AN20" i="19"/>
  <c r="AN21" i="19"/>
  <c r="AN22" i="19"/>
  <c r="AN23" i="19"/>
  <c r="AN24" i="19"/>
  <c r="AN25" i="19"/>
  <c r="AN26" i="19"/>
  <c r="AN27" i="19"/>
  <c r="AN28" i="19"/>
  <c r="AN29" i="19"/>
  <c r="AN30" i="19"/>
  <c r="AN31" i="19"/>
  <c r="AN32" i="19"/>
  <c r="AN33" i="19"/>
  <c r="AN34" i="19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23" i="18"/>
  <c r="AN24" i="18"/>
  <c r="AN25" i="18"/>
  <c r="AN26" i="18"/>
  <c r="AN27" i="18"/>
  <c r="AN28" i="18"/>
  <c r="AN29" i="18"/>
  <c r="AN30" i="18"/>
  <c r="AN31" i="18"/>
  <c r="AN32" i="18"/>
  <c r="AN33" i="18"/>
  <c r="AN34" i="18"/>
  <c r="AN8" i="14"/>
  <c r="AN9" i="14"/>
  <c r="AN10" i="14"/>
  <c r="AN11" i="14"/>
  <c r="AN12" i="14"/>
  <c r="AN13" i="14"/>
  <c r="AN14" i="14"/>
  <c r="AN15" i="14"/>
  <c r="AN16" i="14"/>
  <c r="AN17" i="14"/>
  <c r="AN18" i="14"/>
  <c r="AN19" i="14"/>
  <c r="AN20" i="14"/>
  <c r="AN21" i="14"/>
  <c r="AN22" i="14"/>
  <c r="AN23" i="14"/>
  <c r="AN24" i="14"/>
  <c r="AN25" i="14"/>
  <c r="AN26" i="14"/>
  <c r="AN27" i="14"/>
  <c r="AN28" i="14"/>
  <c r="AN29" i="14"/>
  <c r="AN30" i="14"/>
  <c r="AN31" i="14"/>
  <c r="AN32" i="14"/>
  <c r="AN33" i="14"/>
  <c r="AN34" i="14"/>
  <c r="AN7" i="19"/>
  <c r="AN7" i="18"/>
  <c r="AN7" i="14"/>
  <c r="AN8" i="21"/>
  <c r="AN9" i="21"/>
  <c r="AN10" i="21"/>
  <c r="AN11" i="21"/>
  <c r="AN12" i="21"/>
  <c r="AN13" i="21"/>
  <c r="AN14" i="21"/>
  <c r="AN15" i="21"/>
  <c r="AN16" i="21"/>
  <c r="AN17" i="21"/>
  <c r="AN18" i="21"/>
  <c r="AN19" i="21"/>
  <c r="AN20" i="21"/>
  <c r="AN21" i="21"/>
  <c r="AN22" i="21"/>
  <c r="AN23" i="21"/>
  <c r="AN24" i="21"/>
  <c r="AN25" i="21"/>
  <c r="AN26" i="21"/>
  <c r="AN27" i="21"/>
  <c r="AN28" i="21"/>
  <c r="AN29" i="21"/>
  <c r="AN30" i="21"/>
  <c r="AN31" i="21"/>
  <c r="AN32" i="21"/>
  <c r="AN33" i="21"/>
  <c r="AN34" i="21"/>
  <c r="AN8" i="22"/>
  <c r="AN9" i="22"/>
  <c r="AN10" i="22"/>
  <c r="AN11" i="22"/>
  <c r="AN12" i="22"/>
  <c r="AN13" i="22"/>
  <c r="AN14" i="22"/>
  <c r="AN15" i="22"/>
  <c r="AN16" i="22"/>
  <c r="AN17" i="22"/>
  <c r="AN18" i="22"/>
  <c r="AN19" i="22"/>
  <c r="AN20" i="22"/>
  <c r="AN21" i="22"/>
  <c r="AN22" i="22"/>
  <c r="AN23" i="22"/>
  <c r="AN24" i="22"/>
  <c r="AN25" i="22"/>
  <c r="AN26" i="22"/>
  <c r="AN27" i="22"/>
  <c r="AN28" i="22"/>
  <c r="AN29" i="22"/>
  <c r="AN30" i="22"/>
  <c r="AN31" i="22"/>
  <c r="AN32" i="22"/>
  <c r="AN33" i="22"/>
  <c r="AN34" i="22"/>
  <c r="AN8" i="8"/>
  <c r="AN9" i="8"/>
  <c r="AN10" i="8"/>
  <c r="AN11" i="8"/>
  <c r="AN12" i="8"/>
  <c r="AN13" i="8"/>
  <c r="AN14" i="8"/>
  <c r="AN15" i="8"/>
  <c r="AN16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8" i="9"/>
  <c r="AN9" i="9"/>
  <c r="AN10" i="9"/>
  <c r="AN11" i="9"/>
  <c r="AN12" i="9"/>
  <c r="AN13" i="9"/>
  <c r="AN14" i="9"/>
  <c r="AN15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N28" i="9"/>
  <c r="AN29" i="9"/>
  <c r="AN30" i="9"/>
  <c r="AN31" i="9"/>
  <c r="AN32" i="9"/>
  <c r="AN33" i="9"/>
  <c r="AN34" i="9"/>
  <c r="AN8" i="10"/>
  <c r="AN9" i="10"/>
  <c r="AN10" i="10"/>
  <c r="AN11" i="10"/>
  <c r="AN12" i="10"/>
  <c r="AN13" i="10"/>
  <c r="AN14" i="10"/>
  <c r="AN15" i="10"/>
  <c r="AN16" i="10"/>
  <c r="AN17" i="10"/>
  <c r="AN18" i="10"/>
  <c r="AN19" i="10"/>
  <c r="AN20" i="10"/>
  <c r="AN21" i="10"/>
  <c r="AN22" i="10"/>
  <c r="AN23" i="10"/>
  <c r="AN24" i="10"/>
  <c r="AN25" i="10"/>
  <c r="AN26" i="10"/>
  <c r="AN27" i="10"/>
  <c r="AN28" i="10"/>
  <c r="AN29" i="10"/>
  <c r="AN30" i="10"/>
  <c r="AN31" i="10"/>
  <c r="AN32" i="10"/>
  <c r="AN33" i="10"/>
  <c r="AN34" i="10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7" i="21"/>
  <c r="AN7" i="22"/>
  <c r="AN7" i="8"/>
  <c r="AN7" i="9"/>
  <c r="AN7" i="10"/>
  <c r="AN7" i="11"/>
  <c r="AN7" i="4"/>
  <c r="C13" i="26" l="1"/>
  <c r="C25" i="26" l="1"/>
  <c r="C29" i="26"/>
  <c r="C26" i="26"/>
  <c r="C16" i="26"/>
  <c r="C19" i="26" l="1"/>
  <c r="C18" i="26"/>
  <c r="C20" i="26"/>
  <c r="C17" i="26"/>
  <c r="C21" i="26"/>
  <c r="C28" i="26"/>
  <c r="C15" i="26"/>
  <c r="C8" i="20"/>
  <c r="S41" i="24"/>
  <c r="S41" i="17"/>
  <c r="S41" i="13"/>
  <c r="S6" i="12"/>
  <c r="S41" i="12" s="1"/>
  <c r="S6" i="4"/>
  <c r="S41" i="4" s="1"/>
  <c r="S6" i="21"/>
  <c r="S41" i="21" s="1"/>
  <c r="S6" i="22"/>
  <c r="S41" i="22" s="1"/>
  <c r="S6" i="8"/>
  <c r="S41" i="8" s="1"/>
  <c r="S6" i="9"/>
  <c r="S41" i="9" s="1"/>
  <c r="S6" i="10"/>
  <c r="S41" i="10" s="1"/>
  <c r="S6" i="11"/>
  <c r="S41" i="11" s="1"/>
  <c r="S6" i="14"/>
  <c r="S41" i="14" s="1"/>
  <c r="S6" i="15"/>
  <c r="S41" i="15" s="1"/>
  <c r="S6" i="16"/>
  <c r="S41" i="16" s="1"/>
  <c r="S6" i="19"/>
  <c r="S41" i="19" s="1"/>
  <c r="S6" i="18"/>
  <c r="S41" i="18" s="1"/>
  <c r="S60" i="21"/>
  <c r="S67" i="9" l="1"/>
  <c r="S55" i="10"/>
  <c r="S45" i="11"/>
  <c r="S46" i="16"/>
  <c r="S50" i="16"/>
  <c r="S54" i="16"/>
  <c r="S58" i="16"/>
  <c r="S62" i="16"/>
  <c r="S66" i="16"/>
  <c r="S44" i="22"/>
  <c r="S46" i="22"/>
  <c r="S48" i="22"/>
  <c r="S50" i="22"/>
  <c r="S52" i="22"/>
  <c r="S54" i="22"/>
  <c r="S56" i="22"/>
  <c r="S58" i="22"/>
  <c r="S60" i="22"/>
  <c r="S62" i="22"/>
  <c r="S64" i="22"/>
  <c r="S66" i="22"/>
  <c r="S68" i="22"/>
  <c r="S44" i="8"/>
  <c r="S48" i="8"/>
  <c r="S63" i="9"/>
  <c r="S51" i="10"/>
  <c r="S63" i="10"/>
  <c r="S69" i="10"/>
  <c r="S47" i="8"/>
  <c r="S59" i="8"/>
  <c r="S63" i="8"/>
  <c r="S47" i="9"/>
  <c r="S51" i="9"/>
  <c r="S62" i="9"/>
  <c r="S68" i="9"/>
  <c r="S48" i="10"/>
  <c r="S50" i="10"/>
  <c r="S56" i="10"/>
  <c r="S58" i="10"/>
  <c r="S64" i="10"/>
  <c r="S66" i="10"/>
  <c r="S44" i="11"/>
  <c r="S46" i="11"/>
  <c r="S43" i="21"/>
  <c r="S44" i="21"/>
  <c r="S45" i="21"/>
  <c r="S46" i="21"/>
  <c r="S47" i="21"/>
  <c r="S48" i="21"/>
  <c r="S49" i="21"/>
  <c r="S50" i="21"/>
  <c r="S51" i="21"/>
  <c r="S52" i="21"/>
  <c r="S53" i="21"/>
  <c r="S54" i="21"/>
  <c r="S55" i="21"/>
  <c r="S56" i="21"/>
  <c r="S57" i="21"/>
  <c r="S58" i="21"/>
  <c r="S59" i="21"/>
  <c r="S43" i="22"/>
  <c r="S45" i="22"/>
  <c r="S47" i="22"/>
  <c r="S49" i="22"/>
  <c r="S51" i="22"/>
  <c r="S53" i="22"/>
  <c r="S55" i="22"/>
  <c r="S57" i="22"/>
  <c r="S59" i="22"/>
  <c r="S65" i="22"/>
  <c r="S67" i="22"/>
  <c r="S45" i="8"/>
  <c r="S46" i="8"/>
  <c r="S50" i="8"/>
  <c r="S54" i="8"/>
  <c r="S58" i="8"/>
  <c r="S62" i="8"/>
  <c r="S66" i="8"/>
  <c r="S46" i="9"/>
  <c r="S50" i="9"/>
  <c r="S54" i="9"/>
  <c r="S58" i="9"/>
  <c r="S61" i="21"/>
  <c r="S62" i="21"/>
  <c r="S63" i="21"/>
  <c r="S64" i="21"/>
  <c r="S65" i="21"/>
  <c r="S66" i="21"/>
  <c r="S67" i="21"/>
  <c r="S68" i="21"/>
  <c r="S69" i="21"/>
  <c r="S43" i="16"/>
  <c r="S47" i="16"/>
  <c r="S51" i="16"/>
  <c r="S55" i="16"/>
  <c r="S59" i="16"/>
  <c r="S63" i="16"/>
  <c r="S44" i="16"/>
  <c r="S48" i="16"/>
  <c r="S52" i="16"/>
  <c r="S56" i="16"/>
  <c r="S60" i="16"/>
  <c r="S64" i="16"/>
  <c r="S45" i="16"/>
  <c r="S49" i="16"/>
  <c r="S53" i="16"/>
  <c r="S57" i="16"/>
  <c r="S61" i="16"/>
  <c r="S65" i="16"/>
  <c r="S60" i="18"/>
  <c r="S62" i="14"/>
  <c r="S50" i="15"/>
  <c r="S68" i="16"/>
  <c r="S44" i="18"/>
  <c r="S46" i="18"/>
  <c r="S48" i="18"/>
  <c r="S50" i="18"/>
  <c r="S52" i="18"/>
  <c r="S54" i="18"/>
  <c r="S56" i="18"/>
  <c r="S58" i="18"/>
  <c r="S61" i="18"/>
  <c r="S63" i="18"/>
  <c r="S28" i="17"/>
  <c r="T63" i="17" s="1"/>
  <c r="S63" i="14"/>
  <c r="S64" i="14"/>
  <c r="S29" i="17"/>
  <c r="T64" i="17" s="1"/>
  <c r="S65" i="14"/>
  <c r="S30" i="17"/>
  <c r="T65" i="17" s="1"/>
  <c r="S66" i="14"/>
  <c r="S32" i="17"/>
  <c r="T67" i="17" s="1"/>
  <c r="S67" i="14"/>
  <c r="S68" i="14"/>
  <c r="S33" i="17"/>
  <c r="T68" i="17" s="1"/>
  <c r="S69" i="14"/>
  <c r="S34" i="17"/>
  <c r="T69" i="17" s="1"/>
  <c r="S42" i="15"/>
  <c r="S7" i="19"/>
  <c r="T42" i="19" s="1"/>
  <c r="S43" i="15"/>
  <c r="S8" i="19"/>
  <c r="T43" i="19" s="1"/>
  <c r="S44" i="15"/>
  <c r="S9" i="19"/>
  <c r="T44" i="19" s="1"/>
  <c r="S45" i="15"/>
  <c r="S10" i="19"/>
  <c r="T45" i="19" s="1"/>
  <c r="S46" i="15"/>
  <c r="S11" i="19"/>
  <c r="T46" i="19" s="1"/>
  <c r="S12" i="19"/>
  <c r="T47" i="19" s="1"/>
  <c r="S47" i="15"/>
  <c r="S48" i="15"/>
  <c r="S14" i="19"/>
  <c r="T49" i="19" s="1"/>
  <c r="S49" i="15"/>
  <c r="S35" i="15"/>
  <c r="T70" i="15" s="1"/>
  <c r="S62" i="18"/>
  <c r="S64" i="18"/>
  <c r="S66" i="18"/>
  <c r="S69" i="18"/>
  <c r="S68" i="18"/>
  <c r="S62" i="15" l="1"/>
  <c r="S27" i="19"/>
  <c r="T62" i="19" s="1"/>
  <c r="S54" i="15"/>
  <c r="S19" i="19"/>
  <c r="T54" i="19" s="1"/>
  <c r="S55" i="11"/>
  <c r="S42" i="8"/>
  <c r="S35" i="8"/>
  <c r="T70" i="8" s="1"/>
  <c r="S36" i="8"/>
  <c r="T71" i="8" s="1"/>
  <c r="S61" i="11"/>
  <c r="S67" i="18"/>
  <c r="S59" i="18"/>
  <c r="S57" i="18"/>
  <c r="S55" i="18"/>
  <c r="S53" i="18"/>
  <c r="S51" i="18"/>
  <c r="S49" i="18"/>
  <c r="S47" i="18"/>
  <c r="S45" i="18"/>
  <c r="S43" i="18"/>
  <c r="S69" i="16"/>
  <c r="S67" i="16"/>
  <c r="S15" i="19"/>
  <c r="T50" i="19" s="1"/>
  <c r="S24" i="17"/>
  <c r="T59" i="17" s="1"/>
  <c r="S59" i="14"/>
  <c r="S20" i="17"/>
  <c r="T55" i="17" s="1"/>
  <c r="S55" i="14"/>
  <c r="S16" i="17"/>
  <c r="T51" i="17" s="1"/>
  <c r="S51" i="14"/>
  <c r="S12" i="17"/>
  <c r="T47" i="17" s="1"/>
  <c r="S47" i="14"/>
  <c r="S43" i="8"/>
  <c r="S63" i="22"/>
  <c r="S35" i="21"/>
  <c r="T70" i="21" s="1"/>
  <c r="S36" i="21"/>
  <c r="T71" i="21" s="1"/>
  <c r="S66" i="4"/>
  <c r="T66" i="12"/>
  <c r="S62" i="4"/>
  <c r="T62" i="12"/>
  <c r="S58" i="4"/>
  <c r="T58" i="12"/>
  <c r="S54" i="4"/>
  <c r="T54" i="12"/>
  <c r="S50" i="4"/>
  <c r="T50" i="12"/>
  <c r="S46" i="4"/>
  <c r="T46" i="12"/>
  <c r="S42" i="4"/>
  <c r="S36" i="4"/>
  <c r="T71" i="4" s="1"/>
  <c r="S7" i="12"/>
  <c r="T42" i="12" s="1"/>
  <c r="S35" i="4"/>
  <c r="T70" i="4" s="1"/>
  <c r="S68" i="10"/>
  <c r="S60" i="10"/>
  <c r="S52" i="10"/>
  <c r="S44" i="10"/>
  <c r="S64" i="9"/>
  <c r="S55" i="9"/>
  <c r="S67" i="8"/>
  <c r="S51" i="8"/>
  <c r="S59" i="11"/>
  <c r="S43" i="11"/>
  <c r="S57" i="10"/>
  <c r="S69" i="9"/>
  <c r="S53" i="9"/>
  <c r="S57" i="8"/>
  <c r="S56" i="9"/>
  <c r="S44" i="9"/>
  <c r="S60" i="8"/>
  <c r="S52" i="8"/>
  <c r="S63" i="11"/>
  <c r="S47" i="11"/>
  <c r="S59" i="10"/>
  <c r="S45" i="10"/>
  <c r="S57" i="9"/>
  <c r="S45" i="9"/>
  <c r="S61" i="8"/>
  <c r="S50" i="14"/>
  <c r="S15" i="17"/>
  <c r="T50" i="17" s="1"/>
  <c r="S46" i="14"/>
  <c r="S11" i="17"/>
  <c r="T46" i="17" s="1"/>
  <c r="S61" i="4"/>
  <c r="T61" i="12"/>
  <c r="S53" i="4"/>
  <c r="T53" i="12"/>
  <c r="S42" i="10"/>
  <c r="S35" i="10"/>
  <c r="T70" i="10" s="1"/>
  <c r="S36" i="10"/>
  <c r="T71" i="10" s="1"/>
  <c r="S42" i="16"/>
  <c r="S35" i="16"/>
  <c r="T70" i="16" s="1"/>
  <c r="S36" i="16"/>
  <c r="T71" i="16" s="1"/>
  <c r="S66" i="15"/>
  <c r="S31" i="19"/>
  <c r="T66" i="19" s="1"/>
  <c r="S58" i="15"/>
  <c r="S23" i="19"/>
  <c r="T58" i="19" s="1"/>
  <c r="S51" i="15"/>
  <c r="S16" i="19"/>
  <c r="T51" i="19" s="1"/>
  <c r="S13" i="19"/>
  <c r="T48" i="19" s="1"/>
  <c r="S36" i="15"/>
  <c r="T71" i="15" s="1"/>
  <c r="S31" i="17"/>
  <c r="T66" i="17" s="1"/>
  <c r="S65" i="18"/>
  <c r="S60" i="14"/>
  <c r="S25" i="17"/>
  <c r="T60" i="17" s="1"/>
  <c r="S56" i="14"/>
  <c r="S21" i="17"/>
  <c r="T56" i="17" s="1"/>
  <c r="S52" i="14"/>
  <c r="S17" i="17"/>
  <c r="T52" i="17" s="1"/>
  <c r="S48" i="14"/>
  <c r="S13" i="17"/>
  <c r="T48" i="17" s="1"/>
  <c r="S69" i="15"/>
  <c r="S34" i="19"/>
  <c r="T69" i="19" s="1"/>
  <c r="S30" i="19"/>
  <c r="T65" i="19" s="1"/>
  <c r="S65" i="15"/>
  <c r="S61" i="15"/>
  <c r="S26" i="19"/>
  <c r="T61" i="19" s="1"/>
  <c r="S22" i="19"/>
  <c r="T57" i="19" s="1"/>
  <c r="S57" i="15"/>
  <c r="S53" i="15"/>
  <c r="S18" i="19"/>
  <c r="T53" i="19" s="1"/>
  <c r="S69" i="22"/>
  <c r="S61" i="22"/>
  <c r="S67" i="4"/>
  <c r="T67" i="12"/>
  <c r="S63" i="4"/>
  <c r="T63" i="12"/>
  <c r="S59" i="4"/>
  <c r="T59" i="12"/>
  <c r="S55" i="4"/>
  <c r="T55" i="12"/>
  <c r="S51" i="4"/>
  <c r="T51" i="12"/>
  <c r="S47" i="4"/>
  <c r="T47" i="12"/>
  <c r="S43" i="4"/>
  <c r="T43" i="12"/>
  <c r="S42" i="11"/>
  <c r="S36" i="11"/>
  <c r="T71" i="11" s="1"/>
  <c r="S35" i="11"/>
  <c r="T70" i="11" s="1"/>
  <c r="S62" i="10"/>
  <c r="S54" i="10"/>
  <c r="S46" i="10"/>
  <c r="S66" i="9"/>
  <c r="S59" i="9"/>
  <c r="S43" i="9"/>
  <c r="S55" i="8"/>
  <c r="S65" i="11"/>
  <c r="S49" i="11"/>
  <c r="S61" i="10"/>
  <c r="S43" i="10"/>
  <c r="S60" i="9"/>
  <c r="S48" i="9"/>
  <c r="S64" i="8"/>
  <c r="S69" i="11"/>
  <c r="S51" i="11"/>
  <c r="S65" i="10"/>
  <c r="S49" i="10"/>
  <c r="S58" i="14"/>
  <c r="S23" i="17"/>
  <c r="T58" i="17" s="1"/>
  <c r="S54" i="14"/>
  <c r="S19" i="17"/>
  <c r="T54" i="17" s="1"/>
  <c r="S69" i="4"/>
  <c r="T69" i="12"/>
  <c r="S65" i="4"/>
  <c r="T65" i="12"/>
  <c r="S57" i="4"/>
  <c r="T57" i="12"/>
  <c r="S49" i="4"/>
  <c r="T49" i="12"/>
  <c r="S45" i="4"/>
  <c r="T45" i="12"/>
  <c r="S42" i="22"/>
  <c r="S36" i="22"/>
  <c r="T71" i="22" s="1"/>
  <c r="S35" i="22"/>
  <c r="T70" i="22" s="1"/>
  <c r="S42" i="18"/>
  <c r="S35" i="18"/>
  <c r="T70" i="18" s="1"/>
  <c r="S36" i="18"/>
  <c r="T71" i="18" s="1"/>
  <c r="S27" i="17"/>
  <c r="T62" i="17" s="1"/>
  <c r="S61" i="14"/>
  <c r="S26" i="17"/>
  <c r="T61" i="17" s="1"/>
  <c r="S57" i="14"/>
  <c r="S22" i="17"/>
  <c r="T57" i="17" s="1"/>
  <c r="S53" i="14"/>
  <c r="S18" i="17"/>
  <c r="T53" i="17" s="1"/>
  <c r="S49" i="14"/>
  <c r="S14" i="17"/>
  <c r="T49" i="17" s="1"/>
  <c r="S45" i="14"/>
  <c r="S10" i="17"/>
  <c r="T45" i="17" s="1"/>
  <c r="S54" i="11"/>
  <c r="S50" i="11"/>
  <c r="S68" i="15"/>
  <c r="S33" i="19"/>
  <c r="T68" i="19" s="1"/>
  <c r="S64" i="15"/>
  <c r="S29" i="19"/>
  <c r="T64" i="19" s="1"/>
  <c r="S60" i="15"/>
  <c r="S25" i="19"/>
  <c r="T60" i="19" s="1"/>
  <c r="S56" i="15"/>
  <c r="S21" i="19"/>
  <c r="T56" i="19" s="1"/>
  <c r="S52" i="15"/>
  <c r="S17" i="19"/>
  <c r="T52" i="19" s="1"/>
  <c r="S44" i="14"/>
  <c r="S9" i="17"/>
  <c r="T44" i="17" s="1"/>
  <c r="S42" i="14"/>
  <c r="S35" i="14"/>
  <c r="T70" i="14" s="1"/>
  <c r="S36" i="14"/>
  <c r="T71" i="14" s="1"/>
  <c r="S7" i="17"/>
  <c r="T42" i="17" s="1"/>
  <c r="S68" i="11"/>
  <c r="S66" i="11"/>
  <c r="S64" i="11"/>
  <c r="S62" i="11"/>
  <c r="S60" i="11"/>
  <c r="S58" i="11"/>
  <c r="S56" i="11"/>
  <c r="S52" i="11"/>
  <c r="S48" i="11"/>
  <c r="S67" i="15"/>
  <c r="S32" i="19"/>
  <c r="T67" i="19" s="1"/>
  <c r="S63" i="15"/>
  <c r="S28" i="19"/>
  <c r="T63" i="19" s="1"/>
  <c r="S59" i="15"/>
  <c r="S24" i="19"/>
  <c r="T59" i="19" s="1"/>
  <c r="S20" i="19"/>
  <c r="T55" i="19" s="1"/>
  <c r="S55" i="15"/>
  <c r="S42" i="9"/>
  <c r="S36" i="9"/>
  <c r="T71" i="9" s="1"/>
  <c r="S35" i="9"/>
  <c r="T70" i="9" s="1"/>
  <c r="S68" i="4"/>
  <c r="T68" i="12"/>
  <c r="S64" i="4"/>
  <c r="T64" i="12"/>
  <c r="S60" i="4"/>
  <c r="T60" i="12"/>
  <c r="S56" i="4"/>
  <c r="T56" i="12"/>
  <c r="S52" i="4"/>
  <c r="T52" i="12"/>
  <c r="S48" i="4"/>
  <c r="T48" i="12"/>
  <c r="S44" i="4"/>
  <c r="T44" i="12"/>
  <c r="S67" i="11"/>
  <c r="S53" i="11"/>
  <c r="S47" i="10"/>
  <c r="S61" i="9"/>
  <c r="S69" i="8"/>
  <c r="S53" i="8"/>
  <c r="S52" i="9"/>
  <c r="S68" i="8"/>
  <c r="S56" i="8"/>
  <c r="S8" i="17"/>
  <c r="T43" i="17" s="1"/>
  <c r="S43" i="14"/>
  <c r="S57" i="11"/>
  <c r="S67" i="10"/>
  <c r="S53" i="10"/>
  <c r="S65" i="9"/>
  <c r="S49" i="9"/>
  <c r="S65" i="8"/>
  <c r="S49" i="8"/>
  <c r="S26" i="24" l="1"/>
  <c r="T61" i="24" s="1"/>
  <c r="S36" i="19"/>
  <c r="T71" i="19" s="1"/>
  <c r="T60" i="13"/>
  <c r="T47" i="13"/>
  <c r="T55" i="13"/>
  <c r="T63" i="13"/>
  <c r="T61" i="13"/>
  <c r="T50" i="13"/>
  <c r="T58" i="13"/>
  <c r="T66" i="13"/>
  <c r="T44" i="13"/>
  <c r="T68" i="13"/>
  <c r="T49" i="13"/>
  <c r="T48" i="13"/>
  <c r="T56" i="13"/>
  <c r="T64" i="13"/>
  <c r="S36" i="17"/>
  <c r="T71" i="17" s="1"/>
  <c r="S35" i="17"/>
  <c r="T70" i="17" s="1"/>
  <c r="T45" i="13"/>
  <c r="T57" i="13"/>
  <c r="T69" i="13"/>
  <c r="T52" i="13"/>
  <c r="T65" i="13"/>
  <c r="S36" i="12"/>
  <c r="T71" i="12" s="1"/>
  <c r="S35" i="12"/>
  <c r="T70" i="12" s="1"/>
  <c r="S7" i="13"/>
  <c r="T42" i="13" s="1"/>
  <c r="S35" i="19"/>
  <c r="T70" i="19" s="1"/>
  <c r="T43" i="13"/>
  <c r="T51" i="13"/>
  <c r="T59" i="13"/>
  <c r="T67" i="13"/>
  <c r="T53" i="13"/>
  <c r="T46" i="13"/>
  <c r="T54" i="13"/>
  <c r="T62" i="13"/>
  <c r="S35" i="13" l="1"/>
  <c r="T70" i="13" s="1"/>
  <c r="S36" i="13"/>
  <c r="T71" i="13" s="1"/>
  <c r="AF28" i="4"/>
  <c r="S33" i="24"/>
  <c r="T68" i="24" s="1"/>
  <c r="S32" i="24"/>
  <c r="T67" i="24" s="1"/>
  <c r="S31" i="24"/>
  <c r="T66" i="24" s="1"/>
  <c r="S30" i="24"/>
  <c r="T65" i="24" s="1"/>
  <c r="S29" i="24"/>
  <c r="T64" i="24" s="1"/>
  <c r="S28" i="24"/>
  <c r="T63" i="24" s="1"/>
  <c r="S27" i="24"/>
  <c r="T62" i="24" s="1"/>
  <c r="S25" i="24"/>
  <c r="T60" i="24" s="1"/>
  <c r="S24" i="24"/>
  <c r="T59" i="24" s="1"/>
  <c r="S23" i="24"/>
  <c r="T58" i="24" s="1"/>
  <c r="S22" i="24"/>
  <c r="T57" i="24" s="1"/>
  <c r="S21" i="24"/>
  <c r="T56" i="24" s="1"/>
  <c r="S20" i="24"/>
  <c r="T55" i="24" s="1"/>
  <c r="S19" i="24"/>
  <c r="T54" i="24" s="1"/>
  <c r="S18" i="24"/>
  <c r="T53" i="24" s="1"/>
  <c r="S17" i="24"/>
  <c r="T52" i="24" s="1"/>
  <c r="S16" i="24"/>
  <c r="T51" i="24" s="1"/>
  <c r="S15" i="24"/>
  <c r="T50" i="24" s="1"/>
  <c r="S14" i="24"/>
  <c r="T49" i="24" s="1"/>
  <c r="S13" i="24"/>
  <c r="T48" i="24" s="1"/>
  <c r="S12" i="24"/>
  <c r="T47" i="24" s="1"/>
  <c r="S11" i="24"/>
  <c r="T46" i="24" s="1"/>
  <c r="S10" i="24"/>
  <c r="T45" i="24" s="1"/>
  <c r="S9" i="24"/>
  <c r="T44" i="24" s="1"/>
  <c r="S8" i="24"/>
  <c r="T43" i="24" s="1"/>
  <c r="S7" i="24"/>
  <c r="T42" i="24" s="1"/>
  <c r="S36" i="24" l="1"/>
  <c r="T71" i="24" s="1"/>
  <c r="AD6" i="16" l="1"/>
  <c r="AD41" i="16" s="1"/>
  <c r="AB40" i="16"/>
  <c r="AC40" i="16"/>
  <c r="AD40" i="16"/>
  <c r="AA40" i="16"/>
  <c r="R41" i="17" l="1"/>
  <c r="R6" i="14"/>
  <c r="R41" i="14" s="1"/>
  <c r="R6" i="15"/>
  <c r="R41" i="15" s="1"/>
  <c r="R6" i="16"/>
  <c r="R41" i="16" s="1"/>
  <c r="R6" i="19"/>
  <c r="R41" i="19" s="1"/>
  <c r="R6" i="18"/>
  <c r="R41" i="18" s="1"/>
  <c r="R41" i="24"/>
  <c r="R54" i="16" l="1"/>
  <c r="R44" i="16"/>
  <c r="R51" i="14"/>
  <c r="R63" i="14"/>
  <c r="R48" i="15"/>
  <c r="R45" i="15"/>
  <c r="R44" i="15"/>
  <c r="R67" i="14"/>
  <c r="R64" i="15"/>
  <c r="R46" i="15"/>
  <c r="R68" i="14"/>
  <c r="R68" i="15"/>
  <c r="R45" i="16"/>
  <c r="R49" i="16"/>
  <c r="R53" i="16"/>
  <c r="R69" i="15"/>
  <c r="R56" i="16"/>
  <c r="R64" i="16"/>
  <c r="R58" i="18"/>
  <c r="R63" i="15"/>
  <c r="R43" i="16"/>
  <c r="R47" i="16"/>
  <c r="R51" i="16"/>
  <c r="R61" i="16"/>
  <c r="R58" i="16"/>
  <c r="R66" i="16"/>
  <c r="R48" i="16"/>
  <c r="R52" i="16"/>
  <c r="R59" i="14"/>
  <c r="R50" i="18"/>
  <c r="R60" i="15"/>
  <c r="R52" i="15"/>
  <c r="R66" i="14"/>
  <c r="R58" i="14"/>
  <c r="R50" i="14"/>
  <c r="R42" i="14"/>
  <c r="R61" i="15"/>
  <c r="R67" i="15"/>
  <c r="R59" i="15"/>
  <c r="R51" i="15"/>
  <c r="R43" i="15"/>
  <c r="R10" i="19"/>
  <c r="S45" i="19" s="1"/>
  <c r="R68" i="18" l="1"/>
  <c r="R66" i="18"/>
  <c r="R42" i="18"/>
  <c r="R55" i="18"/>
  <c r="R53" i="15"/>
  <c r="R68" i="16"/>
  <c r="R12" i="17"/>
  <c r="S47" i="17" s="1"/>
  <c r="R36" i="14"/>
  <c r="S71" i="14" s="1"/>
  <c r="R62" i="18"/>
  <c r="R55" i="16"/>
  <c r="R60" i="14"/>
  <c r="R63" i="16"/>
  <c r="R60" i="16"/>
  <c r="R15" i="17"/>
  <c r="S50" i="17" s="1"/>
  <c r="R54" i="18"/>
  <c r="R57" i="16"/>
  <c r="R35" i="14"/>
  <c r="S70" i="14" s="1"/>
  <c r="R43" i="18"/>
  <c r="R69" i="16"/>
  <c r="R43" i="14"/>
  <c r="R56" i="14"/>
  <c r="R59" i="16"/>
  <c r="R46" i="16"/>
  <c r="R63" i="18"/>
  <c r="R28" i="19"/>
  <c r="S63" i="19" s="1"/>
  <c r="R42" i="15"/>
  <c r="R35" i="15"/>
  <c r="S70" i="15" s="1"/>
  <c r="R7" i="19"/>
  <c r="S42" i="19" s="1"/>
  <c r="R36" i="15"/>
  <c r="S71" i="15" s="1"/>
  <c r="R22" i="17"/>
  <c r="S57" i="17" s="1"/>
  <c r="R57" i="14"/>
  <c r="R18" i="17"/>
  <c r="S53" i="17" s="1"/>
  <c r="R53" i="14"/>
  <c r="R14" i="17"/>
  <c r="S49" i="17" s="1"/>
  <c r="R49" i="14"/>
  <c r="R45" i="14"/>
  <c r="R10" i="17"/>
  <c r="S45" i="17" s="1"/>
  <c r="R20" i="17"/>
  <c r="S55" i="17" s="1"/>
  <c r="R55" i="14"/>
  <c r="R58" i="15"/>
  <c r="R23" i="19"/>
  <c r="S58" i="19" s="1"/>
  <c r="R35" i="18"/>
  <c r="S70" i="18" s="1"/>
  <c r="R34" i="19"/>
  <c r="S69" i="19" s="1"/>
  <c r="R60" i="18"/>
  <c r="R45" i="18"/>
  <c r="R51" i="18"/>
  <c r="R49" i="18"/>
  <c r="R13" i="19"/>
  <c r="S48" i="19" s="1"/>
  <c r="R48" i="18"/>
  <c r="R18" i="19"/>
  <c r="S53" i="19" s="1"/>
  <c r="R8" i="19"/>
  <c r="S43" i="19" s="1"/>
  <c r="R49" i="15"/>
  <c r="R14" i="19"/>
  <c r="S49" i="19" s="1"/>
  <c r="R23" i="17"/>
  <c r="S58" i="17" s="1"/>
  <c r="R16" i="19"/>
  <c r="S51" i="19" s="1"/>
  <c r="R50" i="16"/>
  <c r="R56" i="15"/>
  <c r="R21" i="19"/>
  <c r="S56" i="19" s="1"/>
  <c r="R21" i="17"/>
  <c r="S56" i="17" s="1"/>
  <c r="R33" i="17"/>
  <c r="S68" i="17" s="1"/>
  <c r="R62" i="15"/>
  <c r="R27" i="19"/>
  <c r="S62" i="19" s="1"/>
  <c r="R36" i="18"/>
  <c r="S71" i="18" s="1"/>
  <c r="R28" i="17"/>
  <c r="S63" i="17" s="1"/>
  <c r="R69" i="18"/>
  <c r="R53" i="18"/>
  <c r="R59" i="18"/>
  <c r="R57" i="18"/>
  <c r="R56" i="18"/>
  <c r="R65" i="16"/>
  <c r="R26" i="17"/>
  <c r="R61" i="14"/>
  <c r="R22" i="19"/>
  <c r="S57" i="19" s="1"/>
  <c r="R57" i="15"/>
  <c r="R17" i="17"/>
  <c r="S52" i="17" s="1"/>
  <c r="R52" i="14"/>
  <c r="R13" i="17"/>
  <c r="S48" i="17" s="1"/>
  <c r="R48" i="14"/>
  <c r="R9" i="17"/>
  <c r="R44" i="14"/>
  <c r="R24" i="17"/>
  <c r="S59" i="17" s="1"/>
  <c r="R69" i="14"/>
  <c r="R34" i="17"/>
  <c r="S69" i="17" s="1"/>
  <c r="R64" i="18"/>
  <c r="R61" i="18"/>
  <c r="R44" i="18"/>
  <c r="R65" i="18"/>
  <c r="R47" i="15"/>
  <c r="R12" i="19"/>
  <c r="S47" i="19" s="1"/>
  <c r="R17" i="19"/>
  <c r="S52" i="19" s="1"/>
  <c r="R25" i="19"/>
  <c r="S60" i="19" s="1"/>
  <c r="R25" i="17"/>
  <c r="S60" i="17" s="1"/>
  <c r="R55" i="15"/>
  <c r="R20" i="19"/>
  <c r="S55" i="19" s="1"/>
  <c r="R33" i="19"/>
  <c r="S68" i="19" s="1"/>
  <c r="R32" i="19"/>
  <c r="S67" i="19" s="1"/>
  <c r="R67" i="18"/>
  <c r="R52" i="18"/>
  <c r="R32" i="17"/>
  <c r="S67" i="17" s="1"/>
  <c r="R42" i="16"/>
  <c r="R35" i="16"/>
  <c r="S70" i="16" s="1"/>
  <c r="R36" i="16"/>
  <c r="S71" i="16" s="1"/>
  <c r="R16" i="17"/>
  <c r="S51" i="17" s="1"/>
  <c r="R47" i="14"/>
  <c r="R8" i="17"/>
  <c r="S43" i="17" s="1"/>
  <c r="R31" i="19"/>
  <c r="S66" i="19" s="1"/>
  <c r="R31" i="17"/>
  <c r="S66" i="17" s="1"/>
  <c r="R66" i="15"/>
  <c r="R15" i="19"/>
  <c r="S50" i="19" s="1"/>
  <c r="R50" i="15"/>
  <c r="R67" i="16"/>
  <c r="R62" i="16"/>
  <c r="R65" i="14"/>
  <c r="R30" i="17"/>
  <c r="S65" i="17" s="1"/>
  <c r="R26" i="19"/>
  <c r="S61" i="19" s="1"/>
  <c r="R30" i="19"/>
  <c r="S65" i="19" s="1"/>
  <c r="R65" i="15"/>
  <c r="R11" i="19"/>
  <c r="S46" i="19" s="1"/>
  <c r="R46" i="18"/>
  <c r="R19" i="19"/>
  <c r="S54" i="19" s="1"/>
  <c r="R54" i="15"/>
  <c r="R29" i="19"/>
  <c r="S64" i="19" s="1"/>
  <c r="R47" i="18"/>
  <c r="R29" i="17"/>
  <c r="S64" i="17" s="1"/>
  <c r="R64" i="14"/>
  <c r="R24" i="19"/>
  <c r="S59" i="19" s="1"/>
  <c r="R9" i="19"/>
  <c r="S44" i="19" s="1"/>
  <c r="R19" i="17"/>
  <c r="S54" i="17" s="1"/>
  <c r="R54" i="14"/>
  <c r="R46" i="14"/>
  <c r="R11" i="17"/>
  <c r="S46" i="17" s="1"/>
  <c r="R7" i="17"/>
  <c r="R27" i="17"/>
  <c r="S62" i="17" s="1"/>
  <c r="R62" i="14"/>
  <c r="S61" i="17" l="1"/>
  <c r="R26" i="24"/>
  <c r="R7" i="24"/>
  <c r="S42" i="24" s="1"/>
  <c r="S42" i="17"/>
  <c r="R9" i="24"/>
  <c r="S44" i="24" s="1"/>
  <c r="S44" i="17"/>
  <c r="R35" i="19"/>
  <c r="S70" i="19" s="1"/>
  <c r="R36" i="19"/>
  <c r="S71" i="19" s="1"/>
  <c r="R36" i="17"/>
  <c r="S71" i="17" s="1"/>
  <c r="R35" i="17"/>
  <c r="S70" i="17" s="1"/>
  <c r="R6" i="12" l="1"/>
  <c r="R41" i="12" s="1"/>
  <c r="R6" i="4"/>
  <c r="R41" i="4" s="1"/>
  <c r="R7" i="12"/>
  <c r="S42" i="12" s="1"/>
  <c r="R8" i="12"/>
  <c r="S43" i="12" s="1"/>
  <c r="R45" i="4"/>
  <c r="R11" i="12"/>
  <c r="S46" i="12" s="1"/>
  <c r="R12" i="12"/>
  <c r="S47" i="12" s="1"/>
  <c r="R48" i="4"/>
  <c r="R14" i="12"/>
  <c r="S49" i="12" s="1"/>
  <c r="R15" i="12"/>
  <c r="S50" i="12" s="1"/>
  <c r="R16" i="12"/>
  <c r="S51" i="12" s="1"/>
  <c r="R53" i="4"/>
  <c r="R54" i="4"/>
  <c r="R20" i="12"/>
  <c r="S55" i="12" s="1"/>
  <c r="R56" i="4"/>
  <c r="R22" i="12"/>
  <c r="S57" i="12" s="1"/>
  <c r="R23" i="12"/>
  <c r="S58" i="12" s="1"/>
  <c r="R24" i="12"/>
  <c r="S59" i="12" s="1"/>
  <c r="R61" i="4"/>
  <c r="R62" i="4"/>
  <c r="R28" i="12"/>
  <c r="S63" i="12" s="1"/>
  <c r="R64" i="4"/>
  <c r="R30" i="12"/>
  <c r="S65" i="12" s="1"/>
  <c r="R31" i="12"/>
  <c r="S66" i="12" s="1"/>
  <c r="R32" i="12"/>
  <c r="S67" i="12" s="1"/>
  <c r="R69" i="4"/>
  <c r="R43" i="4"/>
  <c r="R44" i="4"/>
  <c r="R46" i="4"/>
  <c r="R47" i="4"/>
  <c r="R49" i="4"/>
  <c r="R51" i="4"/>
  <c r="R52" i="4"/>
  <c r="R55" i="4"/>
  <c r="R57" i="4"/>
  <c r="R59" i="4"/>
  <c r="R60" i="4"/>
  <c r="R63" i="4"/>
  <c r="R65" i="4"/>
  <c r="R67" i="4"/>
  <c r="R68" i="4"/>
  <c r="R6" i="21"/>
  <c r="R41" i="21" s="1"/>
  <c r="R42" i="21"/>
  <c r="R9" i="12"/>
  <c r="S44" i="12" s="1"/>
  <c r="R47" i="21"/>
  <c r="R48" i="21"/>
  <c r="R50" i="21"/>
  <c r="R17" i="12"/>
  <c r="S52" i="12" s="1"/>
  <c r="R55" i="21"/>
  <c r="R56" i="21"/>
  <c r="R58" i="21"/>
  <c r="R25" i="12"/>
  <c r="S60" i="12" s="1"/>
  <c r="R63" i="21"/>
  <c r="R64" i="21"/>
  <c r="R66" i="21"/>
  <c r="R33" i="12"/>
  <c r="S68" i="12" s="1"/>
  <c r="R35" i="21"/>
  <c r="S70" i="21" s="1"/>
  <c r="R36" i="21"/>
  <c r="S71" i="21" s="1"/>
  <c r="R43" i="21"/>
  <c r="R45" i="21"/>
  <c r="R46" i="21"/>
  <c r="R49" i="21"/>
  <c r="R51" i="21"/>
  <c r="R53" i="21"/>
  <c r="R54" i="21"/>
  <c r="R57" i="21"/>
  <c r="R59" i="21"/>
  <c r="R61" i="21"/>
  <c r="R62" i="21"/>
  <c r="R65" i="21"/>
  <c r="R67" i="21"/>
  <c r="R69" i="21"/>
  <c r="R6" i="22"/>
  <c r="R41" i="22" s="1"/>
  <c r="R36" i="22"/>
  <c r="S71" i="22" s="1"/>
  <c r="R44" i="22"/>
  <c r="R46" i="22"/>
  <c r="R48" i="22"/>
  <c r="R50" i="22"/>
  <c r="R52" i="22"/>
  <c r="R54" i="22"/>
  <c r="R56" i="22"/>
  <c r="R58" i="22"/>
  <c r="R60" i="22"/>
  <c r="R62" i="22"/>
  <c r="R64" i="22"/>
  <c r="R66" i="22"/>
  <c r="R68" i="22"/>
  <c r="R35" i="22"/>
  <c r="S70" i="22" s="1"/>
  <c r="R43" i="22"/>
  <c r="R45" i="22"/>
  <c r="R47" i="22"/>
  <c r="R49" i="22"/>
  <c r="R51" i="22"/>
  <c r="R53" i="22"/>
  <c r="R55" i="22"/>
  <c r="R57" i="22"/>
  <c r="R59" i="22"/>
  <c r="R61" i="22"/>
  <c r="R63" i="22"/>
  <c r="R65" i="22"/>
  <c r="R67" i="22"/>
  <c r="R69" i="22"/>
  <c r="R6" i="8"/>
  <c r="R41" i="8" s="1"/>
  <c r="R42" i="8"/>
  <c r="R44" i="8"/>
  <c r="R46" i="8"/>
  <c r="R48" i="8"/>
  <c r="R50" i="8"/>
  <c r="R52" i="8"/>
  <c r="R54" i="8"/>
  <c r="R56" i="8"/>
  <c r="R58" i="8"/>
  <c r="R60" i="8"/>
  <c r="R62" i="8"/>
  <c r="R64" i="8"/>
  <c r="R66" i="8"/>
  <c r="R68" i="8"/>
  <c r="R43" i="8"/>
  <c r="R45" i="8"/>
  <c r="R47" i="8"/>
  <c r="R49" i="8"/>
  <c r="R51" i="8"/>
  <c r="R53" i="8"/>
  <c r="R55" i="8"/>
  <c r="R57" i="8"/>
  <c r="R59" i="8"/>
  <c r="R61" i="8"/>
  <c r="R63" i="8"/>
  <c r="R65" i="8"/>
  <c r="R67" i="8"/>
  <c r="R69" i="8"/>
  <c r="R6" i="9"/>
  <c r="R41" i="9" s="1"/>
  <c r="R35" i="9"/>
  <c r="S70" i="9" s="1"/>
  <c r="R43" i="9"/>
  <c r="R44" i="9"/>
  <c r="R46" i="9"/>
  <c r="R48" i="9"/>
  <c r="R50" i="9"/>
  <c r="R51" i="9"/>
  <c r="R52" i="9"/>
  <c r="R54" i="9"/>
  <c r="R56" i="9"/>
  <c r="R58" i="9"/>
  <c r="R59" i="9"/>
  <c r="R60" i="9"/>
  <c r="R62" i="9"/>
  <c r="R64" i="9"/>
  <c r="R66" i="9"/>
  <c r="R67" i="9"/>
  <c r="R68" i="9"/>
  <c r="R45" i="9"/>
  <c r="R47" i="9"/>
  <c r="R49" i="9"/>
  <c r="R53" i="9"/>
  <c r="R55" i="9"/>
  <c r="R57" i="9"/>
  <c r="R61" i="9"/>
  <c r="R63" i="9"/>
  <c r="R65" i="9"/>
  <c r="R69" i="9"/>
  <c r="R6" i="10"/>
  <c r="R41" i="10" s="1"/>
  <c r="R36" i="10"/>
  <c r="S71" i="10" s="1"/>
  <c r="R44" i="10"/>
  <c r="R45" i="10"/>
  <c r="R46" i="10"/>
  <c r="R48" i="10"/>
  <c r="R50" i="10"/>
  <c r="R52" i="10"/>
  <c r="R53" i="10"/>
  <c r="R54" i="10"/>
  <c r="R56" i="10"/>
  <c r="R58" i="10"/>
  <c r="R60" i="10"/>
  <c r="R61" i="10"/>
  <c r="R62" i="10"/>
  <c r="R64" i="10"/>
  <c r="R66" i="10"/>
  <c r="R68" i="10"/>
  <c r="R69" i="10"/>
  <c r="R35" i="10"/>
  <c r="S70" i="10" s="1"/>
  <c r="R43" i="10"/>
  <c r="R47" i="10"/>
  <c r="R49" i="10"/>
  <c r="R51" i="10"/>
  <c r="R55" i="10"/>
  <c r="R57" i="10"/>
  <c r="R59" i="10"/>
  <c r="R63" i="10"/>
  <c r="R65" i="10"/>
  <c r="R67" i="10"/>
  <c r="R6" i="11"/>
  <c r="R41" i="11" s="1"/>
  <c r="R42" i="11"/>
  <c r="R44" i="11"/>
  <c r="R46" i="11"/>
  <c r="R47" i="11"/>
  <c r="R48" i="11"/>
  <c r="R50" i="11"/>
  <c r="R52" i="11"/>
  <c r="R54" i="11"/>
  <c r="R55" i="11"/>
  <c r="R56" i="11"/>
  <c r="R58" i="11"/>
  <c r="R60" i="11"/>
  <c r="R62" i="11"/>
  <c r="R63" i="11"/>
  <c r="R64" i="11"/>
  <c r="R66" i="11"/>
  <c r="R68" i="11"/>
  <c r="R35" i="11"/>
  <c r="S70" i="11" s="1"/>
  <c r="R36" i="11"/>
  <c r="S71" i="11" s="1"/>
  <c r="R43" i="11"/>
  <c r="R45" i="11"/>
  <c r="R49" i="11"/>
  <c r="R51" i="11"/>
  <c r="R53" i="11"/>
  <c r="R57" i="11"/>
  <c r="R59" i="11"/>
  <c r="R61" i="11"/>
  <c r="R65" i="11"/>
  <c r="R67" i="11"/>
  <c r="R69" i="11"/>
  <c r="R41" i="13"/>
  <c r="AE52" i="8" l="1"/>
  <c r="AE51" i="8"/>
  <c r="R11" i="13"/>
  <c r="S46" i="13" s="1"/>
  <c r="R32" i="13"/>
  <c r="S67" i="13" s="1"/>
  <c r="R24" i="13"/>
  <c r="S59" i="13" s="1"/>
  <c r="R16" i="13"/>
  <c r="S51" i="13" s="1"/>
  <c r="R8" i="13"/>
  <c r="S43" i="13" s="1"/>
  <c r="R31" i="13"/>
  <c r="S66" i="13" s="1"/>
  <c r="R23" i="13"/>
  <c r="S58" i="13" s="1"/>
  <c r="R15" i="13"/>
  <c r="S50" i="13" s="1"/>
  <c r="R7" i="13"/>
  <c r="S42" i="13" s="1"/>
  <c r="R33" i="13"/>
  <c r="S68" i="13" s="1"/>
  <c r="R25" i="13"/>
  <c r="S60" i="13" s="1"/>
  <c r="R17" i="13"/>
  <c r="S52" i="13" s="1"/>
  <c r="R9" i="13"/>
  <c r="S44" i="13" s="1"/>
  <c r="R30" i="13"/>
  <c r="S65" i="13" s="1"/>
  <c r="R22" i="13"/>
  <c r="S57" i="13" s="1"/>
  <c r="R14" i="13"/>
  <c r="S49" i="13" s="1"/>
  <c r="R28" i="13"/>
  <c r="S63" i="13" s="1"/>
  <c r="R20" i="13"/>
  <c r="S55" i="13" s="1"/>
  <c r="R12" i="13"/>
  <c r="S47" i="13" s="1"/>
  <c r="R29" i="12"/>
  <c r="S64" i="12" s="1"/>
  <c r="R21" i="12"/>
  <c r="S56" i="12" s="1"/>
  <c r="R13" i="12"/>
  <c r="S48" i="12" s="1"/>
  <c r="R42" i="9"/>
  <c r="R36" i="8"/>
  <c r="S71" i="8" s="1"/>
  <c r="R68" i="21"/>
  <c r="R60" i="21"/>
  <c r="R52" i="21"/>
  <c r="R44" i="21"/>
  <c r="R66" i="4"/>
  <c r="R58" i="4"/>
  <c r="R50" i="4"/>
  <c r="R42" i="4"/>
  <c r="R27" i="12"/>
  <c r="S62" i="12" s="1"/>
  <c r="R19" i="12"/>
  <c r="S54" i="12" s="1"/>
  <c r="R35" i="8"/>
  <c r="S70" i="8" s="1"/>
  <c r="R42" i="10"/>
  <c r="R36" i="9"/>
  <c r="S71" i="9" s="1"/>
  <c r="R36" i="4"/>
  <c r="S71" i="4" s="1"/>
  <c r="R34" i="12"/>
  <c r="S69" i="12" s="1"/>
  <c r="R26" i="12"/>
  <c r="S61" i="12" s="1"/>
  <c r="R18" i="12"/>
  <c r="S53" i="12" s="1"/>
  <c r="R10" i="12"/>
  <c r="R35" i="4"/>
  <c r="S70" i="4" s="1"/>
  <c r="R42" i="22"/>
  <c r="R35" i="12" l="1"/>
  <c r="S70" i="12" s="1"/>
  <c r="S45" i="12"/>
  <c r="R36" i="12"/>
  <c r="S71" i="12" s="1"/>
  <c r="R10" i="13"/>
  <c r="S45" i="13" s="1"/>
  <c r="R19" i="13"/>
  <c r="S54" i="13" s="1"/>
  <c r="R27" i="13"/>
  <c r="S62" i="13" s="1"/>
  <c r="R26" i="13"/>
  <c r="S61" i="13" s="1"/>
  <c r="R34" i="13"/>
  <c r="S69" i="13" s="1"/>
  <c r="R13" i="13"/>
  <c r="S48" i="13" s="1"/>
  <c r="R21" i="13"/>
  <c r="S56" i="13" s="1"/>
  <c r="R18" i="13"/>
  <c r="S53" i="13" s="1"/>
  <c r="R29" i="13"/>
  <c r="S64" i="13" s="1"/>
  <c r="B37" i="26"/>
  <c r="B34" i="26"/>
  <c r="B35" i="26"/>
  <c r="B36" i="26"/>
  <c r="F13" i="26"/>
  <c r="R36" i="13" l="1"/>
  <c r="S71" i="13" s="1"/>
  <c r="R35" i="13"/>
  <c r="S70" i="13" s="1"/>
  <c r="P13" i="26"/>
  <c r="K13" i="26"/>
  <c r="AF18" i="4" l="1"/>
  <c r="AF18" i="22"/>
  <c r="B51" i="18" l="1"/>
  <c r="C51" i="18"/>
  <c r="AD33" i="19" l="1"/>
  <c r="AD32" i="19"/>
  <c r="AD31" i="19"/>
  <c r="AD30" i="19"/>
  <c r="AD28" i="19"/>
  <c r="AD24" i="19"/>
  <c r="AD21" i="19"/>
  <c r="AD20" i="19"/>
  <c r="AD19" i="19"/>
  <c r="AD18" i="19"/>
  <c r="AD15" i="19"/>
  <c r="AD13" i="19"/>
  <c r="AD11" i="19"/>
  <c r="AD10" i="19"/>
  <c r="AD9" i="19"/>
  <c r="AF24" i="16"/>
  <c r="AF21" i="16"/>
  <c r="AF20" i="16"/>
  <c r="AF19" i="16"/>
  <c r="AF18" i="16"/>
  <c r="AF15" i="16"/>
  <c r="AF13" i="16"/>
  <c r="AF11" i="16"/>
  <c r="AF10" i="16"/>
  <c r="AF9" i="16"/>
  <c r="AD33" i="14"/>
  <c r="AD32" i="14"/>
  <c r="AD31" i="14"/>
  <c r="AD30" i="14"/>
  <c r="AD28" i="14"/>
  <c r="AD24" i="14"/>
  <c r="AD21" i="14"/>
  <c r="AD20" i="14"/>
  <c r="AD19" i="14"/>
  <c r="AD18" i="14"/>
  <c r="AD15" i="14"/>
  <c r="AD13" i="14"/>
  <c r="AD11" i="14"/>
  <c r="AD10" i="14"/>
  <c r="AD9" i="14"/>
  <c r="AD40" i="18" l="1"/>
  <c r="AD41" i="18"/>
  <c r="AC41" i="18"/>
  <c r="AD40" i="19"/>
  <c r="AD41" i="19"/>
  <c r="AD40" i="14"/>
  <c r="AD41" i="14"/>
  <c r="AD33" i="18" l="1"/>
  <c r="AD32" i="18"/>
  <c r="AD31" i="18"/>
  <c r="AD30" i="18"/>
  <c r="AD28" i="18"/>
  <c r="AD24" i="18"/>
  <c r="AD20" i="18"/>
  <c r="AD19" i="18"/>
  <c r="AD18" i="18"/>
  <c r="AD15" i="18"/>
  <c r="AD11" i="18"/>
  <c r="AD10" i="18"/>
  <c r="AD9" i="18"/>
  <c r="E58" i="15" l="1"/>
  <c r="E60" i="15"/>
  <c r="F43" i="15"/>
  <c r="E46" i="15"/>
  <c r="F58" i="15"/>
  <c r="F69" i="15"/>
  <c r="E42" i="15"/>
  <c r="F42" i="15"/>
  <c r="F47" i="15"/>
  <c r="F54" i="15"/>
  <c r="F64" i="15"/>
  <c r="P51" i="18"/>
  <c r="E67" i="15"/>
  <c r="E65" i="15"/>
  <c r="E69" i="15"/>
  <c r="E42" i="16"/>
  <c r="E54" i="16"/>
  <c r="E68" i="16"/>
  <c r="E69" i="16"/>
  <c r="K51" i="18"/>
  <c r="N51" i="18" l="1"/>
  <c r="E63" i="16"/>
  <c r="J51" i="18"/>
  <c r="E48" i="16"/>
  <c r="E57" i="16"/>
  <c r="E63" i="15"/>
  <c r="E51" i="15"/>
  <c r="E67" i="16"/>
  <c r="F51" i="15"/>
  <c r="E59" i="15"/>
  <c r="F68" i="15"/>
  <c r="E60" i="16"/>
  <c r="E48" i="15"/>
  <c r="E53" i="15"/>
  <c r="E66" i="16"/>
  <c r="F49" i="15"/>
  <c r="E52" i="16"/>
  <c r="G51" i="18"/>
  <c r="E61" i="16"/>
  <c r="E50" i="16"/>
  <c r="E43" i="15"/>
  <c r="E44" i="16"/>
  <c r="F51" i="18"/>
  <c r="Q51" i="18"/>
  <c r="E47" i="15"/>
  <c r="I51" i="18"/>
  <c r="E65" i="16"/>
  <c r="E58" i="16"/>
  <c r="F46" i="15"/>
  <c r="F66" i="15"/>
  <c r="H51" i="18"/>
  <c r="E47" i="16"/>
  <c r="F55" i="15"/>
  <c r="E51" i="18"/>
  <c r="O51" i="18"/>
  <c r="F60" i="15"/>
  <c r="F48" i="15"/>
  <c r="E51" i="16"/>
  <c r="F59" i="15"/>
  <c r="L51" i="18"/>
  <c r="M51" i="18"/>
  <c r="E68" i="15"/>
  <c r="F65" i="15"/>
  <c r="E64" i="15"/>
  <c r="E52" i="15"/>
  <c r="E57" i="15"/>
  <c r="E53" i="16"/>
  <c r="E56" i="15"/>
  <c r="E61" i="15"/>
  <c r="E45" i="16"/>
  <c r="F53" i="15"/>
  <c r="E45" i="15"/>
  <c r="E56" i="16"/>
  <c r="E55" i="16"/>
  <c r="E62" i="16"/>
  <c r="E66" i="15"/>
  <c r="E62" i="15"/>
  <c r="F61" i="15"/>
  <c r="F57" i="15"/>
  <c r="E44" i="15"/>
  <c r="F62" i="15"/>
  <c r="E49" i="15"/>
  <c r="F44" i="15"/>
  <c r="F52" i="15"/>
  <c r="E49" i="16"/>
  <c r="E46" i="16"/>
  <c r="F63" i="15"/>
  <c r="F67" i="15"/>
  <c r="F45" i="15"/>
  <c r="E64" i="16"/>
  <c r="E54" i="15"/>
  <c r="F50" i="15"/>
  <c r="E59" i="16"/>
  <c r="E55" i="15"/>
  <c r="F56" i="15"/>
  <c r="E43" i="16"/>
  <c r="E50" i="15"/>
  <c r="B22" i="26" l="1"/>
  <c r="B23" i="26"/>
  <c r="B31" i="26"/>
  <c r="B30" i="26"/>
  <c r="B29" i="26"/>
  <c r="B28" i="26"/>
  <c r="B27" i="26"/>
  <c r="B26" i="26"/>
  <c r="B25" i="26"/>
  <c r="B16" i="26"/>
  <c r="B17" i="26"/>
  <c r="B18" i="26"/>
  <c r="B19" i="26"/>
  <c r="B20" i="26"/>
  <c r="B21" i="26"/>
  <c r="B15" i="26"/>
  <c r="AD9" i="11" l="1"/>
  <c r="AD10" i="11"/>
  <c r="AD11" i="11"/>
  <c r="AD18" i="11"/>
  <c r="AD19" i="11"/>
  <c r="AD24" i="11"/>
  <c r="AD28" i="11"/>
  <c r="AD30" i="11"/>
  <c r="AD31" i="11"/>
  <c r="AD33" i="11"/>
  <c r="AE9" i="10"/>
  <c r="AE10" i="10"/>
  <c r="AE11" i="10"/>
  <c r="AE14" i="10"/>
  <c r="AE18" i="10"/>
  <c r="AE19" i="10"/>
  <c r="AE24" i="10"/>
  <c r="AE28" i="10"/>
  <c r="AE30" i="10"/>
  <c r="AE31" i="10"/>
  <c r="AE33" i="10"/>
  <c r="AE9" i="9"/>
  <c r="AE10" i="9"/>
  <c r="AE11" i="9"/>
  <c r="AE16" i="9"/>
  <c r="AE18" i="9"/>
  <c r="AE19" i="9"/>
  <c r="AE24" i="9"/>
  <c r="AE26" i="9"/>
  <c r="AE28" i="9"/>
  <c r="AE30" i="9"/>
  <c r="AE31" i="9"/>
  <c r="AE33" i="9"/>
  <c r="AE34" i="9"/>
  <c r="AD7" i="8" l="1"/>
  <c r="AD9" i="8"/>
  <c r="AD10" i="8"/>
  <c r="AD11" i="8"/>
  <c r="AD13" i="8"/>
  <c r="AD14" i="8"/>
  <c r="AD18" i="8"/>
  <c r="AD19" i="8"/>
  <c r="AD21" i="8"/>
  <c r="AD22" i="8"/>
  <c r="AD23" i="8"/>
  <c r="AD24" i="8"/>
  <c r="AD25" i="8"/>
  <c r="AD26" i="8"/>
  <c r="AD28" i="8"/>
  <c r="AD29" i="8"/>
  <c r="AD30" i="8"/>
  <c r="AD31" i="8"/>
  <c r="AD33" i="8"/>
  <c r="AD34" i="8"/>
  <c r="AA40" i="11"/>
  <c r="AB40" i="11"/>
  <c r="AC40" i="11"/>
  <c r="AD40" i="11"/>
  <c r="AD41" i="11"/>
  <c r="AB40" i="10"/>
  <c r="AC40" i="10"/>
  <c r="AD40" i="10"/>
  <c r="AE40" i="10"/>
  <c r="AA40" i="10"/>
  <c r="AE40" i="9"/>
  <c r="AB40" i="8"/>
  <c r="AD40" i="8"/>
  <c r="AC40" i="8"/>
  <c r="AD41" i="8"/>
  <c r="AF33" i="22"/>
  <c r="AF24" i="22"/>
  <c r="AF19" i="22"/>
  <c r="AF11" i="22"/>
  <c r="AF10" i="22"/>
  <c r="AF9" i="22"/>
  <c r="AF40" i="22"/>
  <c r="AF9" i="21"/>
  <c r="AF10" i="21"/>
  <c r="AF11" i="21"/>
  <c r="AF14" i="21"/>
  <c r="AF18" i="21"/>
  <c r="AF19" i="21"/>
  <c r="AF24" i="21"/>
  <c r="AF40" i="21"/>
  <c r="AF9" i="4" l="1"/>
  <c r="AF10" i="4"/>
  <c r="AF11" i="4"/>
  <c r="AF19" i="4"/>
  <c r="AF24" i="4"/>
  <c r="AF26" i="4"/>
  <c r="AF30" i="4"/>
  <c r="AF31" i="4"/>
  <c r="AF33" i="4"/>
  <c r="B48" i="4"/>
  <c r="C48" i="4"/>
  <c r="AF40" i="4"/>
  <c r="AB4" i="11" l="1"/>
  <c r="AC4" i="11" s="1"/>
  <c r="AD4" i="11" s="1"/>
  <c r="A42" i="24" l="1"/>
  <c r="A68" i="24" l="1"/>
  <c r="R33" i="24"/>
  <c r="S68" i="24" s="1"/>
  <c r="A67" i="24"/>
  <c r="R32" i="24"/>
  <c r="S67" i="24" s="1"/>
  <c r="A66" i="24"/>
  <c r="R31" i="24"/>
  <c r="S66" i="24" s="1"/>
  <c r="A65" i="24"/>
  <c r="R30" i="24"/>
  <c r="S65" i="24" s="1"/>
  <c r="A64" i="24"/>
  <c r="R29" i="24"/>
  <c r="S64" i="24" s="1"/>
  <c r="A63" i="24"/>
  <c r="R28" i="24"/>
  <c r="S63" i="24" s="1"/>
  <c r="A62" i="24"/>
  <c r="R27" i="24"/>
  <c r="S62" i="24" s="1"/>
  <c r="A61" i="24"/>
  <c r="S61" i="24"/>
  <c r="A60" i="24"/>
  <c r="R25" i="24"/>
  <c r="S60" i="24" s="1"/>
  <c r="A59" i="24"/>
  <c r="R24" i="24"/>
  <c r="S59" i="24" s="1"/>
  <c r="A58" i="24"/>
  <c r="R23" i="24"/>
  <c r="S58" i="24" s="1"/>
  <c r="A57" i="24"/>
  <c r="R22" i="24"/>
  <c r="S57" i="24" s="1"/>
  <c r="A56" i="24"/>
  <c r="R21" i="24"/>
  <c r="S56" i="24" s="1"/>
  <c r="A55" i="24"/>
  <c r="R20" i="24"/>
  <c r="S55" i="24" s="1"/>
  <c r="A54" i="24"/>
  <c r="R19" i="24"/>
  <c r="S54" i="24" s="1"/>
  <c r="A53" i="24"/>
  <c r="R18" i="24"/>
  <c r="S53" i="24" s="1"/>
  <c r="A52" i="24"/>
  <c r="R17" i="24"/>
  <c r="S52" i="24" s="1"/>
  <c r="A51" i="24"/>
  <c r="R16" i="24"/>
  <c r="S51" i="24" s="1"/>
  <c r="A50" i="24"/>
  <c r="R15" i="24"/>
  <c r="S50" i="24" s="1"/>
  <c r="A49" i="24"/>
  <c r="R14" i="24"/>
  <c r="S49" i="24" s="1"/>
  <c r="A48" i="24"/>
  <c r="R13" i="24"/>
  <c r="S48" i="24" s="1"/>
  <c r="A47" i="24"/>
  <c r="R12" i="24"/>
  <c r="S47" i="24" s="1"/>
  <c r="A46" i="24"/>
  <c r="R11" i="24"/>
  <c r="S46" i="24" s="1"/>
  <c r="A45" i="24"/>
  <c r="R10" i="24"/>
  <c r="S45" i="24" s="1"/>
  <c r="A44" i="24"/>
  <c r="A43" i="24"/>
  <c r="R8" i="24"/>
  <c r="S43" i="24" s="1"/>
  <c r="AC40" i="18"/>
  <c r="AC6" i="18"/>
  <c r="AA6" i="18"/>
  <c r="R36" i="24" l="1"/>
  <c r="S71" i="24" s="1"/>
  <c r="AF6" i="16"/>
  <c r="AF41" i="16" s="1"/>
  <c r="AD6" i="14" l="1"/>
  <c r="AC41" i="11"/>
  <c r="AC6" i="11"/>
  <c r="AB41" i="9" l="1"/>
  <c r="AC6" i="9"/>
  <c r="AC41" i="8" l="1"/>
  <c r="AC6" i="8"/>
  <c r="AI6" i="10" l="1"/>
  <c r="AG6" i="4" l="1"/>
  <c r="O41" i="13" l="1"/>
  <c r="P41" i="13"/>
  <c r="Q41" i="13"/>
  <c r="M41" i="24"/>
  <c r="N41" i="24"/>
  <c r="O41" i="24"/>
  <c r="P41" i="24"/>
  <c r="Q41" i="24"/>
  <c r="O41" i="17"/>
  <c r="P41" i="17"/>
  <c r="Q41" i="17"/>
  <c r="Q6" i="18"/>
  <c r="Q41" i="18" s="1"/>
  <c r="D6" i="18"/>
  <c r="E6" i="18"/>
  <c r="F6" i="18"/>
  <c r="G6" i="18"/>
  <c r="H6" i="18"/>
  <c r="I6" i="18"/>
  <c r="J6" i="18"/>
  <c r="K6" i="18"/>
  <c r="L6" i="18"/>
  <c r="M6" i="18"/>
  <c r="N6" i="18"/>
  <c r="O6" i="18"/>
  <c r="O41" i="18" s="1"/>
  <c r="P6" i="18"/>
  <c r="P41" i="18" s="1"/>
  <c r="Q6" i="19"/>
  <c r="Q41" i="19" s="1"/>
  <c r="D6" i="19"/>
  <c r="E6" i="19"/>
  <c r="F6" i="19"/>
  <c r="G6" i="19"/>
  <c r="H6" i="19"/>
  <c r="I6" i="19"/>
  <c r="J6" i="19"/>
  <c r="K6" i="19"/>
  <c r="L6" i="19"/>
  <c r="M6" i="19"/>
  <c r="N6" i="19"/>
  <c r="O6" i="19"/>
  <c r="O41" i="19" s="1"/>
  <c r="P6" i="19"/>
  <c r="P41" i="19" s="1"/>
  <c r="Q6" i="16"/>
  <c r="Q41" i="16" s="1"/>
  <c r="D6" i="16"/>
  <c r="E6" i="16"/>
  <c r="F6" i="16"/>
  <c r="G6" i="16"/>
  <c r="H6" i="16"/>
  <c r="I6" i="16"/>
  <c r="J6" i="16"/>
  <c r="K6" i="16"/>
  <c r="L6" i="16"/>
  <c r="M6" i="16"/>
  <c r="N6" i="16"/>
  <c r="O6" i="16"/>
  <c r="O41" i="16" s="1"/>
  <c r="P6" i="16"/>
  <c r="P41" i="16" s="1"/>
  <c r="Q6" i="15"/>
  <c r="Q41" i="15" s="1"/>
  <c r="E6" i="15"/>
  <c r="E41" i="15" s="1"/>
  <c r="F6" i="15"/>
  <c r="G6" i="15"/>
  <c r="H6" i="15"/>
  <c r="I6" i="15"/>
  <c r="J6" i="15"/>
  <c r="K6" i="15"/>
  <c r="L6" i="15"/>
  <c r="M6" i="15"/>
  <c r="N6" i="15"/>
  <c r="O6" i="15"/>
  <c r="P6" i="15"/>
  <c r="D6" i="15"/>
  <c r="D41" i="15" s="1"/>
  <c r="D6" i="14"/>
  <c r="Q6" i="14"/>
  <c r="Q41" i="14" s="1"/>
  <c r="E6" i="14"/>
  <c r="F6" i="14"/>
  <c r="G6" i="14"/>
  <c r="H6" i="14"/>
  <c r="I6" i="14"/>
  <c r="J6" i="14"/>
  <c r="K6" i="14"/>
  <c r="L6" i="14"/>
  <c r="M6" i="14"/>
  <c r="N6" i="14"/>
  <c r="O6" i="14"/>
  <c r="P6" i="14"/>
  <c r="Q6" i="11"/>
  <c r="Q41" i="11" s="1"/>
  <c r="D6" i="11"/>
  <c r="E6" i="11"/>
  <c r="F6" i="11"/>
  <c r="G6" i="11"/>
  <c r="H6" i="11"/>
  <c r="I6" i="11"/>
  <c r="J6" i="11"/>
  <c r="K6" i="11"/>
  <c r="L6" i="11"/>
  <c r="M6" i="11"/>
  <c r="N6" i="11"/>
  <c r="O6" i="11"/>
  <c r="O41" i="11" s="1"/>
  <c r="P6" i="11"/>
  <c r="P41" i="11" s="1"/>
  <c r="D6" i="10"/>
  <c r="E6" i="10"/>
  <c r="F6" i="10"/>
  <c r="G6" i="10"/>
  <c r="H6" i="10"/>
  <c r="I6" i="10"/>
  <c r="J6" i="10"/>
  <c r="K6" i="10"/>
  <c r="L6" i="10"/>
  <c r="M6" i="10"/>
  <c r="N6" i="10"/>
  <c r="N41" i="10" s="1"/>
  <c r="O6" i="10"/>
  <c r="O41" i="10" s="1"/>
  <c r="P6" i="10"/>
  <c r="Q6" i="10"/>
  <c r="Q41" i="10" s="1"/>
  <c r="Q6" i="9"/>
  <c r="Q41" i="9" s="1"/>
  <c r="D6" i="9"/>
  <c r="E6" i="9"/>
  <c r="F6" i="9"/>
  <c r="G6" i="9"/>
  <c r="H6" i="9"/>
  <c r="I6" i="9"/>
  <c r="J6" i="9"/>
  <c r="K6" i="9"/>
  <c r="L6" i="9"/>
  <c r="M6" i="9"/>
  <c r="N6" i="9"/>
  <c r="O6" i="9"/>
  <c r="O41" i="9" s="1"/>
  <c r="P6" i="9"/>
  <c r="P41" i="9" s="1"/>
  <c r="Q6" i="8"/>
  <c r="Q41" i="8" s="1"/>
  <c r="D6" i="8"/>
  <c r="E6" i="8"/>
  <c r="F6" i="8"/>
  <c r="G6" i="8"/>
  <c r="H6" i="8"/>
  <c r="I6" i="8"/>
  <c r="J6" i="8"/>
  <c r="K6" i="8"/>
  <c r="L6" i="8"/>
  <c r="M6" i="8"/>
  <c r="N6" i="8"/>
  <c r="O6" i="8"/>
  <c r="O41" i="8" s="1"/>
  <c r="P6" i="8"/>
  <c r="P41" i="8" s="1"/>
  <c r="Q6" i="22"/>
  <c r="Q41" i="22" s="1"/>
  <c r="D6" i="22"/>
  <c r="E6" i="22"/>
  <c r="F6" i="22"/>
  <c r="G6" i="22"/>
  <c r="H6" i="22"/>
  <c r="I6" i="22"/>
  <c r="J6" i="22"/>
  <c r="K6" i="22"/>
  <c r="L6" i="22"/>
  <c r="M6" i="22"/>
  <c r="N6" i="22"/>
  <c r="O6" i="22"/>
  <c r="O41" i="22" s="1"/>
  <c r="P6" i="22"/>
  <c r="P41" i="22" s="1"/>
  <c r="D6" i="21"/>
  <c r="E6" i="21"/>
  <c r="F6" i="21"/>
  <c r="G6" i="21"/>
  <c r="H6" i="21"/>
  <c r="I6" i="21"/>
  <c r="J6" i="21"/>
  <c r="K6" i="21"/>
  <c r="L6" i="21"/>
  <c r="M6" i="21"/>
  <c r="N6" i="21"/>
  <c r="N41" i="21" s="1"/>
  <c r="O6" i="21"/>
  <c r="O41" i="21" s="1"/>
  <c r="P6" i="21"/>
  <c r="P41" i="21" s="1"/>
  <c r="Q6" i="21"/>
  <c r="Q41" i="21" s="1"/>
  <c r="E6" i="4"/>
  <c r="F6" i="4"/>
  <c r="G6" i="4"/>
  <c r="H6" i="4"/>
  <c r="I6" i="4"/>
  <c r="J6" i="4"/>
  <c r="K6" i="4"/>
  <c r="L6" i="4"/>
  <c r="M6" i="4"/>
  <c r="N6" i="4"/>
  <c r="O6" i="4"/>
  <c r="O41" i="4" s="1"/>
  <c r="P6" i="4"/>
  <c r="P41" i="4" s="1"/>
  <c r="Q6" i="4"/>
  <c r="Q41" i="4" s="1"/>
  <c r="D6" i="4"/>
  <c r="E6" i="12"/>
  <c r="F6" i="12"/>
  <c r="G6" i="12"/>
  <c r="H6" i="12"/>
  <c r="I6" i="12"/>
  <c r="J6" i="12"/>
  <c r="K6" i="12"/>
  <c r="L6" i="12"/>
  <c r="M6" i="12"/>
  <c r="N6" i="12"/>
  <c r="O6" i="12"/>
  <c r="O41" i="12" s="1"/>
  <c r="P6" i="12"/>
  <c r="P41" i="12" s="1"/>
  <c r="Q6" i="12"/>
  <c r="Q41" i="12" s="1"/>
  <c r="D6" i="12"/>
  <c r="P41" i="10" l="1"/>
  <c r="AJ7" i="10"/>
  <c r="Q29" i="12"/>
  <c r="R64" i="12" s="1"/>
  <c r="A48" i="4"/>
  <c r="Q18" i="12"/>
  <c r="R53" i="12" s="1"/>
  <c r="Q34" i="12"/>
  <c r="R69" i="12" s="1"/>
  <c r="Q33" i="12"/>
  <c r="R68" i="12" s="1"/>
  <c r="Q54" i="22"/>
  <c r="Q52" i="21"/>
  <c r="Q56" i="21"/>
  <c r="Q58" i="22"/>
  <c r="Q25" i="12"/>
  <c r="R60" i="12" s="1"/>
  <c r="Q42" i="22"/>
  <c r="Q50" i="22"/>
  <c r="Q61" i="4"/>
  <c r="Q26" i="12"/>
  <c r="R61" i="12" s="1"/>
  <c r="Q69" i="21"/>
  <c r="Q61" i="21"/>
  <c r="Q57" i="21"/>
  <c r="Q49" i="21"/>
  <c r="Q47" i="22"/>
  <c r="Q57" i="4"/>
  <c r="Q45" i="4"/>
  <c r="Q43" i="22"/>
  <c r="AE69" i="8"/>
  <c r="AG34" i="8" s="1"/>
  <c r="W34" i="8" s="1"/>
  <c r="AE45" i="8"/>
  <c r="AG10" i="8" s="1"/>
  <c r="W10" i="8" s="1"/>
  <c r="Q60" i="4"/>
  <c r="E48" i="4"/>
  <c r="Q68" i="4"/>
  <c r="Q56" i="4"/>
  <c r="L48" i="4"/>
  <c r="H48" i="4"/>
  <c r="Q64" i="4"/>
  <c r="O48" i="4"/>
  <c r="K48" i="4"/>
  <c r="Q58" i="4"/>
  <c r="Q10" i="12"/>
  <c r="R45" i="12" s="1"/>
  <c r="Q69" i="4"/>
  <c r="Q43" i="21"/>
  <c r="Q57" i="22"/>
  <c r="Q54" i="4"/>
  <c r="Q53" i="4"/>
  <c r="Q47" i="21"/>
  <c r="Q61" i="22"/>
  <c r="Q55" i="21"/>
  <c r="Q63" i="4"/>
  <c r="Q47" i="4"/>
  <c r="Q20" i="12"/>
  <c r="R55" i="12" s="1"/>
  <c r="Q62" i="4"/>
  <c r="Q51" i="4"/>
  <c r="Q46" i="4"/>
  <c r="Q32" i="12"/>
  <c r="R67" i="12" s="1"/>
  <c r="Q53" i="21"/>
  <c r="Q66" i="4"/>
  <c r="Q50" i="4"/>
  <c r="Q65" i="4"/>
  <c r="Q59" i="21"/>
  <c r="Q45" i="21"/>
  <c r="Q44" i="21"/>
  <c r="Q63" i="22"/>
  <c r="Q59" i="22"/>
  <c r="Q31" i="12"/>
  <c r="R66" i="12" s="1"/>
  <c r="Q27" i="12"/>
  <c r="R62" i="12" s="1"/>
  <c r="Q19" i="12"/>
  <c r="R54" i="12" s="1"/>
  <c r="Q15" i="12"/>
  <c r="R50" i="12" s="1"/>
  <c r="Q11" i="12"/>
  <c r="R46" i="12" s="1"/>
  <c r="Q49" i="22"/>
  <c r="Q67" i="22"/>
  <c r="Q62" i="22"/>
  <c r="Q66" i="22"/>
  <c r="Q44" i="22"/>
  <c r="AG17" i="8" l="1"/>
  <c r="AE50" i="8"/>
  <c r="AG15" i="8" s="1"/>
  <c r="AE58" i="8"/>
  <c r="AG23" i="8" s="1"/>
  <c r="W23" i="8" s="1"/>
  <c r="AE62" i="8"/>
  <c r="AG27" i="8" s="1"/>
  <c r="AE55" i="8"/>
  <c r="AG20" i="8" s="1"/>
  <c r="AE66" i="8"/>
  <c r="AG31" i="8" s="1"/>
  <c r="W31" i="8" s="1"/>
  <c r="AE53" i="8"/>
  <c r="AG18" i="8" s="1"/>
  <c r="W18" i="8" s="1"/>
  <c r="AG48" i="4"/>
  <c r="AI13" i="4" s="1"/>
  <c r="AE42" i="8"/>
  <c r="AG7" i="8" s="1"/>
  <c r="W7" i="8" s="1"/>
  <c r="Q59" i="4"/>
  <c r="Q24" i="12"/>
  <c r="R59" i="12" s="1"/>
  <c r="Q7" i="12"/>
  <c r="R42" i="12" s="1"/>
  <c r="I48" i="4"/>
  <c r="Q13" i="12"/>
  <c r="R48" i="12" s="1"/>
  <c r="Q48" i="4"/>
  <c r="W10" i="10"/>
  <c r="Q14" i="12"/>
  <c r="R49" i="12" s="1"/>
  <c r="Q28" i="12"/>
  <c r="R63" i="12" s="1"/>
  <c r="Q30" i="12"/>
  <c r="R65" i="12" s="1"/>
  <c r="P48" i="4"/>
  <c r="M48" i="4"/>
  <c r="F48" i="4"/>
  <c r="Q16" i="12"/>
  <c r="R51" i="12" s="1"/>
  <c r="Q12" i="12"/>
  <c r="R47" i="12" s="1"/>
  <c r="G48" i="4"/>
  <c r="Q17" i="12"/>
  <c r="R52" i="12" s="1"/>
  <c r="Q23" i="12"/>
  <c r="R58" i="12" s="1"/>
  <c r="Q43" i="4"/>
  <c r="Q8" i="12"/>
  <c r="R43" i="12" s="1"/>
  <c r="Q65" i="22"/>
  <c r="Q45" i="22"/>
  <c r="Q9" i="12"/>
  <c r="R44" i="12" s="1"/>
  <c r="J48" i="4"/>
  <c r="N48" i="4"/>
  <c r="Q22" i="12"/>
  <c r="R57" i="12" s="1"/>
  <c r="Q21" i="12"/>
  <c r="R56" i="12" s="1"/>
  <c r="Q7" i="17"/>
  <c r="R42" i="17" s="1"/>
  <c r="Q67" i="10"/>
  <c r="Q52" i="4"/>
  <c r="Q48" i="21"/>
  <c r="Q51" i="22"/>
  <c r="Q64" i="21"/>
  <c r="E36" i="21"/>
  <c r="F36" i="22"/>
  <c r="Q65" i="21"/>
  <c r="G35" i="4"/>
  <c r="D36" i="22"/>
  <c r="P36" i="21"/>
  <c r="Q35" i="22"/>
  <c r="R70" i="22" s="1"/>
  <c r="F35" i="22"/>
  <c r="H36" i="4"/>
  <c r="Q55" i="22"/>
  <c r="H36" i="8"/>
  <c r="Q46" i="22"/>
  <c r="O36" i="4"/>
  <c r="Q60" i="21"/>
  <c r="AJ18" i="10"/>
  <c r="Q36" i="22"/>
  <c r="R71" i="22" s="1"/>
  <c r="E35" i="21"/>
  <c r="P35" i="21"/>
  <c r="I36" i="22"/>
  <c r="O35" i="4"/>
  <c r="Q63" i="21"/>
  <c r="G36" i="8"/>
  <c r="G35" i="8"/>
  <c r="O36" i="10"/>
  <c r="O35" i="10"/>
  <c r="G35" i="22"/>
  <c r="G36" i="22"/>
  <c r="K35" i="22"/>
  <c r="K36" i="22"/>
  <c r="Q42" i="21"/>
  <c r="Q35" i="21"/>
  <c r="R70" i="21" s="1"/>
  <c r="Q36" i="21"/>
  <c r="R71" i="21" s="1"/>
  <c r="M36" i="4"/>
  <c r="M35" i="4"/>
  <c r="L36" i="4"/>
  <c r="L35" i="4"/>
  <c r="M36" i="22"/>
  <c r="M35" i="22"/>
  <c r="I35" i="8"/>
  <c r="I36" i="8"/>
  <c r="Q35" i="8"/>
  <c r="R70" i="8" s="1"/>
  <c r="Q36" i="8"/>
  <c r="R71" i="8" s="1"/>
  <c r="D35" i="10"/>
  <c r="D36" i="10"/>
  <c r="AJ9" i="10"/>
  <c r="AJ17" i="10"/>
  <c r="O35" i="22"/>
  <c r="O36" i="22"/>
  <c r="F36" i="21"/>
  <c r="F71" i="21" s="1"/>
  <c r="F35" i="21"/>
  <c r="F35" i="4"/>
  <c r="F36" i="4"/>
  <c r="Q69" i="22"/>
  <c r="L36" i="22"/>
  <c r="L35" i="22"/>
  <c r="I35" i="22"/>
  <c r="H35" i="4"/>
  <c r="G36" i="4"/>
  <c r="Q68" i="21"/>
  <c r="O36" i="8"/>
  <c r="O35" i="8"/>
  <c r="J36" i="8"/>
  <c r="J35" i="8"/>
  <c r="J70" i="8" s="1"/>
  <c r="E35" i="8"/>
  <c r="E36" i="8"/>
  <c r="D35" i="8"/>
  <c r="D36" i="8"/>
  <c r="AJ11" i="10"/>
  <c r="AJ34" i="10"/>
  <c r="AJ26" i="10"/>
  <c r="AJ32" i="10"/>
  <c r="Q68" i="10"/>
  <c r="G36" i="10"/>
  <c r="G35" i="10"/>
  <c r="N35" i="22"/>
  <c r="N36" i="22"/>
  <c r="I35" i="21"/>
  <c r="I36" i="21"/>
  <c r="J36" i="21"/>
  <c r="J35" i="21"/>
  <c r="K36" i="21"/>
  <c r="K35" i="21"/>
  <c r="H35" i="10"/>
  <c r="H36" i="10"/>
  <c r="E36" i="4"/>
  <c r="E35" i="4"/>
  <c r="N35" i="4"/>
  <c r="N36" i="4"/>
  <c r="D36" i="4"/>
  <c r="D35" i="4"/>
  <c r="E35" i="10"/>
  <c r="E70" i="10" s="1"/>
  <c r="E36" i="10"/>
  <c r="E71" i="10" s="1"/>
  <c r="Q49" i="4"/>
  <c r="D35" i="22"/>
  <c r="M35" i="8"/>
  <c r="M36" i="8"/>
  <c r="M35" i="10"/>
  <c r="M36" i="10"/>
  <c r="J36" i="10"/>
  <c r="J35" i="10"/>
  <c r="D35" i="21"/>
  <c r="D36" i="21"/>
  <c r="J35" i="4"/>
  <c r="J36" i="4"/>
  <c r="K35" i="4"/>
  <c r="K36" i="4"/>
  <c r="H35" i="8"/>
  <c r="P36" i="22"/>
  <c r="P35" i="22"/>
  <c r="P35" i="8"/>
  <c r="P36" i="8"/>
  <c r="N36" i="8"/>
  <c r="N71" i="8" s="1"/>
  <c r="N35" i="8"/>
  <c r="L35" i="8"/>
  <c r="L36" i="8"/>
  <c r="N36" i="10"/>
  <c r="N35" i="10"/>
  <c r="N70" i="10" s="1"/>
  <c r="AJ25" i="10"/>
  <c r="J35" i="22"/>
  <c r="J36" i="22"/>
  <c r="Q56" i="22"/>
  <c r="G36" i="21"/>
  <c r="G35" i="21"/>
  <c r="Q53" i="22"/>
  <c r="K36" i="8"/>
  <c r="K35" i="8"/>
  <c r="F36" i="8"/>
  <c r="F35" i="8"/>
  <c r="F70" i="8" s="1"/>
  <c r="I35" i="10"/>
  <c r="I36" i="10"/>
  <c r="F36" i="10"/>
  <c r="F35" i="10"/>
  <c r="K36" i="10"/>
  <c r="K35" i="10"/>
  <c r="M35" i="21"/>
  <c r="M36" i="21"/>
  <c r="N36" i="21"/>
  <c r="N35" i="21"/>
  <c r="O36" i="21"/>
  <c r="O35" i="21"/>
  <c r="L35" i="10"/>
  <c r="L36" i="10"/>
  <c r="Q35" i="10"/>
  <c r="R70" i="10" s="1"/>
  <c r="Q36" i="10"/>
  <c r="R71" i="10" s="1"/>
  <c r="P35" i="10"/>
  <c r="P70" i="10" s="1"/>
  <c r="P36" i="10"/>
  <c r="H35" i="21"/>
  <c r="H70" i="21" s="1"/>
  <c r="H36" i="21"/>
  <c r="I36" i="4"/>
  <c r="I71" i="4" s="1"/>
  <c r="I35" i="4"/>
  <c r="L35" i="21"/>
  <c r="L36" i="21"/>
  <c r="Q42" i="4"/>
  <c r="Q36" i="4"/>
  <c r="R71" i="4" s="1"/>
  <c r="Q35" i="4"/>
  <c r="R70" i="4" s="1"/>
  <c r="P36" i="4"/>
  <c r="P35" i="4"/>
  <c r="H36" i="22"/>
  <c r="H71" i="22" s="1"/>
  <c r="H35" i="22"/>
  <c r="E36" i="22"/>
  <c r="E35" i="22"/>
  <c r="AE67" i="8"/>
  <c r="AG32" i="8" s="1"/>
  <c r="AG16" i="8"/>
  <c r="AE64" i="8"/>
  <c r="AG29" i="8" s="1"/>
  <c r="W29" i="8" s="1"/>
  <c r="AE59" i="8"/>
  <c r="AG24" i="8" s="1"/>
  <c r="W24" i="8" s="1"/>
  <c r="AE61" i="8"/>
  <c r="AG26" i="8" s="1"/>
  <c r="W26" i="8" s="1"/>
  <c r="AE48" i="8"/>
  <c r="AG13" i="8" s="1"/>
  <c r="W13" i="8" s="1"/>
  <c r="AE65" i="8"/>
  <c r="AG30" i="8" s="1"/>
  <c r="W30" i="8" s="1"/>
  <c r="AE49" i="8"/>
  <c r="AG14" i="8" s="1"/>
  <c r="W14" i="8" s="1"/>
  <c r="AE60" i="8"/>
  <c r="AG25" i="8" s="1"/>
  <c r="W25" i="8" s="1"/>
  <c r="AE46" i="8"/>
  <c r="AG11" i="8" s="1"/>
  <c r="W11" i="8" s="1"/>
  <c r="AE44" i="8"/>
  <c r="AG9" i="8" s="1"/>
  <c r="W9" i="8" s="1"/>
  <c r="AK11" i="10"/>
  <c r="AK19" i="10"/>
  <c r="AK27" i="10"/>
  <c r="AK16" i="10"/>
  <c r="AK29" i="10"/>
  <c r="AJ8" i="10"/>
  <c r="AK13" i="10"/>
  <c r="AJ28" i="10"/>
  <c r="AJ33" i="10"/>
  <c r="AK28" i="10"/>
  <c r="AK9" i="10"/>
  <c r="AJ19" i="10"/>
  <c r="AJ27" i="10"/>
  <c r="AJ30" i="10"/>
  <c r="AK22" i="10"/>
  <c r="AK8" i="10"/>
  <c r="AK33" i="10"/>
  <c r="AJ20" i="10"/>
  <c r="AJ14" i="10"/>
  <c r="AK14" i="10"/>
  <c r="AK12" i="10"/>
  <c r="Q67" i="21"/>
  <c r="Q44" i="4"/>
  <c r="AK17" i="10"/>
  <c r="AK24" i="10"/>
  <c r="AK15" i="10"/>
  <c r="AK23" i="10"/>
  <c r="AK10" i="10"/>
  <c r="AJ31" i="10"/>
  <c r="AJ16" i="10"/>
  <c r="AJ23" i="10"/>
  <c r="AK25" i="10"/>
  <c r="AK30" i="10"/>
  <c r="AK7" i="10"/>
  <c r="AJ24" i="10"/>
  <c r="AK31" i="10"/>
  <c r="AK26" i="10"/>
  <c r="AK32" i="10"/>
  <c r="AJ22" i="10"/>
  <c r="AJ10" i="10"/>
  <c r="AJ12" i="10"/>
  <c r="AK18" i="10"/>
  <c r="AJ15" i="10"/>
  <c r="AK21" i="10"/>
  <c r="AK34" i="10"/>
  <c r="AJ13" i="10"/>
  <c r="AJ21" i="10"/>
  <c r="AJ29" i="10"/>
  <c r="AK20" i="10"/>
  <c r="Q65" i="10"/>
  <c r="Q42" i="11"/>
  <c r="AE56" i="8"/>
  <c r="AG21" i="8" s="1"/>
  <c r="W21" i="8" s="1"/>
  <c r="AE47" i="8"/>
  <c r="AG12" i="8" s="1"/>
  <c r="AE43" i="8"/>
  <c r="AG8" i="8" s="1"/>
  <c r="AE63" i="8"/>
  <c r="AG28" i="8" s="1"/>
  <c r="W28" i="8" s="1"/>
  <c r="AE54" i="8"/>
  <c r="AG19" i="8" s="1"/>
  <c r="W19" i="8" s="1"/>
  <c r="AE68" i="8"/>
  <c r="AG33" i="8" s="1"/>
  <c r="W33" i="8" s="1"/>
  <c r="AE57" i="8"/>
  <c r="AG22" i="8" s="1"/>
  <c r="W22" i="8" s="1"/>
  <c r="Q57" i="8"/>
  <c r="Q69" i="8"/>
  <c r="P68" i="8"/>
  <c r="Q54" i="8"/>
  <c r="Q68" i="8"/>
  <c r="P66" i="8"/>
  <c r="Q67" i="8"/>
  <c r="Q66" i="8"/>
  <c r="Q49" i="8"/>
  <c r="Q50" i="8"/>
  <c r="P69" i="8"/>
  <c r="Q61" i="8"/>
  <c r="P67" i="8"/>
  <c r="Q53" i="10"/>
  <c r="Q62" i="10"/>
  <c r="Q46" i="10"/>
  <c r="Q54" i="10"/>
  <c r="Q61" i="10"/>
  <c r="Q42" i="10"/>
  <c r="Q49" i="10"/>
  <c r="Q51" i="10"/>
  <c r="Q57" i="10"/>
  <c r="Q66" i="10"/>
  <c r="Q60" i="10"/>
  <c r="Q58" i="10"/>
  <c r="Q67" i="4"/>
  <c r="Q46" i="21"/>
  <c r="Q62" i="21"/>
  <c r="Q51" i="21"/>
  <c r="Q60" i="22"/>
  <c r="Q55" i="10"/>
  <c r="Q52" i="22"/>
  <c r="Q55" i="4"/>
  <c r="Q58" i="21"/>
  <c r="Q50" i="10"/>
  <c r="Q50" i="21"/>
  <c r="Q66" i="21"/>
  <c r="Q53" i="8"/>
  <c r="Q59" i="8"/>
  <c r="Q43" i="10"/>
  <c r="Q54" i="21"/>
  <c r="Q28" i="19"/>
  <c r="R63" i="19" s="1"/>
  <c r="Q16" i="19"/>
  <c r="R51" i="19" s="1"/>
  <c r="Q12" i="19"/>
  <c r="R47" i="19" s="1"/>
  <c r="Q11" i="19"/>
  <c r="R46" i="19" s="1"/>
  <c r="Q64" i="18"/>
  <c r="Q52" i="16"/>
  <c r="Q42" i="16"/>
  <c r="Q48" i="16"/>
  <c r="Q24" i="19"/>
  <c r="R59" i="19" s="1"/>
  <c r="Q7" i="19"/>
  <c r="R42" i="19" s="1"/>
  <c r="Q31" i="19"/>
  <c r="R66" i="19" s="1"/>
  <c r="Q27" i="19"/>
  <c r="R62" i="19" s="1"/>
  <c r="Q23" i="19"/>
  <c r="R58" i="19" s="1"/>
  <c r="Q19" i="19"/>
  <c r="R54" i="19" s="1"/>
  <c r="Q15" i="19"/>
  <c r="R50" i="19" s="1"/>
  <c r="Q32" i="19"/>
  <c r="R67" i="19" s="1"/>
  <c r="Q20" i="19"/>
  <c r="R55" i="19" s="1"/>
  <c r="Q8" i="19"/>
  <c r="R43" i="19" s="1"/>
  <c r="Q34" i="19"/>
  <c r="R69" i="19" s="1"/>
  <c r="Q26" i="19"/>
  <c r="R61" i="19" s="1"/>
  <c r="Q22" i="19"/>
  <c r="R57" i="19" s="1"/>
  <c r="Q18" i="19"/>
  <c r="R53" i="19" s="1"/>
  <c r="Q14" i="19"/>
  <c r="R49" i="19" s="1"/>
  <c r="Q10" i="19"/>
  <c r="R45" i="19" s="1"/>
  <c r="Q33" i="19"/>
  <c r="R68" i="19" s="1"/>
  <c r="Q29" i="19"/>
  <c r="R64" i="19" s="1"/>
  <c r="Q25" i="19"/>
  <c r="R60" i="19" s="1"/>
  <c r="Q21" i="19"/>
  <c r="R56" i="19" s="1"/>
  <c r="Q13" i="19"/>
  <c r="R48" i="19" s="1"/>
  <c r="Q9" i="19"/>
  <c r="R44" i="19" s="1"/>
  <c r="Q63" i="15"/>
  <c r="Q51" i="15"/>
  <c r="Q46" i="15"/>
  <c r="P17" i="17"/>
  <c r="Q47" i="15"/>
  <c r="P23" i="17"/>
  <c r="P11" i="17"/>
  <c r="Q26" i="17"/>
  <c r="P26" i="17"/>
  <c r="Q22" i="17"/>
  <c r="R57" i="17" s="1"/>
  <c r="P22" i="17"/>
  <c r="P18" i="17"/>
  <c r="Q10" i="17"/>
  <c r="R45" i="17" s="1"/>
  <c r="P10" i="17"/>
  <c r="P31" i="17"/>
  <c r="Q19" i="17"/>
  <c r="R54" i="17" s="1"/>
  <c r="P19" i="17"/>
  <c r="Q33" i="17"/>
  <c r="R68" i="17" s="1"/>
  <c r="Q29" i="17"/>
  <c r="R64" i="17" s="1"/>
  <c r="Q21" i="17"/>
  <c r="R56" i="17" s="1"/>
  <c r="Q13" i="17"/>
  <c r="R48" i="17" s="1"/>
  <c r="Q9" i="17"/>
  <c r="R44" i="17" s="1"/>
  <c r="P13" i="17"/>
  <c r="P27" i="17"/>
  <c r="Q15" i="17"/>
  <c r="R50" i="17" s="1"/>
  <c r="P32" i="17"/>
  <c r="Q28" i="17"/>
  <c r="R63" i="17" s="1"/>
  <c r="P20" i="17"/>
  <c r="P16" i="17"/>
  <c r="Q12" i="17"/>
  <c r="R47" i="17" s="1"/>
  <c r="P12" i="17"/>
  <c r="Q8" i="17"/>
  <c r="R43" i="17" s="1"/>
  <c r="P9" i="17"/>
  <c r="Q68" i="22"/>
  <c r="Q64" i="22"/>
  <c r="Q48" i="22"/>
  <c r="Q45" i="10"/>
  <c r="Q47" i="10"/>
  <c r="Q59" i="10"/>
  <c r="Q63" i="10"/>
  <c r="Q69" i="10"/>
  <c r="Q44" i="10"/>
  <c r="Q48" i="10"/>
  <c r="Q52" i="10"/>
  <c r="Q56" i="10"/>
  <c r="Q64" i="10"/>
  <c r="Q45" i="8"/>
  <c r="Q64" i="8"/>
  <c r="Q48" i="8"/>
  <c r="Q46" i="8"/>
  <c r="Q55" i="8"/>
  <c r="Q62" i="8"/>
  <c r="Q43" i="8"/>
  <c r="Q65" i="8"/>
  <c r="Q60" i="8"/>
  <c r="Q44" i="8"/>
  <c r="Q51" i="8"/>
  <c r="Q52" i="8"/>
  <c r="Q58" i="8"/>
  <c r="Q56" i="8"/>
  <c r="Q63" i="8"/>
  <c r="Q47" i="8"/>
  <c r="Q42" i="8"/>
  <c r="AB6" i="9"/>
  <c r="P70" i="22" l="1"/>
  <c r="P71" i="22"/>
  <c r="K71" i="10"/>
  <c r="W28" i="10"/>
  <c r="W30" i="10"/>
  <c r="I70" i="10"/>
  <c r="J71" i="22"/>
  <c r="I71" i="8"/>
  <c r="R61" i="17"/>
  <c r="Q26" i="24"/>
  <c r="W14" i="10"/>
  <c r="W31" i="10"/>
  <c r="W11" i="10"/>
  <c r="W24" i="10"/>
  <c r="W33" i="10"/>
  <c r="W9" i="10"/>
  <c r="K70" i="8"/>
  <c r="H70" i="8"/>
  <c r="F70" i="10"/>
  <c r="F71" i="10"/>
  <c r="J70" i="22"/>
  <c r="P71" i="8"/>
  <c r="L70" i="22"/>
  <c r="P71" i="10"/>
  <c r="N70" i="21"/>
  <c r="K70" i="10"/>
  <c r="I71" i="10"/>
  <c r="K71" i="4"/>
  <c r="K70" i="21"/>
  <c r="J71" i="8"/>
  <c r="G71" i="4"/>
  <c r="G70" i="22"/>
  <c r="P70" i="4"/>
  <c r="N70" i="8"/>
  <c r="K70" i="4"/>
  <c r="K71" i="21"/>
  <c r="H70" i="4"/>
  <c r="Q71" i="4"/>
  <c r="E71" i="8"/>
  <c r="M70" i="4"/>
  <c r="E71" i="22"/>
  <c r="P71" i="4"/>
  <c r="L71" i="21"/>
  <c r="N71" i="4"/>
  <c r="H71" i="10"/>
  <c r="J70" i="21"/>
  <c r="N71" i="22"/>
  <c r="Q70" i="10"/>
  <c r="O71" i="21"/>
  <c r="F71" i="8"/>
  <c r="I70" i="4"/>
  <c r="L71" i="10"/>
  <c r="G71" i="21"/>
  <c r="P70" i="8"/>
  <c r="I71" i="21"/>
  <c r="G70" i="10"/>
  <c r="L71" i="22"/>
  <c r="F70" i="21"/>
  <c r="Q71" i="8"/>
  <c r="M70" i="22"/>
  <c r="G71" i="8"/>
  <c r="P70" i="21"/>
  <c r="P71" i="21"/>
  <c r="H70" i="22"/>
  <c r="Q70" i="4"/>
  <c r="L70" i="21"/>
  <c r="M70" i="21"/>
  <c r="G70" i="21"/>
  <c r="L71" i="8"/>
  <c r="J70" i="4"/>
  <c r="J71" i="10"/>
  <c r="M70" i="8"/>
  <c r="N70" i="4"/>
  <c r="H70" i="10"/>
  <c r="J71" i="21"/>
  <c r="N70" i="22"/>
  <c r="F70" i="4"/>
  <c r="O70" i="22"/>
  <c r="I70" i="8"/>
  <c r="L71" i="4"/>
  <c r="Q70" i="21"/>
  <c r="G71" i="22"/>
  <c r="G70" i="8"/>
  <c r="I71" i="22"/>
  <c r="H71" i="8"/>
  <c r="Q70" i="22"/>
  <c r="L70" i="8"/>
  <c r="M71" i="10"/>
  <c r="E70" i="4"/>
  <c r="F71" i="22"/>
  <c r="E70" i="22"/>
  <c r="L70" i="10"/>
  <c r="N71" i="21"/>
  <c r="K71" i="8"/>
  <c r="M70" i="10"/>
  <c r="E71" i="4"/>
  <c r="I70" i="21"/>
  <c r="G71" i="10"/>
  <c r="O70" i="8"/>
  <c r="Q70" i="8"/>
  <c r="M71" i="22"/>
  <c r="M71" i="4"/>
  <c r="K71" i="22"/>
  <c r="O70" i="10"/>
  <c r="E70" i="21"/>
  <c r="O71" i="4"/>
  <c r="H71" i="4"/>
  <c r="E71" i="21"/>
  <c r="H71" i="21"/>
  <c r="Q71" i="10"/>
  <c r="O70" i="21"/>
  <c r="M71" i="21"/>
  <c r="N71" i="10"/>
  <c r="J71" i="4"/>
  <c r="J70" i="10"/>
  <c r="M71" i="8"/>
  <c r="E70" i="8"/>
  <c r="O71" i="8"/>
  <c r="I70" i="22"/>
  <c r="F71" i="4"/>
  <c r="O71" i="22"/>
  <c r="L70" i="4"/>
  <c r="Q71" i="21"/>
  <c r="K70" i="22"/>
  <c r="O71" i="10"/>
  <c r="O70" i="4"/>
  <c r="Q71" i="22"/>
  <c r="F70" i="22"/>
  <c r="G70" i="4"/>
  <c r="P25" i="17"/>
  <c r="Q24" i="17"/>
  <c r="R59" i="17" s="1"/>
  <c r="P15" i="17"/>
  <c r="Q23" i="17"/>
  <c r="R58" i="17" s="1"/>
  <c r="P21" i="17"/>
  <c r="Q20" i="17"/>
  <c r="R55" i="17" s="1"/>
  <c r="P28" i="17"/>
  <c r="P33" i="17"/>
  <c r="Q52" i="14"/>
  <c r="Q17" i="17"/>
  <c r="R52" i="17" s="1"/>
  <c r="Q25" i="17"/>
  <c r="R60" i="17" s="1"/>
  <c r="Q69" i="14"/>
  <c r="P34" i="17"/>
  <c r="Q18" i="17"/>
  <c r="R53" i="17" s="1"/>
  <c r="Q11" i="17"/>
  <c r="R46" i="17" s="1"/>
  <c r="Q17" i="19"/>
  <c r="R52" i="19" s="1"/>
  <c r="Q30" i="19"/>
  <c r="R65" i="19" s="1"/>
  <c r="P8" i="17"/>
  <c r="Q16" i="17"/>
  <c r="R51" i="17" s="1"/>
  <c r="P24" i="17"/>
  <c r="Q32" i="17"/>
  <c r="R67" i="17" s="1"/>
  <c r="Q27" i="17"/>
  <c r="R62" i="17" s="1"/>
  <c r="P29" i="17"/>
  <c r="Q31" i="17"/>
  <c r="R66" i="17" s="1"/>
  <c r="P14" i="17"/>
  <c r="Q14" i="17"/>
  <c r="R49" i="17" s="1"/>
  <c r="P30" i="17"/>
  <c r="Q30" i="17"/>
  <c r="R65" i="17" s="1"/>
  <c r="Q34" i="17"/>
  <c r="R69" i="17" s="1"/>
  <c r="W19" i="10"/>
  <c r="W18" i="10"/>
  <c r="Q35" i="14"/>
  <c r="R70" i="14" s="1"/>
  <c r="Q69" i="16"/>
  <c r="Q35" i="16"/>
  <c r="R70" i="16" s="1"/>
  <c r="Q36" i="16"/>
  <c r="R71" i="16" s="1"/>
  <c r="D35" i="15"/>
  <c r="D70" i="15" s="1"/>
  <c r="D36" i="15"/>
  <c r="D71" i="15" s="1"/>
  <c r="F35" i="15"/>
  <c r="F36" i="15"/>
  <c r="H36" i="15"/>
  <c r="H35" i="15"/>
  <c r="F36" i="16"/>
  <c r="F35" i="16"/>
  <c r="O35" i="16"/>
  <c r="O36" i="16"/>
  <c r="H35" i="16"/>
  <c r="H36" i="16"/>
  <c r="P42" i="15"/>
  <c r="P36" i="15"/>
  <c r="P35" i="15"/>
  <c r="P36" i="16"/>
  <c r="P35" i="16"/>
  <c r="I35" i="14"/>
  <c r="I36" i="14"/>
  <c r="D35" i="14"/>
  <c r="D36" i="14"/>
  <c r="Q42" i="14"/>
  <c r="P35" i="14"/>
  <c r="P36" i="14"/>
  <c r="I36" i="15"/>
  <c r="I35" i="15"/>
  <c r="N35" i="15"/>
  <c r="N36" i="15"/>
  <c r="K35" i="15"/>
  <c r="K36" i="15"/>
  <c r="G35" i="15"/>
  <c r="G36" i="15"/>
  <c r="M35" i="16"/>
  <c r="M36" i="16"/>
  <c r="N36" i="16"/>
  <c r="N35" i="16"/>
  <c r="G35" i="16"/>
  <c r="G36" i="16"/>
  <c r="L35" i="16"/>
  <c r="L36" i="16"/>
  <c r="Q36" i="14"/>
  <c r="K36" i="14"/>
  <c r="K35" i="14"/>
  <c r="H35" i="14"/>
  <c r="H36" i="14"/>
  <c r="M35" i="14"/>
  <c r="M36" i="14"/>
  <c r="L35" i="15"/>
  <c r="L36" i="15"/>
  <c r="E35" i="16"/>
  <c r="E36" i="16"/>
  <c r="F36" i="14"/>
  <c r="F35" i="14"/>
  <c r="O36" i="14"/>
  <c r="O35" i="14"/>
  <c r="E35" i="14"/>
  <c r="E36" i="14"/>
  <c r="L35" i="14"/>
  <c r="L36" i="14"/>
  <c r="E36" i="15"/>
  <c r="E35" i="15"/>
  <c r="J35" i="15"/>
  <c r="J36" i="15"/>
  <c r="O35" i="15"/>
  <c r="O36" i="15"/>
  <c r="I35" i="16"/>
  <c r="I36" i="16"/>
  <c r="J36" i="16"/>
  <c r="J35" i="16"/>
  <c r="J36" i="14"/>
  <c r="J35" i="14"/>
  <c r="N35" i="14"/>
  <c r="N36" i="14"/>
  <c r="G36" i="14"/>
  <c r="G35" i="14"/>
  <c r="M36" i="15"/>
  <c r="M35" i="15"/>
  <c r="Q36" i="15"/>
  <c r="R71" i="15" s="1"/>
  <c r="Q35" i="15"/>
  <c r="D36" i="16"/>
  <c r="D35" i="16"/>
  <c r="K35" i="16"/>
  <c r="K36" i="16"/>
  <c r="Q52" i="18"/>
  <c r="Q35" i="18"/>
  <c r="R70" i="18" s="1"/>
  <c r="Q69" i="18"/>
  <c r="L36" i="18"/>
  <c r="L35" i="18"/>
  <c r="J35" i="18"/>
  <c r="J36" i="18"/>
  <c r="Q42" i="18"/>
  <c r="P36" i="18"/>
  <c r="P35" i="18"/>
  <c r="E35" i="18"/>
  <c r="E36" i="18"/>
  <c r="N35" i="18"/>
  <c r="N36" i="18"/>
  <c r="G36" i="18"/>
  <c r="G35" i="18"/>
  <c r="Q36" i="18"/>
  <c r="M35" i="18"/>
  <c r="M36" i="18"/>
  <c r="F35" i="18"/>
  <c r="F36" i="18"/>
  <c r="O36" i="18"/>
  <c r="O35" i="18"/>
  <c r="D36" i="18"/>
  <c r="D35" i="18"/>
  <c r="I35" i="18"/>
  <c r="I36" i="18"/>
  <c r="K36" i="18"/>
  <c r="K35" i="18"/>
  <c r="H36" i="18"/>
  <c r="H35" i="18"/>
  <c r="Q55" i="18"/>
  <c r="Q56" i="18"/>
  <c r="Q60" i="15"/>
  <c r="Q56" i="14"/>
  <c r="Q46" i="16"/>
  <c r="Q62" i="16"/>
  <c r="Q58" i="14"/>
  <c r="Q46" i="18"/>
  <c r="Q62" i="18"/>
  <c r="Q48" i="15"/>
  <c r="Q61" i="15"/>
  <c r="Q50" i="16"/>
  <c r="Q66" i="16"/>
  <c r="Q55" i="16"/>
  <c r="Q44" i="15"/>
  <c r="Q68" i="15"/>
  <c r="Q47" i="14"/>
  <c r="Q63" i="14"/>
  <c r="Q50" i="14"/>
  <c r="Q48" i="14"/>
  <c r="Q64" i="14"/>
  <c r="Q54" i="14"/>
  <c r="Q45" i="14"/>
  <c r="Q61" i="14"/>
  <c r="Q42" i="15"/>
  <c r="Q54" i="16"/>
  <c r="Q43" i="16"/>
  <c r="Q59" i="16"/>
  <c r="Q44" i="16"/>
  <c r="Q58" i="18"/>
  <c r="Q53" i="18"/>
  <c r="Q67" i="18"/>
  <c r="Q48" i="18"/>
  <c r="Q57" i="18"/>
  <c r="Q49" i="18"/>
  <c r="Q65" i="18"/>
  <c r="Q54" i="18"/>
  <c r="Q68" i="18"/>
  <c r="Q47" i="18"/>
  <c r="Q63" i="18"/>
  <c r="Q45" i="18"/>
  <c r="Q61" i="18"/>
  <c r="Q50" i="18"/>
  <c r="Q66" i="18"/>
  <c r="Q44" i="18"/>
  <c r="Q43" i="18"/>
  <c r="Q59" i="18"/>
  <c r="Q60" i="18"/>
  <c r="Q57" i="16"/>
  <c r="Q53" i="16"/>
  <c r="Q64" i="16"/>
  <c r="Q49" i="16"/>
  <c r="Q65" i="16"/>
  <c r="Q60" i="16"/>
  <c r="Q51" i="16"/>
  <c r="Q67" i="16"/>
  <c r="Q56" i="16"/>
  <c r="Q45" i="16"/>
  <c r="Q61" i="16"/>
  <c r="Q58" i="16"/>
  <c r="Q47" i="16"/>
  <c r="Q63" i="16"/>
  <c r="Q68" i="16"/>
  <c r="Q52" i="15"/>
  <c r="Q45" i="15"/>
  <c r="Q53" i="15"/>
  <c r="Q69" i="15"/>
  <c r="Q50" i="15"/>
  <c r="Q58" i="15"/>
  <c r="Q66" i="15"/>
  <c r="Q56" i="15"/>
  <c r="Q64" i="15"/>
  <c r="Q49" i="15"/>
  <c r="Q57" i="15"/>
  <c r="Q65" i="15"/>
  <c r="Q43" i="15"/>
  <c r="Q67" i="15"/>
  <c r="Q59" i="15"/>
  <c r="Q55" i="15"/>
  <c r="Q54" i="15"/>
  <c r="Q62" i="15"/>
  <c r="Q43" i="14"/>
  <c r="Q59" i="14"/>
  <c r="Q57" i="14"/>
  <c r="Q55" i="14"/>
  <c r="Q44" i="14"/>
  <c r="Q60" i="14"/>
  <c r="Q53" i="14"/>
  <c r="Q51" i="14"/>
  <c r="Q67" i="14"/>
  <c r="Q62" i="14"/>
  <c r="Q68" i="14"/>
  <c r="Q66" i="14"/>
  <c r="Q49" i="14"/>
  <c r="Q65" i="14"/>
  <c r="Q46" i="14"/>
  <c r="O71" i="18" l="1"/>
  <c r="N71" i="14"/>
  <c r="H70" i="18"/>
  <c r="G70" i="15"/>
  <c r="J71" i="14"/>
  <c r="N70" i="14"/>
  <c r="L70" i="15"/>
  <c r="N70" i="16"/>
  <c r="I70" i="16"/>
  <c r="Q71" i="14"/>
  <c r="R71" i="14"/>
  <c r="Q71" i="18"/>
  <c r="R71" i="18"/>
  <c r="Q70" i="15"/>
  <c r="R70" i="15"/>
  <c r="M71" i="18"/>
  <c r="K71" i="16"/>
  <c r="L71" i="14"/>
  <c r="G71" i="14"/>
  <c r="P71" i="16"/>
  <c r="J71" i="15"/>
  <c r="E71" i="15"/>
  <c r="H71" i="18"/>
  <c r="Q71" i="15"/>
  <c r="F71" i="18"/>
  <c r="E71" i="14"/>
  <c r="G71" i="16"/>
  <c r="O70" i="14"/>
  <c r="F70" i="14"/>
  <c r="E70" i="14"/>
  <c r="K70" i="18"/>
  <c r="N70" i="18"/>
  <c r="P71" i="18"/>
  <c r="M70" i="15"/>
  <c r="J70" i="16"/>
  <c r="O71" i="15"/>
  <c r="E70" i="15"/>
  <c r="E71" i="16"/>
  <c r="M71" i="14"/>
  <c r="K70" i="14"/>
  <c r="L70" i="16"/>
  <c r="M71" i="16"/>
  <c r="K71" i="15"/>
  <c r="I70" i="15"/>
  <c r="I70" i="14"/>
  <c r="F70" i="16"/>
  <c r="F71" i="15"/>
  <c r="Q71" i="16"/>
  <c r="I70" i="18"/>
  <c r="M70" i="18"/>
  <c r="N71" i="18"/>
  <c r="P70" i="18"/>
  <c r="J70" i="18"/>
  <c r="Q70" i="18"/>
  <c r="K70" i="16"/>
  <c r="J70" i="15"/>
  <c r="L70" i="14"/>
  <c r="O71" i="14"/>
  <c r="H70" i="14"/>
  <c r="L71" i="16"/>
  <c r="N71" i="16"/>
  <c r="N70" i="15"/>
  <c r="P70" i="14"/>
  <c r="I71" i="14"/>
  <c r="O70" i="16"/>
  <c r="H71" i="15"/>
  <c r="Q70" i="14"/>
  <c r="L70" i="18"/>
  <c r="H71" i="16"/>
  <c r="K71" i="18"/>
  <c r="F70" i="18"/>
  <c r="G70" i="18"/>
  <c r="E71" i="18"/>
  <c r="L71" i="18"/>
  <c r="M71" i="15"/>
  <c r="J71" i="16"/>
  <c r="O70" i="15"/>
  <c r="F71" i="14"/>
  <c r="E70" i="16"/>
  <c r="M70" i="14"/>
  <c r="K71" i="14"/>
  <c r="G70" i="16"/>
  <c r="M70" i="16"/>
  <c r="K70" i="15"/>
  <c r="I71" i="15"/>
  <c r="P70" i="16"/>
  <c r="P70" i="15"/>
  <c r="H70" i="16"/>
  <c r="F71" i="16"/>
  <c r="F70" i="15"/>
  <c r="Q70" i="16"/>
  <c r="I71" i="18"/>
  <c r="O70" i="18"/>
  <c r="G71" i="18"/>
  <c r="E70" i="18"/>
  <c r="J71" i="18"/>
  <c r="G70" i="14"/>
  <c r="J70" i="14"/>
  <c r="I71" i="16"/>
  <c r="L71" i="15"/>
  <c r="H71" i="14"/>
  <c r="G71" i="15"/>
  <c r="N71" i="15"/>
  <c r="P71" i="14"/>
  <c r="P71" i="15"/>
  <c r="O71" i="16"/>
  <c r="H70" i="15"/>
  <c r="Q35" i="17"/>
  <c r="R70" i="17" s="1"/>
  <c r="Q36" i="17"/>
  <c r="R71" i="17" s="1"/>
  <c r="AA6" i="14"/>
  <c r="AA6" i="16" l="1"/>
  <c r="AA6" i="19" l="1"/>
  <c r="AD6" i="18" l="1"/>
  <c r="AA41" i="16" l="1"/>
  <c r="P47" i="18" l="1"/>
  <c r="P63" i="18"/>
  <c r="P52" i="18"/>
  <c r="P60" i="18"/>
  <c r="P64" i="18"/>
  <c r="P68" i="18"/>
  <c r="P67" i="18"/>
  <c r="P45" i="18"/>
  <c r="P57" i="18"/>
  <c r="P69" i="18"/>
  <c r="P43" i="18"/>
  <c r="P55" i="18"/>
  <c r="P59" i="18"/>
  <c r="P44" i="18"/>
  <c r="P48" i="18"/>
  <c r="P56" i="18"/>
  <c r="P49" i="18"/>
  <c r="P53" i="18"/>
  <c r="P61" i="18"/>
  <c r="P65" i="18"/>
  <c r="P42" i="18"/>
  <c r="P46" i="18"/>
  <c r="P50" i="18"/>
  <c r="P54" i="18"/>
  <c r="P58" i="18"/>
  <c r="P62" i="18"/>
  <c r="P66" i="18"/>
  <c r="P41" i="14"/>
  <c r="V6" i="16" l="1"/>
  <c r="Q51" i="11" l="1"/>
  <c r="Q54" i="11"/>
  <c r="Q58" i="11"/>
  <c r="Q62" i="11"/>
  <c r="Q66" i="11"/>
  <c r="Q58" i="9"/>
  <c r="Q43" i="9"/>
  <c r="Q47" i="9"/>
  <c r="Q51" i="9"/>
  <c r="Q55" i="9"/>
  <c r="Q59" i="9"/>
  <c r="Q63" i="9"/>
  <c r="L8" i="19"/>
  <c r="K8" i="19"/>
  <c r="P12" i="19"/>
  <c r="E12" i="19"/>
  <c r="P16" i="19"/>
  <c r="F16" i="19"/>
  <c r="E20" i="19"/>
  <c r="F20" i="19"/>
  <c r="I24" i="19"/>
  <c r="H24" i="19"/>
  <c r="M28" i="19"/>
  <c r="L28" i="19"/>
  <c r="K28" i="19"/>
  <c r="P32" i="19"/>
  <c r="O32" i="19"/>
  <c r="J9" i="19"/>
  <c r="E9" i="19"/>
  <c r="D13" i="19"/>
  <c r="G13" i="19"/>
  <c r="J13" i="19"/>
  <c r="H17" i="19"/>
  <c r="E17" i="19"/>
  <c r="L21" i="19"/>
  <c r="K21" i="19"/>
  <c r="P25" i="19"/>
  <c r="O25" i="19"/>
  <c r="J25" i="19"/>
  <c r="E25" i="19"/>
  <c r="N29" i="19"/>
  <c r="I29" i="19"/>
  <c r="G33" i="19"/>
  <c r="M33" i="19"/>
  <c r="L10" i="19"/>
  <c r="G14" i="19"/>
  <c r="J14" i="19"/>
  <c r="K18" i="19"/>
  <c r="O22" i="19"/>
  <c r="J22" i="19"/>
  <c r="H22" i="19"/>
  <c r="I22" i="19"/>
  <c r="N26" i="19"/>
  <c r="H26" i="19"/>
  <c r="G30" i="19"/>
  <c r="M30" i="19"/>
  <c r="P34" i="19"/>
  <c r="E7" i="19"/>
  <c r="D7" i="19"/>
  <c r="N7" i="19"/>
  <c r="F7" i="19"/>
  <c r="H11" i="19"/>
  <c r="K11" i="19"/>
  <c r="J11" i="19"/>
  <c r="N15" i="19"/>
  <c r="I15" i="19"/>
  <c r="K15" i="19"/>
  <c r="E15" i="19"/>
  <c r="F19" i="19"/>
  <c r="M19" i="19"/>
  <c r="L19" i="19"/>
  <c r="D19" i="19"/>
  <c r="H19" i="19"/>
  <c r="O19" i="19"/>
  <c r="J23" i="19"/>
  <c r="F23" i="19"/>
  <c r="E23" i="19"/>
  <c r="O23" i="19"/>
  <c r="H23" i="19"/>
  <c r="D23" i="19"/>
  <c r="N27" i="19"/>
  <c r="J27" i="19"/>
  <c r="E27" i="19"/>
  <c r="L27" i="19"/>
  <c r="H27" i="19"/>
  <c r="D27" i="19"/>
  <c r="G27" i="19"/>
  <c r="N31" i="19"/>
  <c r="M31" i="19"/>
  <c r="I31" i="19"/>
  <c r="L31" i="19"/>
  <c r="O31" i="19"/>
  <c r="K31" i="19"/>
  <c r="G31" i="19"/>
  <c r="L9" i="19"/>
  <c r="G9" i="19"/>
  <c r="N13" i="19"/>
  <c r="K13" i="19"/>
  <c r="E13" i="19"/>
  <c r="D17" i="19"/>
  <c r="N17" i="19"/>
  <c r="K17" i="19"/>
  <c r="H21" i="19"/>
  <c r="D21" i="19"/>
  <c r="G21" i="19"/>
  <c r="E21" i="19"/>
  <c r="L25" i="19"/>
  <c r="K25" i="19"/>
  <c r="P29" i="19"/>
  <c r="D29" i="19"/>
  <c r="J29" i="19"/>
  <c r="E29" i="19"/>
  <c r="D33" i="19"/>
  <c r="N33" i="19"/>
  <c r="I33" i="19"/>
  <c r="E8" i="19"/>
  <c r="O8" i="19"/>
  <c r="H8" i="19"/>
  <c r="E16" i="19"/>
  <c r="J16" i="19"/>
  <c r="N24" i="19"/>
  <c r="J24" i="19"/>
  <c r="J28" i="19"/>
  <c r="O28" i="19"/>
  <c r="D32" i="19"/>
  <c r="J32" i="19"/>
  <c r="O10" i="19"/>
  <c r="P10" i="19"/>
  <c r="J10" i="19"/>
  <c r="D10" i="19"/>
  <c r="F10" i="19"/>
  <c r="L14" i="19"/>
  <c r="E14" i="19"/>
  <c r="D14" i="19"/>
  <c r="M14" i="19"/>
  <c r="G18" i="19"/>
  <c r="F18" i="19"/>
  <c r="E18" i="19"/>
  <c r="N18" i="19"/>
  <c r="K22" i="19"/>
  <c r="F22" i="19"/>
  <c r="M22" i="19"/>
  <c r="D22" i="19"/>
  <c r="O26" i="19"/>
  <c r="J26" i="19"/>
  <c r="L26" i="19"/>
  <c r="D26" i="19"/>
  <c r="I26" i="19"/>
  <c r="N30" i="19"/>
  <c r="I30" i="19"/>
  <c r="H30" i="19"/>
  <c r="D30" i="19"/>
  <c r="G34" i="19"/>
  <c r="F34" i="19"/>
  <c r="M34" i="19"/>
  <c r="L34" i="19"/>
  <c r="I12" i="19"/>
  <c r="O12" i="19"/>
  <c r="D12" i="19"/>
  <c r="N12" i="19"/>
  <c r="H12" i="19"/>
  <c r="M20" i="19"/>
  <c r="I20" i="19"/>
  <c r="L20" i="19"/>
  <c r="H20" i="19"/>
  <c r="D20" i="19"/>
  <c r="J20" i="19"/>
  <c r="O20" i="19"/>
  <c r="J7" i="19"/>
  <c r="K7" i="19"/>
  <c r="N11" i="19"/>
  <c r="L11" i="19"/>
  <c r="E11" i="19"/>
  <c r="D11" i="19"/>
  <c r="D15" i="19"/>
  <c r="L15" i="19"/>
  <c r="P19" i="19"/>
  <c r="I19" i="19"/>
  <c r="L23" i="19"/>
  <c r="P23" i="19"/>
  <c r="H31" i="19"/>
  <c r="D31" i="19"/>
  <c r="L32" i="19"/>
  <c r="H32" i="19"/>
  <c r="K32" i="19"/>
  <c r="G32" i="19"/>
  <c r="N32" i="19"/>
  <c r="F32" i="19"/>
  <c r="M32" i="19"/>
  <c r="E32" i="19"/>
  <c r="I32" i="19"/>
  <c r="G8" i="19"/>
  <c r="F8" i="19"/>
  <c r="D8" i="19"/>
  <c r="N8" i="19"/>
  <c r="P8" i="19"/>
  <c r="J8" i="19"/>
  <c r="I8" i="19"/>
  <c r="M8" i="19"/>
  <c r="K12" i="19"/>
  <c r="G12" i="19"/>
  <c r="L12" i="19"/>
  <c r="F12" i="19"/>
  <c r="J12" i="19"/>
  <c r="M12" i="19"/>
  <c r="L16" i="19"/>
  <c r="H16" i="19"/>
  <c r="O16" i="19"/>
  <c r="K16" i="19"/>
  <c r="G16" i="19"/>
  <c r="N16" i="19"/>
  <c r="D16" i="19"/>
  <c r="M16" i="19"/>
  <c r="I16" i="19"/>
  <c r="P20" i="19"/>
  <c r="K20" i="19"/>
  <c r="G20" i="19"/>
  <c r="N20" i="19"/>
  <c r="P24" i="19"/>
  <c r="L24" i="19"/>
  <c r="O24" i="19"/>
  <c r="K24" i="19"/>
  <c r="G24" i="19"/>
  <c r="F24" i="19"/>
  <c r="D24" i="19"/>
  <c r="M24" i="19"/>
  <c r="E24" i="19"/>
  <c r="P28" i="19"/>
  <c r="H28" i="19"/>
  <c r="G28" i="19"/>
  <c r="N28" i="19"/>
  <c r="F28" i="19"/>
  <c r="D28" i="19"/>
  <c r="E28" i="19"/>
  <c r="I28" i="19"/>
  <c r="O9" i="19"/>
  <c r="K9" i="19"/>
  <c r="P9" i="19"/>
  <c r="M9" i="19"/>
  <c r="N9" i="19"/>
  <c r="I9" i="19"/>
  <c r="H9" i="19"/>
  <c r="D9" i="19"/>
  <c r="F9" i="19"/>
  <c r="O13" i="19"/>
  <c r="P13" i="19"/>
  <c r="M13" i="19"/>
  <c r="I13" i="19"/>
  <c r="H13" i="19"/>
  <c r="L13" i="19"/>
  <c r="F13" i="19"/>
  <c r="P17" i="19"/>
  <c r="L17" i="19"/>
  <c r="O17" i="19"/>
  <c r="G17" i="19"/>
  <c r="J17" i="19"/>
  <c r="I17" i="19"/>
  <c r="F17" i="19"/>
  <c r="M17" i="19"/>
  <c r="P21" i="19"/>
  <c r="O21" i="19"/>
  <c r="J21" i="19"/>
  <c r="I21" i="19"/>
  <c r="N21" i="19"/>
  <c r="F21" i="19"/>
  <c r="M21" i="19"/>
  <c r="H25" i="19"/>
  <c r="G25" i="19"/>
  <c r="I25" i="19"/>
  <c r="N25" i="19"/>
  <c r="F25" i="19"/>
  <c r="M25" i="19"/>
  <c r="D25" i="19"/>
  <c r="L29" i="19"/>
  <c r="H29" i="19"/>
  <c r="O29" i="19"/>
  <c r="K29" i="19"/>
  <c r="G29" i="19"/>
  <c r="F29" i="19"/>
  <c r="M29" i="19"/>
  <c r="P33" i="19"/>
  <c r="L33" i="19"/>
  <c r="H33" i="19"/>
  <c r="O33" i="19"/>
  <c r="K33" i="19"/>
  <c r="J33" i="19"/>
  <c r="E33" i="19"/>
  <c r="F33" i="19"/>
  <c r="K10" i="19"/>
  <c r="G10" i="19"/>
  <c r="N10" i="19"/>
  <c r="I10" i="19"/>
  <c r="M10" i="19"/>
  <c r="H10" i="19"/>
  <c r="E10" i="19"/>
  <c r="O14" i="19"/>
  <c r="K14" i="19"/>
  <c r="N14" i="19"/>
  <c r="I14" i="19"/>
  <c r="H14" i="19"/>
  <c r="F14" i="19"/>
  <c r="P14" i="19"/>
  <c r="P18" i="19"/>
  <c r="L18" i="19"/>
  <c r="H18" i="19"/>
  <c r="O18" i="19"/>
  <c r="D18" i="19"/>
  <c r="M18" i="19"/>
  <c r="J18" i="19"/>
  <c r="I18" i="19"/>
  <c r="P22" i="19"/>
  <c r="L22" i="19"/>
  <c r="G22" i="19"/>
  <c r="N22" i="19"/>
  <c r="E22" i="19"/>
  <c r="P26" i="19"/>
  <c r="K26" i="19"/>
  <c r="G26" i="19"/>
  <c r="F26" i="19"/>
  <c r="M26" i="19"/>
  <c r="E26" i="19"/>
  <c r="P30" i="19"/>
  <c r="L30" i="19"/>
  <c r="O30" i="19"/>
  <c r="K30" i="19"/>
  <c r="F30" i="19"/>
  <c r="E30" i="19"/>
  <c r="J30" i="19"/>
  <c r="H34" i="19"/>
  <c r="O34" i="19"/>
  <c r="K34" i="19"/>
  <c r="N34" i="19"/>
  <c r="I34" i="19"/>
  <c r="E34" i="19"/>
  <c r="J34" i="19"/>
  <c r="D34" i="19"/>
  <c r="O7" i="19"/>
  <c r="G7" i="19"/>
  <c r="M7" i="19"/>
  <c r="H7" i="19"/>
  <c r="P7" i="19"/>
  <c r="L7" i="19"/>
  <c r="I7" i="19"/>
  <c r="O11" i="19"/>
  <c r="G11" i="19"/>
  <c r="M11" i="19"/>
  <c r="P11" i="19"/>
  <c r="F11" i="19"/>
  <c r="I11" i="19"/>
  <c r="O15" i="19"/>
  <c r="G15" i="19"/>
  <c r="M15" i="19"/>
  <c r="H15" i="19"/>
  <c r="J15" i="19"/>
  <c r="F15" i="19"/>
  <c r="P15" i="19"/>
  <c r="K19" i="19"/>
  <c r="G19" i="19"/>
  <c r="J19" i="19"/>
  <c r="N19" i="19"/>
  <c r="E19" i="19"/>
  <c r="K23" i="19"/>
  <c r="G23" i="19"/>
  <c r="M23" i="19"/>
  <c r="I23" i="19"/>
  <c r="N23" i="19"/>
  <c r="P27" i="19"/>
  <c r="O27" i="19"/>
  <c r="K27" i="19"/>
  <c r="M27" i="19"/>
  <c r="I27" i="19"/>
  <c r="F27" i="19"/>
  <c r="P31" i="19"/>
  <c r="J31" i="19"/>
  <c r="F31" i="19"/>
  <c r="E31" i="19"/>
  <c r="C27" i="26" l="1"/>
  <c r="Q46" i="11"/>
  <c r="Q63" i="11"/>
  <c r="Q64" i="11"/>
  <c r="Q56" i="11"/>
  <c r="Q48" i="11"/>
  <c r="J36" i="11"/>
  <c r="J35" i="11"/>
  <c r="M35" i="11"/>
  <c r="M36" i="11"/>
  <c r="F35" i="9"/>
  <c r="F36" i="9"/>
  <c r="N35" i="11"/>
  <c r="N36" i="11"/>
  <c r="H36" i="11"/>
  <c r="H35" i="11"/>
  <c r="D35" i="9"/>
  <c r="D36" i="9"/>
  <c r="K35" i="9"/>
  <c r="K36" i="9"/>
  <c r="M36" i="9"/>
  <c r="M35" i="9"/>
  <c r="L36" i="9"/>
  <c r="L35" i="9"/>
  <c r="O35" i="11"/>
  <c r="O36" i="11"/>
  <c r="F36" i="11"/>
  <c r="F35" i="11"/>
  <c r="E35" i="11"/>
  <c r="E36" i="11"/>
  <c r="Q36" i="9"/>
  <c r="R71" i="9" s="1"/>
  <c r="Q35" i="9"/>
  <c r="R70" i="9" s="1"/>
  <c r="J35" i="9"/>
  <c r="J36" i="9"/>
  <c r="E36" i="9"/>
  <c r="E35" i="9"/>
  <c r="Q36" i="11"/>
  <c r="R71" i="11" s="1"/>
  <c r="Q35" i="11"/>
  <c r="R70" i="11" s="1"/>
  <c r="L35" i="11"/>
  <c r="L36" i="11"/>
  <c r="G35" i="9"/>
  <c r="G36" i="9"/>
  <c r="P36" i="9"/>
  <c r="P35" i="9"/>
  <c r="D36" i="11"/>
  <c r="D35" i="11"/>
  <c r="I35" i="11"/>
  <c r="I36" i="11"/>
  <c r="O35" i="9"/>
  <c r="O36" i="9"/>
  <c r="N35" i="9"/>
  <c r="N36" i="9"/>
  <c r="I36" i="9"/>
  <c r="I35" i="9"/>
  <c r="H36" i="9"/>
  <c r="H35" i="9"/>
  <c r="G35" i="11"/>
  <c r="G36" i="11"/>
  <c r="K35" i="11"/>
  <c r="K36" i="11"/>
  <c r="P36" i="11"/>
  <c r="P35" i="11"/>
  <c r="G35" i="19"/>
  <c r="G36" i="19"/>
  <c r="K35" i="19"/>
  <c r="K36" i="19"/>
  <c r="E35" i="19"/>
  <c r="E36" i="19"/>
  <c r="P35" i="19"/>
  <c r="P36" i="19"/>
  <c r="O35" i="19"/>
  <c r="O36" i="19"/>
  <c r="J36" i="19"/>
  <c r="J35" i="19"/>
  <c r="F36" i="19"/>
  <c r="F35" i="19"/>
  <c r="N36" i="19"/>
  <c r="N35" i="19"/>
  <c r="L35" i="19"/>
  <c r="L36" i="19"/>
  <c r="H35" i="19"/>
  <c r="H36" i="19"/>
  <c r="I35" i="19"/>
  <c r="I36" i="19"/>
  <c r="M35" i="19"/>
  <c r="M36" i="19"/>
  <c r="D36" i="19"/>
  <c r="D35" i="19"/>
  <c r="Q64" i="9"/>
  <c r="Q56" i="9"/>
  <c r="Q48" i="9"/>
  <c r="Q50" i="9"/>
  <c r="Q59" i="11"/>
  <c r="Q43" i="11"/>
  <c r="Q60" i="9"/>
  <c r="Q52" i="9"/>
  <c r="Q44" i="9"/>
  <c r="Q42" i="9"/>
  <c r="Q55" i="11"/>
  <c r="Q47" i="11"/>
  <c r="Q60" i="11"/>
  <c r="Q52" i="11"/>
  <c r="Q44" i="11"/>
  <c r="Q62" i="9"/>
  <c r="Q46" i="9"/>
  <c r="Q54" i="9"/>
  <c r="Q50" i="11"/>
  <c r="Q66" i="9"/>
  <c r="Q69" i="11"/>
  <c r="Q61" i="11"/>
  <c r="Q53" i="11"/>
  <c r="Q45" i="11"/>
  <c r="Q65" i="11"/>
  <c r="Q57" i="11"/>
  <c r="Q49" i="11"/>
  <c r="Q67" i="11"/>
  <c r="Q68" i="11"/>
  <c r="Q68" i="9"/>
  <c r="Q49" i="9"/>
  <c r="Q57" i="9"/>
  <c r="Q53" i="9"/>
  <c r="Q61" i="9"/>
  <c r="Q67" i="9"/>
  <c r="Q65" i="9"/>
  <c r="Q69" i="9"/>
  <c r="Q45" i="9"/>
  <c r="P67" i="9"/>
  <c r="P62" i="9"/>
  <c r="P58" i="9"/>
  <c r="P56" i="9"/>
  <c r="P44" i="9"/>
  <c r="P60" i="9"/>
  <c r="P69" i="9"/>
  <c r="P45" i="9"/>
  <c r="P59" i="9"/>
  <c r="P65" i="9"/>
  <c r="P43" i="9"/>
  <c r="F31" i="17"/>
  <c r="G31" i="17"/>
  <c r="L31" i="17"/>
  <c r="M27" i="17"/>
  <c r="G27" i="17"/>
  <c r="H27" i="17"/>
  <c r="E23" i="17"/>
  <c r="E58" i="14"/>
  <c r="J23" i="17"/>
  <c r="O23" i="17"/>
  <c r="E19" i="17"/>
  <c r="E54" i="14"/>
  <c r="F19" i="17"/>
  <c r="O19" i="17"/>
  <c r="F15" i="17"/>
  <c r="O15" i="17"/>
  <c r="L15" i="17"/>
  <c r="M11" i="17"/>
  <c r="D11" i="17"/>
  <c r="H11" i="17"/>
  <c r="E7" i="17"/>
  <c r="E42" i="14"/>
  <c r="G7" i="17"/>
  <c r="O7" i="17"/>
  <c r="P48" i="9"/>
  <c r="I34" i="17"/>
  <c r="N34" i="17"/>
  <c r="D34" i="17"/>
  <c r="E30" i="17"/>
  <c r="E65" i="14"/>
  <c r="J30" i="17"/>
  <c r="O30" i="17"/>
  <c r="F26" i="17"/>
  <c r="K26" i="17"/>
  <c r="L26" i="17"/>
  <c r="M22" i="17"/>
  <c r="G22" i="17"/>
  <c r="H22" i="17"/>
  <c r="I18" i="17"/>
  <c r="G18" i="17"/>
  <c r="D18" i="17"/>
  <c r="E14" i="17"/>
  <c r="E49" i="14"/>
  <c r="K14" i="17"/>
  <c r="G14" i="17"/>
  <c r="J10" i="17"/>
  <c r="G10" i="17"/>
  <c r="L10" i="17"/>
  <c r="P47" i="9"/>
  <c r="I33" i="17"/>
  <c r="N33" i="17"/>
  <c r="D33" i="17"/>
  <c r="E29" i="17"/>
  <c r="E64" i="14"/>
  <c r="J29" i="17"/>
  <c r="O29" i="17"/>
  <c r="F25" i="17"/>
  <c r="G25" i="17"/>
  <c r="L25" i="17"/>
  <c r="M21" i="17"/>
  <c r="G21" i="17"/>
  <c r="H21" i="17"/>
  <c r="I17" i="17"/>
  <c r="K17" i="17"/>
  <c r="D17" i="17"/>
  <c r="E13" i="17"/>
  <c r="E48" i="14"/>
  <c r="F13" i="17"/>
  <c r="G13" i="17"/>
  <c r="F9" i="17"/>
  <c r="D9" i="17"/>
  <c r="L9" i="17"/>
  <c r="I32" i="17"/>
  <c r="N32" i="17"/>
  <c r="D32" i="17"/>
  <c r="E28" i="17"/>
  <c r="E63" i="14"/>
  <c r="J28" i="17"/>
  <c r="K28" i="17"/>
  <c r="F24" i="17"/>
  <c r="K24" i="17"/>
  <c r="L24" i="17"/>
  <c r="M20" i="17"/>
  <c r="G20" i="17"/>
  <c r="H20" i="17"/>
  <c r="I16" i="17"/>
  <c r="J16" i="17"/>
  <c r="F16" i="17"/>
  <c r="E12" i="17"/>
  <c r="E47" i="14"/>
  <c r="J12" i="17"/>
  <c r="G12" i="17"/>
  <c r="F8" i="17"/>
  <c r="D8" i="17"/>
  <c r="L8" i="17"/>
  <c r="E31" i="17"/>
  <c r="E66" i="14"/>
  <c r="J31" i="17"/>
  <c r="K31" i="17"/>
  <c r="F27" i="17"/>
  <c r="K27" i="17"/>
  <c r="L27" i="17"/>
  <c r="I23" i="17"/>
  <c r="N23" i="17"/>
  <c r="H23" i="17"/>
  <c r="I19" i="17"/>
  <c r="J19" i="17"/>
  <c r="N19" i="17"/>
  <c r="E15" i="17"/>
  <c r="E50" i="14"/>
  <c r="D15" i="17"/>
  <c r="J15" i="17"/>
  <c r="N11" i="17"/>
  <c r="J11" i="17"/>
  <c r="L11" i="17"/>
  <c r="F7" i="17"/>
  <c r="I7" i="17"/>
  <c r="H7" i="17"/>
  <c r="M34" i="17"/>
  <c r="G34" i="17"/>
  <c r="H34" i="17"/>
  <c r="I30" i="17"/>
  <c r="N30" i="17"/>
  <c r="D30" i="17"/>
  <c r="E26" i="17"/>
  <c r="E61" i="14"/>
  <c r="J26" i="17"/>
  <c r="O26" i="17"/>
  <c r="F22" i="17"/>
  <c r="K22" i="17"/>
  <c r="L22" i="17"/>
  <c r="M18" i="17"/>
  <c r="K18" i="17"/>
  <c r="H18" i="17"/>
  <c r="I14" i="17"/>
  <c r="O14" i="17"/>
  <c r="D14" i="17"/>
  <c r="E10" i="17"/>
  <c r="E45" i="14"/>
  <c r="F10" i="17"/>
  <c r="K10" i="17"/>
  <c r="M33" i="17"/>
  <c r="G33" i="17"/>
  <c r="H33" i="17"/>
  <c r="I29" i="17"/>
  <c r="N29" i="17"/>
  <c r="D29" i="17"/>
  <c r="E25" i="17"/>
  <c r="E60" i="14"/>
  <c r="J25" i="17"/>
  <c r="K25" i="17"/>
  <c r="F21" i="17"/>
  <c r="K21" i="17"/>
  <c r="L21" i="17"/>
  <c r="M17" i="17"/>
  <c r="O17" i="17"/>
  <c r="H17" i="17"/>
  <c r="I13" i="17"/>
  <c r="D13" i="17"/>
  <c r="O13" i="17"/>
  <c r="E9" i="17"/>
  <c r="E44" i="14"/>
  <c r="O9" i="17"/>
  <c r="G9" i="17"/>
  <c r="M32" i="17"/>
  <c r="G32" i="17"/>
  <c r="H32" i="17"/>
  <c r="I28" i="17"/>
  <c r="N28" i="17"/>
  <c r="O28" i="17"/>
  <c r="E24" i="17"/>
  <c r="E59" i="14"/>
  <c r="J24" i="17"/>
  <c r="O24" i="17"/>
  <c r="F20" i="17"/>
  <c r="K20" i="17"/>
  <c r="L20" i="17"/>
  <c r="M16" i="17"/>
  <c r="G16" i="17"/>
  <c r="H16" i="17"/>
  <c r="I12" i="17"/>
  <c r="K12" i="17"/>
  <c r="O12" i="17"/>
  <c r="E8" i="17"/>
  <c r="E43" i="14"/>
  <c r="G8" i="17"/>
  <c r="J8" i="17"/>
  <c r="P53" i="9"/>
  <c r="I31" i="17"/>
  <c r="N31" i="17"/>
  <c r="O31" i="17"/>
  <c r="E27" i="17"/>
  <c r="E62" i="14"/>
  <c r="J27" i="17"/>
  <c r="O27" i="17"/>
  <c r="M23" i="17"/>
  <c r="G23" i="17"/>
  <c r="L23" i="17"/>
  <c r="M19" i="17"/>
  <c r="G19" i="17"/>
  <c r="H19" i="17"/>
  <c r="I15" i="17"/>
  <c r="N15" i="17"/>
  <c r="G15" i="17"/>
  <c r="E11" i="17"/>
  <c r="E46" i="14"/>
  <c r="F11" i="17"/>
  <c r="G11" i="17"/>
  <c r="M7" i="17"/>
  <c r="N7" i="17"/>
  <c r="L7" i="17"/>
  <c r="P68" i="9"/>
  <c r="P51" i="9"/>
  <c r="F34" i="17"/>
  <c r="K34" i="17"/>
  <c r="L34" i="17"/>
  <c r="M30" i="17"/>
  <c r="G30" i="17"/>
  <c r="H30" i="17"/>
  <c r="I26" i="17"/>
  <c r="N26" i="17"/>
  <c r="D26" i="17"/>
  <c r="E22" i="17"/>
  <c r="E57" i="14"/>
  <c r="J22" i="17"/>
  <c r="O22" i="17"/>
  <c r="F18" i="17"/>
  <c r="O18" i="17"/>
  <c r="L18" i="17"/>
  <c r="M14" i="17"/>
  <c r="F14" i="17"/>
  <c r="H14" i="17"/>
  <c r="I10" i="17"/>
  <c r="O10" i="17"/>
  <c r="D10" i="17"/>
  <c r="P55" i="9"/>
  <c r="F33" i="17"/>
  <c r="K33" i="17"/>
  <c r="L33" i="17"/>
  <c r="M29" i="17"/>
  <c r="G29" i="17"/>
  <c r="H29" i="17"/>
  <c r="I25" i="17"/>
  <c r="N25" i="17"/>
  <c r="O25" i="17"/>
  <c r="E21" i="17"/>
  <c r="E56" i="14"/>
  <c r="J21" i="17"/>
  <c r="O21" i="17"/>
  <c r="J17" i="17"/>
  <c r="F17" i="17"/>
  <c r="L17" i="17"/>
  <c r="M13" i="17"/>
  <c r="K13" i="17"/>
  <c r="H13" i="17"/>
  <c r="M9" i="17"/>
  <c r="J9" i="17"/>
  <c r="K9" i="17"/>
  <c r="P66" i="9"/>
  <c r="F32" i="17"/>
  <c r="K32" i="17"/>
  <c r="L32" i="17"/>
  <c r="M28" i="17"/>
  <c r="D28" i="17"/>
  <c r="H28" i="17"/>
  <c r="I24" i="17"/>
  <c r="N24" i="17"/>
  <c r="D24" i="17"/>
  <c r="E20" i="17"/>
  <c r="E55" i="14"/>
  <c r="J20" i="17"/>
  <c r="O20" i="17"/>
  <c r="N16" i="17"/>
  <c r="K16" i="17"/>
  <c r="L16" i="17"/>
  <c r="M12" i="17"/>
  <c r="F12" i="17"/>
  <c r="H12" i="17"/>
  <c r="I8" i="17"/>
  <c r="O8" i="17"/>
  <c r="K8" i="17"/>
  <c r="P57" i="9"/>
  <c r="P49" i="9"/>
  <c r="M31" i="17"/>
  <c r="D31" i="17"/>
  <c r="H31" i="17"/>
  <c r="I27" i="17"/>
  <c r="N27" i="17"/>
  <c r="D27" i="17"/>
  <c r="D23" i="17"/>
  <c r="F23" i="17"/>
  <c r="K23" i="17"/>
  <c r="D19" i="17"/>
  <c r="K19" i="17"/>
  <c r="L19" i="17"/>
  <c r="M15" i="17"/>
  <c r="K15" i="17"/>
  <c r="H15" i="17"/>
  <c r="I11" i="17"/>
  <c r="O11" i="17"/>
  <c r="K11" i="17"/>
  <c r="D7" i="17"/>
  <c r="J7" i="17"/>
  <c r="K7" i="17"/>
  <c r="P7" i="17"/>
  <c r="P64" i="9"/>
  <c r="P52" i="9"/>
  <c r="P63" i="9"/>
  <c r="P42" i="9"/>
  <c r="E34" i="17"/>
  <c r="E69" i="14"/>
  <c r="J34" i="17"/>
  <c r="O34" i="17"/>
  <c r="F30" i="17"/>
  <c r="K30" i="17"/>
  <c r="L30" i="17"/>
  <c r="M26" i="17"/>
  <c r="G26" i="17"/>
  <c r="H26" i="17"/>
  <c r="I22" i="17"/>
  <c r="N22" i="17"/>
  <c r="D22" i="17"/>
  <c r="E18" i="17"/>
  <c r="E53" i="14"/>
  <c r="N18" i="17"/>
  <c r="J18" i="17"/>
  <c r="J14" i="17"/>
  <c r="N14" i="17"/>
  <c r="L14" i="17"/>
  <c r="M10" i="17"/>
  <c r="N10" i="17"/>
  <c r="H10" i="17"/>
  <c r="P46" i="9"/>
  <c r="E33" i="17"/>
  <c r="E68" i="14"/>
  <c r="J33" i="17"/>
  <c r="O33" i="17"/>
  <c r="F29" i="17"/>
  <c r="K29" i="17"/>
  <c r="L29" i="17"/>
  <c r="M25" i="17"/>
  <c r="D25" i="17"/>
  <c r="H25" i="17"/>
  <c r="I21" i="17"/>
  <c r="N21" i="17"/>
  <c r="D21" i="17"/>
  <c r="E17" i="17"/>
  <c r="E52" i="14"/>
  <c r="G17" i="17"/>
  <c r="N17" i="17"/>
  <c r="N13" i="17"/>
  <c r="C30" i="26" s="1"/>
  <c r="J13" i="17"/>
  <c r="L13" i="17"/>
  <c r="I9" i="17"/>
  <c r="N9" i="17"/>
  <c r="H9" i="17"/>
  <c r="P54" i="9"/>
  <c r="E32" i="17"/>
  <c r="E67" i="14"/>
  <c r="J32" i="17"/>
  <c r="O32" i="17"/>
  <c r="F28" i="17"/>
  <c r="G28" i="17"/>
  <c r="L28" i="17"/>
  <c r="M24" i="17"/>
  <c r="G24" i="17"/>
  <c r="H24" i="17"/>
  <c r="I20" i="17"/>
  <c r="N20" i="17"/>
  <c r="D20" i="17"/>
  <c r="E16" i="17"/>
  <c r="E51" i="14"/>
  <c r="D16" i="17"/>
  <c r="O16" i="17"/>
  <c r="D12" i="17"/>
  <c r="N12" i="17"/>
  <c r="L12" i="17"/>
  <c r="N8" i="17"/>
  <c r="M8" i="17"/>
  <c r="H8" i="17"/>
  <c r="P61" i="9"/>
  <c r="P50" i="9"/>
  <c r="H71" i="9" l="1"/>
  <c r="N71" i="11"/>
  <c r="E71" i="9"/>
  <c r="P71" i="11"/>
  <c r="G70" i="11"/>
  <c r="G70" i="9"/>
  <c r="O70" i="11"/>
  <c r="H70" i="19"/>
  <c r="L71" i="19"/>
  <c r="N70" i="9"/>
  <c r="G71" i="11"/>
  <c r="L70" i="9"/>
  <c r="I71" i="19"/>
  <c r="F70" i="19"/>
  <c r="I71" i="11"/>
  <c r="K71" i="11"/>
  <c r="O71" i="11"/>
  <c r="N70" i="11"/>
  <c r="H70" i="9"/>
  <c r="N71" i="9"/>
  <c r="E70" i="9"/>
  <c r="I70" i="19"/>
  <c r="L70" i="19"/>
  <c r="F71" i="19"/>
  <c r="K70" i="11"/>
  <c r="I70" i="11"/>
  <c r="L71" i="9"/>
  <c r="H71" i="19"/>
  <c r="P70" i="11"/>
  <c r="G71" i="9"/>
  <c r="O71" i="19"/>
  <c r="O70" i="19"/>
  <c r="P70" i="9"/>
  <c r="P71" i="9"/>
  <c r="F70" i="11"/>
  <c r="F71" i="11"/>
  <c r="K70" i="9"/>
  <c r="K71" i="9"/>
  <c r="M70" i="19"/>
  <c r="N71" i="19"/>
  <c r="J71" i="19"/>
  <c r="P70" i="19"/>
  <c r="K70" i="19"/>
  <c r="I71" i="9"/>
  <c r="O70" i="9"/>
  <c r="Q71" i="11"/>
  <c r="J70" i="9"/>
  <c r="E70" i="11"/>
  <c r="M71" i="9"/>
  <c r="M70" i="11"/>
  <c r="E71" i="19"/>
  <c r="G71" i="19"/>
  <c r="L71" i="11"/>
  <c r="Q70" i="9"/>
  <c r="H70" i="11"/>
  <c r="F71" i="9"/>
  <c r="J70" i="11"/>
  <c r="E70" i="19"/>
  <c r="G70" i="19"/>
  <c r="L70" i="11"/>
  <c r="Q71" i="9"/>
  <c r="H71" i="11"/>
  <c r="F70" i="9"/>
  <c r="J71" i="11"/>
  <c r="M71" i="19"/>
  <c r="N70" i="19"/>
  <c r="J70" i="19"/>
  <c r="P71" i="19"/>
  <c r="K71" i="19"/>
  <c r="I70" i="9"/>
  <c r="O71" i="9"/>
  <c r="Q70" i="11"/>
  <c r="J71" i="9"/>
  <c r="E71" i="11"/>
  <c r="M70" i="9"/>
  <c r="M71" i="11"/>
  <c r="P35" i="17"/>
  <c r="P36" i="17"/>
  <c r="Q42" i="17"/>
  <c r="O35" i="17"/>
  <c r="O36" i="17"/>
  <c r="J35" i="17"/>
  <c r="J36" i="17"/>
  <c r="D35" i="17"/>
  <c r="D36" i="17"/>
  <c r="N35" i="17"/>
  <c r="N36" i="17"/>
  <c r="H35" i="17"/>
  <c r="H36" i="17"/>
  <c r="K36" i="17"/>
  <c r="K35" i="17"/>
  <c r="F35" i="17"/>
  <c r="F36" i="17"/>
  <c r="L35" i="17"/>
  <c r="L36" i="17"/>
  <c r="G35" i="17"/>
  <c r="G36" i="17"/>
  <c r="M35" i="17"/>
  <c r="M36" i="17"/>
  <c r="I35" i="17"/>
  <c r="I36" i="17"/>
  <c r="E35" i="17"/>
  <c r="E36" i="17"/>
  <c r="P63" i="17"/>
  <c r="P53" i="17"/>
  <c r="P55" i="17"/>
  <c r="P60" i="17"/>
  <c r="P59" i="17"/>
  <c r="P47" i="17"/>
  <c r="P50" i="17"/>
  <c r="P58" i="17"/>
  <c r="P57" i="17"/>
  <c r="P69" i="17"/>
  <c r="P46" i="17"/>
  <c r="P54" i="17"/>
  <c r="P51" i="17"/>
  <c r="P62" i="17"/>
  <c r="P56" i="17"/>
  <c r="P43" i="17"/>
  <c r="P42" i="17"/>
  <c r="P67" i="17"/>
  <c r="P66" i="17"/>
  <c r="P52" i="17"/>
  <c r="P68" i="17"/>
  <c r="P48" i="17"/>
  <c r="P44" i="17"/>
  <c r="P64" i="17"/>
  <c r="P61" i="17"/>
  <c r="P45" i="17"/>
  <c r="P49" i="17"/>
  <c r="P65" i="17"/>
  <c r="M70" i="17" l="1"/>
  <c r="G71" i="17"/>
  <c r="I70" i="17"/>
  <c r="M71" i="17"/>
  <c r="I71" i="17"/>
  <c r="G70" i="17"/>
  <c r="E70" i="17"/>
  <c r="E71" i="17"/>
  <c r="L71" i="17"/>
  <c r="K70" i="17"/>
  <c r="J71" i="17"/>
  <c r="F71" i="17"/>
  <c r="H71" i="17"/>
  <c r="O71" i="17"/>
  <c r="P70" i="17"/>
  <c r="Q70" i="17"/>
  <c r="N71" i="17"/>
  <c r="F70" i="17"/>
  <c r="H70" i="17"/>
  <c r="O70" i="17"/>
  <c r="L70" i="17"/>
  <c r="K71" i="17"/>
  <c r="N70" i="17"/>
  <c r="J70" i="17"/>
  <c r="P71" i="17"/>
  <c r="Q71" i="17"/>
  <c r="AA41" i="22"/>
  <c r="AA6" i="22"/>
  <c r="AA41" i="21"/>
  <c r="AA6" i="21"/>
  <c r="V6" i="13" l="1"/>
  <c r="V41" i="13"/>
  <c r="V41" i="12"/>
  <c r="V6" i="12"/>
  <c r="V41" i="4"/>
  <c r="V6" i="4"/>
  <c r="V41" i="21"/>
  <c r="V6" i="21"/>
  <c r="V41" i="22"/>
  <c r="V6" i="22"/>
  <c r="V41" i="8"/>
  <c r="V6" i="8"/>
  <c r="V41" i="9"/>
  <c r="V6" i="9"/>
  <c r="V41" i="10"/>
  <c r="V6" i="10"/>
  <c r="V41" i="11"/>
  <c r="V6" i="11"/>
  <c r="V41" i="24"/>
  <c r="V6" i="24"/>
  <c r="V41" i="17"/>
  <c r="V6" i="17"/>
  <c r="V41" i="14"/>
  <c r="V6" i="14"/>
  <c r="V41" i="15"/>
  <c r="V6" i="15"/>
  <c r="V41" i="16"/>
  <c r="V41" i="19"/>
  <c r="V6" i="19"/>
  <c r="AF6" i="22" l="1"/>
  <c r="A41" i="13" l="1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P14" i="24"/>
  <c r="P22" i="24"/>
  <c r="P30" i="24"/>
  <c r="P33" i="24"/>
  <c r="P32" i="24"/>
  <c r="P31" i="24"/>
  <c r="P29" i="24"/>
  <c r="P28" i="24"/>
  <c r="P27" i="24"/>
  <c r="P26" i="24"/>
  <c r="P25" i="24"/>
  <c r="P24" i="24"/>
  <c r="P23" i="24"/>
  <c r="P21" i="24"/>
  <c r="P20" i="24"/>
  <c r="P19" i="24"/>
  <c r="P18" i="24"/>
  <c r="P17" i="24"/>
  <c r="P16" i="24"/>
  <c r="P15" i="24"/>
  <c r="P13" i="24"/>
  <c r="P12" i="24"/>
  <c r="P11" i="24"/>
  <c r="P10" i="24"/>
  <c r="P9" i="24"/>
  <c r="P8" i="24"/>
  <c r="P7" i="24"/>
  <c r="P36" i="24" l="1"/>
  <c r="J41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C48" i="24"/>
  <c r="B48" i="24"/>
  <c r="C47" i="24"/>
  <c r="B47" i="24"/>
  <c r="C46" i="24"/>
  <c r="B46" i="24"/>
  <c r="C45" i="24"/>
  <c r="B45" i="24"/>
  <c r="C44" i="24"/>
  <c r="B44" i="24"/>
  <c r="C43" i="24"/>
  <c r="B43" i="24"/>
  <c r="C42" i="24"/>
  <c r="B42" i="24"/>
  <c r="L41" i="24"/>
  <c r="K41" i="24"/>
  <c r="I41" i="24"/>
  <c r="H41" i="24"/>
  <c r="G41" i="24"/>
  <c r="F41" i="24"/>
  <c r="E41" i="24"/>
  <c r="D41" i="24"/>
  <c r="C41" i="24"/>
  <c r="B41" i="24"/>
  <c r="A41" i="24"/>
  <c r="AE40" i="4" l="1"/>
  <c r="AE40" i="21"/>
  <c r="AE40" i="22"/>
  <c r="N41" i="13" l="1"/>
  <c r="N41" i="12"/>
  <c r="AD40" i="4"/>
  <c r="AD5" i="4" s="1"/>
  <c r="AD40" i="21"/>
  <c r="AD5" i="21" s="1"/>
  <c r="AD40" i="22"/>
  <c r="AD5" i="22" s="1"/>
  <c r="AA6" i="8"/>
  <c r="N41" i="8"/>
  <c r="AD6" i="9"/>
  <c r="AD5" i="9"/>
  <c r="N41" i="9"/>
  <c r="AA6" i="9"/>
  <c r="AA6" i="10"/>
  <c r="P61" i="8" l="1"/>
  <c r="P63" i="8"/>
  <c r="P55" i="8"/>
  <c r="AE6" i="9"/>
  <c r="AB6" i="10"/>
  <c r="AC6" i="10" s="1"/>
  <c r="AD6" i="10" s="1"/>
  <c r="AE6" i="10"/>
  <c r="AA41" i="8"/>
  <c r="AD6" i="8"/>
  <c r="AB6" i="8"/>
  <c r="AB41" i="8" s="1"/>
  <c r="AD40" i="9"/>
  <c r="O49" i="9"/>
  <c r="O66" i="9"/>
  <c r="O58" i="9"/>
  <c r="O68" i="9"/>
  <c r="P67" i="10"/>
  <c r="N41" i="11"/>
  <c r="P54" i="8" l="1"/>
  <c r="P62" i="8"/>
  <c r="P47" i="8"/>
  <c r="P59" i="8"/>
  <c r="P48" i="8"/>
  <c r="P65" i="8"/>
  <c r="P42" i="8"/>
  <c r="P52" i="8"/>
  <c r="P50" i="8"/>
  <c r="P58" i="8"/>
  <c r="P57" i="8"/>
  <c r="P45" i="8"/>
  <c r="P43" i="8"/>
  <c r="P60" i="8"/>
  <c r="P53" i="8"/>
  <c r="P46" i="8"/>
  <c r="P51" i="8"/>
  <c r="P44" i="8"/>
  <c r="P56" i="8"/>
  <c r="P64" i="8"/>
  <c r="P49" i="8"/>
  <c r="N65" i="9"/>
  <c r="O62" i="9"/>
  <c r="O59" i="9"/>
  <c r="O43" i="9"/>
  <c r="O67" i="10"/>
  <c r="O45" i="9"/>
  <c r="O64" i="9"/>
  <c r="O60" i="9"/>
  <c r="O47" i="9"/>
  <c r="O51" i="9"/>
  <c r="O44" i="9"/>
  <c r="O52" i="9"/>
  <c r="O65" i="9"/>
  <c r="O48" i="9"/>
  <c r="O56" i="9"/>
  <c r="O54" i="9"/>
  <c r="O57" i="9"/>
  <c r="O63" i="9"/>
  <c r="O67" i="9"/>
  <c r="O50" i="9"/>
  <c r="O55" i="9"/>
  <c r="P46" i="10"/>
  <c r="P54" i="10"/>
  <c r="P62" i="10"/>
  <c r="P55" i="10"/>
  <c r="P48" i="10"/>
  <c r="P57" i="10"/>
  <c r="P65" i="10"/>
  <c r="P50" i="10"/>
  <c r="P58" i="10"/>
  <c r="P66" i="10"/>
  <c r="O61" i="9"/>
  <c r="P47" i="10"/>
  <c r="P56" i="10"/>
  <c r="P59" i="10"/>
  <c r="P52" i="10"/>
  <c r="P68" i="10"/>
  <c r="O42" i="9"/>
  <c r="P63" i="10"/>
  <c r="P64" i="10"/>
  <c r="P49" i="10"/>
  <c r="P43" i="10"/>
  <c r="N51" i="10"/>
  <c r="O46" i="9"/>
  <c r="P44" i="10"/>
  <c r="P60" i="10"/>
  <c r="P45" i="10"/>
  <c r="P53" i="10"/>
  <c r="P61" i="10"/>
  <c r="P69" i="10"/>
  <c r="N69" i="9"/>
  <c r="O69" i="9"/>
  <c r="N53" i="9"/>
  <c r="O53" i="9"/>
  <c r="N57" i="9"/>
  <c r="N61" i="9"/>
  <c r="N67" i="10"/>
  <c r="N47" i="10"/>
  <c r="N49" i="9"/>
  <c r="N56" i="9"/>
  <c r="N48" i="9"/>
  <c r="N45" i="9"/>
  <c r="N64" i="9"/>
  <c r="N42" i="9"/>
  <c r="N62" i="9"/>
  <c r="N59" i="9"/>
  <c r="N43" i="9"/>
  <c r="N50" i="9"/>
  <c r="N68" i="9"/>
  <c r="N54" i="9"/>
  <c r="N63" i="9"/>
  <c r="N52" i="9"/>
  <c r="N67" i="9"/>
  <c r="N58" i="9"/>
  <c r="N60" i="9"/>
  <c r="N55" i="9"/>
  <c r="N44" i="9"/>
  <c r="N46" i="9"/>
  <c r="N47" i="9"/>
  <c r="N51" i="9"/>
  <c r="N66" i="9"/>
  <c r="P42" i="10" l="1"/>
  <c r="O51" i="10"/>
  <c r="P51" i="10"/>
  <c r="O62" i="10"/>
  <c r="O46" i="10"/>
  <c r="N42" i="10"/>
  <c r="O48" i="10"/>
  <c r="O56" i="10"/>
  <c r="N57" i="10"/>
  <c r="O63" i="10"/>
  <c r="O60" i="10"/>
  <c r="N65" i="10"/>
  <c r="O59" i="10"/>
  <c r="O54" i="10"/>
  <c r="O53" i="10"/>
  <c r="O49" i="10"/>
  <c r="O42" i="10"/>
  <c r="N59" i="10"/>
  <c r="O65" i="10"/>
  <c r="O44" i="10"/>
  <c r="O64" i="10"/>
  <c r="O45" i="10"/>
  <c r="O68" i="10"/>
  <c r="O47" i="10"/>
  <c r="N49" i="10"/>
  <c r="O69" i="10"/>
  <c r="O61" i="10"/>
  <c r="O57" i="10"/>
  <c r="N66" i="10"/>
  <c r="O66" i="10"/>
  <c r="N52" i="10"/>
  <c r="O52" i="10"/>
  <c r="N55" i="10"/>
  <c r="O55" i="10"/>
  <c r="N43" i="10"/>
  <c r="O43" i="10"/>
  <c r="N58" i="10"/>
  <c r="O58" i="10"/>
  <c r="N50" i="10"/>
  <c r="O50" i="10"/>
  <c r="N63" i="10"/>
  <c r="N44" i="10"/>
  <c r="N62" i="10"/>
  <c r="N46" i="10"/>
  <c r="N56" i="10"/>
  <c r="N68" i="10"/>
  <c r="N53" i="10"/>
  <c r="N69" i="10"/>
  <c r="N61" i="10"/>
  <c r="N64" i="10"/>
  <c r="N54" i="10"/>
  <c r="N60" i="10"/>
  <c r="N45" i="10"/>
  <c r="N48" i="10"/>
  <c r="AA6" i="11"/>
  <c r="P56" i="11" l="1"/>
  <c r="P57" i="11"/>
  <c r="P58" i="11"/>
  <c r="P59" i="11"/>
  <c r="P44" i="11"/>
  <c r="P52" i="11"/>
  <c r="P60" i="11"/>
  <c r="P68" i="11"/>
  <c r="P48" i="11"/>
  <c r="P49" i="11"/>
  <c r="P50" i="11"/>
  <c r="P43" i="11"/>
  <c r="P61" i="11"/>
  <c r="P69" i="11"/>
  <c r="P64" i="11"/>
  <c r="P66" i="11"/>
  <c r="P67" i="11"/>
  <c r="P45" i="11"/>
  <c r="P53" i="11"/>
  <c r="P46" i="11"/>
  <c r="P54" i="11"/>
  <c r="P62" i="11"/>
  <c r="P65" i="11"/>
  <c r="P51" i="11"/>
  <c r="P47" i="11"/>
  <c r="P55" i="11"/>
  <c r="P63" i="11"/>
  <c r="N67" i="11"/>
  <c r="AB6" i="11"/>
  <c r="AD6" i="11"/>
  <c r="N68" i="11"/>
  <c r="N66" i="11"/>
  <c r="N41" i="17"/>
  <c r="AE5" i="16"/>
  <c r="AE40" i="16" s="1"/>
  <c r="AC5" i="19"/>
  <c r="AC40" i="19" s="1"/>
  <c r="AC5" i="14"/>
  <c r="AE41" i="16"/>
  <c r="AE6" i="16"/>
  <c r="AC41" i="19"/>
  <c r="AC41" i="14"/>
  <c r="AC6" i="19"/>
  <c r="AC6" i="14"/>
  <c r="AB41" i="14"/>
  <c r="AA41" i="14"/>
  <c r="AB6" i="14"/>
  <c r="O41" i="14"/>
  <c r="AA40" i="14"/>
  <c r="AA40" i="18"/>
  <c r="AB6" i="18"/>
  <c r="AB41" i="18" s="1"/>
  <c r="AB6" i="19"/>
  <c r="AD6" i="19"/>
  <c r="N41" i="19"/>
  <c r="P41" i="15"/>
  <c r="N41" i="18"/>
  <c r="AC6" i="16"/>
  <c r="AC41" i="16" s="1"/>
  <c r="AB6" i="16"/>
  <c r="N42" i="11" l="1"/>
  <c r="P42" i="11"/>
  <c r="N69" i="11"/>
  <c r="O67" i="11"/>
  <c r="N49" i="11"/>
  <c r="N48" i="11"/>
  <c r="N46" i="11"/>
  <c r="N56" i="11"/>
  <c r="O69" i="11"/>
  <c r="N62" i="11"/>
  <c r="O51" i="11"/>
  <c r="O62" i="11"/>
  <c r="O45" i="11"/>
  <c r="O60" i="11"/>
  <c r="N65" i="11"/>
  <c r="N51" i="11"/>
  <c r="O58" i="11"/>
  <c r="O56" i="11"/>
  <c r="N43" i="11"/>
  <c r="O64" i="11"/>
  <c r="N63" i="11"/>
  <c r="N57" i="11"/>
  <c r="N59" i="11"/>
  <c r="O65" i="11"/>
  <c r="O57" i="11"/>
  <c r="O52" i="11"/>
  <c r="N45" i="11"/>
  <c r="O55" i="11"/>
  <c r="O46" i="11"/>
  <c r="O66" i="11"/>
  <c r="O61" i="11"/>
  <c r="O48" i="11"/>
  <c r="O44" i="11"/>
  <c r="N64" i="11"/>
  <c r="O63" i="11"/>
  <c r="O50" i="11"/>
  <c r="O54" i="11"/>
  <c r="O49" i="11"/>
  <c r="N61" i="11"/>
  <c r="O47" i="11"/>
  <c r="O42" i="11"/>
  <c r="O53" i="11"/>
  <c r="O43" i="11"/>
  <c r="O68" i="11"/>
  <c r="O59" i="11"/>
  <c r="N58" i="11"/>
  <c r="N55" i="11"/>
  <c r="N50" i="11"/>
  <c r="N54" i="11"/>
  <c r="O58" i="14"/>
  <c r="O65" i="14"/>
  <c r="AA41" i="18"/>
  <c r="P46" i="14"/>
  <c r="N44" i="11"/>
  <c r="N52" i="11"/>
  <c r="O59" i="14"/>
  <c r="N53" i="11"/>
  <c r="N47" i="11"/>
  <c r="N60" i="11"/>
  <c r="AC40" i="14"/>
  <c r="P58" i="15"/>
  <c r="O58" i="16"/>
  <c r="O60" i="16"/>
  <c r="O44" i="14" l="1"/>
  <c r="N14" i="24"/>
  <c r="O52" i="14"/>
  <c r="P69" i="15"/>
  <c r="P60" i="16"/>
  <c r="O33" i="24"/>
  <c r="P68" i="24" s="1"/>
  <c r="P43" i="14"/>
  <c r="P60" i="14"/>
  <c r="P61" i="16"/>
  <c r="O44" i="16"/>
  <c r="P65" i="15"/>
  <c r="P59" i="14"/>
  <c r="O60" i="14"/>
  <c r="P65" i="14"/>
  <c r="P54" i="14"/>
  <c r="O57" i="14"/>
  <c r="P65" i="16"/>
  <c r="P47" i="14"/>
  <c r="O68" i="16"/>
  <c r="P44" i="16"/>
  <c r="P45" i="16"/>
  <c r="P62" i="16"/>
  <c r="P68" i="16"/>
  <c r="P63" i="14"/>
  <c r="P51" i="16"/>
  <c r="P53" i="14"/>
  <c r="P44" i="14"/>
  <c r="O49" i="14"/>
  <c r="P62" i="14"/>
  <c r="P58" i="16"/>
  <c r="P42" i="14"/>
  <c r="P54" i="16"/>
  <c r="P56" i="16"/>
  <c r="P69" i="16"/>
  <c r="P66" i="16"/>
  <c r="P64" i="16"/>
  <c r="P53" i="15"/>
  <c r="N19" i="24"/>
  <c r="P64" i="14"/>
  <c r="P61" i="14"/>
  <c r="P48" i="14"/>
  <c r="P52" i="14"/>
  <c r="P59" i="16"/>
  <c r="P55" i="14"/>
  <c r="P67" i="14"/>
  <c r="P49" i="14"/>
  <c r="P52" i="16"/>
  <c r="P69" i="14"/>
  <c r="P49" i="16"/>
  <c r="P53" i="16"/>
  <c r="P50" i="16"/>
  <c r="P63" i="16"/>
  <c r="P48" i="16"/>
  <c r="P58" i="14"/>
  <c r="P56" i="14"/>
  <c r="P42" i="16"/>
  <c r="P50" i="14"/>
  <c r="P47" i="16"/>
  <c r="P67" i="16"/>
  <c r="O52" i="16"/>
  <c r="P46" i="15"/>
  <c r="P57" i="16"/>
  <c r="P46" i="16"/>
  <c r="P55" i="16"/>
  <c r="P45" i="14"/>
  <c r="P57" i="14"/>
  <c r="P68" i="14"/>
  <c r="P43" i="16"/>
  <c r="P51" i="14"/>
  <c r="P66" i="14"/>
  <c r="N18" i="24"/>
  <c r="P49" i="15"/>
  <c r="P62" i="15"/>
  <c r="O68" i="14"/>
  <c r="O55" i="14"/>
  <c r="N11" i="24"/>
  <c r="O42" i="14"/>
  <c r="O47" i="14"/>
  <c r="O50" i="14"/>
  <c r="N27" i="24"/>
  <c r="P61" i="15"/>
  <c r="O67" i="14"/>
  <c r="O51" i="14"/>
  <c r="N22" i="24"/>
  <c r="O54" i="14"/>
  <c r="O63" i="14"/>
  <c r="P50" i="15"/>
  <c r="N30" i="24"/>
  <c r="N31" i="24"/>
  <c r="N15" i="24"/>
  <c r="N23" i="24"/>
  <c r="P66" i="15"/>
  <c r="N10" i="24"/>
  <c r="O64" i="14"/>
  <c r="O56" i="14"/>
  <c r="O69" i="14"/>
  <c r="N7" i="24"/>
  <c r="O66" i="14"/>
  <c r="O43" i="14"/>
  <c r="O46" i="14"/>
  <c r="P57" i="15"/>
  <c r="O62" i="14"/>
  <c r="P45" i="15"/>
  <c r="O61" i="14"/>
  <c r="P54" i="15"/>
  <c r="O48" i="14"/>
  <c r="N26" i="24"/>
  <c r="O53" i="14"/>
  <c r="O45" i="14"/>
  <c r="N17" i="24"/>
  <c r="P52" i="15"/>
  <c r="N8" i="24"/>
  <c r="P43" i="15"/>
  <c r="N25" i="24"/>
  <c r="P60" i="15"/>
  <c r="N32" i="24"/>
  <c r="P67" i="15"/>
  <c r="N20" i="24"/>
  <c r="P55" i="15"/>
  <c r="N16" i="24"/>
  <c r="P51" i="15"/>
  <c r="N33" i="24"/>
  <c r="P68" i="15"/>
  <c r="N12" i="24"/>
  <c r="P47" i="15"/>
  <c r="P64" i="15"/>
  <c r="N29" i="24"/>
  <c r="P56" i="15"/>
  <c r="N21" i="24"/>
  <c r="N28" i="24"/>
  <c r="P63" i="15"/>
  <c r="P48" i="15"/>
  <c r="N13" i="24"/>
  <c r="N24" i="24"/>
  <c r="P59" i="15"/>
  <c r="N9" i="24"/>
  <c r="P44" i="15"/>
  <c r="O50" i="16"/>
  <c r="O42" i="16"/>
  <c r="O47" i="16"/>
  <c r="O43" i="16"/>
  <c r="O54" i="16"/>
  <c r="O62" i="16"/>
  <c r="O46" i="16"/>
  <c r="O63" i="16"/>
  <c r="O55" i="16"/>
  <c r="O59" i="16"/>
  <c r="O51" i="16"/>
  <c r="O49" i="16"/>
  <c r="O67" i="16"/>
  <c r="O66" i="16"/>
  <c r="O48" i="16"/>
  <c r="O69" i="16"/>
  <c r="O53" i="16"/>
  <c r="O64" i="16"/>
  <c r="O61" i="16"/>
  <c r="O45" i="16"/>
  <c r="O56" i="16"/>
  <c r="O65" i="16"/>
  <c r="O57" i="16"/>
  <c r="C31" i="26" l="1"/>
  <c r="N36" i="24"/>
  <c r="O68" i="24"/>
  <c r="O58" i="17"/>
  <c r="O23" i="24"/>
  <c r="O42" i="17"/>
  <c r="O7" i="24"/>
  <c r="O28" i="24"/>
  <c r="O63" i="17"/>
  <c r="O27" i="24"/>
  <c r="O62" i="17"/>
  <c r="O61" i="17"/>
  <c r="O26" i="24"/>
  <c r="O52" i="17"/>
  <c r="O17" i="24"/>
  <c r="O56" i="17"/>
  <c r="O21" i="24"/>
  <c r="O22" i="24"/>
  <c r="O57" i="17"/>
  <c r="O14" i="24"/>
  <c r="O49" i="17"/>
  <c r="O16" i="24"/>
  <c r="O51" i="17"/>
  <c r="O43" i="17"/>
  <c r="O8" i="24"/>
  <c r="O20" i="24"/>
  <c r="O55" i="17"/>
  <c r="O12" i="24"/>
  <c r="O47" i="17"/>
  <c r="O48" i="17"/>
  <c r="O13" i="24"/>
  <c r="O31" i="24"/>
  <c r="O66" i="17"/>
  <c r="O68" i="17"/>
  <c r="O59" i="17"/>
  <c r="O24" i="24"/>
  <c r="O15" i="24"/>
  <c r="O50" i="17"/>
  <c r="O64" i="17"/>
  <c r="O29" i="24"/>
  <c r="O25" i="24"/>
  <c r="O60" i="17"/>
  <c r="O53" i="17"/>
  <c r="O18" i="24"/>
  <c r="O32" i="24"/>
  <c r="O67" i="17"/>
  <c r="O45" i="17"/>
  <c r="O10" i="24"/>
  <c r="O30" i="24"/>
  <c r="O65" i="17"/>
  <c r="O69" i="17"/>
  <c r="O11" i="24"/>
  <c r="O46" i="17"/>
  <c r="O9" i="24"/>
  <c r="O44" i="17"/>
  <c r="O19" i="24"/>
  <c r="O54" i="17"/>
  <c r="E13" i="26"/>
  <c r="AD41" i="4"/>
  <c r="AE41" i="4" s="1"/>
  <c r="AF41" i="4" s="1"/>
  <c r="AC41" i="4"/>
  <c r="AB41" i="4"/>
  <c r="AA41" i="4"/>
  <c r="AD6" i="4"/>
  <c r="AE6" i="4" s="1"/>
  <c r="AC6" i="4"/>
  <c r="AB6" i="4"/>
  <c r="AA6" i="4"/>
  <c r="AF6" i="4" s="1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B48" i="22"/>
  <c r="C47" i="22"/>
  <c r="B47" i="22"/>
  <c r="C46" i="22"/>
  <c r="B46" i="22"/>
  <c r="C45" i="22"/>
  <c r="B45" i="22"/>
  <c r="C44" i="22"/>
  <c r="B44" i="22"/>
  <c r="C43" i="22"/>
  <c r="B43" i="22"/>
  <c r="C42" i="22"/>
  <c r="B42" i="22"/>
  <c r="N41" i="22"/>
  <c r="AB41" i="22" s="1"/>
  <c r="AC41" i="22" s="1"/>
  <c r="AD41" i="22" s="1"/>
  <c r="AE41" i="22" s="1"/>
  <c r="AF41" i="22" s="1"/>
  <c r="M41" i="22"/>
  <c r="L41" i="22"/>
  <c r="K41" i="22"/>
  <c r="J41" i="22"/>
  <c r="I41" i="22"/>
  <c r="H41" i="22"/>
  <c r="G41" i="22"/>
  <c r="F41" i="22"/>
  <c r="E41" i="22"/>
  <c r="D41" i="22"/>
  <c r="C41" i="22"/>
  <c r="B41" i="22"/>
  <c r="A41" i="22"/>
  <c r="AB6" i="22"/>
  <c r="AC6" i="22" s="1"/>
  <c r="AD6" i="22" s="1"/>
  <c r="AE6" i="22" s="1"/>
  <c r="C69" i="21"/>
  <c r="B69" i="21"/>
  <c r="C68" i="21"/>
  <c r="B68" i="21"/>
  <c r="C67" i="21"/>
  <c r="B67" i="21"/>
  <c r="C66" i="21"/>
  <c r="B66" i="21"/>
  <c r="C65" i="21"/>
  <c r="B65" i="21"/>
  <c r="C64" i="21"/>
  <c r="B64" i="21"/>
  <c r="C63" i="21"/>
  <c r="B63" i="21"/>
  <c r="C62" i="21"/>
  <c r="B62" i="21"/>
  <c r="C61" i="21"/>
  <c r="B61" i="21"/>
  <c r="C60" i="21"/>
  <c r="B60" i="21"/>
  <c r="C59" i="21"/>
  <c r="B59" i="21"/>
  <c r="C58" i="21"/>
  <c r="B58" i="21"/>
  <c r="C57" i="21"/>
  <c r="B57" i="21"/>
  <c r="C56" i="21"/>
  <c r="B56" i="21"/>
  <c r="C55" i="21"/>
  <c r="B55" i="21"/>
  <c r="C54" i="21"/>
  <c r="B54" i="21"/>
  <c r="C53" i="21"/>
  <c r="B53" i="21"/>
  <c r="C52" i="21"/>
  <c r="B52" i="21"/>
  <c r="C51" i="21"/>
  <c r="B51" i="21"/>
  <c r="C50" i="21"/>
  <c r="B50" i="21"/>
  <c r="C49" i="21"/>
  <c r="B49" i="21"/>
  <c r="C48" i="21"/>
  <c r="B48" i="21"/>
  <c r="C47" i="21"/>
  <c r="B47" i="21"/>
  <c r="C46" i="21"/>
  <c r="B46" i="21"/>
  <c r="C45" i="21"/>
  <c r="B45" i="21"/>
  <c r="C44" i="21"/>
  <c r="B44" i="21"/>
  <c r="C43" i="21"/>
  <c r="B43" i="21"/>
  <c r="C42" i="21"/>
  <c r="B42" i="21"/>
  <c r="AB41" i="21"/>
  <c r="AC41" i="21" s="1"/>
  <c r="AD41" i="21" s="1"/>
  <c r="AE41" i="21" s="1"/>
  <c r="AF41" i="21" s="1"/>
  <c r="M41" i="21"/>
  <c r="L41" i="21"/>
  <c r="K41" i="21"/>
  <c r="J41" i="21"/>
  <c r="I41" i="21"/>
  <c r="H41" i="21"/>
  <c r="G41" i="21"/>
  <c r="F41" i="21"/>
  <c r="E41" i="21"/>
  <c r="D41" i="21"/>
  <c r="C41" i="21"/>
  <c r="B41" i="21"/>
  <c r="A41" i="21"/>
  <c r="D13" i="26" l="1"/>
  <c r="D25" i="26" s="1"/>
  <c r="D19" i="26"/>
  <c r="D23" i="26"/>
  <c r="D22" i="26"/>
  <c r="J13" i="26"/>
  <c r="O13" i="26"/>
  <c r="O36" i="24"/>
  <c r="O54" i="24"/>
  <c r="P54" i="24"/>
  <c r="O46" i="24"/>
  <c r="P46" i="24"/>
  <c r="O65" i="24"/>
  <c r="P65" i="24"/>
  <c r="O67" i="24"/>
  <c r="P67" i="24"/>
  <c r="O60" i="24"/>
  <c r="P60" i="24"/>
  <c r="O50" i="24"/>
  <c r="P50" i="24"/>
  <c r="O43" i="24"/>
  <c r="P43" i="24"/>
  <c r="O56" i="24"/>
  <c r="P56" i="24"/>
  <c r="O61" i="24"/>
  <c r="P61" i="24"/>
  <c r="O58" i="24"/>
  <c r="P58" i="24"/>
  <c r="O55" i="24"/>
  <c r="P55" i="24"/>
  <c r="O62" i="24"/>
  <c r="P62" i="24"/>
  <c r="O45" i="24"/>
  <c r="P45" i="24"/>
  <c r="O53" i="24"/>
  <c r="P53" i="24"/>
  <c r="O64" i="24"/>
  <c r="P64" i="24"/>
  <c r="O59" i="24"/>
  <c r="P59" i="24"/>
  <c r="O66" i="24"/>
  <c r="P66" i="24"/>
  <c r="O47" i="24"/>
  <c r="P47" i="24"/>
  <c r="O49" i="24"/>
  <c r="P49" i="24"/>
  <c r="O63" i="24"/>
  <c r="P63" i="24"/>
  <c r="O51" i="24"/>
  <c r="P51" i="24"/>
  <c r="O57" i="24"/>
  <c r="P57" i="24"/>
  <c r="O44" i="24"/>
  <c r="P44" i="24"/>
  <c r="O48" i="24"/>
  <c r="P48" i="24"/>
  <c r="O52" i="24"/>
  <c r="P52" i="24"/>
  <c r="O42" i="24"/>
  <c r="P42" i="24"/>
  <c r="O57" i="22"/>
  <c r="E61" i="21"/>
  <c r="P62" i="22"/>
  <c r="I52" i="21"/>
  <c r="P54" i="22"/>
  <c r="J44" i="21"/>
  <c r="I50" i="21"/>
  <c r="P43" i="22"/>
  <c r="I63" i="21"/>
  <c r="C11" i="20"/>
  <c r="C12" i="20" s="1"/>
  <c r="A68" i="22"/>
  <c r="C10" i="20"/>
  <c r="AB6" i="21"/>
  <c r="AC6" i="21" s="1"/>
  <c r="AD6" i="21" s="1"/>
  <c r="AE6" i="21" s="1"/>
  <c r="AF6" i="21"/>
  <c r="A63" i="22"/>
  <c r="A46" i="22"/>
  <c r="A42" i="22"/>
  <c r="A43" i="21"/>
  <c r="A69" i="22"/>
  <c r="A50" i="22"/>
  <c r="A54" i="22"/>
  <c r="A65" i="22"/>
  <c r="A51" i="21"/>
  <c r="A62" i="22"/>
  <c r="A55" i="21"/>
  <c r="A51" i="22"/>
  <c r="A47" i="21"/>
  <c r="H65" i="21"/>
  <c r="A66" i="22"/>
  <c r="A59" i="22"/>
  <c r="A55" i="22"/>
  <c r="A58" i="22"/>
  <c r="A67" i="22"/>
  <c r="A61" i="22"/>
  <c r="A48" i="22"/>
  <c r="A47" i="22"/>
  <c r="A52" i="22"/>
  <c r="A56" i="22"/>
  <c r="A57" i="22"/>
  <c r="A44" i="22"/>
  <c r="A53" i="22"/>
  <c r="A64" i="22"/>
  <c r="A45" i="22"/>
  <c r="A49" i="22"/>
  <c r="A60" i="22"/>
  <c r="A43" i="22"/>
  <c r="A58" i="21"/>
  <c r="A64" i="21"/>
  <c r="A68" i="21"/>
  <c r="A62" i="21"/>
  <c r="A69" i="21"/>
  <c r="A59" i="21"/>
  <c r="A42" i="21"/>
  <c r="A48" i="21"/>
  <c r="A52" i="21"/>
  <c r="A57" i="21"/>
  <c r="A63" i="21"/>
  <c r="A45" i="21"/>
  <c r="A50" i="21"/>
  <c r="A56" i="21"/>
  <c r="A44" i="21"/>
  <c r="A49" i="21"/>
  <c r="A54" i="21"/>
  <c r="A60" i="21"/>
  <c r="A46" i="21"/>
  <c r="A53" i="21"/>
  <c r="A66" i="21"/>
  <c r="A65" i="21"/>
  <c r="A61" i="21"/>
  <c r="A67" i="21"/>
  <c r="AK7" i="22" l="1"/>
  <c r="D29" i="26"/>
  <c r="D18" i="26"/>
  <c r="D15" i="26"/>
  <c r="D28" i="26"/>
  <c r="D31" i="26"/>
  <c r="D27" i="26"/>
  <c r="D26" i="26"/>
  <c r="D21" i="26"/>
  <c r="D17" i="26"/>
  <c r="D30" i="26"/>
  <c r="D16" i="26"/>
  <c r="D20" i="26"/>
  <c r="O71" i="24"/>
  <c r="P71" i="24"/>
  <c r="AK7" i="4"/>
  <c r="P60" i="22"/>
  <c r="P52" i="22"/>
  <c r="P58" i="21"/>
  <c r="P54" i="21"/>
  <c r="E49" i="21"/>
  <c r="P65" i="21"/>
  <c r="O44" i="22"/>
  <c r="P67" i="21"/>
  <c r="O67" i="21"/>
  <c r="N59" i="21"/>
  <c r="P51" i="21"/>
  <c r="P63" i="22"/>
  <c r="P51" i="22"/>
  <c r="P42" i="21"/>
  <c r="P48" i="22"/>
  <c r="P63" i="21"/>
  <c r="P59" i="21"/>
  <c r="P47" i="21"/>
  <c r="P43" i="21"/>
  <c r="P46" i="21"/>
  <c r="P55" i="22"/>
  <c r="P47" i="22"/>
  <c r="P52" i="21"/>
  <c r="L45" i="21"/>
  <c r="P57" i="22"/>
  <c r="P49" i="22"/>
  <c r="P56" i="21"/>
  <c r="P56" i="22"/>
  <c r="L46" i="21"/>
  <c r="P65" i="22"/>
  <c r="P68" i="22"/>
  <c r="P48" i="21"/>
  <c r="P61" i="21"/>
  <c r="P44" i="21"/>
  <c r="P64" i="22"/>
  <c r="P66" i="21"/>
  <c r="P50" i="21"/>
  <c r="P49" i="21"/>
  <c r="P57" i="21"/>
  <c r="P68" i="21"/>
  <c r="P64" i="21"/>
  <c r="P55" i="21"/>
  <c r="P53" i="21"/>
  <c r="P62" i="21"/>
  <c r="P69" i="21"/>
  <c r="P45" i="21"/>
  <c r="P60" i="21"/>
  <c r="P59" i="22"/>
  <c r="P58" i="22"/>
  <c r="P46" i="22"/>
  <c r="P42" i="22"/>
  <c r="P69" i="22"/>
  <c r="P53" i="22"/>
  <c r="P45" i="22"/>
  <c r="P44" i="22"/>
  <c r="P67" i="22"/>
  <c r="P66" i="22"/>
  <c r="P50" i="22"/>
  <c r="P61" i="22"/>
  <c r="M69" i="22"/>
  <c r="L49" i="21"/>
  <c r="J65" i="21"/>
  <c r="L67" i="21"/>
  <c r="M58" i="21"/>
  <c r="G64" i="21"/>
  <c r="L54" i="21"/>
  <c r="M65" i="21"/>
  <c r="M43" i="21"/>
  <c r="J61" i="21"/>
  <c r="M53" i="21"/>
  <c r="G55" i="21"/>
  <c r="F51" i="21"/>
  <c r="J46" i="21"/>
  <c r="O57" i="21"/>
  <c r="N63" i="21"/>
  <c r="F45" i="21"/>
  <c r="E51" i="21"/>
  <c r="G52" i="21"/>
  <c r="E57" i="21"/>
  <c r="L57" i="21"/>
  <c r="O44" i="21"/>
  <c r="F43" i="21"/>
  <c r="I54" i="21"/>
  <c r="G54" i="21"/>
  <c r="J57" i="21"/>
  <c r="M54" i="21"/>
  <c r="H61" i="21"/>
  <c r="H44" i="21"/>
  <c r="I43" i="21"/>
  <c r="E55" i="21"/>
  <c r="M44" i="21"/>
  <c r="M66" i="21"/>
  <c r="F53" i="21"/>
  <c r="O52" i="22"/>
  <c r="J45" i="21"/>
  <c r="H49" i="21"/>
  <c r="G57" i="21"/>
  <c r="O59" i="21"/>
  <c r="O50" i="21"/>
  <c r="O66" i="21"/>
  <c r="O65" i="22"/>
  <c r="O63" i="22"/>
  <c r="O61" i="22"/>
  <c r="E68" i="21"/>
  <c r="L66" i="21"/>
  <c r="O68" i="22"/>
  <c r="O59" i="22"/>
  <c r="K47" i="21"/>
  <c r="F55" i="21"/>
  <c r="K53" i="21"/>
  <c r="G66" i="21"/>
  <c r="F44" i="21"/>
  <c r="G59" i="21"/>
  <c r="M42" i="21"/>
  <c r="J43" i="21"/>
  <c r="O42" i="21"/>
  <c r="O62" i="22"/>
  <c r="L56" i="21"/>
  <c r="K56" i="21"/>
  <c r="M60" i="21"/>
  <c r="H52" i="21"/>
  <c r="I44" i="21"/>
  <c r="O48" i="22"/>
  <c r="I48" i="21"/>
  <c r="K49" i="21"/>
  <c r="I68" i="21"/>
  <c r="I66" i="21"/>
  <c r="F48" i="21"/>
  <c r="O60" i="22"/>
  <c r="O60" i="21"/>
  <c r="O62" i="21"/>
  <c r="O51" i="22"/>
  <c r="O49" i="22"/>
  <c r="O64" i="22"/>
  <c r="O63" i="21"/>
  <c r="O45" i="22"/>
  <c r="O66" i="22"/>
  <c r="O49" i="21"/>
  <c r="O51" i="21"/>
  <c r="O58" i="22"/>
  <c r="M62" i="21"/>
  <c r="K45" i="21"/>
  <c r="E59" i="21"/>
  <c r="O43" i="21"/>
  <c r="O64" i="21"/>
  <c r="O69" i="22"/>
  <c r="O50" i="22"/>
  <c r="O56" i="21"/>
  <c r="O53" i="22"/>
  <c r="O67" i="22"/>
  <c r="O54" i="21"/>
  <c r="O55" i="21"/>
  <c r="H54" i="21"/>
  <c r="O68" i="21"/>
  <c r="J50" i="21"/>
  <c r="G63" i="21"/>
  <c r="K57" i="21"/>
  <c r="O52" i="21"/>
  <c r="O53" i="21"/>
  <c r="O43" i="22"/>
  <c r="O65" i="21"/>
  <c r="O56" i="22"/>
  <c r="O54" i="22"/>
  <c r="O61" i="21"/>
  <c r="O48" i="21"/>
  <c r="O47" i="21"/>
  <c r="H48" i="22"/>
  <c r="O46" i="22"/>
  <c r="O46" i="21"/>
  <c r="H57" i="21"/>
  <c r="F59" i="21"/>
  <c r="L53" i="21"/>
  <c r="O58" i="21"/>
  <c r="O55" i="22"/>
  <c r="O45" i="21"/>
  <c r="O42" i="22"/>
  <c r="O47" i="22"/>
  <c r="O69" i="21"/>
  <c r="F68" i="21"/>
  <c r="G47" i="21"/>
  <c r="E63" i="21"/>
  <c r="K60" i="21"/>
  <c r="K69" i="21"/>
  <c r="I59" i="21"/>
  <c r="I56" i="21"/>
  <c r="F61" i="21"/>
  <c r="H46" i="21"/>
  <c r="E50" i="21"/>
  <c r="K46" i="21"/>
  <c r="E56" i="21"/>
  <c r="G42" i="21"/>
  <c r="I67" i="21"/>
  <c r="I55" i="21"/>
  <c r="E46" i="21"/>
  <c r="I64" i="21"/>
  <c r="N55" i="21"/>
  <c r="K63" i="21"/>
  <c r="M61" i="21"/>
  <c r="M69" i="21"/>
  <c r="M68" i="21"/>
  <c r="H55" i="21"/>
  <c r="K58" i="21"/>
  <c r="E64" i="21"/>
  <c r="K44" i="21"/>
  <c r="M52" i="21"/>
  <c r="G48" i="21"/>
  <c r="F46" i="21"/>
  <c r="K42" i="21"/>
  <c r="H66" i="21"/>
  <c r="K54" i="21"/>
  <c r="E45" i="21"/>
  <c r="K48" i="21"/>
  <c r="E44" i="21"/>
  <c r="L63" i="21"/>
  <c r="F49" i="21"/>
  <c r="G56" i="21"/>
  <c r="J54" i="21"/>
  <c r="M64" i="21"/>
  <c r="J67" i="21"/>
  <c r="K55" i="21"/>
  <c r="J63" i="21"/>
  <c r="I69" i="21"/>
  <c r="I51" i="21"/>
  <c r="K65" i="21"/>
  <c r="N47" i="21"/>
  <c r="G61" i="21"/>
  <c r="J52" i="21"/>
  <c r="E52" i="21"/>
  <c r="I47" i="21"/>
  <c r="M55" i="21"/>
  <c r="J56" i="21"/>
  <c r="H51" i="21"/>
  <c r="I58" i="21"/>
  <c r="F60" i="21"/>
  <c r="J51" i="21"/>
  <c r="I42" i="21"/>
  <c r="K50" i="21"/>
  <c r="L69" i="21"/>
  <c r="F47" i="21"/>
  <c r="L65" i="21"/>
  <c r="F42" i="22"/>
  <c r="J65" i="22"/>
  <c r="I67" i="22"/>
  <c r="E42" i="22"/>
  <c r="H63" i="22"/>
  <c r="J64" i="22"/>
  <c r="G66" i="22"/>
  <c r="M63" i="22"/>
  <c r="G46" i="22"/>
  <c r="L52" i="22"/>
  <c r="I57" i="22"/>
  <c r="E65" i="22"/>
  <c r="E50" i="22"/>
  <c r="L45" i="22"/>
  <c r="K51" i="22"/>
  <c r="I46" i="22"/>
  <c r="L58" i="22"/>
  <c r="H57" i="22"/>
  <c r="J60" i="22"/>
  <c r="F62" i="22"/>
  <c r="K54" i="22"/>
  <c r="K59" i="22"/>
  <c r="F50" i="22"/>
  <c r="I54" i="22"/>
  <c r="G44" i="22"/>
  <c r="N55" i="22"/>
  <c r="J43" i="22"/>
  <c r="G68" i="22"/>
  <c r="I52" i="22"/>
  <c r="M58" i="22"/>
  <c r="J54" i="22"/>
  <c r="F66" i="22"/>
  <c r="L51" i="22"/>
  <c r="N42" i="22"/>
  <c r="J42" i="22"/>
  <c r="H60" i="22"/>
  <c r="M53" i="22"/>
  <c r="M66" i="22"/>
  <c r="E69" i="22"/>
  <c r="I65" i="22"/>
  <c r="F61" i="22"/>
  <c r="I47" i="22"/>
  <c r="H66" i="22"/>
  <c r="G42" i="22"/>
  <c r="E45" i="22"/>
  <c r="M45" i="22"/>
  <c r="E56" i="22"/>
  <c r="E53" i="22"/>
  <c r="K64" i="22"/>
  <c r="M56" i="22"/>
  <c r="L64" i="22"/>
  <c r="K46" i="22"/>
  <c r="M44" i="22"/>
  <c r="G47" i="22"/>
  <c r="E58" i="22"/>
  <c r="H58" i="22"/>
  <c r="G59" i="22"/>
  <c r="G51" i="22"/>
  <c r="G62" i="22"/>
  <c r="G48" i="22"/>
  <c r="M43" i="22"/>
  <c r="I51" i="22"/>
  <c r="E51" i="22"/>
  <c r="N50" i="22"/>
  <c r="K43" i="22"/>
  <c r="F49" i="22"/>
  <c r="H51" i="22"/>
  <c r="M50" i="22"/>
  <c r="K69" i="22"/>
  <c r="M68" i="22"/>
  <c r="N67" i="22"/>
  <c r="G53" i="22"/>
  <c r="I69" i="22"/>
  <c r="E52" i="22"/>
  <c r="I60" i="22"/>
  <c r="H55" i="22"/>
  <c r="H69" i="22"/>
  <c r="H56" i="22"/>
  <c r="K57" i="22"/>
  <c r="G69" i="22"/>
  <c r="L57" i="22"/>
  <c r="K63" i="22"/>
  <c r="K47" i="22"/>
  <c r="L60" i="22"/>
  <c r="F54" i="22"/>
  <c r="N66" i="22"/>
  <c r="L68" i="22"/>
  <c r="E46" i="22"/>
  <c r="I55" i="22"/>
  <c r="G63" i="22"/>
  <c r="F55" i="22"/>
  <c r="N51" i="22"/>
  <c r="M61" i="22"/>
  <c r="G58" i="22"/>
  <c r="L49" i="22"/>
  <c r="H61" i="22"/>
  <c r="K62" i="22"/>
  <c r="G55" i="22"/>
  <c r="F64" i="22"/>
  <c r="H65" i="22"/>
  <c r="F47" i="22"/>
  <c r="G67" i="22"/>
  <c r="H52" i="22"/>
  <c r="L67" i="22"/>
  <c r="L56" i="22"/>
  <c r="K49" i="22"/>
  <c r="E55" i="22"/>
  <c r="N58" i="22"/>
  <c r="F65" i="22"/>
  <c r="H59" i="22"/>
  <c r="J49" i="22"/>
  <c r="L59" i="22"/>
  <c r="F58" i="22"/>
  <c r="H64" i="22"/>
  <c r="F43" i="22"/>
  <c r="I53" i="22"/>
  <c r="K42" i="22"/>
  <c r="L48" i="22"/>
  <c r="L50" i="22"/>
  <c r="L43" i="22"/>
  <c r="J47" i="22"/>
  <c r="J68" i="22"/>
  <c r="I66" i="22"/>
  <c r="K65" i="22"/>
  <c r="J50" i="22"/>
  <c r="E66" i="22"/>
  <c r="E63" i="22"/>
  <c r="K50" i="22"/>
  <c r="G57" i="22"/>
  <c r="I49" i="22"/>
  <c r="L47" i="22"/>
  <c r="E67" i="22"/>
  <c r="F56" i="22"/>
  <c r="G50" i="22"/>
  <c r="H62" i="22"/>
  <c r="M65" i="22"/>
  <c r="G54" i="22"/>
  <c r="G45" i="22"/>
  <c r="M63" i="21"/>
  <c r="E68" i="22"/>
  <c r="I58" i="22"/>
  <c r="M46" i="22"/>
  <c r="M67" i="22"/>
  <c r="I60" i="21"/>
  <c r="G43" i="21"/>
  <c r="K45" i="22"/>
  <c r="E53" i="21"/>
  <c r="L54" i="22"/>
  <c r="K60" i="22"/>
  <c r="F67" i="21"/>
  <c r="G67" i="21"/>
  <c r="K48" i="22"/>
  <c r="J69" i="22"/>
  <c r="L42" i="22"/>
  <c r="J44" i="22"/>
  <c r="K67" i="21"/>
  <c r="H54" i="22"/>
  <c r="J53" i="22"/>
  <c r="H43" i="22"/>
  <c r="G64" i="22"/>
  <c r="F62" i="21"/>
  <c r="F65" i="21"/>
  <c r="G50" i="21"/>
  <c r="E44" i="22"/>
  <c r="L48" i="21"/>
  <c r="M59" i="22"/>
  <c r="L51" i="21"/>
  <c r="J42" i="21"/>
  <c r="J47" i="21"/>
  <c r="G58" i="21"/>
  <c r="E60" i="21"/>
  <c r="I45" i="22"/>
  <c r="H47" i="21"/>
  <c r="J45" i="22"/>
  <c r="K61" i="21"/>
  <c r="M51" i="22"/>
  <c r="M62" i="22"/>
  <c r="H44" i="22"/>
  <c r="J46" i="22"/>
  <c r="J48" i="22"/>
  <c r="H62" i="21"/>
  <c r="J49" i="21"/>
  <c r="F63" i="21"/>
  <c r="E62" i="22"/>
  <c r="J53" i="21"/>
  <c r="I42" i="22"/>
  <c r="K58" i="22"/>
  <c r="K44" i="22"/>
  <c r="N51" i="21"/>
  <c r="M55" i="22"/>
  <c r="L55" i="22"/>
  <c r="H67" i="21"/>
  <c r="N49" i="21"/>
  <c r="F64" i="21"/>
  <c r="F68" i="22"/>
  <c r="M42" i="22"/>
  <c r="N65" i="22"/>
  <c r="M47" i="21"/>
  <c r="F51" i="22"/>
  <c r="E59" i="22"/>
  <c r="I50" i="22"/>
  <c r="H50" i="22"/>
  <c r="N43" i="21"/>
  <c r="H42" i="22"/>
  <c r="H46" i="22"/>
  <c r="K68" i="22"/>
  <c r="F67" i="22"/>
  <c r="L44" i="22"/>
  <c r="N46" i="22"/>
  <c r="E43" i="21"/>
  <c r="E47" i="21"/>
  <c r="G51" i="21"/>
  <c r="N44" i="21"/>
  <c r="L63" i="22"/>
  <c r="J55" i="21"/>
  <c r="F59" i="22"/>
  <c r="M54" i="22"/>
  <c r="L61" i="21"/>
  <c r="L46" i="22"/>
  <c r="K55" i="22"/>
  <c r="N54" i="22"/>
  <c r="F46" i="22"/>
  <c r="E54" i="22"/>
  <c r="M67" i="21"/>
  <c r="N67" i="21"/>
  <c r="G65" i="21"/>
  <c r="M51" i="21"/>
  <c r="H43" i="21"/>
  <c r="E62" i="21"/>
  <c r="J60" i="21"/>
  <c r="K53" i="22"/>
  <c r="K52" i="21"/>
  <c r="E67" i="21"/>
  <c r="I61" i="21"/>
  <c r="N64" i="22"/>
  <c r="H68" i="22"/>
  <c r="N63" i="22"/>
  <c r="F60" i="22"/>
  <c r="N53" i="22"/>
  <c r="N48" i="22"/>
  <c r="N56" i="22"/>
  <c r="I61" i="22"/>
  <c r="J62" i="22"/>
  <c r="E49" i="22"/>
  <c r="G60" i="22"/>
  <c r="J52" i="22"/>
  <c r="E48" i="22"/>
  <c r="E43" i="22"/>
  <c r="I62" i="22"/>
  <c r="L69" i="22"/>
  <c r="H47" i="22"/>
  <c r="M49" i="22"/>
  <c r="E64" i="22"/>
  <c r="G43" i="22"/>
  <c r="N45" i="22"/>
  <c r="G49" i="22"/>
  <c r="G56" i="22"/>
  <c r="N47" i="22"/>
  <c r="K61" i="22"/>
  <c r="L61" i="22"/>
  <c r="L53" i="22"/>
  <c r="J67" i="22"/>
  <c r="E60" i="22"/>
  <c r="I48" i="22"/>
  <c r="L62" i="22"/>
  <c r="J55" i="22"/>
  <c r="E57" i="22"/>
  <c r="F48" i="22"/>
  <c r="M48" i="22"/>
  <c r="F53" i="22"/>
  <c r="N69" i="22"/>
  <c r="E47" i="22"/>
  <c r="N59" i="22"/>
  <c r="F44" i="22"/>
  <c r="M60" i="22"/>
  <c r="K67" i="22"/>
  <c r="I68" i="22"/>
  <c r="J61" i="22"/>
  <c r="L66" i="22"/>
  <c r="K66" i="22"/>
  <c r="J63" i="22"/>
  <c r="N60" i="22"/>
  <c r="F69" i="22"/>
  <c r="J66" i="22"/>
  <c r="J59" i="22"/>
  <c r="H67" i="22"/>
  <c r="I44" i="22"/>
  <c r="H53" i="22"/>
  <c r="I64" i="22"/>
  <c r="M57" i="22"/>
  <c r="M47" i="22"/>
  <c r="I56" i="22"/>
  <c r="M52" i="22"/>
  <c r="J58" i="22"/>
  <c r="F57" i="22"/>
  <c r="I43" i="22"/>
  <c r="G65" i="22"/>
  <c r="N61" i="22"/>
  <c r="J57" i="22"/>
  <c r="H49" i="22"/>
  <c r="N49" i="22"/>
  <c r="N52" i="22"/>
  <c r="N44" i="22"/>
  <c r="N57" i="22"/>
  <c r="N62" i="22"/>
  <c r="N43" i="22"/>
  <c r="I63" i="22"/>
  <c r="F52" i="22"/>
  <c r="L65" i="22"/>
  <c r="N68" i="22"/>
  <c r="I59" i="22"/>
  <c r="J56" i="22"/>
  <c r="K52" i="22"/>
  <c r="F63" i="22"/>
  <c r="G52" i="22"/>
  <c r="M64" i="22"/>
  <c r="F45" i="22"/>
  <c r="G61" i="22"/>
  <c r="E61" i="22"/>
  <c r="J51" i="22"/>
  <c r="H45" i="22"/>
  <c r="K56" i="22"/>
  <c r="G60" i="21"/>
  <c r="H60" i="21"/>
  <c r="K51" i="21"/>
  <c r="N52" i="21"/>
  <c r="J62" i="21"/>
  <c r="K68" i="21"/>
  <c r="J64" i="21"/>
  <c r="E58" i="21"/>
  <c r="K43" i="21"/>
  <c r="M57" i="21"/>
  <c r="N53" i="21"/>
  <c r="L60" i="21"/>
  <c r="N68" i="21"/>
  <c r="N66" i="21"/>
  <c r="H53" i="21"/>
  <c r="H45" i="21"/>
  <c r="F57" i="21"/>
  <c r="E54" i="21"/>
  <c r="F50" i="21"/>
  <c r="F42" i="21"/>
  <c r="L44" i="21"/>
  <c r="J69" i="21"/>
  <c r="I53" i="21"/>
  <c r="L62" i="21"/>
  <c r="L58" i="21"/>
  <c r="L68" i="21"/>
  <c r="L64" i="21"/>
  <c r="H58" i="21"/>
  <c r="J58" i="21"/>
  <c r="J59" i="21"/>
  <c r="N58" i="21"/>
  <c r="I62" i="21"/>
  <c r="L55" i="21"/>
  <c r="L59" i="21"/>
  <c r="E66" i="21"/>
  <c r="F66" i="21"/>
  <c r="G44" i="21"/>
  <c r="G53" i="21"/>
  <c r="F56" i="21"/>
  <c r="N57" i="21"/>
  <c r="M49" i="21"/>
  <c r="L52" i="21"/>
  <c r="L43" i="21"/>
  <c r="I46" i="21"/>
  <c r="N62" i="21"/>
  <c r="I65" i="21"/>
  <c r="H64" i="21"/>
  <c r="M59" i="21"/>
  <c r="L50" i="21"/>
  <c r="J68" i="21"/>
  <c r="M46" i="21"/>
  <c r="M50" i="21"/>
  <c r="F69" i="21"/>
  <c r="N65" i="21"/>
  <c r="J66" i="21"/>
  <c r="N48" i="21"/>
  <c r="G45" i="21"/>
  <c r="N54" i="21"/>
  <c r="N42" i="21"/>
  <c r="N61" i="21"/>
  <c r="L42" i="21"/>
  <c r="H59" i="21"/>
  <c r="G69" i="21"/>
  <c r="I57" i="21"/>
  <c r="J48" i="21"/>
  <c r="G62" i="21"/>
  <c r="M45" i="21"/>
  <c r="G68" i="21"/>
  <c r="N50" i="21"/>
  <c r="F58" i="21"/>
  <c r="F54" i="21"/>
  <c r="N45" i="21"/>
  <c r="N46" i="21"/>
  <c r="H56" i="21"/>
  <c r="N69" i="21"/>
  <c r="K59" i="21"/>
  <c r="E69" i="21"/>
  <c r="N64" i="21"/>
  <c r="N60" i="21"/>
  <c r="K62" i="21"/>
  <c r="K64" i="21"/>
  <c r="E65" i="21"/>
  <c r="H50" i="21"/>
  <c r="H42" i="21"/>
  <c r="L47" i="21"/>
  <c r="F52" i="21"/>
  <c r="G49" i="21"/>
  <c r="N56" i="21"/>
  <c r="E48" i="21"/>
  <c r="H63" i="21"/>
  <c r="M48" i="21"/>
  <c r="E42" i="21"/>
  <c r="G46" i="21"/>
  <c r="M56" i="21"/>
  <c r="K66" i="21"/>
  <c r="H69" i="21"/>
  <c r="H68" i="21"/>
  <c r="I45" i="21"/>
  <c r="I49" i="21"/>
  <c r="H48" i="21"/>
  <c r="AC26" i="14" l="1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D48" i="4"/>
  <c r="AL26" i="22"/>
  <c r="AL26" i="21"/>
  <c r="AD63" i="21"/>
  <c r="AD44" i="21"/>
  <c r="AD54" i="21"/>
  <c r="AD56" i="21"/>
  <c r="AD53" i="21"/>
  <c r="AD65" i="21"/>
  <c r="AD67" i="21"/>
  <c r="AD47" i="21"/>
  <c r="AD51" i="21"/>
  <c r="AD46" i="21"/>
  <c r="AD61" i="21"/>
  <c r="AD55" i="21"/>
  <c r="AD52" i="21"/>
  <c r="AD49" i="21"/>
  <c r="AD60" i="21"/>
  <c r="AD50" i="21"/>
  <c r="AD43" i="21"/>
  <c r="AD62" i="21"/>
  <c r="AD69" i="21"/>
  <c r="AD45" i="21"/>
  <c r="AD57" i="21"/>
  <c r="AD59" i="21"/>
  <c r="AD68" i="21"/>
  <c r="AD48" i="21"/>
  <c r="AD66" i="21"/>
  <c r="AD58" i="21"/>
  <c r="AD64" i="21"/>
  <c r="N41" i="4" l="1"/>
  <c r="J12" i="12" l="1"/>
  <c r="F20" i="12"/>
  <c r="I24" i="12"/>
  <c r="J28" i="12"/>
  <c r="M32" i="12"/>
  <c r="G8" i="12"/>
  <c r="H8" i="12"/>
  <c r="M8" i="12"/>
  <c r="N17" i="12"/>
  <c r="G17" i="12"/>
  <c r="J21" i="12"/>
  <c r="D21" i="12"/>
  <c r="F25" i="12"/>
  <c r="M25" i="12"/>
  <c r="G29" i="12"/>
  <c r="I29" i="12"/>
  <c r="M29" i="12"/>
  <c r="N33" i="12"/>
  <c r="I33" i="12"/>
  <c r="J9" i="12"/>
  <c r="N9" i="12"/>
  <c r="I9" i="12"/>
  <c r="F14" i="12"/>
  <c r="M14" i="12"/>
  <c r="L22" i="12"/>
  <c r="D22" i="12"/>
  <c r="N26" i="12"/>
  <c r="E26" i="12"/>
  <c r="H26" i="12"/>
  <c r="M30" i="12"/>
  <c r="F34" i="12"/>
  <c r="M34" i="12"/>
  <c r="H34" i="12"/>
  <c r="G13" i="12"/>
  <c r="L13" i="12"/>
  <c r="N10" i="12"/>
  <c r="E10" i="12"/>
  <c r="I10" i="12"/>
  <c r="J18" i="12"/>
  <c r="M18" i="12"/>
  <c r="H18" i="12"/>
  <c r="F7" i="12"/>
  <c r="J7" i="12"/>
  <c r="L7" i="12"/>
  <c r="P7" i="12"/>
  <c r="G11" i="12"/>
  <c r="D11" i="12"/>
  <c r="H11" i="12"/>
  <c r="I11" i="12"/>
  <c r="M11" i="12"/>
  <c r="N15" i="12"/>
  <c r="G15" i="12"/>
  <c r="D15" i="12"/>
  <c r="E15" i="12"/>
  <c r="I15" i="12"/>
  <c r="J19" i="12"/>
  <c r="G19" i="12"/>
  <c r="I19" i="12"/>
  <c r="M19" i="12"/>
  <c r="L19" i="12"/>
  <c r="F23" i="12"/>
  <c r="I23" i="12"/>
  <c r="M23" i="12"/>
  <c r="H23" i="12"/>
  <c r="F27" i="12"/>
  <c r="N27" i="12"/>
  <c r="G27" i="12"/>
  <c r="I27" i="12"/>
  <c r="M27" i="12"/>
  <c r="D27" i="12"/>
  <c r="H27" i="12"/>
  <c r="N31" i="12"/>
  <c r="G31" i="12"/>
  <c r="E31" i="12"/>
  <c r="I31" i="12"/>
  <c r="D31" i="12"/>
  <c r="H31" i="12"/>
  <c r="F8" i="12"/>
  <c r="N12" i="12"/>
  <c r="I12" i="12"/>
  <c r="D16" i="12"/>
  <c r="N16" i="12"/>
  <c r="H16" i="12"/>
  <c r="E16" i="12"/>
  <c r="I20" i="12"/>
  <c r="G24" i="12"/>
  <c r="F24" i="12"/>
  <c r="E24" i="12"/>
  <c r="H28" i="12"/>
  <c r="D28" i="12"/>
  <c r="H32" i="12"/>
  <c r="J13" i="12"/>
  <c r="I13" i="12"/>
  <c r="D17" i="12"/>
  <c r="E17" i="12"/>
  <c r="N21" i="12"/>
  <c r="H21" i="12"/>
  <c r="I25" i="12"/>
  <c r="F29" i="12"/>
  <c r="J33" i="12"/>
  <c r="M33" i="12"/>
  <c r="H33" i="12"/>
  <c r="H10" i="12"/>
  <c r="D10" i="12"/>
  <c r="L14" i="12"/>
  <c r="E14" i="12"/>
  <c r="G18" i="12"/>
  <c r="N18" i="12"/>
  <c r="I18" i="12"/>
  <c r="N22" i="12"/>
  <c r="M22" i="12"/>
  <c r="H22" i="12"/>
  <c r="F30" i="12"/>
  <c r="I30" i="12"/>
  <c r="J34" i="12"/>
  <c r="I7" i="12"/>
  <c r="N11" i="12"/>
  <c r="N23" i="12"/>
  <c r="J23" i="12"/>
  <c r="L27" i="12"/>
  <c r="E27" i="12"/>
  <c r="L31" i="12"/>
  <c r="G21" i="12"/>
  <c r="E23" i="12"/>
  <c r="L8" i="12"/>
  <c r="L16" i="12"/>
  <c r="L24" i="12"/>
  <c r="L32" i="12"/>
  <c r="H20" i="12"/>
  <c r="J10" i="12"/>
  <c r="J26" i="12"/>
  <c r="H12" i="12"/>
  <c r="F22" i="12"/>
  <c r="E7" i="12"/>
  <c r="N13" i="12"/>
  <c r="J29" i="12"/>
  <c r="E18" i="12"/>
  <c r="J17" i="12"/>
  <c r="G28" i="12"/>
  <c r="F17" i="12"/>
  <c r="N29" i="12"/>
  <c r="D24" i="12"/>
  <c r="N28" i="12"/>
  <c r="N25" i="12"/>
  <c r="F21" i="12"/>
  <c r="F13" i="12"/>
  <c r="F33" i="12"/>
  <c r="L20" i="12"/>
  <c r="M10" i="12"/>
  <c r="N20" i="12"/>
  <c r="G20" i="12"/>
  <c r="D8" i="12"/>
  <c r="G33" i="12"/>
  <c r="M26" i="12"/>
  <c r="H24" i="12"/>
  <c r="E21" i="12"/>
  <c r="F10" i="12"/>
  <c r="N19" i="12"/>
  <c r="D7" i="12"/>
  <c r="I34" i="12"/>
  <c r="L23" i="12"/>
  <c r="D34" i="12"/>
  <c r="J32" i="12"/>
  <c r="E13" i="12"/>
  <c r="G9" i="12"/>
  <c r="N32" i="12"/>
  <c r="N24" i="12"/>
  <c r="N8" i="12"/>
  <c r="I26" i="12"/>
  <c r="N34" i="12"/>
  <c r="D32" i="12"/>
  <c r="E29" i="12"/>
  <c r="J25" i="12"/>
  <c r="G16" i="12"/>
  <c r="L12" i="12"/>
  <c r="F9" i="12"/>
  <c r="N7" i="12"/>
  <c r="F26" i="12"/>
  <c r="D26" i="12"/>
  <c r="E34" i="12"/>
  <c r="G32" i="12"/>
  <c r="L28" i="12"/>
  <c r="G25" i="12"/>
  <c r="F18" i="12"/>
  <c r="L15" i="12"/>
  <c r="G12" i="12"/>
  <c r="N30" i="12"/>
  <c r="N14" i="12"/>
  <c r="D19" i="12"/>
  <c r="E30" i="12"/>
  <c r="E22" i="12"/>
  <c r="H19" i="12"/>
  <c r="D18" i="12"/>
  <c r="L30" i="12"/>
  <c r="F28" i="12"/>
  <c r="J24" i="12"/>
  <c r="I17" i="12"/>
  <c r="J16" i="12"/>
  <c r="F12" i="12"/>
  <c r="J8" i="12"/>
  <c r="D33" i="12"/>
  <c r="D25" i="12"/>
  <c r="D9" i="12"/>
  <c r="G34" i="12"/>
  <c r="I32" i="12"/>
  <c r="J31" i="12"/>
  <c r="L29" i="12"/>
  <c r="E28" i="12"/>
  <c r="G26" i="12"/>
  <c r="H25" i="12"/>
  <c r="L21" i="12"/>
  <c r="E20" i="12"/>
  <c r="F19" i="12"/>
  <c r="H17" i="12"/>
  <c r="I16" i="12"/>
  <c r="J15" i="12"/>
  <c r="M12" i="12"/>
  <c r="E12" i="12"/>
  <c r="F11" i="12"/>
  <c r="G10" i="12"/>
  <c r="H9" i="12"/>
  <c r="I8" i="12"/>
  <c r="J14" i="12"/>
  <c r="I14" i="12"/>
  <c r="D30" i="12"/>
  <c r="D14" i="12"/>
  <c r="L34" i="12"/>
  <c r="E33" i="12"/>
  <c r="F32" i="12"/>
  <c r="H30" i="12"/>
  <c r="L26" i="12"/>
  <c r="E25" i="12"/>
  <c r="G23" i="12"/>
  <c r="I21" i="12"/>
  <c r="J20" i="12"/>
  <c r="L18" i="12"/>
  <c r="F16" i="12"/>
  <c r="H14" i="12"/>
  <c r="L10" i="12"/>
  <c r="M9" i="12"/>
  <c r="E9" i="12"/>
  <c r="G7" i="12"/>
  <c r="J22" i="12"/>
  <c r="E19" i="12"/>
  <c r="E11" i="12"/>
  <c r="D23" i="12"/>
  <c r="I22" i="12"/>
  <c r="H15" i="12"/>
  <c r="D29" i="12"/>
  <c r="D13" i="12"/>
  <c r="L33" i="12"/>
  <c r="E32" i="12"/>
  <c r="F31" i="12"/>
  <c r="G30" i="12"/>
  <c r="H29" i="12"/>
  <c r="I28" i="12"/>
  <c r="J27" i="12"/>
  <c r="L25" i="12"/>
  <c r="M24" i="12"/>
  <c r="G22" i="12"/>
  <c r="L17" i="12"/>
  <c r="M16" i="12"/>
  <c r="F15" i="12"/>
  <c r="G14" i="12"/>
  <c r="H13" i="12"/>
  <c r="J11" i="12"/>
  <c r="L9" i="12"/>
  <c r="E8" i="12"/>
  <c r="J30" i="12"/>
  <c r="L11" i="12"/>
  <c r="H7" i="12"/>
  <c r="D20" i="12"/>
  <c r="D12" i="12"/>
  <c r="M31" i="12"/>
  <c r="M15" i="12"/>
  <c r="M7" i="12"/>
  <c r="C22" i="26" l="1"/>
  <c r="D36" i="12"/>
  <c r="D35" i="12"/>
  <c r="G35" i="12"/>
  <c r="G36" i="12"/>
  <c r="E35" i="12"/>
  <c r="E36" i="12"/>
  <c r="F35" i="12"/>
  <c r="F36" i="12"/>
  <c r="I36" i="12"/>
  <c r="I35" i="12"/>
  <c r="L36" i="12"/>
  <c r="L35" i="12"/>
  <c r="H35" i="12"/>
  <c r="H36" i="12"/>
  <c r="J35" i="12"/>
  <c r="J36" i="12"/>
  <c r="N35" i="12"/>
  <c r="N36" i="12"/>
  <c r="N50" i="12"/>
  <c r="N58" i="12"/>
  <c r="P27" i="12"/>
  <c r="P62" i="4"/>
  <c r="P30" i="12"/>
  <c r="P65" i="4"/>
  <c r="P20" i="12"/>
  <c r="P20" i="13" s="1"/>
  <c r="P55" i="4"/>
  <c r="P23" i="12"/>
  <c r="P23" i="13" s="1"/>
  <c r="P58" i="4"/>
  <c r="P10" i="12"/>
  <c r="P45" i="4"/>
  <c r="P32" i="12"/>
  <c r="P67" i="4"/>
  <c r="P16" i="12"/>
  <c r="P51" i="4"/>
  <c r="P31" i="12"/>
  <c r="P66" i="4"/>
  <c r="P15" i="12"/>
  <c r="P50" i="4"/>
  <c r="P34" i="12"/>
  <c r="P69" i="4"/>
  <c r="P18" i="12"/>
  <c r="P53" i="4"/>
  <c r="P64" i="4"/>
  <c r="P29" i="12"/>
  <c r="P13" i="12"/>
  <c r="P24" i="12"/>
  <c r="P59" i="4"/>
  <c r="P8" i="12"/>
  <c r="P43" i="4"/>
  <c r="P11" i="12"/>
  <c r="P46" i="4"/>
  <c r="P14" i="12"/>
  <c r="P14" i="13" s="1"/>
  <c r="P49" i="4"/>
  <c r="P25" i="12"/>
  <c r="P60" i="4"/>
  <c r="P9" i="12"/>
  <c r="P44" i="4"/>
  <c r="P42" i="4"/>
  <c r="P26" i="12"/>
  <c r="P61" i="4"/>
  <c r="P19" i="12"/>
  <c r="P54" i="4"/>
  <c r="P22" i="12"/>
  <c r="P57" i="4"/>
  <c r="P33" i="12"/>
  <c r="P68" i="4"/>
  <c r="P56" i="4"/>
  <c r="P21" i="12"/>
  <c r="P17" i="12"/>
  <c r="P52" i="4"/>
  <c r="P28" i="12"/>
  <c r="P63" i="4"/>
  <c r="P12" i="12"/>
  <c r="P47" i="4"/>
  <c r="N42" i="12"/>
  <c r="N60" i="12"/>
  <c r="K18" i="12"/>
  <c r="K19" i="12"/>
  <c r="K7" i="12"/>
  <c r="K8" i="12"/>
  <c r="K28" i="12"/>
  <c r="K10" i="12"/>
  <c r="K20" i="12"/>
  <c r="K27" i="12"/>
  <c r="K25" i="12"/>
  <c r="K34" i="12"/>
  <c r="K21" i="12"/>
  <c r="K16" i="12"/>
  <c r="K13" i="12"/>
  <c r="K29" i="12"/>
  <c r="K17" i="12"/>
  <c r="K12" i="12"/>
  <c r="K14" i="12"/>
  <c r="K31" i="12"/>
  <c r="K32" i="12"/>
  <c r="K9" i="12"/>
  <c r="K22" i="12"/>
  <c r="K23" i="12"/>
  <c r="K24" i="12"/>
  <c r="K26" i="12"/>
  <c r="K11" i="12"/>
  <c r="K30" i="12"/>
  <c r="K15" i="12"/>
  <c r="K33" i="12"/>
  <c r="O42" i="4"/>
  <c r="O7" i="12"/>
  <c r="O58" i="4"/>
  <c r="O23" i="12"/>
  <c r="O51" i="4"/>
  <c r="O16" i="12"/>
  <c r="O46" i="4"/>
  <c r="O11" i="12"/>
  <c r="O47" i="4"/>
  <c r="O12" i="12"/>
  <c r="O44" i="4"/>
  <c r="O9" i="12"/>
  <c r="O55" i="4"/>
  <c r="O20" i="12"/>
  <c r="O64" i="4"/>
  <c r="O29" i="12"/>
  <c r="O8" i="12"/>
  <c r="O43" i="4"/>
  <c r="O56" i="4"/>
  <c r="O21" i="12"/>
  <c r="O65" i="4"/>
  <c r="O30" i="12"/>
  <c r="O22" i="12"/>
  <c r="O57" i="4"/>
  <c r="O14" i="12"/>
  <c r="O49" i="4"/>
  <c r="O26" i="12"/>
  <c r="O61" i="4"/>
  <c r="O24" i="12"/>
  <c r="O59" i="4"/>
  <c r="O52" i="4"/>
  <c r="O17" i="12"/>
  <c r="O53" i="4"/>
  <c r="O18" i="12"/>
  <c r="O34" i="12"/>
  <c r="O69" i="4"/>
  <c r="O50" i="4"/>
  <c r="O15" i="12"/>
  <c r="O33" i="12"/>
  <c r="O68" i="4"/>
  <c r="O32" i="12"/>
  <c r="O67" i="4"/>
  <c r="O66" i="4"/>
  <c r="O31" i="12"/>
  <c r="O63" i="4"/>
  <c r="O28" i="12"/>
  <c r="O62" i="4"/>
  <c r="O27" i="12"/>
  <c r="O60" i="4"/>
  <c r="O25" i="12"/>
  <c r="O54" i="4"/>
  <c r="O19" i="12"/>
  <c r="O10" i="12"/>
  <c r="O45" i="4"/>
  <c r="O13" i="12"/>
  <c r="N61" i="12"/>
  <c r="N54" i="12"/>
  <c r="M13" i="12"/>
  <c r="N48" i="12" s="1"/>
  <c r="N55" i="4"/>
  <c r="M20" i="12"/>
  <c r="N55" i="12" s="1"/>
  <c r="N53" i="12"/>
  <c r="N64" i="12"/>
  <c r="N69" i="12"/>
  <c r="N44" i="12"/>
  <c r="N63" i="4"/>
  <c r="M28" i="12"/>
  <c r="N63" i="12" s="1"/>
  <c r="N49" i="12"/>
  <c r="N56" i="4"/>
  <c r="M21" i="12"/>
  <c r="N56" i="12" s="1"/>
  <c r="N43" i="12"/>
  <c r="N47" i="12"/>
  <c r="N57" i="12"/>
  <c r="N45" i="12"/>
  <c r="N51" i="12"/>
  <c r="N68" i="12"/>
  <c r="N66" i="12"/>
  <c r="N67" i="12"/>
  <c r="N62" i="12"/>
  <c r="N52" i="4"/>
  <c r="M17" i="12"/>
  <c r="N52" i="12" s="1"/>
  <c r="N65" i="12"/>
  <c r="N59" i="12"/>
  <c r="N46" i="12"/>
  <c r="N59" i="4"/>
  <c r="N68" i="4"/>
  <c r="N66" i="4"/>
  <c r="N69" i="4"/>
  <c r="N67" i="4"/>
  <c r="N58" i="4"/>
  <c r="N45" i="4"/>
  <c r="N60" i="4"/>
  <c r="N65" i="4"/>
  <c r="N53" i="4"/>
  <c r="N46" i="4"/>
  <c r="N47" i="4"/>
  <c r="N44" i="4"/>
  <c r="N49" i="4"/>
  <c r="N42" i="4"/>
  <c r="N43" i="4"/>
  <c r="N57" i="4"/>
  <c r="N50" i="4"/>
  <c r="N51" i="4"/>
  <c r="N61" i="4"/>
  <c r="N64" i="4"/>
  <c r="N62" i="4"/>
  <c r="N54" i="4"/>
  <c r="F70" i="12" l="1"/>
  <c r="J71" i="12"/>
  <c r="E71" i="12"/>
  <c r="F71" i="12"/>
  <c r="J70" i="12"/>
  <c r="H70" i="12"/>
  <c r="E70" i="12"/>
  <c r="H71" i="12"/>
  <c r="G71" i="12"/>
  <c r="G70" i="12"/>
  <c r="I70" i="12"/>
  <c r="I71" i="12"/>
  <c r="P58" i="12"/>
  <c r="P35" i="12"/>
  <c r="O35" i="12"/>
  <c r="O70" i="12" s="1"/>
  <c r="O36" i="12"/>
  <c r="O71" i="12" s="1"/>
  <c r="P36" i="12"/>
  <c r="M36" i="12"/>
  <c r="M71" i="12" s="1"/>
  <c r="K35" i="12"/>
  <c r="K70" i="12" s="1"/>
  <c r="K36" i="12"/>
  <c r="K71" i="12" s="1"/>
  <c r="M35" i="12"/>
  <c r="M70" i="12" s="1"/>
  <c r="P12" i="13"/>
  <c r="P47" i="12"/>
  <c r="P17" i="13"/>
  <c r="P52" i="12"/>
  <c r="P33" i="13"/>
  <c r="P68" i="12"/>
  <c r="P19" i="13"/>
  <c r="P54" i="12"/>
  <c r="P25" i="13"/>
  <c r="P60" i="12"/>
  <c r="P11" i="13"/>
  <c r="P46" i="12"/>
  <c r="P24" i="13"/>
  <c r="P59" i="12"/>
  <c r="P34" i="13"/>
  <c r="P69" i="12"/>
  <c r="P31" i="13"/>
  <c r="P66" i="12"/>
  <c r="P32" i="13"/>
  <c r="P67" i="12"/>
  <c r="P30" i="13"/>
  <c r="P65" i="12"/>
  <c r="P21" i="13"/>
  <c r="P56" i="12"/>
  <c r="P13" i="13"/>
  <c r="P48" i="12"/>
  <c r="P26" i="13"/>
  <c r="P61" i="12"/>
  <c r="P8" i="13"/>
  <c r="P43" i="12"/>
  <c r="P18" i="13"/>
  <c r="P53" i="12"/>
  <c r="P15" i="13"/>
  <c r="P50" i="12"/>
  <c r="P16" i="13"/>
  <c r="P51" i="12"/>
  <c r="P10" i="13"/>
  <c r="P45" i="12"/>
  <c r="P55" i="12"/>
  <c r="P27" i="13"/>
  <c r="P62" i="12"/>
  <c r="P28" i="13"/>
  <c r="P63" i="12"/>
  <c r="P22" i="13"/>
  <c r="P57" i="12"/>
  <c r="P9" i="13"/>
  <c r="P44" i="12"/>
  <c r="P29" i="13"/>
  <c r="P64" i="12"/>
  <c r="P7" i="13"/>
  <c r="P42" i="12"/>
  <c r="P49" i="12"/>
  <c r="O65" i="12"/>
  <c r="O48" i="12"/>
  <c r="O68" i="12"/>
  <c r="O44" i="12"/>
  <c r="O50" i="12"/>
  <c r="O58" i="12"/>
  <c r="O45" i="12"/>
  <c r="O52" i="12"/>
  <c r="O47" i="12"/>
  <c r="O59" i="12"/>
  <c r="O56" i="12"/>
  <c r="O63" i="12"/>
  <c r="O54" i="12"/>
  <c r="O66" i="12"/>
  <c r="O49" i="12"/>
  <c r="O43" i="12"/>
  <c r="O42" i="12"/>
  <c r="O67" i="12"/>
  <c r="O55" i="12"/>
  <c r="O62" i="12"/>
  <c r="O69" i="12"/>
  <c r="O64" i="12"/>
  <c r="O46" i="12"/>
  <c r="O51" i="12"/>
  <c r="O61" i="12"/>
  <c r="O60" i="12"/>
  <c r="O53" i="12"/>
  <c r="O57" i="12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B48" i="19"/>
  <c r="C47" i="19"/>
  <c r="B47" i="19"/>
  <c r="C46" i="19"/>
  <c r="B46" i="19"/>
  <c r="C45" i="19"/>
  <c r="B45" i="19"/>
  <c r="C44" i="19"/>
  <c r="B44" i="19"/>
  <c r="C43" i="19"/>
  <c r="B43" i="19"/>
  <c r="C42" i="19"/>
  <c r="B42" i="19"/>
  <c r="AB41" i="19"/>
  <c r="AA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AA40" i="19"/>
  <c r="B41" i="18"/>
  <c r="C41" i="18"/>
  <c r="D41" i="18"/>
  <c r="E41" i="18"/>
  <c r="F41" i="18"/>
  <c r="G41" i="18"/>
  <c r="H41" i="18"/>
  <c r="I41" i="18"/>
  <c r="J41" i="18"/>
  <c r="K41" i="18"/>
  <c r="L41" i="18"/>
  <c r="M41" i="18"/>
  <c r="B42" i="18"/>
  <c r="C42" i="18"/>
  <c r="B43" i="18"/>
  <c r="C43" i="18"/>
  <c r="B44" i="18"/>
  <c r="C44" i="18"/>
  <c r="B45" i="18"/>
  <c r="C45" i="18"/>
  <c r="B46" i="18"/>
  <c r="C46" i="18"/>
  <c r="B47" i="18"/>
  <c r="C47" i="18"/>
  <c r="B48" i="18"/>
  <c r="C48" i="18"/>
  <c r="B49" i="18"/>
  <c r="C49" i="18"/>
  <c r="B50" i="18"/>
  <c r="C50" i="18"/>
  <c r="B52" i="18"/>
  <c r="C52" i="18"/>
  <c r="B53" i="18"/>
  <c r="C53" i="18"/>
  <c r="B54" i="18"/>
  <c r="C54" i="18"/>
  <c r="B55" i="18"/>
  <c r="C55" i="18"/>
  <c r="B56" i="18"/>
  <c r="C56" i="18"/>
  <c r="B57" i="18"/>
  <c r="C57" i="18"/>
  <c r="B58" i="18"/>
  <c r="C58" i="18"/>
  <c r="B59" i="18"/>
  <c r="C59" i="18"/>
  <c r="B60" i="18"/>
  <c r="C60" i="18"/>
  <c r="B61" i="18"/>
  <c r="C61" i="18"/>
  <c r="B62" i="18"/>
  <c r="C62" i="18"/>
  <c r="B63" i="18"/>
  <c r="C63" i="18"/>
  <c r="B64" i="18"/>
  <c r="C64" i="18"/>
  <c r="B65" i="18"/>
  <c r="C65" i="18"/>
  <c r="B66" i="18"/>
  <c r="C66" i="18"/>
  <c r="B67" i="18"/>
  <c r="C67" i="18"/>
  <c r="B68" i="18"/>
  <c r="C68" i="18"/>
  <c r="B69" i="18"/>
  <c r="C69" i="18"/>
  <c r="P71" i="12" l="1"/>
  <c r="N71" i="12"/>
  <c r="N70" i="12"/>
  <c r="L71" i="12"/>
  <c r="P70" i="12"/>
  <c r="L70" i="12"/>
  <c r="P35" i="13"/>
  <c r="P36" i="13"/>
  <c r="AB41" i="16"/>
  <c r="AB40" i="14" l="1"/>
  <c r="AB41" i="10" l="1"/>
  <c r="AC41" i="10" s="1"/>
  <c r="AD41" i="10" s="1"/>
  <c r="AE41" i="10" s="1"/>
  <c r="AA41" i="11" l="1"/>
  <c r="AB41" i="11"/>
  <c r="C69" i="13" l="1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B48" i="13"/>
  <c r="C47" i="13"/>
  <c r="B47" i="13"/>
  <c r="C46" i="13"/>
  <c r="B46" i="13"/>
  <c r="C45" i="13"/>
  <c r="B45" i="13"/>
  <c r="C44" i="13"/>
  <c r="B44" i="13"/>
  <c r="C43" i="13"/>
  <c r="B43" i="13"/>
  <c r="C42" i="13"/>
  <c r="B42" i="13"/>
  <c r="M41" i="13"/>
  <c r="L41" i="13"/>
  <c r="K41" i="13"/>
  <c r="J41" i="13"/>
  <c r="I41" i="13"/>
  <c r="H41" i="13"/>
  <c r="G41" i="13"/>
  <c r="F41" i="13"/>
  <c r="E41" i="13"/>
  <c r="D41" i="13"/>
  <c r="C41" i="13"/>
  <c r="B41" i="13"/>
  <c r="C69" i="16"/>
  <c r="B69" i="16"/>
  <c r="A69" i="16"/>
  <c r="C68" i="16"/>
  <c r="B68" i="16"/>
  <c r="A68" i="16"/>
  <c r="C67" i="16"/>
  <c r="B67" i="16"/>
  <c r="A67" i="16"/>
  <c r="C66" i="16"/>
  <c r="B66" i="16"/>
  <c r="A66" i="16"/>
  <c r="C65" i="16"/>
  <c r="B65" i="16"/>
  <c r="A65" i="16"/>
  <c r="C64" i="16"/>
  <c r="B64" i="16"/>
  <c r="A64" i="16"/>
  <c r="C63" i="16"/>
  <c r="B63" i="16"/>
  <c r="A63" i="16"/>
  <c r="C62" i="16"/>
  <c r="B62" i="16"/>
  <c r="A62" i="16"/>
  <c r="C61" i="16"/>
  <c r="B61" i="16"/>
  <c r="A61" i="16"/>
  <c r="C60" i="16"/>
  <c r="B60" i="16"/>
  <c r="A60" i="16"/>
  <c r="C59" i="16"/>
  <c r="B59" i="16"/>
  <c r="A59" i="16"/>
  <c r="C58" i="16"/>
  <c r="B58" i="16"/>
  <c r="A58" i="16"/>
  <c r="C57" i="16"/>
  <c r="B57" i="16"/>
  <c r="A57" i="16"/>
  <c r="C56" i="16"/>
  <c r="B56" i="16"/>
  <c r="A56" i="16"/>
  <c r="C55" i="16"/>
  <c r="B55" i="16"/>
  <c r="A55" i="16"/>
  <c r="C54" i="16"/>
  <c r="B54" i="16"/>
  <c r="A54" i="16"/>
  <c r="C53" i="16"/>
  <c r="B53" i="16"/>
  <c r="A53" i="16"/>
  <c r="C52" i="16"/>
  <c r="B52" i="16"/>
  <c r="A52" i="16"/>
  <c r="C51" i="16"/>
  <c r="B51" i="16"/>
  <c r="A51" i="16"/>
  <c r="C50" i="16"/>
  <c r="B50" i="16"/>
  <c r="A50" i="16"/>
  <c r="C49" i="16"/>
  <c r="B49" i="16"/>
  <c r="A49" i="16"/>
  <c r="C48" i="16"/>
  <c r="B48" i="16"/>
  <c r="A48" i="16"/>
  <c r="C47" i="16"/>
  <c r="B47" i="16"/>
  <c r="A47" i="16"/>
  <c r="C46" i="16"/>
  <c r="B46" i="16"/>
  <c r="A46" i="16"/>
  <c r="C45" i="16"/>
  <c r="B45" i="16"/>
  <c r="A45" i="16"/>
  <c r="C44" i="16"/>
  <c r="B44" i="16"/>
  <c r="A44" i="16"/>
  <c r="C43" i="16"/>
  <c r="B43" i="16"/>
  <c r="A43" i="16"/>
  <c r="C42" i="16"/>
  <c r="B42" i="16"/>
  <c r="A42" i="16"/>
  <c r="N41" i="16"/>
  <c r="M41" i="16"/>
  <c r="L41" i="16"/>
  <c r="K41" i="16"/>
  <c r="J41" i="16"/>
  <c r="I41" i="16"/>
  <c r="H41" i="16"/>
  <c r="G41" i="16"/>
  <c r="F41" i="16"/>
  <c r="E41" i="16"/>
  <c r="C41" i="16"/>
  <c r="B41" i="16"/>
  <c r="A41" i="16"/>
  <c r="C69" i="15"/>
  <c r="B69" i="15"/>
  <c r="A69" i="15"/>
  <c r="C68" i="15"/>
  <c r="B68" i="15"/>
  <c r="A68" i="15"/>
  <c r="C67" i="15"/>
  <c r="B67" i="15"/>
  <c r="A67" i="15"/>
  <c r="C66" i="15"/>
  <c r="B66" i="15"/>
  <c r="A66" i="15"/>
  <c r="C65" i="15"/>
  <c r="B65" i="15"/>
  <c r="A65" i="15"/>
  <c r="C64" i="15"/>
  <c r="B64" i="15"/>
  <c r="A64" i="15"/>
  <c r="C63" i="15"/>
  <c r="B63" i="15"/>
  <c r="A63" i="15"/>
  <c r="C62" i="15"/>
  <c r="B62" i="15"/>
  <c r="A62" i="15"/>
  <c r="C61" i="15"/>
  <c r="B61" i="15"/>
  <c r="A61" i="15"/>
  <c r="C60" i="15"/>
  <c r="B60" i="15"/>
  <c r="A60" i="15"/>
  <c r="C59" i="15"/>
  <c r="B59" i="15"/>
  <c r="A59" i="15"/>
  <c r="C58" i="15"/>
  <c r="B58" i="15"/>
  <c r="A58" i="15"/>
  <c r="C57" i="15"/>
  <c r="B57" i="15"/>
  <c r="A57" i="15"/>
  <c r="C56" i="15"/>
  <c r="B56" i="15"/>
  <c r="A56" i="15"/>
  <c r="C55" i="15"/>
  <c r="B55" i="15"/>
  <c r="A55" i="15"/>
  <c r="C54" i="15"/>
  <c r="B54" i="15"/>
  <c r="A54" i="15"/>
  <c r="C53" i="15"/>
  <c r="B53" i="15"/>
  <c r="A53" i="15"/>
  <c r="C52" i="15"/>
  <c r="B52" i="15"/>
  <c r="A52" i="15"/>
  <c r="C51" i="15"/>
  <c r="B51" i="15"/>
  <c r="A51" i="15"/>
  <c r="C50" i="15"/>
  <c r="B50" i="15"/>
  <c r="A50" i="15"/>
  <c r="C49" i="15"/>
  <c r="B49" i="15"/>
  <c r="A49" i="15"/>
  <c r="C48" i="15"/>
  <c r="B48" i="15"/>
  <c r="A48" i="15"/>
  <c r="C47" i="15"/>
  <c r="B47" i="15"/>
  <c r="A47" i="15"/>
  <c r="C46" i="15"/>
  <c r="B46" i="15"/>
  <c r="A46" i="15"/>
  <c r="C45" i="15"/>
  <c r="B45" i="15"/>
  <c r="A45" i="15"/>
  <c r="C44" i="15"/>
  <c r="B44" i="15"/>
  <c r="A44" i="15"/>
  <c r="C43" i="15"/>
  <c r="B43" i="15"/>
  <c r="A43" i="15"/>
  <c r="C42" i="15"/>
  <c r="B42" i="15"/>
  <c r="A42" i="15"/>
  <c r="O41" i="15"/>
  <c r="N41" i="15"/>
  <c r="M41" i="15"/>
  <c r="L41" i="15"/>
  <c r="K41" i="15"/>
  <c r="J41" i="15"/>
  <c r="I41" i="15"/>
  <c r="H41" i="15"/>
  <c r="G41" i="15"/>
  <c r="F41" i="15"/>
  <c r="C41" i="15"/>
  <c r="B41" i="15"/>
  <c r="A41" i="15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B48" i="14"/>
  <c r="C47" i="14"/>
  <c r="B47" i="14"/>
  <c r="C46" i="14"/>
  <c r="B46" i="14"/>
  <c r="C45" i="14"/>
  <c r="B45" i="14"/>
  <c r="C44" i="14"/>
  <c r="B44" i="14"/>
  <c r="C43" i="14"/>
  <c r="B43" i="14"/>
  <c r="C42" i="14"/>
  <c r="B42" i="14"/>
  <c r="N41" i="14"/>
  <c r="M41" i="14"/>
  <c r="L41" i="14"/>
  <c r="K41" i="14"/>
  <c r="J41" i="14"/>
  <c r="I41" i="14"/>
  <c r="H41" i="14"/>
  <c r="G41" i="14"/>
  <c r="F41" i="14"/>
  <c r="E41" i="14"/>
  <c r="C41" i="14"/>
  <c r="B41" i="14"/>
  <c r="C69" i="17"/>
  <c r="B69" i="17"/>
  <c r="A69" i="17"/>
  <c r="C68" i="17"/>
  <c r="B68" i="17"/>
  <c r="A68" i="17"/>
  <c r="C67" i="17"/>
  <c r="B67" i="17"/>
  <c r="A67" i="17"/>
  <c r="C66" i="17"/>
  <c r="B66" i="17"/>
  <c r="A66" i="17"/>
  <c r="C65" i="17"/>
  <c r="B65" i="17"/>
  <c r="A65" i="17"/>
  <c r="C64" i="17"/>
  <c r="B64" i="17"/>
  <c r="A64" i="17"/>
  <c r="C63" i="17"/>
  <c r="B63" i="17"/>
  <c r="A63" i="17"/>
  <c r="C62" i="17"/>
  <c r="B62" i="17"/>
  <c r="A62" i="17"/>
  <c r="C61" i="17"/>
  <c r="B61" i="17"/>
  <c r="A61" i="17"/>
  <c r="C60" i="17"/>
  <c r="B60" i="17"/>
  <c r="A60" i="17"/>
  <c r="C59" i="17"/>
  <c r="B59" i="17"/>
  <c r="A59" i="17"/>
  <c r="C58" i="17"/>
  <c r="B58" i="17"/>
  <c r="A58" i="17"/>
  <c r="C57" i="17"/>
  <c r="B57" i="17"/>
  <c r="A57" i="17"/>
  <c r="C56" i="17"/>
  <c r="B56" i="17"/>
  <c r="A56" i="17"/>
  <c r="C55" i="17"/>
  <c r="B55" i="17"/>
  <c r="A55" i="17"/>
  <c r="C54" i="17"/>
  <c r="B54" i="17"/>
  <c r="A54" i="17"/>
  <c r="C53" i="17"/>
  <c r="B53" i="17"/>
  <c r="A53" i="17"/>
  <c r="C52" i="17"/>
  <c r="B52" i="17"/>
  <c r="A52" i="17"/>
  <c r="C51" i="17"/>
  <c r="B51" i="17"/>
  <c r="A51" i="17"/>
  <c r="C50" i="17"/>
  <c r="B50" i="17"/>
  <c r="A50" i="17"/>
  <c r="C49" i="17"/>
  <c r="B49" i="17"/>
  <c r="A49" i="17"/>
  <c r="C48" i="17"/>
  <c r="B48" i="17"/>
  <c r="A48" i="17"/>
  <c r="C47" i="17"/>
  <c r="B47" i="17"/>
  <c r="A47" i="17"/>
  <c r="C46" i="17"/>
  <c r="B46" i="17"/>
  <c r="A46" i="17"/>
  <c r="C45" i="17"/>
  <c r="B45" i="17"/>
  <c r="A45" i="17"/>
  <c r="C44" i="17"/>
  <c r="B44" i="17"/>
  <c r="A44" i="17"/>
  <c r="C43" i="17"/>
  <c r="B43" i="17"/>
  <c r="A43" i="17"/>
  <c r="C42" i="17"/>
  <c r="B42" i="17"/>
  <c r="A42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A41" i="17"/>
  <c r="C69" i="11"/>
  <c r="B69" i="11"/>
  <c r="A69" i="11"/>
  <c r="C68" i="11"/>
  <c r="B68" i="11"/>
  <c r="A68" i="11"/>
  <c r="C67" i="11"/>
  <c r="B67" i="11"/>
  <c r="A67" i="11"/>
  <c r="C66" i="11"/>
  <c r="B66" i="11"/>
  <c r="A66" i="11"/>
  <c r="C65" i="11"/>
  <c r="B65" i="11"/>
  <c r="A65" i="11"/>
  <c r="C64" i="11"/>
  <c r="B64" i="11"/>
  <c r="A64" i="11"/>
  <c r="C63" i="11"/>
  <c r="B63" i="11"/>
  <c r="A63" i="11"/>
  <c r="C62" i="11"/>
  <c r="B62" i="11"/>
  <c r="A62" i="11"/>
  <c r="C61" i="11"/>
  <c r="B61" i="11"/>
  <c r="A61" i="11"/>
  <c r="C60" i="11"/>
  <c r="B60" i="11"/>
  <c r="A60" i="11"/>
  <c r="C59" i="11"/>
  <c r="B59" i="11"/>
  <c r="A59" i="11"/>
  <c r="C58" i="11"/>
  <c r="B58" i="11"/>
  <c r="A58" i="11"/>
  <c r="C57" i="11"/>
  <c r="B57" i="11"/>
  <c r="A57" i="11"/>
  <c r="C56" i="11"/>
  <c r="B56" i="11"/>
  <c r="A56" i="11"/>
  <c r="C55" i="11"/>
  <c r="B55" i="11"/>
  <c r="A55" i="11"/>
  <c r="C54" i="11"/>
  <c r="B54" i="11"/>
  <c r="A54" i="11"/>
  <c r="C53" i="11"/>
  <c r="B53" i="11"/>
  <c r="A53" i="11"/>
  <c r="C52" i="11"/>
  <c r="B52" i="11"/>
  <c r="A52" i="11"/>
  <c r="C51" i="11"/>
  <c r="B51" i="11"/>
  <c r="A51" i="11"/>
  <c r="C50" i="11"/>
  <c r="B50" i="11"/>
  <c r="A50" i="11"/>
  <c r="C49" i="11"/>
  <c r="B49" i="11"/>
  <c r="A49" i="11"/>
  <c r="C48" i="11"/>
  <c r="B48" i="11"/>
  <c r="A48" i="11"/>
  <c r="C47" i="11"/>
  <c r="B47" i="11"/>
  <c r="A47" i="11"/>
  <c r="C46" i="11"/>
  <c r="B46" i="11"/>
  <c r="A46" i="11"/>
  <c r="C45" i="11"/>
  <c r="B45" i="11"/>
  <c r="A45" i="11"/>
  <c r="C44" i="11"/>
  <c r="B44" i="11"/>
  <c r="A44" i="11"/>
  <c r="C43" i="11"/>
  <c r="B43" i="11"/>
  <c r="A43" i="11"/>
  <c r="C42" i="11"/>
  <c r="B42" i="11"/>
  <c r="A42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A41" i="11"/>
  <c r="C69" i="10"/>
  <c r="B69" i="10"/>
  <c r="A69" i="10"/>
  <c r="C68" i="10"/>
  <c r="B68" i="10"/>
  <c r="A68" i="10"/>
  <c r="C67" i="10"/>
  <c r="B67" i="10"/>
  <c r="A67" i="10"/>
  <c r="C66" i="10"/>
  <c r="B66" i="10"/>
  <c r="A66" i="10"/>
  <c r="C65" i="10"/>
  <c r="B65" i="10"/>
  <c r="A65" i="10"/>
  <c r="C64" i="10"/>
  <c r="B64" i="10"/>
  <c r="A64" i="10"/>
  <c r="C63" i="10"/>
  <c r="B63" i="10"/>
  <c r="A63" i="10"/>
  <c r="C62" i="10"/>
  <c r="B62" i="10"/>
  <c r="A62" i="10"/>
  <c r="C61" i="10"/>
  <c r="B61" i="10"/>
  <c r="A61" i="10"/>
  <c r="C60" i="10"/>
  <c r="B60" i="10"/>
  <c r="A60" i="10"/>
  <c r="C59" i="10"/>
  <c r="B59" i="10"/>
  <c r="A59" i="10"/>
  <c r="C58" i="10"/>
  <c r="B58" i="10"/>
  <c r="A58" i="10"/>
  <c r="C57" i="10"/>
  <c r="B57" i="10"/>
  <c r="A57" i="10"/>
  <c r="C56" i="10"/>
  <c r="B56" i="10"/>
  <c r="A56" i="10"/>
  <c r="C55" i="10"/>
  <c r="B55" i="10"/>
  <c r="A55" i="10"/>
  <c r="C54" i="10"/>
  <c r="B54" i="10"/>
  <c r="A54" i="10"/>
  <c r="C53" i="10"/>
  <c r="B53" i="10"/>
  <c r="A53" i="10"/>
  <c r="C52" i="10"/>
  <c r="B52" i="10"/>
  <c r="A52" i="10"/>
  <c r="C51" i="10"/>
  <c r="B51" i="10"/>
  <c r="A51" i="10"/>
  <c r="C50" i="10"/>
  <c r="B50" i="10"/>
  <c r="A50" i="10"/>
  <c r="C49" i="10"/>
  <c r="B49" i="10"/>
  <c r="A49" i="10"/>
  <c r="C48" i="10"/>
  <c r="B48" i="10"/>
  <c r="A48" i="10"/>
  <c r="C47" i="10"/>
  <c r="B47" i="10"/>
  <c r="A47" i="10"/>
  <c r="C46" i="10"/>
  <c r="B46" i="10"/>
  <c r="A46" i="10"/>
  <c r="C45" i="10"/>
  <c r="B45" i="10"/>
  <c r="A45" i="10"/>
  <c r="C44" i="10"/>
  <c r="B44" i="10"/>
  <c r="A44" i="10"/>
  <c r="C43" i="10"/>
  <c r="B43" i="10"/>
  <c r="A43" i="10"/>
  <c r="C42" i="10"/>
  <c r="B42" i="10"/>
  <c r="A42" i="10"/>
  <c r="AA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41" i="10"/>
  <c r="C69" i="9"/>
  <c r="B69" i="9"/>
  <c r="A69" i="9"/>
  <c r="C68" i="9"/>
  <c r="B68" i="9"/>
  <c r="A68" i="9"/>
  <c r="C67" i="9"/>
  <c r="B67" i="9"/>
  <c r="A67" i="9"/>
  <c r="C66" i="9"/>
  <c r="B66" i="9"/>
  <c r="A66" i="9"/>
  <c r="C65" i="9"/>
  <c r="B65" i="9"/>
  <c r="A65" i="9"/>
  <c r="C64" i="9"/>
  <c r="B64" i="9"/>
  <c r="A64" i="9"/>
  <c r="C63" i="9"/>
  <c r="B63" i="9"/>
  <c r="A63" i="9"/>
  <c r="C62" i="9"/>
  <c r="B62" i="9"/>
  <c r="A62" i="9"/>
  <c r="C61" i="9"/>
  <c r="B61" i="9"/>
  <c r="A61" i="9"/>
  <c r="C60" i="9"/>
  <c r="B60" i="9"/>
  <c r="A60" i="9"/>
  <c r="C59" i="9"/>
  <c r="B59" i="9"/>
  <c r="A59" i="9"/>
  <c r="C58" i="9"/>
  <c r="B58" i="9"/>
  <c r="A58" i="9"/>
  <c r="C57" i="9"/>
  <c r="B57" i="9"/>
  <c r="A57" i="9"/>
  <c r="C56" i="9"/>
  <c r="B56" i="9"/>
  <c r="A56" i="9"/>
  <c r="C55" i="9"/>
  <c r="B55" i="9"/>
  <c r="A55" i="9"/>
  <c r="C54" i="9"/>
  <c r="B54" i="9"/>
  <c r="A54" i="9"/>
  <c r="C53" i="9"/>
  <c r="B53" i="9"/>
  <c r="A53" i="9"/>
  <c r="C52" i="9"/>
  <c r="B52" i="9"/>
  <c r="A52" i="9"/>
  <c r="C51" i="9"/>
  <c r="B51" i="9"/>
  <c r="A51" i="9"/>
  <c r="C50" i="9"/>
  <c r="B50" i="9"/>
  <c r="A50" i="9"/>
  <c r="C49" i="9"/>
  <c r="B49" i="9"/>
  <c r="A49" i="9"/>
  <c r="C48" i="9"/>
  <c r="B48" i="9"/>
  <c r="A48" i="9"/>
  <c r="C47" i="9"/>
  <c r="B47" i="9"/>
  <c r="A47" i="9"/>
  <c r="C46" i="9"/>
  <c r="B46" i="9"/>
  <c r="A46" i="9"/>
  <c r="C45" i="9"/>
  <c r="B45" i="9"/>
  <c r="A45" i="9"/>
  <c r="C44" i="9"/>
  <c r="B44" i="9"/>
  <c r="A44" i="9"/>
  <c r="C43" i="9"/>
  <c r="B43" i="9"/>
  <c r="A43" i="9"/>
  <c r="C42" i="9"/>
  <c r="B42" i="9"/>
  <c r="A42" i="9"/>
  <c r="AA41" i="9"/>
  <c r="AC41" i="9" s="1"/>
  <c r="AD41" i="9" s="1"/>
  <c r="AE41" i="9" s="1"/>
  <c r="M41" i="9"/>
  <c r="L41" i="9"/>
  <c r="K41" i="9"/>
  <c r="J41" i="9"/>
  <c r="I41" i="9"/>
  <c r="H41" i="9"/>
  <c r="G41" i="9"/>
  <c r="F41" i="9"/>
  <c r="E41" i="9"/>
  <c r="D41" i="9"/>
  <c r="C41" i="9"/>
  <c r="B41" i="9"/>
  <c r="A41" i="9"/>
  <c r="C69" i="8"/>
  <c r="B69" i="8"/>
  <c r="A69" i="8"/>
  <c r="C68" i="8"/>
  <c r="B68" i="8"/>
  <c r="A68" i="8"/>
  <c r="C67" i="8"/>
  <c r="B67" i="8"/>
  <c r="A67" i="8"/>
  <c r="C66" i="8"/>
  <c r="B66" i="8"/>
  <c r="A66" i="8"/>
  <c r="C65" i="8"/>
  <c r="B65" i="8"/>
  <c r="A65" i="8"/>
  <c r="C64" i="8"/>
  <c r="B64" i="8"/>
  <c r="A64" i="8"/>
  <c r="C63" i="8"/>
  <c r="B63" i="8"/>
  <c r="A63" i="8"/>
  <c r="C62" i="8"/>
  <c r="B62" i="8"/>
  <c r="A62" i="8"/>
  <c r="C61" i="8"/>
  <c r="B61" i="8"/>
  <c r="A61" i="8"/>
  <c r="C60" i="8"/>
  <c r="B60" i="8"/>
  <c r="A60" i="8"/>
  <c r="C59" i="8"/>
  <c r="B59" i="8"/>
  <c r="A59" i="8"/>
  <c r="C58" i="8"/>
  <c r="B58" i="8"/>
  <c r="A58" i="8"/>
  <c r="C57" i="8"/>
  <c r="B57" i="8"/>
  <c r="A57" i="8"/>
  <c r="C56" i="8"/>
  <c r="B56" i="8"/>
  <c r="A56" i="8"/>
  <c r="C55" i="8"/>
  <c r="B55" i="8"/>
  <c r="A55" i="8"/>
  <c r="C54" i="8"/>
  <c r="B54" i="8"/>
  <c r="A54" i="8"/>
  <c r="C53" i="8"/>
  <c r="B53" i="8"/>
  <c r="A53" i="8"/>
  <c r="C52" i="8"/>
  <c r="B52" i="8"/>
  <c r="A52" i="8"/>
  <c r="C51" i="8"/>
  <c r="B51" i="8"/>
  <c r="A51" i="8"/>
  <c r="C50" i="8"/>
  <c r="B50" i="8"/>
  <c r="A50" i="8"/>
  <c r="C49" i="8"/>
  <c r="B49" i="8"/>
  <c r="A49" i="8"/>
  <c r="C48" i="8"/>
  <c r="B48" i="8"/>
  <c r="A48" i="8"/>
  <c r="C47" i="8"/>
  <c r="B47" i="8"/>
  <c r="A47" i="8"/>
  <c r="C46" i="8"/>
  <c r="B46" i="8"/>
  <c r="A46" i="8"/>
  <c r="C45" i="8"/>
  <c r="B45" i="8"/>
  <c r="A45" i="8"/>
  <c r="C44" i="8"/>
  <c r="B44" i="8"/>
  <c r="A44" i="8"/>
  <c r="C43" i="8"/>
  <c r="B43" i="8"/>
  <c r="A43" i="8"/>
  <c r="C42" i="8"/>
  <c r="B42" i="8"/>
  <c r="A42" i="8"/>
  <c r="M41" i="8"/>
  <c r="L41" i="8"/>
  <c r="K41" i="8"/>
  <c r="J41" i="8"/>
  <c r="I41" i="8"/>
  <c r="H41" i="8"/>
  <c r="G41" i="8"/>
  <c r="F41" i="8"/>
  <c r="E41" i="8"/>
  <c r="D41" i="8"/>
  <c r="C41" i="8"/>
  <c r="B41" i="8"/>
  <c r="A41" i="8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A62" i="4"/>
  <c r="B62" i="4"/>
  <c r="C62" i="4"/>
  <c r="A49" i="4"/>
  <c r="B49" i="4"/>
  <c r="C49" i="4"/>
  <c r="A56" i="4"/>
  <c r="B56" i="4"/>
  <c r="C56" i="4"/>
  <c r="A52" i="4"/>
  <c r="B52" i="4"/>
  <c r="C52" i="4"/>
  <c r="A66" i="4"/>
  <c r="B66" i="4"/>
  <c r="C66" i="4"/>
  <c r="A54" i="4"/>
  <c r="B54" i="4"/>
  <c r="C54" i="4"/>
  <c r="A69" i="4"/>
  <c r="B69" i="4"/>
  <c r="C69" i="4"/>
  <c r="A57" i="4"/>
  <c r="B57" i="4"/>
  <c r="C57" i="4"/>
  <c r="A65" i="4"/>
  <c r="B65" i="4"/>
  <c r="C65" i="4"/>
  <c r="A44" i="4"/>
  <c r="B44" i="4"/>
  <c r="C44" i="4"/>
  <c r="A64" i="4"/>
  <c r="B64" i="4"/>
  <c r="C64" i="4"/>
  <c r="A42" i="4"/>
  <c r="B42" i="4"/>
  <c r="C42" i="4"/>
  <c r="A47" i="4"/>
  <c r="B47" i="4"/>
  <c r="C47" i="4"/>
  <c r="A43" i="4"/>
  <c r="B43" i="4"/>
  <c r="C43" i="4"/>
  <c r="A53" i="4"/>
  <c r="B53" i="4"/>
  <c r="C53" i="4"/>
  <c r="A59" i="4"/>
  <c r="B59" i="4"/>
  <c r="C59" i="4"/>
  <c r="A55" i="4"/>
  <c r="B55" i="4"/>
  <c r="C55" i="4"/>
  <c r="A58" i="4"/>
  <c r="B58" i="4"/>
  <c r="C58" i="4"/>
  <c r="A68" i="4"/>
  <c r="B68" i="4"/>
  <c r="C68" i="4"/>
  <c r="A46" i="4"/>
  <c r="B46" i="4"/>
  <c r="C46" i="4"/>
  <c r="A67" i="4"/>
  <c r="B67" i="4"/>
  <c r="C67" i="4"/>
  <c r="A50" i="4"/>
  <c r="B50" i="4"/>
  <c r="C50" i="4"/>
  <c r="A63" i="4"/>
  <c r="B63" i="4"/>
  <c r="C63" i="4"/>
  <c r="A60" i="4"/>
  <c r="B60" i="4"/>
  <c r="C60" i="4"/>
  <c r="A61" i="4"/>
  <c r="B61" i="4"/>
  <c r="C61" i="4"/>
  <c r="A51" i="4"/>
  <c r="B51" i="4"/>
  <c r="C51" i="4"/>
  <c r="A45" i="4"/>
  <c r="B45" i="4"/>
  <c r="C45" i="4"/>
  <c r="G55" i="11" l="1"/>
  <c r="J55" i="10"/>
  <c r="K63" i="11"/>
  <c r="G59" i="15"/>
  <c r="I67" i="16"/>
  <c r="N44" i="14"/>
  <c r="L8" i="24"/>
  <c r="M43" i="14"/>
  <c r="J48" i="15"/>
  <c r="H68" i="10"/>
  <c r="H46" i="11"/>
  <c r="I63" i="11"/>
  <c r="F53" i="16"/>
  <c r="H64" i="10"/>
  <c r="M68" i="4"/>
  <c r="AL33" i="4" s="1"/>
  <c r="D21" i="24"/>
  <c r="I59" i="11"/>
  <c r="K57" i="15"/>
  <c r="G45" i="4"/>
  <c r="F66" i="9"/>
  <c r="M50" i="16"/>
  <c r="K56" i="9"/>
  <c r="F19" i="24"/>
  <c r="G54" i="14"/>
  <c r="K9" i="24"/>
  <c r="L44" i="14"/>
  <c r="L67" i="10"/>
  <c r="H61" i="15"/>
  <c r="J53" i="4"/>
  <c r="H62" i="10"/>
  <c r="M64" i="14"/>
  <c r="L29" i="24"/>
  <c r="K44" i="11"/>
  <c r="J20" i="24"/>
  <c r="K55" i="14"/>
  <c r="K51" i="10"/>
  <c r="J56" i="11"/>
  <c r="K57" i="10"/>
  <c r="J57" i="14"/>
  <c r="I22" i="24"/>
  <c r="E63" i="9"/>
  <c r="H44" i="9"/>
  <c r="F55" i="16"/>
  <c r="L51" i="9"/>
  <c r="I44" i="16"/>
  <c r="K25" i="24"/>
  <c r="L60" i="14"/>
  <c r="L43" i="9"/>
  <c r="D15" i="24"/>
  <c r="L46" i="15"/>
  <c r="H62" i="4"/>
  <c r="L49" i="11"/>
  <c r="G62" i="9"/>
  <c r="H62" i="15"/>
  <c r="F61" i="16"/>
  <c r="L64" i="14"/>
  <c r="K29" i="24"/>
  <c r="D30" i="24"/>
  <c r="F45" i="14"/>
  <c r="E10" i="24"/>
  <c r="K47" i="9"/>
  <c r="E42" i="4"/>
  <c r="K43" i="10"/>
  <c r="H44" i="10"/>
  <c r="L50" i="4"/>
  <c r="J21" i="24"/>
  <c r="K56" i="14"/>
  <c r="E9" i="24"/>
  <c r="F44" i="14"/>
  <c r="K62" i="14"/>
  <c r="J27" i="24"/>
  <c r="I51" i="16"/>
  <c r="O43" i="15"/>
  <c r="F57" i="9"/>
  <c r="F48" i="9"/>
  <c r="M61" i="16"/>
  <c r="N54" i="14"/>
  <c r="J47" i="4"/>
  <c r="M45" i="15"/>
  <c r="F44" i="11"/>
  <c r="E53" i="11"/>
  <c r="N42" i="14"/>
  <c r="M57" i="9"/>
  <c r="L52" i="4"/>
  <c r="M42" i="16"/>
  <c r="I48" i="16"/>
  <c r="K57" i="16"/>
  <c r="H45" i="11"/>
  <c r="H15" i="24"/>
  <c r="I50" i="14"/>
  <c r="K66" i="15"/>
  <c r="K60" i="14"/>
  <c r="J25" i="24"/>
  <c r="N57" i="15"/>
  <c r="K14" i="24"/>
  <c r="L49" i="14"/>
  <c r="E49" i="10"/>
  <c r="G63" i="16"/>
  <c r="G64" i="4"/>
  <c r="O67" i="15"/>
  <c r="M57" i="14"/>
  <c r="L22" i="24"/>
  <c r="E45" i="4"/>
  <c r="G49" i="9"/>
  <c r="J43" i="11"/>
  <c r="H66" i="11"/>
  <c r="H42" i="16"/>
  <c r="G60" i="15"/>
  <c r="N63" i="16"/>
  <c r="M48" i="16"/>
  <c r="O55" i="15"/>
  <c r="F54" i="9"/>
  <c r="L65" i="10"/>
  <c r="J54" i="11"/>
  <c r="F59" i="10"/>
  <c r="E24" i="24"/>
  <c r="F59" i="14"/>
  <c r="H45" i="14"/>
  <c r="G10" i="24"/>
  <c r="H44" i="4"/>
  <c r="G47" i="15"/>
  <c r="G64" i="10"/>
  <c r="L46" i="11"/>
  <c r="I60" i="10"/>
  <c r="M54" i="4"/>
  <c r="AL19" i="4" s="1"/>
  <c r="I43" i="10"/>
  <c r="G52" i="16"/>
  <c r="E50" i="11"/>
  <c r="L54" i="11"/>
  <c r="J62" i="11"/>
  <c r="G68" i="4"/>
  <c r="M53" i="11"/>
  <c r="I48" i="9"/>
  <c r="I51" i="4"/>
  <c r="J13" i="24"/>
  <c r="K48" i="14"/>
  <c r="F62" i="4"/>
  <c r="L57" i="4"/>
  <c r="M59" i="11"/>
  <c r="J69" i="9"/>
  <c r="N65" i="15"/>
  <c r="F64" i="14"/>
  <c r="E29" i="24"/>
  <c r="F55" i="9"/>
  <c r="K62" i="4"/>
  <c r="E60" i="9"/>
  <c r="L65" i="11"/>
  <c r="L42" i="9"/>
  <c r="G59" i="16"/>
  <c r="M55" i="14"/>
  <c r="L20" i="24"/>
  <c r="H48" i="14"/>
  <c r="G13" i="24"/>
  <c r="L42" i="4"/>
  <c r="L14" i="24"/>
  <c r="M49" i="14"/>
  <c r="N52" i="14"/>
  <c r="F47" i="10"/>
  <c r="H50" i="4"/>
  <c r="I50" i="16"/>
  <c r="G44" i="15"/>
  <c r="O49" i="15"/>
  <c r="L60" i="4"/>
  <c r="H48" i="16"/>
  <c r="M44" i="16"/>
  <c r="F62" i="16"/>
  <c r="F47" i="4"/>
  <c r="I65" i="14"/>
  <c r="H30" i="24"/>
  <c r="J63" i="14"/>
  <c r="I28" i="24"/>
  <c r="G62" i="16"/>
  <c r="G49" i="4"/>
  <c r="L50" i="14"/>
  <c r="K15" i="24"/>
  <c r="H59" i="4"/>
  <c r="H69" i="4"/>
  <c r="H63" i="10"/>
  <c r="I43" i="14"/>
  <c r="H8" i="24"/>
  <c r="I69" i="11"/>
  <c r="G59" i="4"/>
  <c r="K55" i="9"/>
  <c r="AL13" i="4"/>
  <c r="H42" i="15"/>
  <c r="M65" i="9"/>
  <c r="H53" i="15"/>
  <c r="I25" i="24"/>
  <c r="J60" i="14"/>
  <c r="E55" i="10"/>
  <c r="H57" i="10"/>
  <c r="M50" i="14"/>
  <c r="M44" i="9"/>
  <c r="I56" i="16"/>
  <c r="J59" i="11"/>
  <c r="L68" i="4"/>
  <c r="G55" i="10"/>
  <c r="N58" i="15"/>
  <c r="M67" i="16"/>
  <c r="F65" i="9"/>
  <c r="J55" i="4"/>
  <c r="J56" i="15"/>
  <c r="E54" i="11"/>
  <c r="J48" i="11"/>
  <c r="F66" i="16"/>
  <c r="H49" i="14"/>
  <c r="G14" i="24"/>
  <c r="I58" i="4"/>
  <c r="M50" i="9"/>
  <c r="M69" i="16"/>
  <c r="L44" i="4"/>
  <c r="H62" i="16"/>
  <c r="I48" i="10"/>
  <c r="J42" i="9"/>
  <c r="F69" i="14"/>
  <c r="K46" i="16"/>
  <c r="K43" i="14"/>
  <c r="J8" i="24"/>
  <c r="F51" i="11"/>
  <c r="G61" i="16"/>
  <c r="L51" i="4"/>
  <c r="N63" i="14"/>
  <c r="H54" i="4"/>
  <c r="D22" i="24"/>
  <c r="J57" i="15"/>
  <c r="L49" i="4"/>
  <c r="L26" i="24"/>
  <c r="M61" i="14"/>
  <c r="H65" i="11"/>
  <c r="J47" i="16"/>
  <c r="H46" i="16"/>
  <c r="E65" i="11"/>
  <c r="J18" i="24"/>
  <c r="K53" i="14"/>
  <c r="E46" i="9"/>
  <c r="L63" i="11"/>
  <c r="H47" i="11"/>
  <c r="M52" i="15"/>
  <c r="L56" i="4"/>
  <c r="G60" i="10"/>
  <c r="N61" i="15"/>
  <c r="M53" i="16"/>
  <c r="M68" i="10"/>
  <c r="G7" i="24"/>
  <c r="H42" i="14"/>
  <c r="I60" i="4"/>
  <c r="I58" i="9"/>
  <c r="I68" i="11"/>
  <c r="G44" i="11"/>
  <c r="K53" i="4"/>
  <c r="I48" i="14"/>
  <c r="H13" i="24"/>
  <c r="G27" i="24"/>
  <c r="H62" i="14"/>
  <c r="E64" i="4"/>
  <c r="I54" i="4"/>
  <c r="E52" i="4"/>
  <c r="I12" i="24"/>
  <c r="J47" i="14"/>
  <c r="K56" i="16"/>
  <c r="M44" i="10"/>
  <c r="F42" i="16"/>
  <c r="I65" i="9"/>
  <c r="L28" i="24"/>
  <c r="M63" i="14"/>
  <c r="J9" i="24"/>
  <c r="K44" i="14"/>
  <c r="I63" i="4"/>
  <c r="H50" i="14"/>
  <c r="G15" i="24"/>
  <c r="J12" i="24"/>
  <c r="K47" i="14"/>
  <c r="L64" i="4"/>
  <c r="I57" i="16"/>
  <c r="H21" i="24"/>
  <c r="I56" i="14"/>
  <c r="G54" i="4"/>
  <c r="K69" i="11"/>
  <c r="N57" i="14"/>
  <c r="G62" i="15"/>
  <c r="E61" i="10"/>
  <c r="F44" i="10"/>
  <c r="D11" i="24"/>
  <c r="O58" i="15"/>
  <c r="J48" i="14"/>
  <c r="I13" i="24"/>
  <c r="J52" i="10"/>
  <c r="L16" i="24"/>
  <c r="M51" i="14"/>
  <c r="J51" i="16"/>
  <c r="F66" i="14"/>
  <c r="E31" i="24"/>
  <c r="F69" i="9"/>
  <c r="I10" i="24"/>
  <c r="J45" i="14"/>
  <c r="G44" i="14"/>
  <c r="F9" i="24"/>
  <c r="L67" i="4"/>
  <c r="N62" i="15"/>
  <c r="F11" i="24"/>
  <c r="G46" i="14"/>
  <c r="H62" i="9"/>
  <c r="G26" i="24"/>
  <c r="H61" i="14"/>
  <c r="I47" i="15"/>
  <c r="L65" i="4"/>
  <c r="K46" i="9"/>
  <c r="G48" i="16"/>
  <c r="F59" i="11"/>
  <c r="L47" i="10"/>
  <c r="E59" i="4"/>
  <c r="L52" i="9"/>
  <c r="I51" i="15"/>
  <c r="H49" i="16"/>
  <c r="F54" i="16"/>
  <c r="G62" i="10"/>
  <c r="D24" i="24"/>
  <c r="N58" i="16"/>
  <c r="H67" i="14"/>
  <c r="G32" i="24"/>
  <c r="I62" i="11"/>
  <c r="I60" i="14"/>
  <c r="H25" i="24"/>
  <c r="D16" i="24"/>
  <c r="J64" i="4"/>
  <c r="K66" i="9"/>
  <c r="K31" i="24"/>
  <c r="L66" i="14"/>
  <c r="I67" i="4"/>
  <c r="F66" i="10"/>
  <c r="K60" i="15"/>
  <c r="K50" i="15"/>
  <c r="H69" i="14"/>
  <c r="H28" i="24"/>
  <c r="I63" i="14"/>
  <c r="I55" i="10"/>
  <c r="L62" i="14"/>
  <c r="K27" i="24"/>
  <c r="G58" i="16"/>
  <c r="H57" i="11"/>
  <c r="K63" i="4"/>
  <c r="H43" i="10"/>
  <c r="H63" i="4"/>
  <c r="K67" i="4"/>
  <c r="M63" i="15"/>
  <c r="K60" i="16"/>
  <c r="K48" i="15"/>
  <c r="F50" i="16"/>
  <c r="M60" i="9"/>
  <c r="J54" i="16"/>
  <c r="N46" i="15"/>
  <c r="J67" i="10"/>
  <c r="I14" i="24"/>
  <c r="J49" i="14"/>
  <c r="H43" i="11"/>
  <c r="J66" i="14"/>
  <c r="I31" i="24"/>
  <c r="J48" i="9"/>
  <c r="N62" i="14"/>
  <c r="G61" i="4"/>
  <c r="I55" i="11"/>
  <c r="J43" i="9"/>
  <c r="D20" i="24"/>
  <c r="J69" i="4"/>
  <c r="E43" i="11"/>
  <c r="J65" i="4"/>
  <c r="K61" i="15"/>
  <c r="M56" i="9"/>
  <c r="I23" i="24"/>
  <c r="J58" i="14"/>
  <c r="F61" i="4"/>
  <c r="E33" i="24"/>
  <c r="F68" i="14"/>
  <c r="M61" i="15"/>
  <c r="J58" i="11"/>
  <c r="J55" i="15"/>
  <c r="J59" i="4"/>
  <c r="H60" i="10"/>
  <c r="H64" i="14"/>
  <c r="G29" i="24"/>
  <c r="E14" i="24"/>
  <c r="F49" i="14"/>
  <c r="J63" i="16"/>
  <c r="K50" i="10"/>
  <c r="M68" i="14"/>
  <c r="L33" i="24"/>
  <c r="H59" i="14"/>
  <c r="G24" i="24"/>
  <c r="N55" i="14"/>
  <c r="F49" i="9"/>
  <c r="D25" i="24"/>
  <c r="L61" i="4"/>
  <c r="E19" i="24"/>
  <c r="F54" i="14"/>
  <c r="J68" i="11"/>
  <c r="L56" i="16"/>
  <c r="N59" i="16"/>
  <c r="G54" i="15"/>
  <c r="L66" i="4"/>
  <c r="L64" i="16"/>
  <c r="M64" i="10"/>
  <c r="K12" i="24"/>
  <c r="L47" i="14"/>
  <c r="M42" i="10"/>
  <c r="G43" i="15"/>
  <c r="G46" i="11"/>
  <c r="L69" i="14"/>
  <c r="N66" i="14"/>
  <c r="G63" i="4"/>
  <c r="G61" i="10"/>
  <c r="N50" i="14"/>
  <c r="J46" i="11"/>
  <c r="F61" i="11"/>
  <c r="K44" i="9"/>
  <c r="I65" i="4"/>
  <c r="M69" i="9"/>
  <c r="I53" i="11"/>
  <c r="N61" i="14"/>
  <c r="H44" i="14"/>
  <c r="G9" i="24"/>
  <c r="G64" i="11"/>
  <c r="J53" i="14"/>
  <c r="I18" i="24"/>
  <c r="M65" i="4"/>
  <c r="AL30" i="4" s="1"/>
  <c r="J60" i="10"/>
  <c r="K43" i="9"/>
  <c r="I54" i="14"/>
  <c r="H19" i="24"/>
  <c r="H55" i="4"/>
  <c r="J61" i="10"/>
  <c r="J64" i="14"/>
  <c r="I29" i="24"/>
  <c r="L62" i="10"/>
  <c r="H57" i="14"/>
  <c r="G22" i="24"/>
  <c r="N67" i="15"/>
  <c r="N67" i="14"/>
  <c r="E58" i="9"/>
  <c r="M51" i="15"/>
  <c r="M52" i="9"/>
  <c r="M66" i="16"/>
  <c r="M44" i="14"/>
  <c r="K51" i="11"/>
  <c r="M62" i="16"/>
  <c r="M49" i="16"/>
  <c r="F49" i="10"/>
  <c r="J43" i="10"/>
  <c r="L57" i="14"/>
  <c r="K22" i="24"/>
  <c r="L55" i="4"/>
  <c r="H56" i="14"/>
  <c r="G21" i="24"/>
  <c r="G25" i="24"/>
  <c r="H60" i="14"/>
  <c r="N56" i="16"/>
  <c r="L43" i="4"/>
  <c r="F57" i="14"/>
  <c r="E22" i="24"/>
  <c r="E66" i="4"/>
  <c r="L67" i="11"/>
  <c r="L69" i="10"/>
  <c r="L43" i="11"/>
  <c r="G51" i="9"/>
  <c r="F54" i="4"/>
  <c r="J68" i="14"/>
  <c r="I33" i="24"/>
  <c r="M51" i="10"/>
  <c r="M57" i="10"/>
  <c r="M66" i="15"/>
  <c r="K54" i="14"/>
  <c r="J19" i="24"/>
  <c r="L62" i="4"/>
  <c r="J28" i="24"/>
  <c r="K63" i="14"/>
  <c r="E51" i="9"/>
  <c r="L59" i="16"/>
  <c r="J59" i="16"/>
  <c r="F50" i="10"/>
  <c r="O53" i="15"/>
  <c r="I66" i="16"/>
  <c r="F48" i="10"/>
  <c r="K67" i="10"/>
  <c r="J42" i="11"/>
  <c r="L69" i="11"/>
  <c r="K67" i="15"/>
  <c r="K17" i="24"/>
  <c r="L52" i="14"/>
  <c r="I68" i="9"/>
  <c r="H52" i="10"/>
  <c r="I26" i="24"/>
  <c r="J61" i="14"/>
  <c r="G31" i="24"/>
  <c r="H66" i="14"/>
  <c r="F43" i="10"/>
  <c r="G54" i="10"/>
  <c r="H45" i="15"/>
  <c r="F52" i="10"/>
  <c r="G56" i="4"/>
  <c r="M54" i="16"/>
  <c r="O45" i="15"/>
  <c r="I69" i="9"/>
  <c r="J66" i="9"/>
  <c r="I57" i="4"/>
  <c r="F62" i="10"/>
  <c r="E61" i="4"/>
  <c r="I64" i="16"/>
  <c r="N60" i="15"/>
  <c r="J50" i="16"/>
  <c r="G45" i="10"/>
  <c r="K63" i="16"/>
  <c r="J52" i="9"/>
  <c r="F7" i="24"/>
  <c r="G42" i="14"/>
  <c r="F21" i="24"/>
  <c r="G56" i="14"/>
  <c r="H49" i="11"/>
  <c r="H42" i="11"/>
  <c r="F69" i="10"/>
  <c r="M66" i="4"/>
  <c r="AL31" i="4" s="1"/>
  <c r="F46" i="11"/>
  <c r="H67" i="10"/>
  <c r="E68" i="9"/>
  <c r="K65" i="10"/>
  <c r="K65" i="16"/>
  <c r="L46" i="9"/>
  <c r="I43" i="4"/>
  <c r="M47" i="14"/>
  <c r="L12" i="24"/>
  <c r="J52" i="14"/>
  <c r="I17" i="24"/>
  <c r="G44" i="4"/>
  <c r="G28" i="24"/>
  <c r="H63" i="14"/>
  <c r="L56" i="15"/>
  <c r="M44" i="11"/>
  <c r="J53" i="16"/>
  <c r="K57" i="9"/>
  <c r="J43" i="14"/>
  <c r="I8" i="24"/>
  <c r="D27" i="24"/>
  <c r="L53" i="4"/>
  <c r="J50" i="9"/>
  <c r="F64" i="10"/>
  <c r="I44" i="14"/>
  <c r="H9" i="24"/>
  <c r="E30" i="24"/>
  <c r="F65" i="14"/>
  <c r="J67" i="11"/>
  <c r="K62" i="10"/>
  <c r="K8" i="24"/>
  <c r="L43" i="14"/>
  <c r="D10" i="24"/>
  <c r="K51" i="14"/>
  <c r="J16" i="24"/>
  <c r="J62" i="15"/>
  <c r="E67" i="9"/>
  <c r="I64" i="10"/>
  <c r="G52" i="14"/>
  <c r="F17" i="24"/>
  <c r="K68" i="4"/>
  <c r="J46" i="9"/>
  <c r="N54" i="15"/>
  <c r="K54" i="10"/>
  <c r="N49" i="16"/>
  <c r="O66" i="15"/>
  <c r="H67" i="4"/>
  <c r="G56" i="10"/>
  <c r="F42" i="11"/>
  <c r="I62" i="15"/>
  <c r="F65" i="10"/>
  <c r="I60" i="16"/>
  <c r="E8" i="24"/>
  <c r="F43" i="14"/>
  <c r="H44" i="11"/>
  <c r="J66" i="4"/>
  <c r="G69" i="15"/>
  <c r="E68" i="4"/>
  <c r="L57" i="15"/>
  <c r="F49" i="16"/>
  <c r="F65" i="11"/>
  <c r="N68" i="14"/>
  <c r="K67" i="9"/>
  <c r="M62" i="10"/>
  <c r="E26" i="24"/>
  <c r="F61" i="14"/>
  <c r="M63" i="10"/>
  <c r="M47" i="16"/>
  <c r="L52" i="15"/>
  <c r="N43" i="14"/>
  <c r="J51" i="10"/>
  <c r="J63" i="11"/>
  <c r="E47" i="4"/>
  <c r="M60" i="4"/>
  <c r="AL25" i="4" s="1"/>
  <c r="K69" i="4"/>
  <c r="H55" i="16"/>
  <c r="K58" i="14"/>
  <c r="J23" i="24"/>
  <c r="I69" i="14"/>
  <c r="E62" i="4"/>
  <c r="I45" i="16"/>
  <c r="E25" i="24"/>
  <c r="F60" i="14"/>
  <c r="I51" i="9"/>
  <c r="J65" i="11"/>
  <c r="G50" i="10"/>
  <c r="G69" i="16"/>
  <c r="I59" i="14"/>
  <c r="H24" i="24"/>
  <c r="L32" i="24"/>
  <c r="M67" i="14"/>
  <c r="H52" i="9"/>
  <c r="J48" i="10"/>
  <c r="D28" i="24"/>
  <c r="L51" i="16"/>
  <c r="D19" i="24"/>
  <c r="G50" i="14"/>
  <c r="F15" i="24"/>
  <c r="I61" i="15"/>
  <c r="M69" i="11"/>
  <c r="F60" i="10"/>
  <c r="N53" i="14"/>
  <c r="L58" i="10"/>
  <c r="D8" i="24"/>
  <c r="I62" i="10"/>
  <c r="M54" i="10"/>
  <c r="M47" i="9"/>
  <c r="L69" i="4"/>
  <c r="J58" i="15"/>
  <c r="H57" i="16"/>
  <c r="E45" i="9"/>
  <c r="H64" i="16"/>
  <c r="H55" i="10"/>
  <c r="I46" i="9"/>
  <c r="H58" i="16"/>
  <c r="I61" i="4"/>
  <c r="K20" i="24"/>
  <c r="L55" i="14"/>
  <c r="E42" i="10"/>
  <c r="K21" i="24"/>
  <c r="L56" i="14"/>
  <c r="I42" i="11"/>
  <c r="E53" i="10"/>
  <c r="G63" i="11"/>
  <c r="L45" i="14"/>
  <c r="K10" i="24"/>
  <c r="H66" i="15"/>
  <c r="G62" i="14"/>
  <c r="F27" i="24"/>
  <c r="K30" i="24"/>
  <c r="L65" i="14"/>
  <c r="M56" i="14"/>
  <c r="L59" i="9"/>
  <c r="K68" i="11"/>
  <c r="G68" i="9"/>
  <c r="H10" i="24"/>
  <c r="I45" i="14"/>
  <c r="J56" i="9"/>
  <c r="M46" i="10"/>
  <c r="F56" i="4"/>
  <c r="J63" i="15"/>
  <c r="M53" i="14"/>
  <c r="L18" i="24"/>
  <c r="J55" i="11"/>
  <c r="M56" i="16"/>
  <c r="N60" i="14"/>
  <c r="K50" i="14"/>
  <c r="J15" i="24"/>
  <c r="I50" i="10"/>
  <c r="M62" i="9"/>
  <c r="M60" i="11"/>
  <c r="M62" i="11"/>
  <c r="N53" i="15"/>
  <c r="M63" i="9"/>
  <c r="G45" i="9"/>
  <c r="K69" i="15"/>
  <c r="I45" i="15"/>
  <c r="I57" i="14"/>
  <c r="H22" i="24"/>
  <c r="H49" i="10"/>
  <c r="L57" i="9"/>
  <c r="F53" i="10"/>
  <c r="K68" i="9"/>
  <c r="G60" i="14"/>
  <c r="F25" i="24"/>
  <c r="D29" i="24"/>
  <c r="K53" i="10"/>
  <c r="I59" i="9"/>
  <c r="N58" i="14"/>
  <c r="F44" i="16"/>
  <c r="M51" i="16"/>
  <c r="K47" i="11"/>
  <c r="D17" i="24"/>
  <c r="I67" i="10"/>
  <c r="K67" i="11"/>
  <c r="I55" i="14"/>
  <c r="H20" i="24"/>
  <c r="F48" i="11"/>
  <c r="K59" i="14"/>
  <c r="J24" i="24"/>
  <c r="M52" i="14"/>
  <c r="L17" i="24"/>
  <c r="I62" i="14"/>
  <c r="H27" i="24"/>
  <c r="D33" i="24"/>
  <c r="F12" i="24"/>
  <c r="G47" i="14"/>
  <c r="K61" i="9"/>
  <c r="F49" i="11"/>
  <c r="H31" i="24"/>
  <c r="I66" i="14"/>
  <c r="O57" i="15"/>
  <c r="O62" i="15"/>
  <c r="I27" i="24"/>
  <c r="J62" i="14"/>
  <c r="E17" i="24"/>
  <c r="F52" i="14"/>
  <c r="I66" i="15"/>
  <c r="L46" i="4"/>
  <c r="H54" i="9"/>
  <c r="H53" i="10"/>
  <c r="N51" i="14"/>
  <c r="G43" i="16"/>
  <c r="M45" i="16"/>
  <c r="H43" i="15"/>
  <c r="K59" i="11"/>
  <c r="I54" i="10"/>
  <c r="H56" i="10"/>
  <c r="H50" i="9"/>
  <c r="J44" i="10"/>
  <c r="M64" i="16"/>
  <c r="K43" i="16"/>
  <c r="I47" i="11"/>
  <c r="M59" i="10"/>
  <c r="E69" i="10"/>
  <c r="L42" i="11"/>
  <c r="M69" i="15"/>
  <c r="I53" i="4"/>
  <c r="I66" i="9"/>
  <c r="K49" i="10"/>
  <c r="L68" i="10"/>
  <c r="K58" i="4"/>
  <c r="K42" i="4"/>
  <c r="I59" i="15"/>
  <c r="F66" i="4"/>
  <c r="J47" i="11"/>
  <c r="K58" i="16"/>
  <c r="J68" i="16"/>
  <c r="H64" i="4"/>
  <c r="E45" i="10"/>
  <c r="L58" i="15"/>
  <c r="M63" i="4"/>
  <c r="AL28" i="4" s="1"/>
  <c r="E59" i="9"/>
  <c r="G48" i="14"/>
  <c r="F13" i="24"/>
  <c r="G30" i="24"/>
  <c r="H65" i="14"/>
  <c r="F45" i="4"/>
  <c r="F42" i="14"/>
  <c r="E7" i="24"/>
  <c r="J44" i="14"/>
  <c r="I9" i="24"/>
  <c r="H56" i="4"/>
  <c r="L45" i="11"/>
  <c r="M49" i="4"/>
  <c r="AL14" i="4" s="1"/>
  <c r="L65" i="15"/>
  <c r="K33" i="24"/>
  <c r="L68" i="14"/>
  <c r="N45" i="14"/>
  <c r="K59" i="10"/>
  <c r="K69" i="10"/>
  <c r="H48" i="9"/>
  <c r="F28" i="24"/>
  <c r="G63" i="14"/>
  <c r="G53" i="9"/>
  <c r="G63" i="9"/>
  <c r="N49" i="15"/>
  <c r="N44" i="15"/>
  <c r="H47" i="10"/>
  <c r="M52" i="4"/>
  <c r="AL17" i="4" s="1"/>
  <c r="L51" i="15"/>
  <c r="I47" i="14"/>
  <c r="H12" i="24"/>
  <c r="E56" i="9"/>
  <c r="G57" i="14"/>
  <c r="F22" i="24"/>
  <c r="I46" i="14"/>
  <c r="H11" i="24"/>
  <c r="H51" i="9"/>
  <c r="G69" i="10"/>
  <c r="J62" i="16"/>
  <c r="I30" i="24"/>
  <c r="J65" i="14"/>
  <c r="I54" i="9"/>
  <c r="G53" i="4"/>
  <c r="F58" i="10"/>
  <c r="L69" i="16"/>
  <c r="J22" i="24"/>
  <c r="K57" i="14"/>
  <c r="K49" i="4"/>
  <c r="E60" i="10"/>
  <c r="N57" i="16"/>
  <c r="M68" i="15"/>
  <c r="G52" i="9"/>
  <c r="E15" i="24"/>
  <c r="F50" i="14"/>
  <c r="H53" i="4"/>
  <c r="F60" i="9"/>
  <c r="J45" i="4"/>
  <c r="H32" i="24"/>
  <c r="I67" i="14"/>
  <c r="I44" i="15"/>
  <c r="E32" i="24"/>
  <c r="F67" i="14"/>
  <c r="E12" i="24"/>
  <c r="F47" i="14"/>
  <c r="M58" i="15"/>
  <c r="H47" i="16"/>
  <c r="L54" i="15"/>
  <c r="F52" i="16"/>
  <c r="I61" i="10"/>
  <c r="N61" i="16"/>
  <c r="K66" i="14"/>
  <c r="J31" i="24"/>
  <c r="H68" i="11"/>
  <c r="K23" i="24"/>
  <c r="L58" i="14"/>
  <c r="G52" i="10"/>
  <c r="H58" i="10"/>
  <c r="J50" i="4"/>
  <c r="E43" i="9"/>
  <c r="I50" i="9"/>
  <c r="J58" i="10"/>
  <c r="M57" i="11"/>
  <c r="N64" i="16"/>
  <c r="J47" i="10"/>
  <c r="H65" i="10"/>
  <c r="H52" i="11"/>
  <c r="F61" i="10"/>
  <c r="K54" i="16"/>
  <c r="L54" i="9"/>
  <c r="L55" i="16"/>
  <c r="M59" i="16"/>
  <c r="N47" i="16"/>
  <c r="F67" i="16"/>
  <c r="M59" i="9"/>
  <c r="G69" i="4"/>
  <c r="E48" i="11"/>
  <c r="G58" i="14"/>
  <c r="F23" i="24"/>
  <c r="F67" i="4"/>
  <c r="G20" i="24"/>
  <c r="H55" i="14"/>
  <c r="H59" i="15"/>
  <c r="I65" i="10"/>
  <c r="J33" i="24"/>
  <c r="K68" i="14"/>
  <c r="H43" i="9"/>
  <c r="G63" i="10"/>
  <c r="K45" i="14"/>
  <c r="J10" i="24"/>
  <c r="L48" i="14"/>
  <c r="K13" i="24"/>
  <c r="K64" i="11"/>
  <c r="E66" i="11"/>
  <c r="I46" i="15"/>
  <c r="M60" i="10"/>
  <c r="K64" i="9"/>
  <c r="J42" i="14"/>
  <c r="I7" i="24"/>
  <c r="I11" i="24"/>
  <c r="J46" i="14"/>
  <c r="K66" i="16"/>
  <c r="K58" i="10"/>
  <c r="E48" i="10"/>
  <c r="I51" i="11"/>
  <c r="K49" i="15"/>
  <c r="N68" i="16"/>
  <c r="J65" i="15"/>
  <c r="F50" i="11"/>
  <c r="E51" i="11"/>
  <c r="G65" i="11"/>
  <c r="L59" i="15"/>
  <c r="G43" i="9"/>
  <c r="J63" i="4"/>
  <c r="J42" i="10"/>
  <c r="L66" i="16"/>
  <c r="G62" i="4"/>
  <c r="E59" i="11"/>
  <c r="O69" i="15"/>
  <c r="K61" i="11"/>
  <c r="E44" i="11"/>
  <c r="L31" i="24"/>
  <c r="M66" i="14"/>
  <c r="M64" i="15"/>
  <c r="M59" i="14"/>
  <c r="L24" i="24"/>
  <c r="J45" i="10"/>
  <c r="E67" i="4"/>
  <c r="K63" i="9"/>
  <c r="L44" i="9"/>
  <c r="K65" i="15"/>
  <c r="E55" i="9"/>
  <c r="K47" i="4"/>
  <c r="L51" i="10"/>
  <c r="L53" i="15"/>
  <c r="E44" i="9"/>
  <c r="K52" i="4"/>
  <c r="J68" i="15"/>
  <c r="L63" i="9"/>
  <c r="F45" i="16"/>
  <c r="M55" i="10"/>
  <c r="L46" i="14"/>
  <c r="K11" i="24"/>
  <c r="O47" i="15"/>
  <c r="G61" i="9"/>
  <c r="L61" i="9"/>
  <c r="M64" i="9"/>
  <c r="K52" i="11"/>
  <c r="G51" i="14"/>
  <c r="F16" i="24"/>
  <c r="M53" i="10"/>
  <c r="K65" i="9"/>
  <c r="L60" i="10"/>
  <c r="L13" i="24"/>
  <c r="M48" i="14"/>
  <c r="J58" i="9"/>
  <c r="L47" i="9"/>
  <c r="N59" i="15"/>
  <c r="E28" i="24"/>
  <c r="F63" i="14"/>
  <c r="F61" i="9"/>
  <c r="L23" i="24"/>
  <c r="M58" i="14"/>
  <c r="I58" i="14"/>
  <c r="H23" i="24"/>
  <c r="E68" i="11"/>
  <c r="J50" i="10"/>
  <c r="G61" i="15"/>
  <c r="G54" i="9"/>
  <c r="J7" i="24"/>
  <c r="K42" i="14"/>
  <c r="I68" i="10"/>
  <c r="K42" i="11"/>
  <c r="O56" i="15"/>
  <c r="M55" i="4"/>
  <c r="AL20" i="4" s="1"/>
  <c r="K64" i="14"/>
  <c r="J29" i="24"/>
  <c r="F69" i="11"/>
  <c r="K42" i="15"/>
  <c r="H47" i="9"/>
  <c r="I54" i="11"/>
  <c r="J44" i="9"/>
  <c r="F68" i="9"/>
  <c r="I46" i="11"/>
  <c r="F56" i="11"/>
  <c r="E47" i="11"/>
  <c r="D12" i="24"/>
  <c r="H65" i="15"/>
  <c r="L55" i="9"/>
  <c r="G68" i="11"/>
  <c r="H58" i="15"/>
  <c r="N45" i="16"/>
  <c r="M54" i="9"/>
  <c r="F47" i="11"/>
  <c r="K49" i="16"/>
  <c r="K57" i="11"/>
  <c r="I43" i="11"/>
  <c r="M52" i="16"/>
  <c r="J45" i="11"/>
  <c r="I58" i="16"/>
  <c r="L48" i="9"/>
  <c r="K53" i="9"/>
  <c r="G56" i="9"/>
  <c r="L53" i="9"/>
  <c r="L42" i="16"/>
  <c r="F46" i="10"/>
  <c r="K60" i="4"/>
  <c r="H51" i="4"/>
  <c r="H58" i="14"/>
  <c r="G23" i="24"/>
  <c r="F67" i="11"/>
  <c r="I44" i="10"/>
  <c r="I50" i="15"/>
  <c r="H68" i="14"/>
  <c r="G33" i="24"/>
  <c r="I52" i="9"/>
  <c r="F66" i="11"/>
  <c r="I46" i="4"/>
  <c r="F52" i="9"/>
  <c r="M47" i="10"/>
  <c r="K58" i="9"/>
  <c r="N63" i="15"/>
  <c r="K60" i="9"/>
  <c r="I55" i="4"/>
  <c r="E50" i="4"/>
  <c r="G65" i="14"/>
  <c r="F30" i="24"/>
  <c r="J42" i="15"/>
  <c r="I67" i="15"/>
  <c r="K42" i="16"/>
  <c r="H58" i="4"/>
  <c r="M46" i="9"/>
  <c r="L62" i="16"/>
  <c r="K46" i="11"/>
  <c r="K69" i="16"/>
  <c r="K52" i="14"/>
  <c r="J17" i="24"/>
  <c r="I55" i="15"/>
  <c r="J52" i="16"/>
  <c r="H46" i="9"/>
  <c r="L56" i="11"/>
  <c r="I62" i="9"/>
  <c r="I53" i="9"/>
  <c r="E51" i="10"/>
  <c r="J67" i="16"/>
  <c r="K18" i="24"/>
  <c r="L53" i="14"/>
  <c r="G66" i="14"/>
  <c r="F31" i="24"/>
  <c r="L44" i="15"/>
  <c r="I59" i="16"/>
  <c r="G11" i="24"/>
  <c r="H46" i="14"/>
  <c r="N65" i="14"/>
  <c r="F54" i="10"/>
  <c r="N52" i="15"/>
  <c r="E45" i="11"/>
  <c r="G46" i="4"/>
  <c r="J44" i="15"/>
  <c r="H68" i="4"/>
  <c r="F45" i="9"/>
  <c r="H56" i="11"/>
  <c r="J62" i="4"/>
  <c r="L45" i="4"/>
  <c r="M56" i="15"/>
  <c r="L49" i="15"/>
  <c r="J52" i="11"/>
  <c r="G69" i="14"/>
  <c r="J57" i="4"/>
  <c r="N69" i="16"/>
  <c r="G56" i="15"/>
  <c r="J56" i="10"/>
  <c r="E52" i="10"/>
  <c r="M66" i="10"/>
  <c r="G18" i="24"/>
  <c r="H53" i="14"/>
  <c r="G45" i="15"/>
  <c r="J59" i="14"/>
  <c r="I24" i="24"/>
  <c r="E46" i="4"/>
  <c r="J30" i="24"/>
  <c r="K65" i="14"/>
  <c r="J64" i="16"/>
  <c r="K42" i="9"/>
  <c r="M42" i="14"/>
  <c r="L7" i="24"/>
  <c r="L57" i="11"/>
  <c r="F47" i="16"/>
  <c r="F57" i="16"/>
  <c r="I49" i="15"/>
  <c r="M47" i="11"/>
  <c r="L59" i="10"/>
  <c r="M57" i="16"/>
  <c r="L50" i="9"/>
  <c r="F68" i="4"/>
  <c r="F52" i="4"/>
  <c r="M42" i="15"/>
  <c r="M58" i="11"/>
  <c r="I49" i="4"/>
  <c r="I67" i="11"/>
  <c r="M54" i="11"/>
  <c r="F58" i="9"/>
  <c r="J43" i="15"/>
  <c r="I52" i="10"/>
  <c r="K61" i="4"/>
  <c r="E67" i="10"/>
  <c r="H47" i="4"/>
  <c r="O60" i="15"/>
  <c r="M65" i="15"/>
  <c r="I52" i="11"/>
  <c r="M46" i="14"/>
  <c r="L11" i="24"/>
  <c r="L19" i="24"/>
  <c r="M54" i="14"/>
  <c r="G60" i="9"/>
  <c r="N49" i="14"/>
  <c r="M67" i="10"/>
  <c r="E61" i="11"/>
  <c r="M56" i="11"/>
  <c r="K53" i="16"/>
  <c r="H16" i="24"/>
  <c r="I51" i="14"/>
  <c r="H59" i="16"/>
  <c r="K65" i="4"/>
  <c r="H58" i="9"/>
  <c r="G42" i="15"/>
  <c r="K55" i="11"/>
  <c r="G59" i="9"/>
  <c r="M56" i="4"/>
  <c r="AL21" i="4" s="1"/>
  <c r="H51" i="14"/>
  <c r="G16" i="24"/>
  <c r="M69" i="14"/>
  <c r="H63" i="9"/>
  <c r="J59" i="10"/>
  <c r="M61" i="11"/>
  <c r="L61" i="10"/>
  <c r="E43" i="10"/>
  <c r="I56" i="15"/>
  <c r="E65" i="9"/>
  <c r="L60" i="11"/>
  <c r="M48" i="10"/>
  <c r="H17" i="24"/>
  <c r="I52" i="14"/>
  <c r="E62" i="10"/>
  <c r="H67" i="15"/>
  <c r="E48" i="9"/>
  <c r="L48" i="10"/>
  <c r="D23" i="24"/>
  <c r="G49" i="16"/>
  <c r="G19" i="24"/>
  <c r="H54" i="14"/>
  <c r="J43" i="16"/>
  <c r="G43" i="14"/>
  <c r="F8" i="24"/>
  <c r="J49" i="4"/>
  <c r="M51" i="4"/>
  <c r="AL16" i="4" s="1"/>
  <c r="N48" i="16"/>
  <c r="E46" i="10"/>
  <c r="E57" i="10"/>
  <c r="E42" i="9"/>
  <c r="G46" i="16"/>
  <c r="G47" i="9"/>
  <c r="G69" i="9"/>
  <c r="I20" i="24"/>
  <c r="J55" i="14"/>
  <c r="I42" i="16"/>
  <c r="L69" i="15"/>
  <c r="J54" i="14"/>
  <c r="I19" i="24"/>
  <c r="E69" i="11"/>
  <c r="L50" i="15"/>
  <c r="H69" i="9"/>
  <c r="H58" i="11"/>
  <c r="F63" i="10"/>
  <c r="J47" i="15"/>
  <c r="E18" i="24"/>
  <c r="F53" i="14"/>
  <c r="M54" i="15"/>
  <c r="G42" i="10"/>
  <c r="I46" i="16"/>
  <c r="F48" i="16"/>
  <c r="G57" i="4"/>
  <c r="H66" i="4"/>
  <c r="E49" i="9"/>
  <c r="O61" i="15"/>
  <c r="N66" i="15"/>
  <c r="L42" i="10"/>
  <c r="F46" i="16"/>
  <c r="J57" i="11"/>
  <c r="I56" i="10"/>
  <c r="I42" i="9"/>
  <c r="L66" i="9"/>
  <c r="O54" i="15"/>
  <c r="J50" i="14"/>
  <c r="I15" i="24"/>
  <c r="K68" i="10"/>
  <c r="H59" i="10"/>
  <c r="I53" i="16"/>
  <c r="I32" i="24"/>
  <c r="J67" i="14"/>
  <c r="H61" i="9"/>
  <c r="H61" i="4"/>
  <c r="J32" i="24"/>
  <c r="K67" i="14"/>
  <c r="H59" i="9"/>
  <c r="J54" i="9"/>
  <c r="I64" i="14"/>
  <c r="E56" i="10"/>
  <c r="L42" i="14"/>
  <c r="K7" i="24"/>
  <c r="L54" i="14"/>
  <c r="K19" i="24"/>
  <c r="J67" i="9"/>
  <c r="E57" i="4"/>
  <c r="M50" i="15"/>
  <c r="L61" i="16"/>
  <c r="M50" i="11"/>
  <c r="H53" i="9"/>
  <c r="J63" i="9"/>
  <c r="E50" i="10"/>
  <c r="I67" i="9"/>
  <c r="H49" i="4"/>
  <c r="M43" i="15"/>
  <c r="M51" i="11"/>
  <c r="I61" i="9"/>
  <c r="F51" i="10"/>
  <c r="I52" i="4"/>
  <c r="K62" i="11"/>
  <c r="G12" i="24"/>
  <c r="H47" i="14"/>
  <c r="J46" i="15"/>
  <c r="L59" i="4"/>
  <c r="O65" i="15"/>
  <c r="H65" i="4"/>
  <c r="K45" i="11"/>
  <c r="K50" i="9"/>
  <c r="L59" i="11"/>
  <c r="G17" i="24"/>
  <c r="H52" i="14"/>
  <c r="F59" i="9"/>
  <c r="I58" i="15"/>
  <c r="G68" i="16"/>
  <c r="L48" i="16"/>
  <c r="I42" i="10"/>
  <c r="F51" i="14"/>
  <c r="E16" i="24"/>
  <c r="K59" i="9"/>
  <c r="L63" i="16"/>
  <c r="I49" i="14"/>
  <c r="H14" i="24"/>
  <c r="K43" i="15"/>
  <c r="I63" i="16"/>
  <c r="G51" i="16"/>
  <c r="I60" i="9"/>
  <c r="M66" i="9"/>
  <c r="M50" i="4"/>
  <c r="AL15" i="4" s="1"/>
  <c r="L47" i="15"/>
  <c r="H60" i="16"/>
  <c r="F63" i="11"/>
  <c r="M61" i="4"/>
  <c r="AL26" i="4" s="1"/>
  <c r="H45" i="16"/>
  <c r="G67" i="10"/>
  <c r="L61" i="11"/>
  <c r="G8" i="24"/>
  <c r="H43" i="14"/>
  <c r="N47" i="14"/>
  <c r="N42" i="15"/>
  <c r="M53" i="9"/>
  <c r="L67" i="15"/>
  <c r="N69" i="14"/>
  <c r="G59" i="11"/>
  <c r="M53" i="4"/>
  <c r="AL18" i="4" s="1"/>
  <c r="F58" i="14"/>
  <c r="E23" i="24"/>
  <c r="H33" i="24"/>
  <c r="I68" i="14"/>
  <c r="D13" i="24"/>
  <c r="J60" i="16"/>
  <c r="M69" i="4"/>
  <c r="AL34" i="4" s="1"/>
  <c r="K49" i="11"/>
  <c r="G66" i="10"/>
  <c r="K45" i="4"/>
  <c r="G67" i="11"/>
  <c r="I68" i="15"/>
  <c r="F69" i="16"/>
  <c r="I45" i="9"/>
  <c r="E65" i="10"/>
  <c r="N66" i="16"/>
  <c r="M43" i="11"/>
  <c r="I65" i="11"/>
  <c r="I56" i="9"/>
  <c r="H42" i="4"/>
  <c r="F57" i="10"/>
  <c r="O50" i="15"/>
  <c r="K55" i="16"/>
  <c r="F68" i="10"/>
  <c r="E55" i="4"/>
  <c r="L57" i="10"/>
  <c r="N56" i="14"/>
  <c r="K68" i="15"/>
  <c r="G55" i="14"/>
  <c r="F20" i="24"/>
  <c r="I57" i="10"/>
  <c r="M47" i="15"/>
  <c r="G44" i="9"/>
  <c r="L43" i="15"/>
  <c r="K62" i="15"/>
  <c r="K44" i="10"/>
  <c r="F64" i="9"/>
  <c r="L46" i="16"/>
  <c r="G56" i="16"/>
  <c r="H50" i="11"/>
  <c r="H49" i="15"/>
  <c r="G65" i="16"/>
  <c r="L66" i="10"/>
  <c r="I69" i="16"/>
  <c r="M67" i="15"/>
  <c r="M49" i="10"/>
  <c r="E62" i="9"/>
  <c r="M61" i="9"/>
  <c r="G52" i="4"/>
  <c r="O64" i="15"/>
  <c r="K69" i="9"/>
  <c r="H54" i="15"/>
  <c r="F57" i="4"/>
  <c r="G48" i="15"/>
  <c r="E20" i="24"/>
  <c r="F55" i="14"/>
  <c r="L67" i="14"/>
  <c r="K32" i="24"/>
  <c r="F43" i="11"/>
  <c r="G69" i="11"/>
  <c r="H60" i="4"/>
  <c r="F62" i="9"/>
  <c r="F46" i="4"/>
  <c r="G47" i="4"/>
  <c r="H54" i="11"/>
  <c r="H55" i="9"/>
  <c r="L61" i="15"/>
  <c r="H69" i="15"/>
  <c r="N52" i="16"/>
  <c r="I62" i="4"/>
  <c r="E27" i="24"/>
  <c r="F62" i="14"/>
  <c r="I58" i="10"/>
  <c r="K56" i="10"/>
  <c r="M65" i="11"/>
  <c r="L63" i="15"/>
  <c r="M58" i="9"/>
  <c r="M62" i="15"/>
  <c r="H42" i="10"/>
  <c r="J44" i="11"/>
  <c r="L67" i="9"/>
  <c r="E63" i="10"/>
  <c r="E66" i="9"/>
  <c r="I42" i="4"/>
  <c r="H54" i="10"/>
  <c r="N47" i="15"/>
  <c r="M43" i="10"/>
  <c r="I66" i="10"/>
  <c r="I49" i="9"/>
  <c r="M48" i="9"/>
  <c r="F50" i="9"/>
  <c r="E49" i="11"/>
  <c r="J64" i="10"/>
  <c r="L64" i="9"/>
  <c r="H18" i="24"/>
  <c r="I53" i="14"/>
  <c r="D18" i="24"/>
  <c r="F65" i="4"/>
  <c r="G53" i="10"/>
  <c r="E58" i="10"/>
  <c r="M46" i="4"/>
  <c r="AL11" i="4" s="1"/>
  <c r="F56" i="16"/>
  <c r="G50" i="16"/>
  <c r="I55" i="9"/>
  <c r="L68" i="11"/>
  <c r="E43" i="4"/>
  <c r="F29" i="24"/>
  <c r="G64" i="14"/>
  <c r="E58" i="11"/>
  <c r="H60" i="9"/>
  <c r="E59" i="10"/>
  <c r="J63" i="10"/>
  <c r="F51" i="4"/>
  <c r="G55" i="4"/>
  <c r="M45" i="14"/>
  <c r="L10" i="24"/>
  <c r="H43" i="4"/>
  <c r="G42" i="4"/>
  <c r="E67" i="11"/>
  <c r="G62" i="11"/>
  <c r="I47" i="10"/>
  <c r="M42" i="9"/>
  <c r="I43" i="9"/>
  <c r="K53" i="15"/>
  <c r="K61" i="16"/>
  <c r="L49" i="10"/>
  <c r="F59" i="4"/>
  <c r="O52" i="15"/>
  <c r="F47" i="9"/>
  <c r="G53" i="16"/>
  <c r="J54" i="4"/>
  <c r="H55" i="11"/>
  <c r="L55" i="15"/>
  <c r="E52" i="11"/>
  <c r="O44" i="15"/>
  <c r="H63" i="15"/>
  <c r="G42" i="9"/>
  <c r="F67" i="10"/>
  <c r="M52" i="10"/>
  <c r="K48" i="10"/>
  <c r="H48" i="11"/>
  <c r="I51" i="10"/>
  <c r="F63" i="16"/>
  <c r="I47" i="4"/>
  <c r="G57" i="10"/>
  <c r="L45" i="10"/>
  <c r="K50" i="11"/>
  <c r="M53" i="15"/>
  <c r="H56" i="15"/>
  <c r="F42" i="9"/>
  <c r="F65" i="16"/>
  <c r="M68" i="9"/>
  <c r="I61" i="14"/>
  <c r="H26" i="24"/>
  <c r="G54" i="11"/>
  <c r="G53" i="11"/>
  <c r="O63" i="15"/>
  <c r="M49" i="11"/>
  <c r="F42" i="10"/>
  <c r="J52" i="4"/>
  <c r="I47" i="9"/>
  <c r="L53" i="11"/>
  <c r="L54" i="4"/>
  <c r="F46" i="9"/>
  <c r="F26" i="24"/>
  <c r="G61" i="14"/>
  <c r="J68" i="10"/>
  <c r="E60" i="11"/>
  <c r="L45" i="16"/>
  <c r="G44" i="16"/>
  <c r="G45" i="14"/>
  <c r="F10" i="24"/>
  <c r="E53" i="4"/>
  <c r="K54" i="15"/>
  <c r="E63" i="11"/>
  <c r="I50" i="4"/>
  <c r="K54" i="9"/>
  <c r="N59" i="14"/>
  <c r="D32" i="24"/>
  <c r="I64" i="4"/>
  <c r="K46" i="14"/>
  <c r="J11" i="24"/>
  <c r="K52" i="15"/>
  <c r="H59" i="11"/>
  <c r="K24" i="24"/>
  <c r="L59" i="14"/>
  <c r="L49" i="16"/>
  <c r="G65" i="10"/>
  <c r="L55" i="10"/>
  <c r="F55" i="11"/>
  <c r="L52" i="11"/>
  <c r="M64" i="11"/>
  <c r="N64" i="14"/>
  <c r="M29" i="24"/>
  <c r="M48" i="15"/>
  <c r="F59" i="16"/>
  <c r="M49" i="9"/>
  <c r="H68" i="9"/>
  <c r="G49" i="15"/>
  <c r="N50" i="16"/>
  <c r="H57" i="15"/>
  <c r="F60" i="4"/>
  <c r="H52" i="15"/>
  <c r="H43" i="16"/>
  <c r="G48" i="10"/>
  <c r="H50" i="15"/>
  <c r="J53" i="11"/>
  <c r="E66" i="10"/>
  <c r="I60" i="15"/>
  <c r="I48" i="11"/>
  <c r="M62" i="4"/>
  <c r="AL27" i="4" s="1"/>
  <c r="H57" i="4"/>
  <c r="E54" i="9"/>
  <c r="H67" i="9"/>
  <c r="N46" i="14"/>
  <c r="H48" i="10"/>
  <c r="L58" i="16"/>
  <c r="F48" i="14"/>
  <c r="E13" i="24"/>
  <c r="H69" i="11"/>
  <c r="M65" i="14"/>
  <c r="L30" i="24"/>
  <c r="N60" i="16"/>
  <c r="M45" i="4"/>
  <c r="AL10" i="4" s="1"/>
  <c r="N43" i="15"/>
  <c r="J45" i="16"/>
  <c r="I64" i="9"/>
  <c r="K59" i="16"/>
  <c r="H45" i="10"/>
  <c r="L66" i="11"/>
  <c r="L54" i="16"/>
  <c r="J61" i="4"/>
  <c r="L56" i="10"/>
  <c r="I21" i="24"/>
  <c r="J56" i="14"/>
  <c r="G65" i="9"/>
  <c r="I62" i="16"/>
  <c r="I43" i="15"/>
  <c r="F43" i="16"/>
  <c r="L64" i="15"/>
  <c r="J69" i="10"/>
  <c r="I53" i="10"/>
  <c r="I48" i="15"/>
  <c r="I50" i="11"/>
  <c r="F46" i="14"/>
  <c r="E11" i="24"/>
  <c r="M43" i="4"/>
  <c r="AL8" i="4" s="1"/>
  <c r="L65" i="9"/>
  <c r="I66" i="4"/>
  <c r="I65" i="15"/>
  <c r="L58" i="4"/>
  <c r="F60" i="11"/>
  <c r="N50" i="15"/>
  <c r="K52" i="10"/>
  <c r="K47" i="10"/>
  <c r="G58" i="4"/>
  <c r="E47" i="9"/>
  <c r="K60" i="10"/>
  <c r="I58" i="11"/>
  <c r="F57" i="11"/>
  <c r="F53" i="4"/>
  <c r="H67" i="16"/>
  <c r="G59" i="14"/>
  <c r="F24" i="24"/>
  <c r="J47" i="9"/>
  <c r="L43" i="16"/>
  <c r="M69" i="10"/>
  <c r="F56" i="9"/>
  <c r="J53" i="10"/>
  <c r="G66" i="11"/>
  <c r="E57" i="9"/>
  <c r="M60" i="15"/>
  <c r="M61" i="10"/>
  <c r="K56" i="4"/>
  <c r="J61" i="11"/>
  <c r="J69" i="16"/>
  <c r="K51" i="15"/>
  <c r="G50" i="15"/>
  <c r="J49" i="9"/>
  <c r="L60" i="15"/>
  <c r="G51" i="11"/>
  <c r="L60" i="16"/>
  <c r="K66" i="4"/>
  <c r="I49" i="11"/>
  <c r="E52" i="9"/>
  <c r="I63" i="10"/>
  <c r="J62" i="9"/>
  <c r="L47" i="16"/>
  <c r="N67" i="16"/>
  <c r="F55" i="10"/>
  <c r="J67" i="15"/>
  <c r="J14" i="24"/>
  <c r="K49" i="14"/>
  <c r="J60" i="9"/>
  <c r="D14" i="24"/>
  <c r="E63" i="4"/>
  <c r="I56" i="4"/>
  <c r="M45" i="10"/>
  <c r="L65" i="16"/>
  <c r="H66" i="16"/>
  <c r="N51" i="15"/>
  <c r="G66" i="15"/>
  <c r="G61" i="11"/>
  <c r="L46" i="10"/>
  <c r="H51" i="11"/>
  <c r="E64" i="10"/>
  <c r="L68" i="16"/>
  <c r="H63" i="11"/>
  <c r="K28" i="24"/>
  <c r="L63" i="14"/>
  <c r="J68" i="4"/>
  <c r="D9" i="24"/>
  <c r="I61" i="16"/>
  <c r="J67" i="4"/>
  <c r="J61" i="9"/>
  <c r="H53" i="11"/>
  <c r="F45" i="10"/>
  <c r="F18" i="24"/>
  <c r="G53" i="14"/>
  <c r="G55" i="15"/>
  <c r="I59" i="4"/>
  <c r="L44" i="11"/>
  <c r="G50" i="11"/>
  <c r="G57" i="16"/>
  <c r="K45" i="16"/>
  <c r="H46" i="10"/>
  <c r="G67" i="4"/>
  <c r="K64" i="15"/>
  <c r="L62" i="9"/>
  <c r="G53" i="15"/>
  <c r="E58" i="4"/>
  <c r="H47" i="15"/>
  <c r="H53" i="16"/>
  <c r="F43" i="4"/>
  <c r="K52" i="9"/>
  <c r="D26" i="24"/>
  <c r="H65" i="9"/>
  <c r="J58" i="4"/>
  <c r="M68" i="16"/>
  <c r="I69" i="15"/>
  <c r="E42" i="11"/>
  <c r="K58" i="15"/>
  <c r="I47" i="16"/>
  <c r="L53" i="16"/>
  <c r="I45" i="4"/>
  <c r="O51" i="15"/>
  <c r="E62" i="11"/>
  <c r="G60" i="16"/>
  <c r="K26" i="24"/>
  <c r="L61" i="14"/>
  <c r="M46" i="11"/>
  <c r="K61" i="10"/>
  <c r="M46" i="15"/>
  <c r="H56" i="9"/>
  <c r="G48" i="9"/>
  <c r="I44" i="11"/>
  <c r="L63" i="4"/>
  <c r="L48" i="11"/>
  <c r="J57" i="16"/>
  <c r="E64" i="11"/>
  <c r="E54" i="10"/>
  <c r="L45" i="15"/>
  <c r="E56" i="11"/>
  <c r="H52" i="16"/>
  <c r="E64" i="9"/>
  <c r="J51" i="15"/>
  <c r="G57" i="11"/>
  <c r="J65" i="16"/>
  <c r="N45" i="15"/>
  <c r="E44" i="4"/>
  <c r="E69" i="4"/>
  <c r="M64" i="4"/>
  <c r="AL29" i="4" s="1"/>
  <c r="K55" i="4"/>
  <c r="I64" i="11"/>
  <c r="N55" i="15"/>
  <c r="I63" i="15"/>
  <c r="H66" i="10"/>
  <c r="M55" i="9"/>
  <c r="M45" i="9"/>
  <c r="H54" i="16"/>
  <c r="H61" i="10"/>
  <c r="G50" i="4"/>
  <c r="K65" i="11"/>
  <c r="L45" i="9"/>
  <c r="L67" i="16"/>
  <c r="K48" i="9"/>
  <c r="N65" i="16"/>
  <c r="K46" i="15"/>
  <c r="K59" i="15"/>
  <c r="G58" i="15"/>
  <c r="E53" i="9"/>
  <c r="G47" i="11"/>
  <c r="J45" i="15"/>
  <c r="J56" i="4"/>
  <c r="I59" i="10"/>
  <c r="H64" i="11"/>
  <c r="J66" i="11"/>
  <c r="K44" i="16"/>
  <c r="K51" i="4"/>
  <c r="G43" i="10"/>
  <c r="J60" i="15"/>
  <c r="K62" i="16"/>
  <c r="I53" i="15"/>
  <c r="K46" i="10"/>
  <c r="K63" i="15"/>
  <c r="K54" i="11"/>
  <c r="I63" i="9"/>
  <c r="M48" i="11"/>
  <c r="M57" i="15"/>
  <c r="L57" i="16"/>
  <c r="G51" i="15"/>
  <c r="E65" i="4"/>
  <c r="G51" i="10"/>
  <c r="J42" i="16"/>
  <c r="H51" i="15"/>
  <c r="I44" i="9"/>
  <c r="I60" i="11"/>
  <c r="I57" i="11"/>
  <c r="G43" i="4"/>
  <c r="G52" i="11"/>
  <c r="J64" i="9"/>
  <c r="F62" i="11"/>
  <c r="G59" i="10"/>
  <c r="G64" i="16"/>
  <c r="G54" i="16"/>
  <c r="K48" i="11"/>
  <c r="G65" i="4"/>
  <c r="G44" i="10"/>
  <c r="L50" i="16"/>
  <c r="K52" i="16"/>
  <c r="J50" i="15"/>
  <c r="E61" i="9"/>
  <c r="K45" i="15"/>
  <c r="G47" i="10"/>
  <c r="J55" i="16"/>
  <c r="J60" i="4"/>
  <c r="M63" i="11"/>
  <c r="I57" i="9"/>
  <c r="L50" i="11"/>
  <c r="J51" i="9"/>
  <c r="H42" i="9"/>
  <c r="H68" i="15"/>
  <c r="J52" i="15"/>
  <c r="F68" i="11"/>
  <c r="J65" i="9"/>
  <c r="L63" i="10"/>
  <c r="M65" i="16"/>
  <c r="L27" i="24"/>
  <c r="M62" i="14"/>
  <c r="M60" i="16"/>
  <c r="N46" i="16"/>
  <c r="J66" i="10"/>
  <c r="M57" i="4"/>
  <c r="AL22" i="4" s="1"/>
  <c r="L58" i="11"/>
  <c r="I69" i="4"/>
  <c r="M55" i="15"/>
  <c r="G67" i="9"/>
  <c r="H64" i="9"/>
  <c r="E51" i="4"/>
  <c r="G43" i="11"/>
  <c r="J46" i="4"/>
  <c r="E69" i="9"/>
  <c r="K45" i="10"/>
  <c r="H64" i="15"/>
  <c r="M67" i="4"/>
  <c r="AL32" i="4" s="1"/>
  <c r="L51" i="11"/>
  <c r="G58" i="10"/>
  <c r="N55" i="16"/>
  <c r="J69" i="14"/>
  <c r="F42" i="4"/>
  <c r="H57" i="9"/>
  <c r="H67" i="11"/>
  <c r="E55" i="11"/>
  <c r="I52" i="16"/>
  <c r="M55" i="11"/>
  <c r="J64" i="15"/>
  <c r="M43" i="9"/>
  <c r="H50" i="10"/>
  <c r="F64" i="4"/>
  <c r="H56" i="16"/>
  <c r="G46" i="15"/>
  <c r="G58" i="9"/>
  <c r="J57" i="10"/>
  <c r="M50" i="10"/>
  <c r="I42" i="15"/>
  <c r="K64" i="16"/>
  <c r="K58" i="11"/>
  <c r="G63" i="15"/>
  <c r="G50" i="9"/>
  <c r="F49" i="4"/>
  <c r="H69" i="10"/>
  <c r="G67" i="15"/>
  <c r="G48" i="11"/>
  <c r="O59" i="15"/>
  <c r="E60" i="4"/>
  <c r="J65" i="10"/>
  <c r="G52" i="15"/>
  <c r="I57" i="15"/>
  <c r="N43" i="16"/>
  <c r="O46" i="15"/>
  <c r="J59" i="9"/>
  <c r="H49" i="9"/>
  <c r="K57" i="4"/>
  <c r="K43" i="11"/>
  <c r="J48" i="16"/>
  <c r="F52" i="11"/>
  <c r="I54" i="15"/>
  <c r="K64" i="10"/>
  <c r="F56" i="14"/>
  <c r="E21" i="24"/>
  <c r="I16" i="24"/>
  <c r="J51" i="14"/>
  <c r="G42" i="11"/>
  <c r="J57" i="9"/>
  <c r="H61" i="16"/>
  <c r="K43" i="4"/>
  <c r="L42" i="15"/>
  <c r="N64" i="15"/>
  <c r="I52" i="15"/>
  <c r="J69" i="15"/>
  <c r="G65" i="15"/>
  <c r="J61" i="15"/>
  <c r="I43" i="16"/>
  <c r="L44" i="10"/>
  <c r="L52" i="16"/>
  <c r="H63" i="16"/>
  <c r="K44" i="4"/>
  <c r="G66" i="9"/>
  <c r="O68" i="15"/>
  <c r="I46" i="10"/>
  <c r="L44" i="16"/>
  <c r="M56" i="10"/>
  <c r="K63" i="10"/>
  <c r="K44" i="15"/>
  <c r="H48" i="15"/>
  <c r="J46" i="16"/>
  <c r="I54" i="16"/>
  <c r="K55" i="15"/>
  <c r="J49" i="10"/>
  <c r="J46" i="10"/>
  <c r="J45" i="9"/>
  <c r="G51" i="4"/>
  <c r="G68" i="15"/>
  <c r="K53" i="11"/>
  <c r="N56" i="15"/>
  <c r="M43" i="16"/>
  <c r="M49" i="15"/>
  <c r="L64" i="10"/>
  <c r="G58" i="11"/>
  <c r="H51" i="10"/>
  <c r="M65" i="10"/>
  <c r="H65" i="16"/>
  <c r="J64" i="11"/>
  <c r="F69" i="4"/>
  <c r="K49" i="9"/>
  <c r="M42" i="4"/>
  <c r="AL7" i="4" s="1"/>
  <c r="G64" i="15"/>
  <c r="M47" i="4"/>
  <c r="AL12" i="4" s="1"/>
  <c r="K47" i="16"/>
  <c r="L58" i="9"/>
  <c r="M67" i="9"/>
  <c r="O48" i="15"/>
  <c r="J49" i="16"/>
  <c r="G42" i="16"/>
  <c r="N48" i="15"/>
  <c r="I64" i="15"/>
  <c r="F51" i="9"/>
  <c r="J66" i="15"/>
  <c r="K66" i="10"/>
  <c r="G56" i="11"/>
  <c r="G49" i="10"/>
  <c r="H60" i="11"/>
  <c r="I44" i="4"/>
  <c r="N54" i="16"/>
  <c r="F63" i="4"/>
  <c r="F64" i="11"/>
  <c r="G60" i="4"/>
  <c r="H62" i="11"/>
  <c r="M46" i="16"/>
  <c r="F54" i="11"/>
  <c r="L62" i="15"/>
  <c r="J54" i="15"/>
  <c r="J51" i="11"/>
  <c r="M67" i="11"/>
  <c r="E68" i="10"/>
  <c r="J50" i="11"/>
  <c r="N53" i="16"/>
  <c r="L50" i="10"/>
  <c r="F51" i="16"/>
  <c r="M59" i="4"/>
  <c r="AL24" i="4" s="1"/>
  <c r="F53" i="11"/>
  <c r="K50" i="16"/>
  <c r="F45" i="11"/>
  <c r="L52" i="10"/>
  <c r="F56" i="10"/>
  <c r="E50" i="9"/>
  <c r="K62" i="9"/>
  <c r="K46" i="4"/>
  <c r="F14" i="24"/>
  <c r="G49" i="14"/>
  <c r="K47" i="15"/>
  <c r="E44" i="10"/>
  <c r="K64" i="4"/>
  <c r="J53" i="9"/>
  <c r="L47" i="11"/>
  <c r="J51" i="4"/>
  <c r="H7" i="24"/>
  <c r="I42" i="14"/>
  <c r="K59" i="4"/>
  <c r="I69" i="10"/>
  <c r="L55" i="11"/>
  <c r="K60" i="11"/>
  <c r="H50" i="16"/>
  <c r="F58" i="11"/>
  <c r="L69" i="9"/>
  <c r="K42" i="10"/>
  <c r="K51" i="16"/>
  <c r="N48" i="14"/>
  <c r="M44" i="4"/>
  <c r="AL9" i="4" s="1"/>
  <c r="K51" i="9"/>
  <c r="G64" i="9"/>
  <c r="M66" i="11"/>
  <c r="N42" i="16"/>
  <c r="N51" i="16"/>
  <c r="G46" i="9"/>
  <c r="K67" i="16"/>
  <c r="G49" i="11"/>
  <c r="I49" i="10"/>
  <c r="H68" i="16"/>
  <c r="H55" i="15"/>
  <c r="I68" i="4"/>
  <c r="G66" i="4"/>
  <c r="E54" i="4"/>
  <c r="F67" i="9"/>
  <c r="H44" i="16"/>
  <c r="J66" i="16"/>
  <c r="H51" i="16"/>
  <c r="L56" i="9"/>
  <c r="K48" i="16"/>
  <c r="G46" i="10"/>
  <c r="H66" i="9"/>
  <c r="L68" i="15"/>
  <c r="M68" i="11"/>
  <c r="M51" i="9"/>
  <c r="L54" i="10"/>
  <c r="I45" i="10"/>
  <c r="F55" i="4"/>
  <c r="K68" i="16"/>
  <c r="E49" i="4"/>
  <c r="M55" i="16"/>
  <c r="J44" i="16"/>
  <c r="K55" i="10"/>
  <c r="H52" i="4"/>
  <c r="E46" i="11"/>
  <c r="K45" i="9"/>
  <c r="E57" i="11"/>
  <c r="G55" i="9"/>
  <c r="J53" i="15"/>
  <c r="G47" i="16"/>
  <c r="L43" i="10"/>
  <c r="L49" i="9"/>
  <c r="F58" i="16"/>
  <c r="G68" i="14"/>
  <c r="F33" i="24"/>
  <c r="K56" i="11"/>
  <c r="L47" i="4"/>
  <c r="I66" i="11"/>
  <c r="J56" i="16"/>
  <c r="J69" i="11"/>
  <c r="G45" i="11"/>
  <c r="G67" i="14"/>
  <c r="F32" i="24"/>
  <c r="N62" i="16"/>
  <c r="L66" i="15"/>
  <c r="J58" i="16"/>
  <c r="K56" i="15"/>
  <c r="M42" i="11"/>
  <c r="M58" i="4"/>
  <c r="AL23" i="4" s="1"/>
  <c r="N69" i="15"/>
  <c r="K69" i="14"/>
  <c r="K61" i="14"/>
  <c r="J26" i="24"/>
  <c r="D31" i="24"/>
  <c r="G66" i="16"/>
  <c r="L25" i="24"/>
  <c r="M60" i="14"/>
  <c r="K50" i="4"/>
  <c r="M58" i="16"/>
  <c r="H69" i="16"/>
  <c r="L53" i="10"/>
  <c r="I55" i="16"/>
  <c r="J61" i="16"/>
  <c r="I65" i="16"/>
  <c r="F68" i="16"/>
  <c r="H46" i="15"/>
  <c r="J68" i="9"/>
  <c r="F64" i="16"/>
  <c r="H61" i="11"/>
  <c r="F44" i="9"/>
  <c r="N68" i="15"/>
  <c r="H46" i="4"/>
  <c r="F63" i="9"/>
  <c r="E47" i="10"/>
  <c r="G68" i="10"/>
  <c r="K66" i="11"/>
  <c r="K54" i="4"/>
  <c r="G67" i="16"/>
  <c r="L60" i="9"/>
  <c r="F58" i="4"/>
  <c r="I68" i="16"/>
  <c r="J49" i="11"/>
  <c r="J49" i="15"/>
  <c r="H45" i="4"/>
  <c r="M45" i="11"/>
  <c r="F53" i="9"/>
  <c r="J54" i="10"/>
  <c r="H45" i="9"/>
  <c r="I56" i="11"/>
  <c r="G60" i="11"/>
  <c r="L64" i="11"/>
  <c r="F43" i="9"/>
  <c r="J60" i="11"/>
  <c r="I45" i="11"/>
  <c r="J55" i="9"/>
  <c r="I61" i="11"/>
  <c r="J62" i="10"/>
  <c r="J43" i="4"/>
  <c r="F50" i="4"/>
  <c r="M63" i="16"/>
  <c r="H60" i="15"/>
  <c r="L51" i="14"/>
  <c r="K16" i="24"/>
  <c r="F60" i="16"/>
  <c r="L62" i="11"/>
  <c r="M52" i="11"/>
  <c r="L48" i="15"/>
  <c r="G57" i="15"/>
  <c r="M58" i="10"/>
  <c r="I49" i="16"/>
  <c r="G45" i="16"/>
  <c r="G55" i="16"/>
  <c r="M44" i="15"/>
  <c r="N44" i="16"/>
  <c r="G57" i="9"/>
  <c r="M59" i="15"/>
  <c r="J42" i="4"/>
  <c r="J44" i="4"/>
  <c r="F44" i="4"/>
  <c r="O42" i="15"/>
  <c r="E56" i="4"/>
  <c r="H44" i="15"/>
  <c r="J59" i="15"/>
  <c r="L68" i="9"/>
  <c r="K36" i="24" l="1"/>
  <c r="D36" i="24"/>
  <c r="G36" i="24"/>
  <c r="J36" i="24"/>
  <c r="I36" i="24"/>
  <c r="E36" i="24"/>
  <c r="F36" i="24"/>
  <c r="AD43" i="4"/>
  <c r="AD62" i="4"/>
  <c r="AD66" i="4"/>
  <c r="AD67" i="4"/>
  <c r="AD57" i="4"/>
  <c r="AD53" i="4"/>
  <c r="AD61" i="4"/>
  <c r="AD50" i="4"/>
  <c r="AD68" i="4"/>
  <c r="AD44" i="4"/>
  <c r="AD64" i="4"/>
  <c r="AD69" i="4"/>
  <c r="AD51" i="4"/>
  <c r="AD56" i="4"/>
  <c r="AD55" i="4"/>
  <c r="AD49" i="4"/>
  <c r="AD60" i="4"/>
  <c r="AD58" i="4"/>
  <c r="AD59" i="4"/>
  <c r="AD47" i="4"/>
  <c r="AD45" i="4"/>
  <c r="AD46" i="4"/>
  <c r="AD52" i="4"/>
  <c r="AD63" i="4"/>
  <c r="AD65" i="4"/>
  <c r="AD54" i="4"/>
  <c r="AD42" i="4"/>
  <c r="L66" i="24"/>
  <c r="K59" i="24"/>
  <c r="E50" i="24"/>
  <c r="G52" i="24"/>
  <c r="J66" i="24"/>
  <c r="H49" i="24"/>
  <c r="H59" i="24"/>
  <c r="F45" i="24"/>
  <c r="L47" i="24"/>
  <c r="E63" i="24"/>
  <c r="F44" i="24"/>
  <c r="K54" i="24"/>
  <c r="J64" i="24"/>
  <c r="E46" i="24"/>
  <c r="K55" i="24"/>
  <c r="J58" i="24"/>
  <c r="K43" i="24"/>
  <c r="I57" i="24"/>
  <c r="H45" i="24"/>
  <c r="J63" i="24"/>
  <c r="F68" i="24"/>
  <c r="E57" i="24"/>
  <c r="L43" i="24"/>
  <c r="K51" i="24"/>
  <c r="E59" i="24"/>
  <c r="K60" i="24"/>
  <c r="L65" i="24"/>
  <c r="J46" i="24"/>
  <c r="I55" i="24"/>
  <c r="G58" i="24"/>
  <c r="E43" i="24"/>
  <c r="G48" i="24"/>
  <c r="J45" i="24"/>
  <c r="H47" i="24"/>
  <c r="F62" i="24"/>
  <c r="E60" i="24"/>
  <c r="I67" i="24"/>
  <c r="J49" i="24"/>
  <c r="L48" i="24"/>
  <c r="I48" i="24"/>
  <c r="L57" i="24"/>
  <c r="H50" i="24"/>
  <c r="L45" i="24"/>
  <c r="E62" i="24"/>
  <c r="G54" i="24"/>
  <c r="H51" i="24"/>
  <c r="J61" i="24"/>
  <c r="K62" i="24"/>
  <c r="K53" i="24"/>
  <c r="F65" i="24"/>
  <c r="L62" i="24"/>
  <c r="I44" i="24"/>
  <c r="E52" i="24"/>
  <c r="E56" i="24"/>
  <c r="H67" i="24"/>
  <c r="E66" i="24"/>
  <c r="J53" i="24"/>
  <c r="I60" i="24"/>
  <c r="E58" i="24"/>
  <c r="G62" i="24"/>
  <c r="K49" i="24"/>
  <c r="K64" i="24"/>
  <c r="I56" i="24"/>
  <c r="I43" i="24"/>
  <c r="J67" i="24"/>
  <c r="E54" i="24"/>
  <c r="H53" i="24"/>
  <c r="J42" i="24"/>
  <c r="K48" i="24"/>
  <c r="F47" i="24"/>
  <c r="F50" i="24"/>
  <c r="I52" i="24"/>
  <c r="F42" i="24"/>
  <c r="I66" i="24"/>
  <c r="I50" i="24"/>
  <c r="G46" i="24"/>
  <c r="J68" i="24"/>
  <c r="K58" i="24"/>
  <c r="E67" i="24"/>
  <c r="I65" i="24"/>
  <c r="H55" i="24"/>
  <c r="L53" i="24"/>
  <c r="K65" i="24"/>
  <c r="E61" i="24"/>
  <c r="G60" i="24"/>
  <c r="G44" i="24"/>
  <c r="F55" i="24"/>
  <c r="G53" i="24"/>
  <c r="F51" i="24"/>
  <c r="H46" i="24"/>
  <c r="L52" i="24"/>
  <c r="G66" i="24"/>
  <c r="G61" i="24"/>
  <c r="L51" i="24"/>
  <c r="J47" i="24"/>
  <c r="F64" i="24"/>
  <c r="F43" i="24"/>
  <c r="H57" i="24"/>
  <c r="I62" i="24"/>
  <c r="I59" i="24"/>
  <c r="K63" i="24"/>
  <c r="E55" i="24"/>
  <c r="H68" i="24"/>
  <c r="E48" i="24"/>
  <c r="G56" i="24"/>
  <c r="G43" i="24"/>
  <c r="H44" i="24"/>
  <c r="N56" i="17"/>
  <c r="M21" i="24"/>
  <c r="N51" i="17"/>
  <c r="M16" i="24"/>
  <c r="N50" i="17"/>
  <c r="M15" i="24"/>
  <c r="J44" i="24"/>
  <c r="N49" i="17"/>
  <c r="M14" i="24"/>
  <c r="H58" i="24"/>
  <c r="J57" i="24"/>
  <c r="E42" i="24"/>
  <c r="H62" i="24"/>
  <c r="L67" i="24"/>
  <c r="N43" i="17"/>
  <c r="M8" i="24"/>
  <c r="H54" i="24"/>
  <c r="N55" i="17"/>
  <c r="M20" i="24"/>
  <c r="N57" i="17"/>
  <c r="M22" i="24"/>
  <c r="H48" i="24"/>
  <c r="L61" i="24"/>
  <c r="N54" i="17"/>
  <c r="M19" i="24"/>
  <c r="L64" i="24"/>
  <c r="K44" i="24"/>
  <c r="N44" i="17"/>
  <c r="M9" i="24"/>
  <c r="M64" i="24"/>
  <c r="N64" i="24"/>
  <c r="G51" i="24"/>
  <c r="J65" i="24"/>
  <c r="G68" i="24"/>
  <c r="N45" i="17"/>
  <c r="M10" i="24"/>
  <c r="H66" i="24"/>
  <c r="N58" i="17"/>
  <c r="M23" i="24"/>
  <c r="J50" i="24"/>
  <c r="K52" i="24"/>
  <c r="I68" i="24"/>
  <c r="G57" i="24"/>
  <c r="G59" i="24"/>
  <c r="I58" i="24"/>
  <c r="H60" i="24"/>
  <c r="L63" i="24"/>
  <c r="I47" i="24"/>
  <c r="G49" i="24"/>
  <c r="I63" i="24"/>
  <c r="L55" i="24"/>
  <c r="E64" i="24"/>
  <c r="N42" i="17"/>
  <c r="M7" i="24"/>
  <c r="J62" i="24"/>
  <c r="F52" i="24"/>
  <c r="N65" i="17"/>
  <c r="M30" i="24"/>
  <c r="N63" i="17"/>
  <c r="M28" i="24"/>
  <c r="N48" i="17"/>
  <c r="M13" i="24"/>
  <c r="I51" i="24"/>
  <c r="N69" i="17"/>
  <c r="K46" i="24"/>
  <c r="G42" i="24"/>
  <c r="F54" i="24"/>
  <c r="L60" i="24"/>
  <c r="H42" i="24"/>
  <c r="L54" i="24"/>
  <c r="L42" i="24"/>
  <c r="J52" i="24"/>
  <c r="L59" i="24"/>
  <c r="I46" i="24"/>
  <c r="G55" i="24"/>
  <c r="L56" i="17"/>
  <c r="L21" i="24"/>
  <c r="L56" i="24" s="1"/>
  <c r="K56" i="24"/>
  <c r="N68" i="17"/>
  <c r="M33" i="24"/>
  <c r="F56" i="24"/>
  <c r="J54" i="24"/>
  <c r="L44" i="17"/>
  <c r="L9" i="24"/>
  <c r="L44" i="24" s="1"/>
  <c r="G64" i="24"/>
  <c r="H63" i="24"/>
  <c r="G50" i="24"/>
  <c r="L50" i="17"/>
  <c r="L15" i="24"/>
  <c r="L50" i="24" s="1"/>
  <c r="H65" i="24"/>
  <c r="N52" i="17"/>
  <c r="M17" i="24"/>
  <c r="J48" i="24"/>
  <c r="J60" i="24"/>
  <c r="N53" i="17"/>
  <c r="M18" i="24"/>
  <c r="J56" i="24"/>
  <c r="K61" i="24"/>
  <c r="N66" i="17"/>
  <c r="M31" i="24"/>
  <c r="F53" i="24"/>
  <c r="N59" i="17"/>
  <c r="M24" i="24"/>
  <c r="F61" i="24"/>
  <c r="H61" i="24"/>
  <c r="K42" i="24"/>
  <c r="H52" i="24"/>
  <c r="L46" i="24"/>
  <c r="L58" i="24"/>
  <c r="I42" i="24"/>
  <c r="E47" i="24"/>
  <c r="F57" i="24"/>
  <c r="F63" i="24"/>
  <c r="K68" i="24"/>
  <c r="G65" i="24"/>
  <c r="J59" i="24"/>
  <c r="N60" i="17"/>
  <c r="M25" i="24"/>
  <c r="K45" i="24"/>
  <c r="J51" i="24"/>
  <c r="E65" i="24"/>
  <c r="I61" i="24"/>
  <c r="K57" i="24"/>
  <c r="N67" i="17"/>
  <c r="M32" i="24"/>
  <c r="N61" i="17"/>
  <c r="M26" i="24"/>
  <c r="K47" i="24"/>
  <c r="L68" i="24"/>
  <c r="I49" i="24"/>
  <c r="G67" i="24"/>
  <c r="I45" i="24"/>
  <c r="J43" i="24"/>
  <c r="G45" i="24"/>
  <c r="J55" i="24"/>
  <c r="H64" i="17"/>
  <c r="H29" i="24"/>
  <c r="H64" i="24" s="1"/>
  <c r="F59" i="24"/>
  <c r="K67" i="24"/>
  <c r="N47" i="17"/>
  <c r="M12" i="24"/>
  <c r="E53" i="24"/>
  <c r="E49" i="24"/>
  <c r="F49" i="24"/>
  <c r="F67" i="24"/>
  <c r="N46" i="17"/>
  <c r="M11" i="24"/>
  <c r="E51" i="24"/>
  <c r="G47" i="24"/>
  <c r="I54" i="24"/>
  <c r="F66" i="24"/>
  <c r="F58" i="24"/>
  <c r="F48" i="24"/>
  <c r="F60" i="24"/>
  <c r="G63" i="24"/>
  <c r="I53" i="24"/>
  <c r="E68" i="24"/>
  <c r="N62" i="17"/>
  <c r="M27" i="24"/>
  <c r="K66" i="24"/>
  <c r="F46" i="24"/>
  <c r="H56" i="24"/>
  <c r="H43" i="24"/>
  <c r="K50" i="24"/>
  <c r="L49" i="24"/>
  <c r="E44" i="24"/>
  <c r="E45" i="24"/>
  <c r="M64" i="17"/>
  <c r="N64" i="17"/>
  <c r="H44" i="17"/>
  <c r="F60" i="17"/>
  <c r="M57" i="17"/>
  <c r="H69" i="17"/>
  <c r="I59" i="17"/>
  <c r="G52" i="17"/>
  <c r="I44" i="17"/>
  <c r="L52" i="17"/>
  <c r="F56" i="17"/>
  <c r="K63" i="17"/>
  <c r="M53" i="17"/>
  <c r="E65" i="17"/>
  <c r="F48" i="17"/>
  <c r="L60" i="17"/>
  <c r="H66" i="17"/>
  <c r="K58" i="17"/>
  <c r="E62" i="17"/>
  <c r="I67" i="17"/>
  <c r="E63" i="17"/>
  <c r="E44" i="17"/>
  <c r="L65" i="17"/>
  <c r="G47" i="17"/>
  <c r="H65" i="17"/>
  <c r="H62" i="17"/>
  <c r="F50" i="17"/>
  <c r="F54" i="17"/>
  <c r="F59" i="17"/>
  <c r="E48" i="17"/>
  <c r="M51" i="17"/>
  <c r="G44" i="17"/>
  <c r="H60" i="17"/>
  <c r="L62" i="17"/>
  <c r="J46" i="17"/>
  <c r="K42" i="17"/>
  <c r="J58" i="17"/>
  <c r="I43" i="17"/>
  <c r="J63" i="17"/>
  <c r="J49" i="17"/>
  <c r="M49" i="17"/>
  <c r="J66" i="17"/>
  <c r="K69" i="17"/>
  <c r="I51" i="17"/>
  <c r="I47" i="17"/>
  <c r="F49" i="17"/>
  <c r="F61" i="17"/>
  <c r="L45" i="17"/>
  <c r="I50" i="17"/>
  <c r="K48" i="17"/>
  <c r="J57" i="17"/>
  <c r="H49" i="17"/>
  <c r="F65" i="17"/>
  <c r="G58" i="17"/>
  <c r="K47" i="17"/>
  <c r="E46" i="17"/>
  <c r="K61" i="17"/>
  <c r="F53" i="17"/>
  <c r="F43" i="17"/>
  <c r="J52" i="17"/>
  <c r="E55" i="17"/>
  <c r="F66" i="17"/>
  <c r="J68" i="17"/>
  <c r="L66" i="17"/>
  <c r="H45" i="17"/>
  <c r="M59" i="17"/>
  <c r="J56" i="17"/>
  <c r="H42" i="17"/>
  <c r="E66" i="17"/>
  <c r="H48" i="17"/>
  <c r="I69" i="17"/>
  <c r="M69" i="17"/>
  <c r="J67" i="17"/>
  <c r="H52" i="17"/>
  <c r="K53" i="17"/>
  <c r="H59" i="17"/>
  <c r="E61" i="17"/>
  <c r="M68" i="17"/>
  <c r="J51" i="17"/>
  <c r="F42" i="17"/>
  <c r="K57" i="17"/>
  <c r="G67" i="17"/>
  <c r="I48" i="17"/>
  <c r="L55" i="17"/>
  <c r="K49" i="17"/>
  <c r="J62" i="17"/>
  <c r="L59" i="17"/>
  <c r="H68" i="17"/>
  <c r="E53" i="17"/>
  <c r="G46" i="17"/>
  <c r="I42" i="17"/>
  <c r="E60" i="17"/>
  <c r="G57" i="17"/>
  <c r="H54" i="17"/>
  <c r="M52" i="17"/>
  <c r="E64" i="17"/>
  <c r="K60" i="17"/>
  <c r="M54" i="17"/>
  <c r="I55" i="17"/>
  <c r="F69" i="17"/>
  <c r="H58" i="17"/>
  <c r="G62" i="17"/>
  <c r="F68" i="17"/>
  <c r="G68" i="17"/>
  <c r="E67" i="17"/>
  <c r="I65" i="17"/>
  <c r="E56" i="17"/>
  <c r="F45" i="17"/>
  <c r="H53" i="17"/>
  <c r="E58" i="17"/>
  <c r="F51" i="17"/>
  <c r="E57" i="17"/>
  <c r="L68" i="17"/>
  <c r="L64" i="17"/>
  <c r="E51" i="17"/>
  <c r="J64" i="17"/>
  <c r="L42" i="17"/>
  <c r="M48" i="17"/>
  <c r="M46" i="17"/>
  <c r="M56" i="17"/>
  <c r="K54" i="17"/>
  <c r="K46" i="17"/>
  <c r="G55" i="17"/>
  <c r="H46" i="17"/>
  <c r="M45" i="17"/>
  <c r="F47" i="17"/>
  <c r="K65" i="17"/>
  <c r="I61" i="17"/>
  <c r="E59" i="17"/>
  <c r="L43" i="17"/>
  <c r="F50" i="12"/>
  <c r="K64" i="12"/>
  <c r="G43" i="12"/>
  <c r="L63" i="12"/>
  <c r="E46" i="12"/>
  <c r="I55" i="12"/>
  <c r="L48" i="12"/>
  <c r="J55" i="12"/>
  <c r="G49" i="12"/>
  <c r="I51" i="12"/>
  <c r="G45" i="12"/>
  <c r="M68" i="12"/>
  <c r="E56" i="12"/>
  <c r="J42" i="12"/>
  <c r="J43" i="12"/>
  <c r="K54" i="12"/>
  <c r="M59" i="12"/>
  <c r="F49" i="12"/>
  <c r="E44" i="12"/>
  <c r="I45" i="12"/>
  <c r="H57" i="12"/>
  <c r="I50" i="12"/>
  <c r="I47" i="12"/>
  <c r="G55" i="12"/>
  <c r="M46" i="12"/>
  <c r="I52" i="12"/>
  <c r="E57" i="12"/>
  <c r="J49" i="12"/>
  <c r="H47" i="12"/>
  <c r="I49" i="12"/>
  <c r="L45" i="12"/>
  <c r="J63" i="12"/>
  <c r="H47" i="17"/>
  <c r="M52" i="12"/>
  <c r="M65" i="12"/>
  <c r="G59" i="17"/>
  <c r="I66" i="17"/>
  <c r="K63" i="12"/>
  <c r="E59" i="12"/>
  <c r="I45" i="17"/>
  <c r="J47" i="17"/>
  <c r="J44" i="17"/>
  <c r="L49" i="12"/>
  <c r="M63" i="17"/>
  <c r="J43" i="17"/>
  <c r="M48" i="12"/>
  <c r="H43" i="17"/>
  <c r="K44" i="17"/>
  <c r="K51" i="17"/>
  <c r="L47" i="12"/>
  <c r="K46" i="12"/>
  <c r="K44" i="12"/>
  <c r="J60" i="12"/>
  <c r="J58" i="12"/>
  <c r="K66" i="12"/>
  <c r="K56" i="12"/>
  <c r="M43" i="12"/>
  <c r="J61" i="12"/>
  <c r="K59" i="17"/>
  <c r="F59" i="12"/>
  <c r="H60" i="12"/>
  <c r="H48" i="12"/>
  <c r="M50" i="12"/>
  <c r="K48" i="12"/>
  <c r="H51" i="17"/>
  <c r="L46" i="17"/>
  <c r="F68" i="12"/>
  <c r="J62" i="12"/>
  <c r="M65" i="17"/>
  <c r="H58" i="12"/>
  <c r="J42" i="17"/>
  <c r="G53" i="12"/>
  <c r="E42" i="17"/>
  <c r="E52" i="17"/>
  <c r="F56" i="12"/>
  <c r="F62" i="17"/>
  <c r="K55" i="17"/>
  <c r="L67" i="17"/>
  <c r="M60" i="12"/>
  <c r="J66" i="12"/>
  <c r="I57" i="12"/>
  <c r="I68" i="17"/>
  <c r="G60" i="17"/>
  <c r="E54" i="17"/>
  <c r="E49" i="17"/>
  <c r="F61" i="12"/>
  <c r="J65" i="12"/>
  <c r="M62" i="17"/>
  <c r="H63" i="17"/>
  <c r="K66" i="17"/>
  <c r="G50" i="17"/>
  <c r="E52" i="12"/>
  <c r="E64" i="12"/>
  <c r="G42" i="17"/>
  <c r="L56" i="12"/>
  <c r="J53" i="17"/>
  <c r="L68" i="12"/>
  <c r="I63" i="17"/>
  <c r="G48" i="17"/>
  <c r="F62" i="12"/>
  <c r="G68" i="12"/>
  <c r="K64" i="17"/>
  <c r="I57" i="17"/>
  <c r="K59" i="12"/>
  <c r="I64" i="12"/>
  <c r="H66" i="12"/>
  <c r="E62" i="12"/>
  <c r="G61" i="12"/>
  <c r="I60" i="12"/>
  <c r="L57" i="12"/>
  <c r="E49" i="12"/>
  <c r="F69" i="12"/>
  <c r="F51" i="12"/>
  <c r="I62" i="12"/>
  <c r="E67" i="12"/>
  <c r="F66" i="12"/>
  <c r="K68" i="12"/>
  <c r="L43" i="12"/>
  <c r="H55" i="12"/>
  <c r="H59" i="12"/>
  <c r="E42" i="12"/>
  <c r="H62" i="12"/>
  <c r="J51" i="12"/>
  <c r="I66" i="12"/>
  <c r="G43" i="17"/>
  <c r="F45" i="12"/>
  <c r="L69" i="12"/>
  <c r="L47" i="17"/>
  <c r="F48" i="12"/>
  <c r="L44" i="12"/>
  <c r="J55" i="17"/>
  <c r="J53" i="12"/>
  <c r="H45" i="12"/>
  <c r="K50" i="12"/>
  <c r="J69" i="17"/>
  <c r="M58" i="12"/>
  <c r="I44" i="12"/>
  <c r="G51" i="12"/>
  <c r="J56" i="12"/>
  <c r="G48" i="12"/>
  <c r="E58" i="12"/>
  <c r="G67" i="12"/>
  <c r="F60" i="12"/>
  <c r="H61" i="17"/>
  <c r="H43" i="12"/>
  <c r="E43" i="12"/>
  <c r="K67" i="17"/>
  <c r="F57" i="12"/>
  <c r="K45" i="12"/>
  <c r="H65" i="12"/>
  <c r="G57" i="12"/>
  <c r="L69" i="17"/>
  <c r="I48" i="12"/>
  <c r="G53" i="17"/>
  <c r="H51" i="12"/>
  <c r="M55" i="12"/>
  <c r="G62" i="12"/>
  <c r="F67" i="12"/>
  <c r="K49" i="12"/>
  <c r="M49" i="12"/>
  <c r="M63" i="12"/>
  <c r="M58" i="17"/>
  <c r="M43" i="17"/>
  <c r="E68" i="12"/>
  <c r="E43" i="17"/>
  <c r="F52" i="17"/>
  <c r="E61" i="12"/>
  <c r="G66" i="17"/>
  <c r="L62" i="12"/>
  <c r="M67" i="17"/>
  <c r="I53" i="17"/>
  <c r="M61" i="17"/>
  <c r="L66" i="12"/>
  <c r="I58" i="17"/>
  <c r="J69" i="12"/>
  <c r="I49" i="17"/>
  <c r="K67" i="12"/>
  <c r="G69" i="17"/>
  <c r="J64" i="12"/>
  <c r="F44" i="17"/>
  <c r="K53" i="12"/>
  <c r="L51" i="12"/>
  <c r="E69" i="17"/>
  <c r="I58" i="12"/>
  <c r="G59" i="12"/>
  <c r="K50" i="17"/>
  <c r="H50" i="12"/>
  <c r="G45" i="17"/>
  <c r="E45" i="12"/>
  <c r="M42" i="17"/>
  <c r="J47" i="12"/>
  <c r="F64" i="12"/>
  <c r="M67" i="12"/>
  <c r="J48" i="12"/>
  <c r="G52" i="12"/>
  <c r="L59" i="12"/>
  <c r="F52" i="12"/>
  <c r="J50" i="12"/>
  <c r="J45" i="12"/>
  <c r="K69" i="12"/>
  <c r="M66" i="12"/>
  <c r="L61" i="17"/>
  <c r="L52" i="12"/>
  <c r="M44" i="17"/>
  <c r="I59" i="12"/>
  <c r="G42" i="12"/>
  <c r="G47" i="12"/>
  <c r="G46" i="12"/>
  <c r="H53" i="12"/>
  <c r="F63" i="17"/>
  <c r="H56" i="12"/>
  <c r="K42" i="12"/>
  <c r="M60" i="17"/>
  <c r="G56" i="17"/>
  <c r="L61" i="12"/>
  <c r="G64" i="17"/>
  <c r="G61" i="17"/>
  <c r="L63" i="17"/>
  <c r="F58" i="12"/>
  <c r="E54" i="12"/>
  <c r="K57" i="12"/>
  <c r="J46" i="12"/>
  <c r="I56" i="12"/>
  <c r="G58" i="12"/>
  <c r="J54" i="12"/>
  <c r="I61" i="12"/>
  <c r="H67" i="12"/>
  <c r="F54" i="12"/>
  <c r="F44" i="12"/>
  <c r="F67" i="17"/>
  <c r="F55" i="12"/>
  <c r="I68" i="12"/>
  <c r="F63" i="12"/>
  <c r="M47" i="12"/>
  <c r="M42" i="12"/>
  <c r="K43" i="12"/>
  <c r="G65" i="12"/>
  <c r="E65" i="12"/>
  <c r="K51" i="12"/>
  <c r="K55" i="12"/>
  <c r="E63" i="12"/>
  <c r="M45" i="12"/>
  <c r="M62" i="12"/>
  <c r="E53" i="12"/>
  <c r="J52" i="12"/>
  <c r="F46" i="12"/>
  <c r="H42" i="12"/>
  <c r="M69" i="12"/>
  <c r="M61" i="12"/>
  <c r="H49" i="12"/>
  <c r="H61" i="12"/>
  <c r="I54" i="17"/>
  <c r="L54" i="17"/>
  <c r="K61" i="12"/>
  <c r="H68" i="12"/>
  <c r="J45" i="17"/>
  <c r="E47" i="17"/>
  <c r="F57" i="17"/>
  <c r="H64" i="12"/>
  <c r="K58" i="12"/>
  <c r="L46" i="12"/>
  <c r="J50" i="17"/>
  <c r="L53" i="17"/>
  <c r="K45" i="17"/>
  <c r="K56" i="17"/>
  <c r="L53" i="12"/>
  <c r="G44" i="12"/>
  <c r="I43" i="12"/>
  <c r="G56" i="12"/>
  <c r="E66" i="12"/>
  <c r="I65" i="12"/>
  <c r="M50" i="17"/>
  <c r="E68" i="17"/>
  <c r="K62" i="17"/>
  <c r="F46" i="17"/>
  <c r="I63" i="12"/>
  <c r="I60" i="17"/>
  <c r="H69" i="12"/>
  <c r="L60" i="12"/>
  <c r="L49" i="17"/>
  <c r="K62" i="12"/>
  <c r="J48" i="17"/>
  <c r="M54" i="12"/>
  <c r="J60" i="17"/>
  <c r="H50" i="17"/>
  <c r="E45" i="17"/>
  <c r="M44" i="12"/>
  <c r="J68" i="12"/>
  <c r="M56" i="12"/>
  <c r="J61" i="17"/>
  <c r="G66" i="12"/>
  <c r="G60" i="12"/>
  <c r="F42" i="12"/>
  <c r="F64" i="17"/>
  <c r="F65" i="12"/>
  <c r="J57" i="12"/>
  <c r="K52" i="12"/>
  <c r="E48" i="12"/>
  <c r="G69" i="12"/>
  <c r="G63" i="12"/>
  <c r="H56" i="17"/>
  <c r="G64" i="12"/>
  <c r="H46" i="12"/>
  <c r="G50" i="12"/>
  <c r="M64" i="12"/>
  <c r="J67" i="12"/>
  <c r="F53" i="12"/>
  <c r="L54" i="12"/>
  <c r="F55" i="17"/>
  <c r="E50" i="12"/>
  <c r="L58" i="17"/>
  <c r="K47" i="12"/>
  <c r="J59" i="17"/>
  <c r="G63" i="17"/>
  <c r="L67" i="12"/>
  <c r="J44" i="12"/>
  <c r="H52" i="12"/>
  <c r="E60" i="12"/>
  <c r="E51" i="12"/>
  <c r="I69" i="12"/>
  <c r="M57" i="12"/>
  <c r="E69" i="12"/>
  <c r="F43" i="12"/>
  <c r="L58" i="12"/>
  <c r="I56" i="17"/>
  <c r="I42" i="12"/>
  <c r="E55" i="12"/>
  <c r="M53" i="12"/>
  <c r="M47" i="17"/>
  <c r="M51" i="12"/>
  <c r="G54" i="17"/>
  <c r="G51" i="17"/>
  <c r="K65" i="12"/>
  <c r="J65" i="17"/>
  <c r="I46" i="12"/>
  <c r="K60" i="12"/>
  <c r="L48" i="17"/>
  <c r="I46" i="17"/>
  <c r="F58" i="17"/>
  <c r="H67" i="17"/>
  <c r="E50" i="17"/>
  <c r="K68" i="17"/>
  <c r="G65" i="17"/>
  <c r="I53" i="12"/>
  <c r="I62" i="17"/>
  <c r="H55" i="17"/>
  <c r="H57" i="17"/>
  <c r="E47" i="12"/>
  <c r="K43" i="17"/>
  <c r="I52" i="17"/>
  <c r="K52" i="17"/>
  <c r="J54" i="17"/>
  <c r="L55" i="12"/>
  <c r="I64" i="17"/>
  <c r="M66" i="17"/>
  <c r="M55" i="17"/>
  <c r="J59" i="12"/>
  <c r="H63" i="12"/>
  <c r="I67" i="12"/>
  <c r="L65" i="12"/>
  <c r="L51" i="17"/>
  <c r="G54" i="12"/>
  <c r="L64" i="12"/>
  <c r="I54" i="12"/>
  <c r="H54" i="12"/>
  <c r="G49" i="17"/>
  <c r="F47" i="12"/>
  <c r="L42" i="12"/>
  <c r="H44" i="12"/>
  <c r="L57" i="17"/>
  <c r="L50" i="12"/>
  <c r="J71" i="24" l="1"/>
  <c r="E71" i="24"/>
  <c r="G71" i="24"/>
  <c r="K71" i="24"/>
  <c r="F71" i="24"/>
  <c r="M36" i="24"/>
  <c r="L36" i="24"/>
  <c r="L71" i="24" s="1"/>
  <c r="H36" i="24"/>
  <c r="H71" i="24" s="1"/>
  <c r="M67" i="24"/>
  <c r="N67" i="24"/>
  <c r="M58" i="24"/>
  <c r="N58" i="24"/>
  <c r="M48" i="24"/>
  <c r="N48" i="24"/>
  <c r="M42" i="24"/>
  <c r="N42" i="24"/>
  <c r="M66" i="24"/>
  <c r="N66" i="24"/>
  <c r="M52" i="24"/>
  <c r="N52" i="24"/>
  <c r="M44" i="24"/>
  <c r="N44" i="24"/>
  <c r="M50" i="24"/>
  <c r="N50" i="24"/>
  <c r="M43" i="24"/>
  <c r="N43" i="24"/>
  <c r="M62" i="24"/>
  <c r="N62" i="24"/>
  <c r="M47" i="24"/>
  <c r="N47" i="24"/>
  <c r="M61" i="24"/>
  <c r="N61" i="24"/>
  <c r="M65" i="24"/>
  <c r="N65" i="24"/>
  <c r="M55" i="24"/>
  <c r="N55" i="24"/>
  <c r="M63" i="24"/>
  <c r="N63" i="24"/>
  <c r="M45" i="24"/>
  <c r="N45" i="24"/>
  <c r="M57" i="24"/>
  <c r="N57" i="24"/>
  <c r="M51" i="24"/>
  <c r="N51" i="24"/>
  <c r="M53" i="24"/>
  <c r="N53" i="24"/>
  <c r="M68" i="24"/>
  <c r="N68" i="24"/>
  <c r="M54" i="24"/>
  <c r="N54" i="24"/>
  <c r="M56" i="24"/>
  <c r="N56" i="24"/>
  <c r="M46" i="24"/>
  <c r="N46" i="24"/>
  <c r="I64" i="24"/>
  <c r="M60" i="24"/>
  <c r="N60" i="24"/>
  <c r="M59" i="24"/>
  <c r="N59" i="24"/>
  <c r="M49" i="24"/>
  <c r="N49" i="24"/>
  <c r="I71" i="24" l="1"/>
  <c r="M71" i="24"/>
  <c r="N71" i="24"/>
  <c r="H42" i="18"/>
  <c r="L43" i="18"/>
  <c r="H44" i="18"/>
  <c r="H46" i="18"/>
  <c r="L47" i="18"/>
  <c r="H48" i="18"/>
  <c r="L49" i="18"/>
  <c r="H50" i="18"/>
  <c r="H52" i="18"/>
  <c r="L53" i="18"/>
  <c r="L59" i="18"/>
  <c r="L61" i="18"/>
  <c r="H62" i="18"/>
  <c r="L63" i="18"/>
  <c r="L65" i="18"/>
  <c r="H66" i="18"/>
  <c r="L67" i="18"/>
  <c r="H68" i="18"/>
  <c r="L69" i="18"/>
  <c r="I42" i="18"/>
  <c r="E43" i="18"/>
  <c r="E43" i="19"/>
  <c r="M43" i="18"/>
  <c r="I44" i="18"/>
  <c r="E45" i="18"/>
  <c r="E45" i="19"/>
  <c r="M45" i="18"/>
  <c r="I46" i="18"/>
  <c r="E47" i="18"/>
  <c r="E47" i="19"/>
  <c r="M47" i="18"/>
  <c r="I48" i="18"/>
  <c r="I48" i="19"/>
  <c r="E49" i="18"/>
  <c r="E49" i="19"/>
  <c r="M49" i="18"/>
  <c r="I50" i="18"/>
  <c r="E51" i="19"/>
  <c r="I52" i="18"/>
  <c r="I52" i="19"/>
  <c r="E53" i="18"/>
  <c r="E53" i="19"/>
  <c r="M53" i="18"/>
  <c r="I54" i="18"/>
  <c r="E55" i="18"/>
  <c r="E55" i="19"/>
  <c r="M55" i="18"/>
  <c r="I56" i="18"/>
  <c r="E57" i="18"/>
  <c r="E57" i="19"/>
  <c r="M57" i="18"/>
  <c r="I58" i="18"/>
  <c r="E59" i="18"/>
  <c r="E59" i="19"/>
  <c r="M59" i="18"/>
  <c r="I60" i="18"/>
  <c r="E61" i="18"/>
  <c r="E61" i="19"/>
  <c r="M61" i="18"/>
  <c r="I62" i="18"/>
  <c r="E63" i="18"/>
  <c r="E63" i="19"/>
  <c r="M63" i="18"/>
  <c r="I64" i="18"/>
  <c r="E65" i="18"/>
  <c r="E65" i="19"/>
  <c r="M65" i="18"/>
  <c r="I66" i="18"/>
  <c r="E67" i="18"/>
  <c r="E67" i="19"/>
  <c r="M67" i="18"/>
  <c r="I68" i="18"/>
  <c r="E69" i="18"/>
  <c r="E69" i="19"/>
  <c r="M69" i="18"/>
  <c r="J42" i="18"/>
  <c r="F43" i="18"/>
  <c r="F43" i="19"/>
  <c r="O43" i="18"/>
  <c r="N43" i="18"/>
  <c r="J44" i="18"/>
  <c r="F45" i="18"/>
  <c r="O45" i="18"/>
  <c r="N45" i="18"/>
  <c r="J46" i="18"/>
  <c r="F47" i="18"/>
  <c r="O47" i="18"/>
  <c r="N47" i="18"/>
  <c r="J48" i="18"/>
  <c r="F49" i="18"/>
  <c r="O49" i="18"/>
  <c r="N49" i="18"/>
  <c r="J50" i="18"/>
  <c r="J50" i="19"/>
  <c r="F51" i="19"/>
  <c r="J52" i="18"/>
  <c r="F53" i="18"/>
  <c r="O53" i="18"/>
  <c r="N53" i="18"/>
  <c r="J54" i="18"/>
  <c r="F55" i="18"/>
  <c r="O55" i="18"/>
  <c r="N55" i="18"/>
  <c r="J56" i="18"/>
  <c r="F57" i="18"/>
  <c r="O57" i="18"/>
  <c r="N57" i="18"/>
  <c r="J58" i="18"/>
  <c r="F59" i="18"/>
  <c r="F59" i="19"/>
  <c r="O59" i="18"/>
  <c r="N59" i="18"/>
  <c r="J60" i="18"/>
  <c r="F61" i="18"/>
  <c r="O61" i="18"/>
  <c r="N61" i="18"/>
  <c r="J62" i="18"/>
  <c r="F63" i="18"/>
  <c r="O63" i="18"/>
  <c r="N63" i="18"/>
  <c r="J64" i="18"/>
  <c r="F65" i="18"/>
  <c r="O65" i="18"/>
  <c r="N65" i="18"/>
  <c r="J66" i="18"/>
  <c r="J66" i="19"/>
  <c r="F67" i="18"/>
  <c r="F67" i="19"/>
  <c r="O67" i="18"/>
  <c r="N67" i="18"/>
  <c r="J68" i="18"/>
  <c r="F69" i="18"/>
  <c r="O69" i="18"/>
  <c r="N69" i="18"/>
  <c r="L45" i="18"/>
  <c r="H64" i="18"/>
  <c r="K44" i="18"/>
  <c r="K48" i="18"/>
  <c r="K50" i="18"/>
  <c r="K52" i="18"/>
  <c r="K58" i="18"/>
  <c r="G59" i="18"/>
  <c r="K60" i="18"/>
  <c r="K62" i="18"/>
  <c r="G65" i="18"/>
  <c r="G69" i="18"/>
  <c r="L42" i="18"/>
  <c r="H43" i="18"/>
  <c r="L62" i="18"/>
  <c r="H63" i="18"/>
  <c r="H67" i="18"/>
  <c r="E42" i="18"/>
  <c r="E42" i="19"/>
  <c r="M42" i="18"/>
  <c r="I43" i="18"/>
  <c r="E44" i="18"/>
  <c r="E44" i="19"/>
  <c r="M44" i="18"/>
  <c r="I45" i="18"/>
  <c r="E46" i="18"/>
  <c r="E46" i="19"/>
  <c r="M46" i="18"/>
  <c r="I47" i="18"/>
  <c r="E48" i="18"/>
  <c r="E48" i="19"/>
  <c r="M48" i="18"/>
  <c r="I49" i="18"/>
  <c r="E50" i="18"/>
  <c r="E50" i="19"/>
  <c r="M50" i="18"/>
  <c r="E52" i="18"/>
  <c r="E52" i="19"/>
  <c r="M52" i="18"/>
  <c r="I53" i="18"/>
  <c r="E54" i="18"/>
  <c r="E54" i="19"/>
  <c r="M54" i="18"/>
  <c r="I55" i="18"/>
  <c r="E56" i="18"/>
  <c r="E56" i="19"/>
  <c r="M56" i="18"/>
  <c r="I57" i="18"/>
  <c r="E58" i="18"/>
  <c r="E58" i="19"/>
  <c r="M58" i="18"/>
  <c r="I59" i="18"/>
  <c r="E60" i="18"/>
  <c r="E60" i="19"/>
  <c r="M60" i="18"/>
  <c r="I61" i="18"/>
  <c r="E62" i="18"/>
  <c r="E62" i="19"/>
  <c r="M62" i="18"/>
  <c r="I63" i="18"/>
  <c r="E64" i="18"/>
  <c r="E64" i="19"/>
  <c r="M64" i="18"/>
  <c r="I65" i="18"/>
  <c r="E66" i="18"/>
  <c r="E66" i="19"/>
  <c r="M66" i="18"/>
  <c r="I67" i="18"/>
  <c r="E68" i="18"/>
  <c r="E68" i="19"/>
  <c r="M68" i="18"/>
  <c r="I69" i="18"/>
  <c r="H54" i="18"/>
  <c r="L55" i="18"/>
  <c r="H56" i="18"/>
  <c r="L57" i="18"/>
  <c r="H58" i="18"/>
  <c r="H60" i="18"/>
  <c r="G43" i="18"/>
  <c r="G45" i="18"/>
  <c r="K46" i="18"/>
  <c r="K54" i="18"/>
  <c r="G55" i="18"/>
  <c r="K56" i="18"/>
  <c r="G57" i="18"/>
  <c r="G57" i="19"/>
  <c r="G61" i="18"/>
  <c r="G63" i="18"/>
  <c r="L46" i="18"/>
  <c r="L52" i="18"/>
  <c r="H53" i="18"/>
  <c r="L54" i="18"/>
  <c r="H55" i="18"/>
  <c r="L58" i="18"/>
  <c r="L60" i="18"/>
  <c r="H61" i="18"/>
  <c r="L66" i="18"/>
  <c r="F42" i="18"/>
  <c r="O42" i="18"/>
  <c r="N42" i="18"/>
  <c r="J43" i="18"/>
  <c r="F44" i="18"/>
  <c r="O44" i="18"/>
  <c r="N44" i="18"/>
  <c r="J45" i="18"/>
  <c r="F46" i="18"/>
  <c r="O46" i="18"/>
  <c r="N46" i="18"/>
  <c r="J47" i="18"/>
  <c r="F48" i="18"/>
  <c r="O48" i="18"/>
  <c r="N48" i="18"/>
  <c r="J49" i="18"/>
  <c r="J49" i="19"/>
  <c r="F50" i="18"/>
  <c r="F50" i="19"/>
  <c r="O50" i="18"/>
  <c r="N50" i="18"/>
  <c r="F52" i="18"/>
  <c r="O52" i="18"/>
  <c r="N52" i="18"/>
  <c r="J53" i="18"/>
  <c r="F54" i="18"/>
  <c r="O54" i="18"/>
  <c r="N54" i="18"/>
  <c r="J55" i="18"/>
  <c r="F56" i="18"/>
  <c r="O56" i="18"/>
  <c r="N56" i="18"/>
  <c r="J57" i="18"/>
  <c r="F58" i="18"/>
  <c r="O58" i="18"/>
  <c r="N58" i="18"/>
  <c r="J59" i="18"/>
  <c r="F60" i="18"/>
  <c r="O60" i="18"/>
  <c r="N60" i="18"/>
  <c r="J61" i="18"/>
  <c r="F62" i="18"/>
  <c r="O62" i="18"/>
  <c r="N62" i="18"/>
  <c r="J63" i="18"/>
  <c r="F64" i="18"/>
  <c r="O64" i="18"/>
  <c r="N64" i="18"/>
  <c r="J65" i="18"/>
  <c r="J65" i="19"/>
  <c r="F66" i="18"/>
  <c r="F66" i="19"/>
  <c r="O66" i="18"/>
  <c r="N66" i="18"/>
  <c r="J67" i="18"/>
  <c r="F68" i="18"/>
  <c r="O68" i="18"/>
  <c r="N68" i="18"/>
  <c r="J69" i="18"/>
  <c r="K42" i="18"/>
  <c r="G47" i="18"/>
  <c r="G49" i="18"/>
  <c r="G53" i="18"/>
  <c r="K64" i="18"/>
  <c r="K66" i="18"/>
  <c r="G67" i="18"/>
  <c r="K68" i="18"/>
  <c r="L44" i="18"/>
  <c r="H45" i="18"/>
  <c r="H47" i="18"/>
  <c r="L48" i="18"/>
  <c r="H49" i="18"/>
  <c r="L50" i="18"/>
  <c r="L56" i="18"/>
  <c r="H57" i="18"/>
  <c r="H59" i="18"/>
  <c r="L64" i="18"/>
  <c r="H65" i="18"/>
  <c r="L68" i="18"/>
  <c r="H69" i="18"/>
  <c r="G42" i="18"/>
  <c r="K43" i="18"/>
  <c r="G44" i="18"/>
  <c r="K45" i="18"/>
  <c r="G46" i="18"/>
  <c r="K47" i="18"/>
  <c r="G48" i="18"/>
  <c r="K49" i="18"/>
  <c r="G50" i="18"/>
  <c r="G52" i="18"/>
  <c r="K53" i="18"/>
  <c r="G54" i="18"/>
  <c r="K55" i="18"/>
  <c r="G56" i="18"/>
  <c r="K57" i="18"/>
  <c r="G58" i="18"/>
  <c r="K59" i="18"/>
  <c r="G60" i="18"/>
  <c r="K61" i="18"/>
  <c r="G62" i="18"/>
  <c r="K63" i="18"/>
  <c r="G64" i="18"/>
  <c r="K65" i="18"/>
  <c r="G66" i="18"/>
  <c r="K67" i="18"/>
  <c r="G68" i="18"/>
  <c r="K69" i="18"/>
  <c r="AG62" i="21"/>
  <c r="AI27" i="21" s="1"/>
  <c r="AG49" i="21"/>
  <c r="AI14" i="21" s="1"/>
  <c r="AG45" i="21"/>
  <c r="AI10" i="21" s="1"/>
  <c r="AG51" i="21"/>
  <c r="AI16" i="21" s="1"/>
  <c r="AG55" i="21"/>
  <c r="AI20" i="21" s="1"/>
  <c r="AG47" i="21"/>
  <c r="AI12" i="21" s="1"/>
  <c r="AG67" i="21"/>
  <c r="AI32" i="21" s="1"/>
  <c r="AG59" i="21"/>
  <c r="AI24" i="21" s="1"/>
  <c r="AG43" i="21"/>
  <c r="AI8" i="21" s="1"/>
  <c r="AG61" i="21"/>
  <c r="AI26" i="21" s="1"/>
  <c r="AG69" i="21"/>
  <c r="AI34" i="21" s="1"/>
  <c r="AG53" i="21"/>
  <c r="AI18" i="21" s="1"/>
  <c r="AG65" i="21"/>
  <c r="AI30" i="21" s="1"/>
  <c r="AG57" i="21"/>
  <c r="AI22" i="21" s="1"/>
  <c r="AG63" i="21"/>
  <c r="AI28" i="21" s="1"/>
  <c r="G63" i="19" l="1"/>
  <c r="H49" i="19"/>
  <c r="H61" i="19"/>
  <c r="L54" i="19"/>
  <c r="I68" i="19"/>
  <c r="G68" i="19"/>
  <c r="G52" i="19"/>
  <c r="L50" i="19"/>
  <c r="L48" i="19"/>
  <c r="H55" i="19"/>
  <c r="H51" i="19"/>
  <c r="H59" i="19"/>
  <c r="J69" i="19"/>
  <c r="J61" i="19"/>
  <c r="J53" i="19"/>
  <c r="J45" i="19"/>
  <c r="I67" i="19"/>
  <c r="I63" i="19"/>
  <c r="I42" i="19"/>
  <c r="H65" i="19"/>
  <c r="J54" i="19"/>
  <c r="G53" i="19"/>
  <c r="F64" i="19"/>
  <c r="F56" i="19"/>
  <c r="F48" i="19"/>
  <c r="L56" i="19"/>
  <c r="H43" i="19"/>
  <c r="I60" i="19"/>
  <c r="I44" i="19"/>
  <c r="I62" i="19"/>
  <c r="J56" i="19"/>
  <c r="H46" i="19"/>
  <c r="L45" i="19"/>
  <c r="L69" i="19"/>
  <c r="G55" i="19"/>
  <c r="F61" i="19"/>
  <c r="F45" i="19"/>
  <c r="G60" i="19"/>
  <c r="G44" i="19"/>
  <c r="H64" i="19"/>
  <c r="H54" i="19"/>
  <c r="L64" i="19"/>
  <c r="F69" i="19"/>
  <c r="F53" i="19"/>
  <c r="I47" i="19"/>
  <c r="H69" i="19"/>
  <c r="F68" i="19"/>
  <c r="F52" i="19"/>
  <c r="L60" i="19"/>
  <c r="G51" i="19"/>
  <c r="H50" i="19"/>
  <c r="G54" i="19"/>
  <c r="J67" i="19"/>
  <c r="J51" i="19"/>
  <c r="G69" i="19"/>
  <c r="J62" i="19"/>
  <c r="J46" i="19"/>
  <c r="L43" i="19"/>
  <c r="H53" i="19"/>
  <c r="H67" i="19"/>
  <c r="F65" i="19"/>
  <c r="F49" i="19"/>
  <c r="G64" i="19"/>
  <c r="G48" i="19"/>
  <c r="H45" i="19"/>
  <c r="G47" i="19"/>
  <c r="F60" i="19"/>
  <c r="F44" i="19"/>
  <c r="I66" i="19"/>
  <c r="H58" i="19"/>
  <c r="J57" i="19"/>
  <c r="I61" i="19"/>
  <c r="F57" i="19"/>
  <c r="K65" i="19"/>
  <c r="N60" i="19"/>
  <c r="M60" i="19"/>
  <c r="I55" i="19"/>
  <c r="N52" i="19"/>
  <c r="M52" i="19"/>
  <c r="N44" i="19"/>
  <c r="M44" i="19"/>
  <c r="L62" i="19"/>
  <c r="N65" i="19"/>
  <c r="M65" i="19"/>
  <c r="N57" i="19"/>
  <c r="M57" i="19"/>
  <c r="N49" i="19"/>
  <c r="M49" i="19"/>
  <c r="J63" i="19"/>
  <c r="J47" i="19"/>
  <c r="K67" i="19"/>
  <c r="G62" i="19"/>
  <c r="K59" i="19"/>
  <c r="K51" i="19"/>
  <c r="G46" i="19"/>
  <c r="K43" i="19"/>
  <c r="L68" i="19"/>
  <c r="H47" i="19"/>
  <c r="G49" i="19"/>
  <c r="F54" i="19"/>
  <c r="L46" i="19"/>
  <c r="G61" i="19"/>
  <c r="K54" i="19"/>
  <c r="G45" i="19"/>
  <c r="L57" i="19"/>
  <c r="I65" i="19"/>
  <c r="N62" i="19"/>
  <c r="M62" i="19"/>
  <c r="I57" i="19"/>
  <c r="N54" i="19"/>
  <c r="M54" i="19"/>
  <c r="I49" i="19"/>
  <c r="N46" i="19"/>
  <c r="M46" i="19"/>
  <c r="L42" i="19"/>
  <c r="K48" i="19"/>
  <c r="F63" i="19"/>
  <c r="J58" i="19"/>
  <c r="F47" i="19"/>
  <c r="J42" i="19"/>
  <c r="N67" i="19"/>
  <c r="M67" i="19"/>
  <c r="N59" i="19"/>
  <c r="M59" i="19"/>
  <c r="I54" i="19"/>
  <c r="N51" i="19"/>
  <c r="M51" i="19"/>
  <c r="I46" i="19"/>
  <c r="N43" i="19"/>
  <c r="M43" i="19"/>
  <c r="H66" i="19"/>
  <c r="H62" i="19"/>
  <c r="L53" i="19"/>
  <c r="L49" i="19"/>
  <c r="H44" i="19"/>
  <c r="K46" i="19"/>
  <c r="J44" i="19"/>
  <c r="G56" i="19"/>
  <c r="K64" i="19"/>
  <c r="F58" i="19"/>
  <c r="H56" i="19"/>
  <c r="N64" i="19"/>
  <c r="M64" i="19"/>
  <c r="N48" i="19"/>
  <c r="M48" i="19"/>
  <c r="I43" i="19"/>
  <c r="N69" i="19"/>
  <c r="M69" i="19"/>
  <c r="I64" i="19"/>
  <c r="I56" i="19"/>
  <c r="N53" i="19"/>
  <c r="M53" i="19"/>
  <c r="N45" i="19"/>
  <c r="M45" i="19"/>
  <c r="H68" i="19"/>
  <c r="L65" i="19"/>
  <c r="L61" i="19"/>
  <c r="J55" i="19"/>
  <c r="J64" i="19"/>
  <c r="J48" i="19"/>
  <c r="K57" i="19"/>
  <c r="K49" i="19"/>
  <c r="N68" i="19"/>
  <c r="M68" i="19"/>
  <c r="K62" i="19"/>
  <c r="J60" i="19"/>
  <c r="K69" i="19"/>
  <c r="K53" i="19"/>
  <c r="K68" i="19"/>
  <c r="I59" i="19"/>
  <c r="I51" i="19"/>
  <c r="K52" i="19"/>
  <c r="H52" i="19"/>
  <c r="G66" i="19"/>
  <c r="K63" i="19"/>
  <c r="G58" i="19"/>
  <c r="K55" i="19"/>
  <c r="G50" i="19"/>
  <c r="K47" i="19"/>
  <c r="G42" i="19"/>
  <c r="H57" i="19"/>
  <c r="L44" i="19"/>
  <c r="G67" i="19"/>
  <c r="F62" i="19"/>
  <c r="F46" i="19"/>
  <c r="L66" i="19"/>
  <c r="L58" i="19"/>
  <c r="L52" i="19"/>
  <c r="K56" i="19"/>
  <c r="H60" i="19"/>
  <c r="L55" i="19"/>
  <c r="I69" i="19"/>
  <c r="N66" i="19"/>
  <c r="M66" i="19"/>
  <c r="N58" i="19"/>
  <c r="M58" i="19"/>
  <c r="I53" i="19"/>
  <c r="N50" i="19"/>
  <c r="M50" i="19"/>
  <c r="I45" i="19"/>
  <c r="N42" i="19"/>
  <c r="M42" i="19"/>
  <c r="H63" i="19"/>
  <c r="G65" i="19"/>
  <c r="G59" i="19"/>
  <c r="K50" i="19"/>
  <c r="F55" i="19"/>
  <c r="N63" i="19"/>
  <c r="M63" i="19"/>
  <c r="I58" i="19"/>
  <c r="N55" i="19"/>
  <c r="M55" i="19"/>
  <c r="I50" i="19"/>
  <c r="N47" i="19"/>
  <c r="M47" i="19"/>
  <c r="L67" i="19"/>
  <c r="L63" i="19"/>
  <c r="L59" i="19"/>
  <c r="L51" i="19"/>
  <c r="L47" i="19"/>
  <c r="H42" i="19"/>
  <c r="K66" i="19"/>
  <c r="K42" i="19"/>
  <c r="K58" i="19"/>
  <c r="K61" i="19"/>
  <c r="K45" i="19"/>
  <c r="F42" i="19"/>
  <c r="G43" i="19"/>
  <c r="N56" i="19"/>
  <c r="M56" i="19"/>
  <c r="K60" i="19"/>
  <c r="K44" i="19"/>
  <c r="N61" i="19"/>
  <c r="M61" i="19"/>
  <c r="H48" i="19"/>
  <c r="J59" i="19"/>
  <c r="J43" i="19"/>
  <c r="J68" i="19"/>
  <c r="J52" i="19"/>
  <c r="AG42" i="21"/>
  <c r="AI7" i="21" s="1"/>
  <c r="AG52" i="21"/>
  <c r="AI17" i="21" s="1"/>
  <c r="AG54" i="21"/>
  <c r="AI19" i="21" s="1"/>
  <c r="AG68" i="21"/>
  <c r="AI33" i="21" s="1"/>
  <c r="AG64" i="21"/>
  <c r="AI29" i="21" s="1"/>
  <c r="AG60" i="21"/>
  <c r="AI25" i="21" s="1"/>
  <c r="AG56" i="21"/>
  <c r="AI21" i="21" s="1"/>
  <c r="AG58" i="21"/>
  <c r="AI23" i="21" s="1"/>
  <c r="AG66" i="21"/>
  <c r="AI31" i="21" s="1"/>
  <c r="AG48" i="21"/>
  <c r="AI13" i="21" s="1"/>
  <c r="AG50" i="21"/>
  <c r="AI15" i="21" s="1"/>
  <c r="AG46" i="21"/>
  <c r="AI11" i="21" s="1"/>
  <c r="AG44" i="21"/>
  <c r="AI9" i="21" s="1"/>
  <c r="AG65" i="4" l="1"/>
  <c r="AI30" i="4" s="1"/>
  <c r="AG64" i="4"/>
  <c r="AI29" i="4" s="1"/>
  <c r="AG56" i="4"/>
  <c r="AI21" i="4" s="1"/>
  <c r="AG57" i="4"/>
  <c r="AI22" i="4" s="1"/>
  <c r="AG42" i="4"/>
  <c r="AI7" i="4" s="1"/>
  <c r="AG58" i="4"/>
  <c r="AI23" i="4" s="1"/>
  <c r="AG66" i="4"/>
  <c r="AI31" i="4" s="1"/>
  <c r="AG69" i="4"/>
  <c r="AI34" i="4" s="1"/>
  <c r="AG46" i="4" l="1"/>
  <c r="AI11" i="4" s="1"/>
  <c r="AG68" i="4"/>
  <c r="AI33" i="4" s="1"/>
  <c r="AG67" i="4"/>
  <c r="AI32" i="4" s="1"/>
  <c r="AG45" i="4"/>
  <c r="AI10" i="4" s="1"/>
  <c r="AG51" i="4"/>
  <c r="AI16" i="4" s="1"/>
  <c r="AG63" i="4"/>
  <c r="AI28" i="4" s="1"/>
  <c r="AG44" i="4"/>
  <c r="AI9" i="4" s="1"/>
  <c r="AG50" i="4"/>
  <c r="AI15" i="4" s="1"/>
  <c r="AG60" i="4"/>
  <c r="AI25" i="4" s="1"/>
  <c r="AG59" i="4"/>
  <c r="AI24" i="4" s="1"/>
  <c r="AG55" i="4"/>
  <c r="AI20" i="4" s="1"/>
  <c r="AG62" i="4"/>
  <c r="AI27" i="4" s="1"/>
  <c r="AG49" i="4"/>
  <c r="AI14" i="4" s="1"/>
  <c r="AG54" i="4"/>
  <c r="AI19" i="4" s="1"/>
  <c r="AG53" i="4"/>
  <c r="AI18" i="4" s="1"/>
  <c r="AG43" i="4"/>
  <c r="AI8" i="4" s="1"/>
  <c r="AG47" i="4"/>
  <c r="AI12" i="4" s="1"/>
  <c r="AG52" i="4"/>
  <c r="AI17" i="4" s="1"/>
  <c r="AG61" i="4"/>
  <c r="AI26" i="4" s="1"/>
  <c r="AG65" i="22" l="1"/>
  <c r="AI30" i="22" s="1"/>
  <c r="AG52" i="22"/>
  <c r="AI17" i="22" s="1"/>
  <c r="AG60" i="22"/>
  <c r="AI25" i="22" s="1"/>
  <c r="AG42" i="22"/>
  <c r="AI7" i="22" s="1"/>
  <c r="AG50" i="22"/>
  <c r="AI15" i="22" s="1"/>
  <c r="AG43" i="22"/>
  <c r="AI8" i="22" s="1"/>
  <c r="AG51" i="22"/>
  <c r="AI16" i="22" s="1"/>
  <c r="AG59" i="22"/>
  <c r="AI24" i="22" s="1"/>
  <c r="AG67" i="22"/>
  <c r="AI32" i="22" s="1"/>
  <c r="AG68" i="22"/>
  <c r="AI33" i="22" s="1"/>
  <c r="AG55" i="22"/>
  <c r="AI20" i="22" s="1"/>
  <c r="AG63" i="22"/>
  <c r="AI28" i="22" s="1"/>
  <c r="AG62" i="22"/>
  <c r="AI27" i="22" s="1"/>
  <c r="AG49" i="22"/>
  <c r="AI14" i="22" s="1"/>
  <c r="AG58" i="22"/>
  <c r="AI23" i="22" s="1"/>
  <c r="AG66" i="22"/>
  <c r="AI31" i="22" s="1"/>
  <c r="AG46" i="22"/>
  <c r="AI11" i="22" s="1"/>
  <c r="AG57" i="22"/>
  <c r="AI22" i="22" s="1"/>
  <c r="AG45" i="22"/>
  <c r="AI10" i="22" s="1"/>
  <c r="AG53" i="22"/>
  <c r="AI18" i="22" s="1"/>
  <c r="AG61" i="22"/>
  <c r="AI26" i="22" s="1"/>
  <c r="AG69" i="22"/>
  <c r="AI34" i="22" s="1"/>
  <c r="AG54" i="22"/>
  <c r="AI19" i="22" s="1"/>
  <c r="AG44" i="22"/>
  <c r="AI9" i="22" s="1"/>
  <c r="AG47" i="22"/>
  <c r="AI12" i="22" s="1"/>
  <c r="AG48" i="22"/>
  <c r="AI13" i="22" s="1"/>
  <c r="AG56" i="22"/>
  <c r="AI21" i="22" s="1"/>
  <c r="AG64" i="22"/>
  <c r="AI29" i="22" s="1"/>
  <c r="AA8" i="4" l="1"/>
  <c r="AA28" i="4"/>
  <c r="AA11" i="4"/>
  <c r="AA21" i="4"/>
  <c r="AA32" i="4"/>
  <c r="AA19" i="4"/>
  <c r="AA10" i="4"/>
  <c r="AA31" i="4"/>
  <c r="AA18" i="4"/>
  <c r="AA16" i="4"/>
  <c r="AA14" i="4"/>
  <c r="AA13" i="4"/>
  <c r="AA27" i="4"/>
  <c r="AA25" i="4"/>
  <c r="AA24" i="4"/>
  <c r="AA9" i="4"/>
  <c r="AA22" i="4"/>
  <c r="AA17" i="4"/>
  <c r="AA20" i="4"/>
  <c r="AA15" i="4"/>
  <c r="AF15" i="4" s="1"/>
  <c r="AA33" i="4"/>
  <c r="AA7" i="4"/>
  <c r="AA23" i="4"/>
  <c r="AA12" i="4"/>
  <c r="AA34" i="4"/>
  <c r="AF34" i="4" s="1"/>
  <c r="AA29" i="4"/>
  <c r="AA26" i="4"/>
  <c r="AA30" i="4"/>
  <c r="AK29" i="4"/>
  <c r="AK17" i="4"/>
  <c r="AK26" i="4"/>
  <c r="AK13" i="4"/>
  <c r="AK31" i="4"/>
  <c r="AK16" i="4"/>
  <c r="AK9" i="4"/>
  <c r="W9" i="4" s="1"/>
  <c r="AK14" i="4"/>
  <c r="AK12" i="4"/>
  <c r="AK25" i="4"/>
  <c r="AK23" i="4"/>
  <c r="AK28" i="4"/>
  <c r="W28" i="4" s="1"/>
  <c r="AK19" i="4"/>
  <c r="W19" i="4" s="1"/>
  <c r="AK11" i="4"/>
  <c r="W11" i="4" s="1"/>
  <c r="AK20" i="4"/>
  <c r="AK24" i="4"/>
  <c r="AK32" i="4"/>
  <c r="AK27" i="4"/>
  <c r="AK34" i="4"/>
  <c r="AK18" i="4"/>
  <c r="W18" i="4" s="1"/>
  <c r="AK8" i="4"/>
  <c r="AK21" i="4"/>
  <c r="AK15" i="4"/>
  <c r="AK30" i="4"/>
  <c r="W30" i="4" s="1"/>
  <c r="AK33" i="4"/>
  <c r="W33" i="4" s="1"/>
  <c r="AK10" i="4"/>
  <c r="W10" i="4" s="1"/>
  <c r="AK22" i="4"/>
  <c r="W15" i="4" l="1"/>
  <c r="AC24" i="4"/>
  <c r="AF7" i="4"/>
  <c r="AD19" i="4"/>
  <c r="AD33" i="4"/>
  <c r="AF27" i="4"/>
  <c r="W27" i="4" s="1"/>
  <c r="AF32" i="4"/>
  <c r="AF21" i="4"/>
  <c r="AB26" i="4"/>
  <c r="AF14" i="4"/>
  <c r="W14" i="4" s="1"/>
  <c r="AF17" i="4"/>
  <c r="AC28" i="4"/>
  <c r="AF8" i="4"/>
  <c r="W8" i="4" s="1"/>
  <c r="AC22" i="4"/>
  <c r="AF22" i="4"/>
  <c r="W34" i="4"/>
  <c r="W31" i="4"/>
  <c r="AD25" i="4"/>
  <c r="AF25" i="4"/>
  <c r="W25" i="4" s="1"/>
  <c r="AD8" i="4"/>
  <c r="AD23" i="4"/>
  <c r="AF23" i="4"/>
  <c r="AC21" i="4"/>
  <c r="AB20" i="4"/>
  <c r="AF20" i="4"/>
  <c r="AE42" i="4"/>
  <c r="AB29" i="4"/>
  <c r="AF29" i="4"/>
  <c r="AB16" i="4"/>
  <c r="AF16" i="4"/>
  <c r="AD27" i="4"/>
  <c r="AC13" i="4"/>
  <c r="AF13" i="4"/>
  <c r="AE48" i="4"/>
  <c r="W26" i="4"/>
  <c r="W24" i="4"/>
  <c r="AE56" i="4"/>
  <c r="AE49" i="4"/>
  <c r="AE65" i="4"/>
  <c r="AE59" i="4"/>
  <c r="AE45" i="4"/>
  <c r="AE53" i="4"/>
  <c r="AE44" i="4"/>
  <c r="AE43" i="4"/>
  <c r="AE64" i="4"/>
  <c r="AD20" i="4"/>
  <c r="AD13" i="4"/>
  <c r="AE51" i="4"/>
  <c r="AC19" i="4"/>
  <c r="AE54" i="4"/>
  <c r="AE61" i="4"/>
  <c r="AE62" i="4"/>
  <c r="AE68" i="4"/>
  <c r="AE66" i="4"/>
  <c r="AE47" i="4"/>
  <c r="AF12" i="4" s="1"/>
  <c r="AE69" i="4"/>
  <c r="AD24" i="4"/>
  <c r="AE58" i="4"/>
  <c r="AE55" i="4"/>
  <c r="AB32" i="4"/>
  <c r="AD32" i="4"/>
  <c r="AC11" i="4"/>
  <c r="AD11" i="4"/>
  <c r="AD31" i="4"/>
  <c r="AC31" i="4"/>
  <c r="AB31" i="4"/>
  <c r="AB11" i="4"/>
  <c r="AE46" i="4"/>
  <c r="AD22" i="4"/>
  <c r="AB22" i="4"/>
  <c r="AC10" i="4"/>
  <c r="AD10" i="4"/>
  <c r="AE67" i="4"/>
  <c r="AB17" i="4"/>
  <c r="AC17" i="4"/>
  <c r="AE57" i="4"/>
  <c r="AB24" i="4"/>
  <c r="AB28" i="4"/>
  <c r="AE63" i="4"/>
  <c r="AE50" i="4"/>
  <c r="AE60" i="4"/>
  <c r="AC20" i="4"/>
  <c r="AD28" i="4"/>
  <c r="AC7" i="4"/>
  <c r="AD7" i="4"/>
  <c r="AB7" i="4"/>
  <c r="AB12" i="4"/>
  <c r="AC12" i="4"/>
  <c r="AD12" i="4"/>
  <c r="AD18" i="4"/>
  <c r="AB18" i="4"/>
  <c r="AC18" i="4"/>
  <c r="AB34" i="4"/>
  <c r="AC34" i="4"/>
  <c r="AD34" i="4"/>
  <c r="AC30" i="4"/>
  <c r="AB30" i="4"/>
  <c r="AC33" i="4"/>
  <c r="AB33" i="4"/>
  <c r="AC9" i="4"/>
  <c r="AB9" i="4"/>
  <c r="AD9" i="4"/>
  <c r="AB8" i="4"/>
  <c r="AC8" i="4"/>
  <c r="AC29" i="4"/>
  <c r="AD29" i="4"/>
  <c r="AB25" i="4"/>
  <c r="AC25" i="4"/>
  <c r="AC27" i="4"/>
  <c r="AB27" i="4"/>
  <c r="AD30" i="4"/>
  <c r="AC15" i="4"/>
  <c r="AD15" i="4"/>
  <c r="AC16" i="4"/>
  <c r="AD16" i="4"/>
  <c r="AB13" i="4"/>
  <c r="AB15" i="4"/>
  <c r="AC26" i="4"/>
  <c r="AD26" i="4"/>
  <c r="AB23" i="4"/>
  <c r="AC23" i="4"/>
  <c r="AE52" i="4"/>
  <c r="AC14" i="4"/>
  <c r="AD14" i="4"/>
  <c r="AD21" i="4"/>
  <c r="AB21" i="4"/>
  <c r="AD17" i="4"/>
  <c r="AB14" i="4"/>
  <c r="AB10" i="4"/>
  <c r="AB19" i="4"/>
  <c r="AC32" i="4"/>
  <c r="W32" i="4" l="1"/>
  <c r="W17" i="4"/>
  <c r="W22" i="4"/>
  <c r="W13" i="4"/>
  <c r="W12" i="4"/>
  <c r="W20" i="4"/>
  <c r="W7" i="4"/>
  <c r="V7" i="4" s="1"/>
  <c r="W21" i="4"/>
  <c r="W16" i="4"/>
  <c r="W23" i="4"/>
  <c r="W29" i="4"/>
  <c r="X28" i="4"/>
  <c r="X24" i="4"/>
  <c r="V42" i="4" l="1"/>
  <c r="X29" i="4"/>
  <c r="X20" i="4"/>
  <c r="X16" i="4"/>
  <c r="X18" i="4"/>
  <c r="X27" i="4"/>
  <c r="X15" i="4"/>
  <c r="X30" i="4"/>
  <c r="X11" i="4"/>
  <c r="X14" i="4"/>
  <c r="X9" i="4"/>
  <c r="X8" i="4"/>
  <c r="X33" i="4"/>
  <c r="V29" i="4"/>
  <c r="V20" i="4"/>
  <c r="X22" i="4"/>
  <c r="X19" i="4"/>
  <c r="V19" i="4"/>
  <c r="X25" i="4"/>
  <c r="X7" i="4"/>
  <c r="V9" i="4"/>
  <c r="X10" i="4"/>
  <c r="V10" i="4"/>
  <c r="V16" i="4"/>
  <c r="V28" i="4"/>
  <c r="V11" i="4"/>
  <c r="V18" i="4"/>
  <c r="V24" i="4"/>
  <c r="X26" i="4"/>
  <c r="V26" i="4"/>
  <c r="O58" i="19"/>
  <c r="P58" i="19"/>
  <c r="P43" i="19"/>
  <c r="O43" i="19"/>
  <c r="O65" i="19"/>
  <c r="P65" i="19"/>
  <c r="P47" i="19"/>
  <c r="O47" i="19"/>
  <c r="O46" i="19"/>
  <c r="P46" i="19"/>
  <c r="P42" i="19"/>
  <c r="O42" i="19"/>
  <c r="P54" i="19"/>
  <c r="O54" i="19"/>
  <c r="P49" i="19"/>
  <c r="O49" i="19"/>
  <c r="P59" i="19"/>
  <c r="O59" i="19"/>
  <c r="O44" i="19"/>
  <c r="P44" i="19"/>
  <c r="O45" i="19"/>
  <c r="P45" i="19"/>
  <c r="O64" i="19"/>
  <c r="P64" i="19"/>
  <c r="P69" i="19"/>
  <c r="O69" i="19"/>
  <c r="O66" i="19"/>
  <c r="P66" i="19"/>
  <c r="P68" i="19"/>
  <c r="O68" i="19"/>
  <c r="O67" i="19"/>
  <c r="P67" i="19"/>
  <c r="P57" i="19"/>
  <c r="O57" i="19"/>
  <c r="P63" i="19"/>
  <c r="O63" i="19"/>
  <c r="O61" i="19"/>
  <c r="P61" i="19"/>
  <c r="P56" i="19"/>
  <c r="O56" i="19"/>
  <c r="O55" i="19"/>
  <c r="P55" i="19"/>
  <c r="P53" i="19"/>
  <c r="O53" i="19"/>
  <c r="P52" i="19"/>
  <c r="O52" i="19"/>
  <c r="O62" i="19"/>
  <c r="P62" i="19"/>
  <c r="P51" i="19"/>
  <c r="O51" i="19"/>
  <c r="O50" i="19"/>
  <c r="P50" i="19"/>
  <c r="P60" i="19"/>
  <c r="O60" i="19"/>
  <c r="O48" i="19"/>
  <c r="P48" i="19"/>
  <c r="D3" i="27"/>
  <c r="D14" i="27"/>
  <c r="D7" i="27"/>
  <c r="D12" i="27"/>
  <c r="D9" i="27"/>
  <c r="V59" i="4" l="1"/>
  <c r="V51" i="4"/>
  <c r="V53" i="4"/>
  <c r="V45" i="4"/>
  <c r="V55" i="4"/>
  <c r="V61" i="4"/>
  <c r="V46" i="4"/>
  <c r="V64" i="4"/>
  <c r="V63" i="4"/>
  <c r="V44" i="4"/>
  <c r="E15" i="26"/>
  <c r="R15" i="26" s="1"/>
  <c r="V54" i="4"/>
  <c r="V27" i="4"/>
  <c r="V33" i="4"/>
  <c r="V15" i="4"/>
  <c r="V30" i="4"/>
  <c r="V8" i="4"/>
  <c r="V22" i="4"/>
  <c r="X31" i="4"/>
  <c r="V31" i="4"/>
  <c r="V14" i="4"/>
  <c r="V25" i="4"/>
  <c r="X23" i="4"/>
  <c r="V23" i="4"/>
  <c r="X17" i="4"/>
  <c r="V17" i="4"/>
  <c r="X34" i="4"/>
  <c r="V34" i="4"/>
  <c r="X32" i="4"/>
  <c r="V32" i="4"/>
  <c r="X12" i="4"/>
  <c r="V12" i="4"/>
  <c r="X21" i="4"/>
  <c r="V21" i="4"/>
  <c r="X13" i="4"/>
  <c r="V13" i="4"/>
  <c r="I69" i="8"/>
  <c r="N68" i="8"/>
  <c r="L66" i="8"/>
  <c r="F64" i="8"/>
  <c r="K63" i="8"/>
  <c r="I61" i="8"/>
  <c r="N60" i="8"/>
  <c r="L58" i="8"/>
  <c r="J69" i="8"/>
  <c r="O68" i="8"/>
  <c r="H67" i="8"/>
  <c r="M66" i="8"/>
  <c r="E66" i="8"/>
  <c r="O64" i="8"/>
  <c r="G64" i="8"/>
  <c r="E62" i="8"/>
  <c r="J61" i="8"/>
  <c r="O60" i="8"/>
  <c r="H59" i="8"/>
  <c r="M58" i="8"/>
  <c r="E58" i="8"/>
  <c r="O56" i="8"/>
  <c r="G56" i="8"/>
  <c r="E54" i="8"/>
  <c r="J53" i="8"/>
  <c r="O52" i="8"/>
  <c r="H51" i="8"/>
  <c r="M50" i="8"/>
  <c r="E50" i="8"/>
  <c r="O48" i="8"/>
  <c r="G48" i="8"/>
  <c r="E46" i="8"/>
  <c r="J45" i="8"/>
  <c r="O44" i="8"/>
  <c r="M68" i="8"/>
  <c r="J67" i="8"/>
  <c r="G66" i="8"/>
  <c r="K62" i="8"/>
  <c r="E57" i="8"/>
  <c r="H56" i="8"/>
  <c r="J55" i="8"/>
  <c r="L54" i="8"/>
  <c r="O53" i="8"/>
  <c r="K50" i="8"/>
  <c r="J48" i="8"/>
  <c r="L43" i="8"/>
  <c r="N55" i="8"/>
  <c r="M51" i="8"/>
  <c r="I48" i="8"/>
  <c r="L69" i="8"/>
  <c r="J63" i="8"/>
  <c r="J56" i="8"/>
  <c r="O54" i="8"/>
  <c r="N52" i="8"/>
  <c r="F51" i="8"/>
  <c r="H68" i="8"/>
  <c r="E67" i="8"/>
  <c r="O65" i="8"/>
  <c r="F62" i="8"/>
  <c r="E59" i="8"/>
  <c r="O57" i="8"/>
  <c r="N56" i="8"/>
  <c r="H54" i="8"/>
  <c r="E53" i="8"/>
  <c r="E69" i="8"/>
  <c r="J68" i="8"/>
  <c r="O32" i="13"/>
  <c r="P67" i="13" s="1"/>
  <c r="O67" i="8"/>
  <c r="H66" i="8"/>
  <c r="M65" i="8"/>
  <c r="E30" i="13"/>
  <c r="E65" i="8"/>
  <c r="O63" i="8"/>
  <c r="G63" i="8"/>
  <c r="E61" i="8"/>
  <c r="J60" i="8"/>
  <c r="O24" i="13"/>
  <c r="P59" i="13" s="1"/>
  <c r="O59" i="8"/>
  <c r="H58" i="8"/>
  <c r="M57" i="8"/>
  <c r="F69" i="8"/>
  <c r="K68" i="8"/>
  <c r="I66" i="8"/>
  <c r="N65" i="8"/>
  <c r="O29" i="13"/>
  <c r="L63" i="8"/>
  <c r="E27" i="13"/>
  <c r="F61" i="8"/>
  <c r="K60" i="8"/>
  <c r="I58" i="8"/>
  <c r="N57" i="8"/>
  <c r="O21" i="13"/>
  <c r="P56" i="13" s="1"/>
  <c r="L55" i="8"/>
  <c r="E19" i="13"/>
  <c r="F53" i="8"/>
  <c r="K52" i="8"/>
  <c r="I50" i="8"/>
  <c r="N49" i="8"/>
  <c r="O13" i="13"/>
  <c r="P48" i="13" s="1"/>
  <c r="L47" i="8"/>
  <c r="E11" i="13"/>
  <c r="F45" i="8"/>
  <c r="K44" i="8"/>
  <c r="E68" i="8"/>
  <c r="O66" i="8"/>
  <c r="L65" i="8"/>
  <c r="I64" i="8"/>
  <c r="H61" i="8"/>
  <c r="E25" i="13"/>
  <c r="E60" i="8"/>
  <c r="O23" i="13"/>
  <c r="P58" i="13" s="1"/>
  <c r="O58" i="8"/>
  <c r="F68" i="8"/>
  <c r="N64" i="8"/>
  <c r="L62" i="8"/>
  <c r="E26" i="13"/>
  <c r="K59" i="8"/>
  <c r="I57" i="8"/>
  <c r="G68" i="8"/>
  <c r="G67" i="8"/>
  <c r="M61" i="8"/>
  <c r="O33" i="13"/>
  <c r="P68" i="13" s="1"/>
  <c r="F65" i="8"/>
  <c r="N61" i="8"/>
  <c r="L59" i="8"/>
  <c r="E23" i="13"/>
  <c r="K56" i="8"/>
  <c r="I54" i="8"/>
  <c r="O17" i="13"/>
  <c r="P52" i="13" s="1"/>
  <c r="F49" i="8"/>
  <c r="N45" i="8"/>
  <c r="H69" i="8"/>
  <c r="F63" i="8"/>
  <c r="O55" i="8"/>
  <c r="G54" i="8"/>
  <c r="N51" i="8"/>
  <c r="M47" i="8"/>
  <c r="M63" i="8"/>
  <c r="J52" i="8"/>
  <c r="N46" i="8"/>
  <c r="K43" i="8"/>
  <c r="G62" i="8"/>
  <c r="K58" i="8"/>
  <c r="O19" i="13"/>
  <c r="P54" i="13" s="1"/>
  <c r="K49" i="8"/>
  <c r="E32" i="13"/>
  <c r="G65" i="8"/>
  <c r="I63" i="8"/>
  <c r="M59" i="8"/>
  <c r="O22" i="13"/>
  <c r="P57" i="13" s="1"/>
  <c r="N54" i="8"/>
  <c r="M52" i="8"/>
  <c r="J51" i="8"/>
  <c r="G50" i="8"/>
  <c r="I49" i="8"/>
  <c r="L48" i="8"/>
  <c r="K46" i="8"/>
  <c r="J44" i="8"/>
  <c r="M43" i="8"/>
  <c r="E43" i="8"/>
  <c r="I51" i="8"/>
  <c r="G47" i="8"/>
  <c r="G45" i="8"/>
  <c r="E42" i="8"/>
  <c r="G69" i="8"/>
  <c r="K65" i="8"/>
  <c r="E63" i="8"/>
  <c r="O61" i="8"/>
  <c r="F58" i="8"/>
  <c r="M53" i="8"/>
  <c r="G51" i="8"/>
  <c r="H46" i="8"/>
  <c r="H42" i="8"/>
  <c r="N67" i="8"/>
  <c r="O62" i="8"/>
  <c r="E56" i="8"/>
  <c r="J54" i="8"/>
  <c r="K51" i="8"/>
  <c r="E49" i="8"/>
  <c r="M69" i="8"/>
  <c r="H62" i="8"/>
  <c r="G59" i="8"/>
  <c r="L67" i="8"/>
  <c r="I62" i="8"/>
  <c r="G60" i="8"/>
  <c r="J57" i="8"/>
  <c r="K48" i="8"/>
  <c r="E33" i="13"/>
  <c r="J59" i="8"/>
  <c r="M56" i="8"/>
  <c r="I53" i="8"/>
  <c r="F50" i="8"/>
  <c r="N44" i="8"/>
  <c r="H53" i="8"/>
  <c r="E10" i="13"/>
  <c r="E45" i="8"/>
  <c r="M64" i="8"/>
  <c r="H57" i="8"/>
  <c r="H50" i="8"/>
  <c r="J66" i="8"/>
  <c r="H60" i="8"/>
  <c r="K55" i="8"/>
  <c r="E18" i="13"/>
  <c r="E51" i="8"/>
  <c r="E16" i="13"/>
  <c r="F46" i="8"/>
  <c r="E8" i="13"/>
  <c r="E48" i="8"/>
  <c r="L45" i="8"/>
  <c r="H43" i="8"/>
  <c r="O69" i="8"/>
  <c r="I67" i="8"/>
  <c r="O26" i="13"/>
  <c r="K54" i="8"/>
  <c r="J50" i="8"/>
  <c r="O43" i="8"/>
  <c r="O8" i="13"/>
  <c r="P43" i="13" s="1"/>
  <c r="H65" i="8"/>
  <c r="O27" i="13"/>
  <c r="P62" i="13" s="1"/>
  <c r="E21" i="13"/>
  <c r="G53" i="8"/>
  <c r="E14" i="13"/>
  <c r="E47" i="8"/>
  <c r="H48" i="8"/>
  <c r="F43" i="8"/>
  <c r="O45" i="8"/>
  <c r="O42" i="8"/>
  <c r="F56" i="8"/>
  <c r="D15" i="13"/>
  <c r="D20" i="13"/>
  <c r="F60" i="8"/>
  <c r="D29" i="13"/>
  <c r="D34" i="13"/>
  <c r="D31" i="13"/>
  <c r="F59" i="8"/>
  <c r="D13" i="13"/>
  <c r="K67" i="8"/>
  <c r="O28" i="13"/>
  <c r="J65" i="8"/>
  <c r="M62" i="8"/>
  <c r="O25" i="13"/>
  <c r="H55" i="8"/>
  <c r="N53" i="8"/>
  <c r="I46" i="8"/>
  <c r="G44" i="8"/>
  <c r="E22" i="13"/>
  <c r="E55" i="8"/>
  <c r="E20" i="13"/>
  <c r="O18" i="13"/>
  <c r="F52" i="8"/>
  <c r="J46" i="8"/>
  <c r="F54" i="8"/>
  <c r="O50" i="8"/>
  <c r="F67" i="8"/>
  <c r="N59" i="8"/>
  <c r="L64" i="8"/>
  <c r="K61" i="8"/>
  <c r="J58" i="8"/>
  <c r="O16" i="13"/>
  <c r="P51" i="13" s="1"/>
  <c r="O51" i="8"/>
  <c r="O49" i="8"/>
  <c r="O14" i="13"/>
  <c r="P49" i="13" s="1"/>
  <c r="I47" i="8"/>
  <c r="E44" i="8"/>
  <c r="E9" i="13"/>
  <c r="F42" i="8"/>
  <c r="O46" i="8"/>
  <c r="O11" i="13"/>
  <c r="M42" i="8"/>
  <c r="O34" i="13"/>
  <c r="H64" i="8"/>
  <c r="K57" i="8"/>
  <c r="I55" i="8"/>
  <c r="E52" i="8"/>
  <c r="M44" i="8"/>
  <c r="L42" i="8"/>
  <c r="K66" i="8"/>
  <c r="L53" i="8"/>
  <c r="E12" i="13"/>
  <c r="K42" i="8"/>
  <c r="O47" i="8"/>
  <c r="O12" i="13"/>
  <c r="P47" i="13" s="1"/>
  <c r="L44" i="8"/>
  <c r="O10" i="13"/>
  <c r="P45" i="13" s="1"/>
  <c r="O7" i="13"/>
  <c r="D9" i="13"/>
  <c r="D12" i="13"/>
  <c r="D33" i="13"/>
  <c r="E29" i="13"/>
  <c r="E64" i="8"/>
  <c r="D17" i="13"/>
  <c r="D18" i="13"/>
  <c r="F57" i="8"/>
  <c r="D7" i="13"/>
  <c r="D28" i="13"/>
  <c r="H45" i="8"/>
  <c r="F24" i="13"/>
  <c r="L29" i="13"/>
  <c r="G34" i="13"/>
  <c r="J11" i="13"/>
  <c r="G33" i="13"/>
  <c r="N30" i="13"/>
  <c r="L8" i="13"/>
  <c r="I26" i="13"/>
  <c r="K11" i="13"/>
  <c r="H52" i="8"/>
  <c r="I68" i="8"/>
  <c r="L60" i="8"/>
  <c r="K64" i="8"/>
  <c r="N58" i="8"/>
  <c r="F22" i="13"/>
  <c r="N21" i="13"/>
  <c r="J20" i="13"/>
  <c r="I15" i="13"/>
  <c r="G58" i="8"/>
  <c r="J16" i="13"/>
  <c r="H8" i="13"/>
  <c r="H7" i="13"/>
  <c r="L30" i="13"/>
  <c r="I29" i="13"/>
  <c r="L52" i="8"/>
  <c r="N63" i="8"/>
  <c r="M55" i="8"/>
  <c r="L61" i="8"/>
  <c r="F10" i="13"/>
  <c r="K9" i="13"/>
  <c r="I22" i="13"/>
  <c r="H19" i="13"/>
  <c r="F7" i="13"/>
  <c r="L9" i="13"/>
  <c r="K25" i="13"/>
  <c r="G49" i="8"/>
  <c r="J22" i="13"/>
  <c r="E34" i="13"/>
  <c r="G52" i="8"/>
  <c r="H47" i="8"/>
  <c r="H12" i="13"/>
  <c r="M49" i="8"/>
  <c r="H44" i="8"/>
  <c r="K69" i="8"/>
  <c r="G57" i="8"/>
  <c r="M45" i="8"/>
  <c r="N42" i="8"/>
  <c r="N7" i="13"/>
  <c r="L68" i="8"/>
  <c r="L33" i="13"/>
  <c r="E28" i="13"/>
  <c r="I59" i="8"/>
  <c r="F47" i="8"/>
  <c r="I52" i="8"/>
  <c r="I45" i="8"/>
  <c r="J43" i="8"/>
  <c r="J47" i="8"/>
  <c r="F44" i="8"/>
  <c r="D11" i="13"/>
  <c r="D23" i="13"/>
  <c r="D22" i="13"/>
  <c r="I32" i="13"/>
  <c r="K53" i="8"/>
  <c r="K20" i="13"/>
  <c r="N13" i="13"/>
  <c r="N48" i="8"/>
  <c r="F30" i="13"/>
  <c r="N69" i="8"/>
  <c r="H18" i="13"/>
  <c r="J28" i="13"/>
  <c r="M54" i="8"/>
  <c r="G15" i="13"/>
  <c r="M29" i="13"/>
  <c r="G46" i="8"/>
  <c r="L32" i="13"/>
  <c r="H11" i="13"/>
  <c r="N32" i="13"/>
  <c r="L17" i="13"/>
  <c r="M28" i="13"/>
  <c r="F29" i="13"/>
  <c r="H33" i="13"/>
  <c r="M16" i="13"/>
  <c r="I19" i="13"/>
  <c r="K22" i="13"/>
  <c r="L12" i="13"/>
  <c r="I56" i="8"/>
  <c r="G18" i="13"/>
  <c r="K28" i="13"/>
  <c r="L27" i="13"/>
  <c r="K19" i="13"/>
  <c r="L34" i="13"/>
  <c r="F14" i="13"/>
  <c r="F8" i="13"/>
  <c r="I28" i="13"/>
  <c r="I27" i="13"/>
  <c r="G43" i="8"/>
  <c r="F18" i="13"/>
  <c r="N24" i="13"/>
  <c r="I18" i="13"/>
  <c r="H15" i="13"/>
  <c r="J49" i="8"/>
  <c r="H63" i="8"/>
  <c r="H20" i="13"/>
  <c r="N47" i="8"/>
  <c r="J21" i="13"/>
  <c r="L50" i="8"/>
  <c r="M17" i="13"/>
  <c r="N26" i="13"/>
  <c r="J64" i="8"/>
  <c r="J29" i="13"/>
  <c r="O9" i="13"/>
  <c r="P44" i="13" s="1"/>
  <c r="M60" i="8"/>
  <c r="O20" i="13"/>
  <c r="P55" i="13" s="1"/>
  <c r="L56" i="8"/>
  <c r="K47" i="8"/>
  <c r="O30" i="13"/>
  <c r="P65" i="13" s="1"/>
  <c r="I43" i="8"/>
  <c r="I8" i="13"/>
  <c r="F66" i="8"/>
  <c r="G55" i="8"/>
  <c r="D21" i="13"/>
  <c r="F55" i="8"/>
  <c r="D25" i="13"/>
  <c r="D8" i="13"/>
  <c r="F48" i="8"/>
  <c r="D16" i="13"/>
  <c r="D32" i="13"/>
  <c r="L13" i="13"/>
  <c r="J33" i="13"/>
  <c r="H17" i="13"/>
  <c r="K27" i="13"/>
  <c r="N19" i="13"/>
  <c r="N29" i="13"/>
  <c r="K31" i="13"/>
  <c r="L14" i="13"/>
  <c r="L49" i="8"/>
  <c r="M23" i="13"/>
  <c r="I17" i="13"/>
  <c r="N8" i="13"/>
  <c r="N43" i="8"/>
  <c r="G28" i="13"/>
  <c r="K10" i="13"/>
  <c r="K45" i="8"/>
  <c r="L22" i="13"/>
  <c r="L57" i="8"/>
  <c r="G21" i="13"/>
  <c r="F20" i="13"/>
  <c r="F26" i="13"/>
  <c r="N10" i="13"/>
  <c r="L28" i="13"/>
  <c r="M20" i="13"/>
  <c r="N16" i="13"/>
  <c r="I16" i="13"/>
  <c r="N27" i="13"/>
  <c r="N62" i="8"/>
  <c r="G30" i="13"/>
  <c r="I24" i="13"/>
  <c r="N31" i="13"/>
  <c r="N66" i="8"/>
  <c r="J15" i="13"/>
  <c r="J17" i="13"/>
  <c r="K21" i="13"/>
  <c r="I23" i="13"/>
  <c r="I42" i="8"/>
  <c r="K12" i="13"/>
  <c r="L47" i="13" s="1"/>
  <c r="N9" i="13"/>
  <c r="N14" i="13"/>
  <c r="J30" i="13"/>
  <c r="H13" i="13"/>
  <c r="I30" i="13"/>
  <c r="I65" i="8"/>
  <c r="H27" i="13"/>
  <c r="J19" i="13"/>
  <c r="G10" i="13"/>
  <c r="G9" i="13"/>
  <c r="M12" i="13"/>
  <c r="H23" i="13"/>
  <c r="L21" i="13"/>
  <c r="N15" i="13"/>
  <c r="N50" i="8"/>
  <c r="F13" i="13"/>
  <c r="N17" i="13"/>
  <c r="G24" i="13"/>
  <c r="I13" i="13"/>
  <c r="M25" i="13"/>
  <c r="H49" i="8"/>
  <c r="K14" i="13"/>
  <c r="L23" i="13"/>
  <c r="M46" i="8"/>
  <c r="F11" i="13"/>
  <c r="M22" i="13"/>
  <c r="N18" i="13"/>
  <c r="H21" i="13"/>
  <c r="I44" i="8"/>
  <c r="F9" i="13"/>
  <c r="J31" i="13"/>
  <c r="J62" i="8"/>
  <c r="K24" i="13"/>
  <c r="F31" i="13"/>
  <c r="I34" i="13"/>
  <c r="N11" i="13"/>
  <c r="L11" i="13"/>
  <c r="L46" i="8"/>
  <c r="G13" i="13"/>
  <c r="G12" i="13"/>
  <c r="J27" i="13"/>
  <c r="E31" i="13"/>
  <c r="M67" i="8"/>
  <c r="M32" i="13"/>
  <c r="J42" i="8"/>
  <c r="J7" i="13"/>
  <c r="E17" i="13"/>
  <c r="G42" i="8"/>
  <c r="D14" i="13"/>
  <c r="D24" i="13"/>
  <c r="D26" i="13"/>
  <c r="K18" i="13"/>
  <c r="I11" i="13"/>
  <c r="M19" i="13"/>
  <c r="L51" i="8"/>
  <c r="N23" i="13"/>
  <c r="F34" i="13"/>
  <c r="M21" i="13"/>
  <c r="I12" i="13"/>
  <c r="I20" i="13"/>
  <c r="F19" i="13"/>
  <c r="L20" i="13"/>
  <c r="M27" i="13"/>
  <c r="J24" i="13"/>
  <c r="M31" i="13"/>
  <c r="J14" i="13"/>
  <c r="H31" i="13"/>
  <c r="E7" i="13"/>
  <c r="M48" i="8"/>
  <c r="D27" i="13"/>
  <c r="D10" i="13"/>
  <c r="M30" i="13"/>
  <c r="K26" i="13"/>
  <c r="I33" i="13"/>
  <c r="L16" i="13"/>
  <c r="J10" i="13"/>
  <c r="F23" i="13"/>
  <c r="N28" i="13"/>
  <c r="I9" i="13"/>
  <c r="F15" i="13"/>
  <c r="G7" i="13"/>
  <c r="M15" i="13"/>
  <c r="J8" i="13"/>
  <c r="F28" i="13"/>
  <c r="I60" i="8"/>
  <c r="G23" i="13"/>
  <c r="N34" i="13"/>
  <c r="L25" i="13"/>
  <c r="G19" i="13"/>
  <c r="K16" i="13"/>
  <c r="G8" i="13"/>
  <c r="E15" i="13"/>
  <c r="E24" i="13"/>
  <c r="D19" i="13"/>
  <c r="H10" i="13"/>
  <c r="K33" i="13"/>
  <c r="M13" i="13"/>
  <c r="M34" i="13"/>
  <c r="G17" i="13"/>
  <c r="K29" i="13"/>
  <c r="K23" i="13"/>
  <c r="I25" i="13"/>
  <c r="G29" i="13"/>
  <c r="G61" i="8"/>
  <c r="G26" i="13"/>
  <c r="K17" i="13"/>
  <c r="N20" i="13"/>
  <c r="H32" i="13"/>
  <c r="K32" i="13"/>
  <c r="K15" i="13"/>
  <c r="M7" i="13"/>
  <c r="I31" i="13"/>
  <c r="K30" i="13"/>
  <c r="K34" i="13"/>
  <c r="G20" i="13"/>
  <c r="K8" i="13"/>
  <c r="H26" i="13"/>
  <c r="M26" i="13"/>
  <c r="G22" i="13"/>
  <c r="L10" i="13"/>
  <c r="M11" i="13"/>
  <c r="I14" i="13"/>
  <c r="J26" i="13"/>
  <c r="L18" i="13"/>
  <c r="L53" i="13" s="1"/>
  <c r="J18" i="13"/>
  <c r="L26" i="13"/>
  <c r="F32" i="13"/>
  <c r="F33" i="13"/>
  <c r="G68" i="13" s="1"/>
  <c r="F16" i="13"/>
  <c r="L19" i="13"/>
  <c r="G25" i="13"/>
  <c r="K7" i="13"/>
  <c r="L15" i="13"/>
  <c r="N25" i="13"/>
  <c r="G14" i="13"/>
  <c r="N22" i="13"/>
  <c r="M18" i="13"/>
  <c r="L7" i="13"/>
  <c r="F25" i="13"/>
  <c r="F12" i="13"/>
  <c r="H24" i="13"/>
  <c r="N33" i="13"/>
  <c r="M33" i="13"/>
  <c r="E13" i="13"/>
  <c r="I7" i="13"/>
  <c r="G31" i="13"/>
  <c r="H25" i="13"/>
  <c r="J25" i="13"/>
  <c r="M24" i="13"/>
  <c r="H29" i="13"/>
  <c r="G27" i="13"/>
  <c r="K13" i="13"/>
  <c r="H16" i="13"/>
  <c r="L31" i="13"/>
  <c r="J34" i="13"/>
  <c r="O31" i="13"/>
  <c r="O15" i="13"/>
  <c r="P50" i="13" s="1"/>
  <c r="D30" i="13"/>
  <c r="G16" i="13"/>
  <c r="J12" i="13"/>
  <c r="K47" i="13" s="1"/>
  <c r="G11" i="13"/>
  <c r="M8" i="13"/>
  <c r="M10" i="13"/>
  <c r="F17" i="13"/>
  <c r="J23" i="13"/>
  <c r="I10" i="13"/>
  <c r="I21" i="13"/>
  <c r="J32" i="13"/>
  <c r="H30" i="13"/>
  <c r="N12" i="13"/>
  <c r="J13" i="13"/>
  <c r="F27" i="13"/>
  <c r="M9" i="13"/>
  <c r="M44" i="13" s="1"/>
  <c r="H28" i="13"/>
  <c r="L24" i="13"/>
  <c r="H14" i="13"/>
  <c r="J9" i="13"/>
  <c r="H22" i="13"/>
  <c r="M14" i="13"/>
  <c r="H9" i="13"/>
  <c r="F21" i="13"/>
  <c r="H34" i="13"/>
  <c r="G32" i="13"/>
  <c r="D15" i="27"/>
  <c r="D13" i="27"/>
  <c r="D16" i="27"/>
  <c r="D19" i="27"/>
  <c r="D11" i="27"/>
  <c r="D5" i="27"/>
  <c r="D4" i="27"/>
  <c r="D6" i="27"/>
  <c r="D10" i="27"/>
  <c r="D8" i="27"/>
  <c r="V48" i="4" l="1"/>
  <c r="V47" i="4"/>
  <c r="V69" i="4"/>
  <c r="V58" i="4"/>
  <c r="V66" i="4"/>
  <c r="V65" i="4"/>
  <c r="V49" i="4"/>
  <c r="V62" i="4"/>
  <c r="V50" i="4"/>
  <c r="V43" i="4"/>
  <c r="V56" i="4"/>
  <c r="V67" i="4"/>
  <c r="V52" i="4"/>
  <c r="V60" i="4"/>
  <c r="V57" i="4"/>
  <c r="V68" i="4"/>
  <c r="J15" i="26"/>
  <c r="K68" i="13"/>
  <c r="F54" i="13"/>
  <c r="M46" i="13"/>
  <c r="M60" i="13"/>
  <c r="N58" i="13"/>
  <c r="N64" i="13"/>
  <c r="C23" i="26"/>
  <c r="H61" i="13"/>
  <c r="L44" i="13"/>
  <c r="L57" i="13"/>
  <c r="G54" i="13"/>
  <c r="E65" i="13"/>
  <c r="E63" i="13"/>
  <c r="E50" i="13"/>
  <c r="H68" i="13"/>
  <c r="H15" i="26"/>
  <c r="V36" i="4"/>
  <c r="V35" i="4"/>
  <c r="V70" i="4" s="1"/>
  <c r="F15" i="26"/>
  <c r="G15" i="26" s="1"/>
  <c r="D36" i="13"/>
  <c r="D35" i="13"/>
  <c r="K35" i="13"/>
  <c r="K36" i="13"/>
  <c r="E35" i="13"/>
  <c r="E36" i="13"/>
  <c r="F35" i="13"/>
  <c r="F36" i="13"/>
  <c r="P42" i="13"/>
  <c r="O35" i="13"/>
  <c r="O36" i="13"/>
  <c r="L36" i="13"/>
  <c r="L71" i="13" s="1"/>
  <c r="L35" i="13"/>
  <c r="J35" i="13"/>
  <c r="J36" i="13"/>
  <c r="I36" i="13"/>
  <c r="I35" i="13"/>
  <c r="G35" i="13"/>
  <c r="G36" i="13"/>
  <c r="H35" i="13"/>
  <c r="H36" i="13"/>
  <c r="L59" i="13"/>
  <c r="M68" i="13"/>
  <c r="F67" i="13"/>
  <c r="M35" i="13"/>
  <c r="M36" i="13"/>
  <c r="N35" i="13"/>
  <c r="N36" i="13"/>
  <c r="G57" i="13"/>
  <c r="F60" i="13"/>
  <c r="M62" i="13"/>
  <c r="I47" i="13"/>
  <c r="M47" i="13"/>
  <c r="F64" i="13"/>
  <c r="H63" i="13"/>
  <c r="K52" i="13"/>
  <c r="G59" i="13"/>
  <c r="G51" i="13"/>
  <c r="F51" i="13"/>
  <c r="E47" i="13"/>
  <c r="F62" i="13"/>
  <c r="L46" i="13"/>
  <c r="I43" i="13"/>
  <c r="E69" i="13"/>
  <c r="N47" i="13"/>
  <c r="L66" i="13"/>
  <c r="L54" i="13"/>
  <c r="E66" i="13"/>
  <c r="G52" i="13"/>
  <c r="I67" i="13"/>
  <c r="E42" i="13"/>
  <c r="M43" i="13"/>
  <c r="F47" i="13"/>
  <c r="M49" i="13"/>
  <c r="N57" i="13"/>
  <c r="I55" i="13"/>
  <c r="O67" i="13"/>
  <c r="I45" i="13"/>
  <c r="K50" i="13"/>
  <c r="I54" i="13"/>
  <c r="J48" i="13"/>
  <c r="H65" i="13"/>
  <c r="K65" i="13"/>
  <c r="M48" i="13"/>
  <c r="H64" i="13"/>
  <c r="I66" i="13"/>
  <c r="M52" i="13"/>
  <c r="K58" i="13"/>
  <c r="L45" i="13"/>
  <c r="M64" i="13"/>
  <c r="J43" i="13"/>
  <c r="N51" i="13"/>
  <c r="K43" i="13"/>
  <c r="K57" i="13"/>
  <c r="K55" i="13"/>
  <c r="K56" i="13"/>
  <c r="F55" i="13"/>
  <c r="G61" i="13"/>
  <c r="F53" i="13"/>
  <c r="G66" i="13"/>
  <c r="L56" i="13"/>
  <c r="I56" i="13"/>
  <c r="N55" i="13"/>
  <c r="G64" i="13"/>
  <c r="J64" i="13"/>
  <c r="F56" i="13"/>
  <c r="M45" i="13"/>
  <c r="M53" i="13"/>
  <c r="N60" i="13"/>
  <c r="M69" i="13"/>
  <c r="L55" i="13"/>
  <c r="J54" i="13"/>
  <c r="E48" i="13"/>
  <c r="L50" i="13"/>
  <c r="J53" i="13"/>
  <c r="E59" i="13"/>
  <c r="I46" i="13"/>
  <c r="J62" i="13"/>
  <c r="F61" i="13"/>
  <c r="K63" i="13"/>
  <c r="K46" i="13"/>
  <c r="H60" i="13"/>
  <c r="H45" i="13"/>
  <c r="H56" i="13"/>
  <c r="G65" i="13"/>
  <c r="I61" i="13"/>
  <c r="L51" i="13"/>
  <c r="K54" i="13"/>
  <c r="G69" i="13"/>
  <c r="L42" i="13"/>
  <c r="G58" i="13"/>
  <c r="E58" i="13"/>
  <c r="M61" i="13"/>
  <c r="H62" i="13"/>
  <c r="K45" i="13"/>
  <c r="H52" i="13"/>
  <c r="M63" i="13"/>
  <c r="K51" i="13"/>
  <c r="E45" i="13"/>
  <c r="K48" i="13"/>
  <c r="G47" i="13"/>
  <c r="G44" i="13"/>
  <c r="J68" i="13"/>
  <c r="L52" i="13"/>
  <c r="J57" i="13"/>
  <c r="O69" i="13"/>
  <c r="P69" i="13"/>
  <c r="E57" i="13"/>
  <c r="O63" i="13"/>
  <c r="P63" i="13"/>
  <c r="O64" i="13"/>
  <c r="P64" i="13"/>
  <c r="J47" i="13"/>
  <c r="O66" i="13"/>
  <c r="P66" i="13"/>
  <c r="L61" i="13"/>
  <c r="K42" i="13"/>
  <c r="J66" i="13"/>
  <c r="F48" i="13"/>
  <c r="N66" i="13"/>
  <c r="N62" i="13"/>
  <c r="N54" i="13"/>
  <c r="N59" i="13"/>
  <c r="G53" i="13"/>
  <c r="N48" i="13"/>
  <c r="J67" i="13"/>
  <c r="L68" i="13"/>
  <c r="H42" i="13"/>
  <c r="O45" i="13"/>
  <c r="F44" i="13"/>
  <c r="O53" i="13"/>
  <c r="P53" i="13"/>
  <c r="O60" i="13"/>
  <c r="P60" i="13"/>
  <c r="O61" i="13"/>
  <c r="P61" i="13"/>
  <c r="O52" i="13"/>
  <c r="O48" i="13"/>
  <c r="O51" i="13"/>
  <c r="F52" i="13"/>
  <c r="O50" i="13"/>
  <c r="H48" i="13"/>
  <c r="N45" i="13"/>
  <c r="H46" i="13"/>
  <c r="N65" i="13"/>
  <c r="E52" i="13"/>
  <c r="O46" i="13"/>
  <c r="P46" i="13"/>
  <c r="E64" i="13"/>
  <c r="F58" i="13"/>
  <c r="E62" i="13"/>
  <c r="J49" i="13"/>
  <c r="O49" i="13"/>
  <c r="N49" i="13"/>
  <c r="G49" i="13"/>
  <c r="L49" i="13"/>
  <c r="M59" i="13"/>
  <c r="H53" i="13"/>
  <c r="E49" i="13"/>
  <c r="O58" i="13"/>
  <c r="O59" i="13"/>
  <c r="J44" i="13"/>
  <c r="N63" i="13"/>
  <c r="G48" i="13"/>
  <c r="H58" i="13"/>
  <c r="E44" i="13"/>
  <c r="O54" i="13"/>
  <c r="H57" i="13"/>
  <c r="H49" i="13"/>
  <c r="G46" i="13"/>
  <c r="H51" i="13"/>
  <c r="I42" i="13"/>
  <c r="N69" i="13"/>
  <c r="M56" i="13"/>
  <c r="M67" i="13"/>
  <c r="N50" i="13"/>
  <c r="K66" i="13"/>
  <c r="L48" i="13"/>
  <c r="G67" i="13"/>
  <c r="I57" i="13"/>
  <c r="I49" i="13"/>
  <c r="J69" i="13"/>
  <c r="H59" i="13"/>
  <c r="G60" i="13"/>
  <c r="F68" i="13"/>
  <c r="J60" i="13"/>
  <c r="I68" i="13"/>
  <c r="H66" i="13"/>
  <c r="J59" i="13"/>
  <c r="F69" i="13"/>
  <c r="K49" i="13"/>
  <c r="I48" i="13"/>
  <c r="I58" i="13"/>
  <c r="M55" i="13"/>
  <c r="G63" i="13"/>
  <c r="M58" i="13"/>
  <c r="J56" i="13"/>
  <c r="I62" i="13"/>
  <c r="L69" i="13"/>
  <c r="M51" i="13"/>
  <c r="F65" i="13"/>
  <c r="I64" i="13"/>
  <c r="J55" i="13"/>
  <c r="J46" i="13"/>
  <c r="O42" i="13"/>
  <c r="O62" i="13"/>
  <c r="E51" i="13"/>
  <c r="O44" i="13"/>
  <c r="E68" i="13"/>
  <c r="O56" i="13"/>
  <c r="M65" i="13"/>
  <c r="F43" i="13"/>
  <c r="F57" i="13"/>
  <c r="O43" i="13"/>
  <c r="E53" i="13"/>
  <c r="G43" i="13"/>
  <c r="F63" i="13"/>
  <c r="F66" i="13"/>
  <c r="L58" i="13"/>
  <c r="N52" i="13"/>
  <c r="I65" i="13"/>
  <c r="I52" i="13"/>
  <c r="K62" i="13"/>
  <c r="I53" i="13"/>
  <c r="N67" i="13"/>
  <c r="H47" i="13"/>
  <c r="I50" i="13"/>
  <c r="E55" i="13"/>
  <c r="E56" i="13"/>
  <c r="E60" i="13"/>
  <c r="H44" i="13"/>
  <c r="I44" i="13"/>
  <c r="N42" i="13"/>
  <c r="M42" i="13"/>
  <c r="H67" i="13"/>
  <c r="F50" i="13"/>
  <c r="I69" i="13"/>
  <c r="H69" i="13"/>
  <c r="N68" i="13"/>
  <c r="O65" i="13"/>
  <c r="I63" i="13"/>
  <c r="F45" i="13"/>
  <c r="G45" i="13"/>
  <c r="G62" i="13"/>
  <c r="K69" i="13"/>
  <c r="K67" i="13"/>
  <c r="K64" i="13"/>
  <c r="K53" i="13"/>
  <c r="J42" i="13"/>
  <c r="N46" i="13"/>
  <c r="I51" i="13"/>
  <c r="F49" i="13"/>
  <c r="G50" i="13"/>
  <c r="H50" i="13"/>
  <c r="K60" i="13"/>
  <c r="L60" i="13"/>
  <c r="F42" i="13"/>
  <c r="G42" i="13"/>
  <c r="L65" i="13"/>
  <c r="J51" i="13"/>
  <c r="O47" i="13"/>
  <c r="N56" i="13"/>
  <c r="I60" i="13"/>
  <c r="K61" i="13"/>
  <c r="J61" i="13"/>
  <c r="G55" i="13"/>
  <c r="H55" i="13"/>
  <c r="K59" i="13"/>
  <c r="N53" i="13"/>
  <c r="J52" i="13"/>
  <c r="L63" i="13"/>
  <c r="O55" i="13"/>
  <c r="E46" i="13"/>
  <c r="J58" i="13"/>
  <c r="M50" i="13"/>
  <c r="M66" i="13"/>
  <c r="M54" i="13"/>
  <c r="M57" i="13"/>
  <c r="N44" i="13"/>
  <c r="I59" i="13"/>
  <c r="G56" i="13"/>
  <c r="N43" i="13"/>
  <c r="N61" i="13"/>
  <c r="L62" i="13"/>
  <c r="J63" i="13"/>
  <c r="K44" i="13"/>
  <c r="H43" i="13"/>
  <c r="L43" i="13"/>
  <c r="L64" i="13"/>
  <c r="O68" i="13"/>
  <c r="E61" i="13"/>
  <c r="J45" i="13"/>
  <c r="F46" i="13"/>
  <c r="J65" i="13"/>
  <c r="J50" i="13"/>
  <c r="L67" i="13"/>
  <c r="H54" i="13"/>
  <c r="F59" i="13"/>
  <c r="E43" i="13"/>
  <c r="O57" i="13"/>
  <c r="E67" i="13"/>
  <c r="E54" i="13"/>
  <c r="V71" i="4" l="1"/>
  <c r="G71" i="13"/>
  <c r="M70" i="13"/>
  <c r="N70" i="13"/>
  <c r="F70" i="13"/>
  <c r="M71" i="13"/>
  <c r="E70" i="13"/>
  <c r="N71" i="13"/>
  <c r="H70" i="13"/>
  <c r="F71" i="13"/>
  <c r="I70" i="13"/>
  <c r="J71" i="13"/>
  <c r="K70" i="13"/>
  <c r="I71" i="13"/>
  <c r="K71" i="13"/>
  <c r="O71" i="13"/>
  <c r="P71" i="13"/>
  <c r="G70" i="13"/>
  <c r="J70" i="13"/>
  <c r="O70" i="13"/>
  <c r="P70" i="13"/>
  <c r="E71" i="13"/>
  <c r="H71" i="13"/>
  <c r="L70" i="13"/>
  <c r="L15" i="26"/>
  <c r="K15" i="26" l="1"/>
  <c r="M15" i="26" s="1"/>
  <c r="AE26" i="21" l="1"/>
  <c r="AK26" i="21"/>
  <c r="AA26" i="21"/>
  <c r="W26" i="21" l="1"/>
  <c r="AF8" i="21"/>
  <c r="AC26" i="21"/>
  <c r="AB26" i="21"/>
  <c r="AD26" i="21"/>
  <c r="AE61" i="21"/>
  <c r="V26" i="21" l="1"/>
  <c r="X26" i="21"/>
  <c r="AE26" i="22"/>
  <c r="AD61" i="22"/>
  <c r="AA26" i="22"/>
  <c r="AK26" i="22"/>
  <c r="V61" i="21" l="1"/>
  <c r="AF14" i="22"/>
  <c r="W26" i="22"/>
  <c r="AF8" i="22"/>
  <c r="AB26" i="22"/>
  <c r="AF34" i="22"/>
  <c r="AD26" i="22"/>
  <c r="AE61" i="22"/>
  <c r="AC26" i="22"/>
  <c r="E12" i="27"/>
  <c r="X26" i="22" l="1"/>
  <c r="V26" i="22" l="1"/>
  <c r="F12" i="27"/>
  <c r="V61" i="22" l="1"/>
  <c r="V26" i="12"/>
  <c r="AD27" i="8"/>
  <c r="AD8" i="8"/>
  <c r="W8" i="8" s="1"/>
  <c r="Q29" i="13"/>
  <c r="Q51" i="12"/>
  <c r="Q20" i="13"/>
  <c r="Q21" i="13"/>
  <c r="Q53" i="12"/>
  <c r="Q24" i="13"/>
  <c r="Q64" i="12"/>
  <c r="Q58" i="12"/>
  <c r="Q57" i="12"/>
  <c r="Q42" i="12"/>
  <c r="Q60" i="12"/>
  <c r="Q11" i="13"/>
  <c r="Q50" i="12"/>
  <c r="Q15" i="13"/>
  <c r="U26" i="13"/>
  <c r="U61" i="12" l="1"/>
  <c r="V61" i="12"/>
  <c r="W27" i="8"/>
  <c r="Q64" i="13"/>
  <c r="R64" i="13"/>
  <c r="Q46" i="13"/>
  <c r="R46" i="13"/>
  <c r="Q59" i="13"/>
  <c r="R59" i="13"/>
  <c r="Q55" i="13"/>
  <c r="R55" i="13"/>
  <c r="Q50" i="13"/>
  <c r="R50" i="13"/>
  <c r="Q56" i="13"/>
  <c r="R56" i="13"/>
  <c r="Q62" i="12"/>
  <c r="Q55" i="12"/>
  <c r="Q30" i="13"/>
  <c r="Q65" i="12"/>
  <c r="Q16" i="13"/>
  <c r="Q56" i="12"/>
  <c r="Q18" i="13"/>
  <c r="Q59" i="12"/>
  <c r="Q46" i="12"/>
  <c r="Q22" i="13"/>
  <c r="Q25" i="13"/>
  <c r="Q23" i="13"/>
  <c r="Q7" i="13"/>
  <c r="Q27" i="13"/>
  <c r="Q35" i="12"/>
  <c r="Q36" i="12"/>
  <c r="Q47" i="12"/>
  <c r="Q12" i="13"/>
  <c r="Q44" i="12"/>
  <c r="Q9" i="13"/>
  <c r="Q68" i="12"/>
  <c r="Q33" i="13"/>
  <c r="Q61" i="12"/>
  <c r="Q26" i="13"/>
  <c r="Q54" i="12"/>
  <c r="Q19" i="13"/>
  <c r="Q43" i="12"/>
  <c r="Q8" i="13"/>
  <c r="Q63" i="12"/>
  <c r="Q28" i="13"/>
  <c r="Q52" i="12"/>
  <c r="Q17" i="13"/>
  <c r="Q45" i="12"/>
  <c r="Q10" i="13"/>
  <c r="Q66" i="12"/>
  <c r="Q31" i="13"/>
  <c r="Q69" i="12"/>
  <c r="Q34" i="13"/>
  <c r="Q67" i="12"/>
  <c r="Q32" i="13"/>
  <c r="Q49" i="12"/>
  <c r="Q14" i="13"/>
  <c r="Q48" i="12"/>
  <c r="Q13" i="13"/>
  <c r="X33" i="8"/>
  <c r="AE14" i="9" l="1"/>
  <c r="AE8" i="9"/>
  <c r="AE29" i="9"/>
  <c r="AE22" i="9"/>
  <c r="AE27" i="9"/>
  <c r="AE20" i="9"/>
  <c r="AE32" i="9"/>
  <c r="Q69" i="13"/>
  <c r="R69" i="13"/>
  <c r="Q63" i="13"/>
  <c r="R63" i="13"/>
  <c r="Q68" i="13"/>
  <c r="R68" i="13"/>
  <c r="Q71" i="12"/>
  <c r="R71" i="12"/>
  <c r="Q70" i="12"/>
  <c r="R70" i="12"/>
  <c r="Q53" i="13"/>
  <c r="R53" i="13"/>
  <c r="Q48" i="13"/>
  <c r="R48" i="13"/>
  <c r="Q66" i="13"/>
  <c r="R66" i="13"/>
  <c r="Q43" i="13"/>
  <c r="R43" i="13"/>
  <c r="Q44" i="13"/>
  <c r="R44" i="13"/>
  <c r="Q62" i="13"/>
  <c r="R62" i="13"/>
  <c r="Q42" i="13"/>
  <c r="R42" i="13"/>
  <c r="Q51" i="13"/>
  <c r="R51" i="13"/>
  <c r="Q49" i="13"/>
  <c r="R49" i="13"/>
  <c r="Q45" i="13"/>
  <c r="R45" i="13"/>
  <c r="Q54" i="13"/>
  <c r="R54" i="13"/>
  <c r="Q47" i="13"/>
  <c r="R47" i="13"/>
  <c r="Q58" i="13"/>
  <c r="R58" i="13"/>
  <c r="Q60" i="13"/>
  <c r="R60" i="13"/>
  <c r="Q65" i="13"/>
  <c r="R65" i="13"/>
  <c r="Q67" i="13"/>
  <c r="R67" i="13"/>
  <c r="Q52" i="13"/>
  <c r="R52" i="13"/>
  <c r="Q61" i="13"/>
  <c r="R61" i="13"/>
  <c r="Q57" i="13"/>
  <c r="R57" i="13"/>
  <c r="AE17" i="9"/>
  <c r="Q35" i="13"/>
  <c r="Q36" i="13"/>
  <c r="X7" i="8"/>
  <c r="X13" i="8"/>
  <c r="X14" i="8"/>
  <c r="X30" i="8"/>
  <c r="X11" i="8"/>
  <c r="X23" i="8"/>
  <c r="X27" i="8"/>
  <c r="X10" i="8"/>
  <c r="X34" i="8"/>
  <c r="X19" i="8"/>
  <c r="X9" i="8"/>
  <c r="X26" i="8"/>
  <c r="X28" i="8"/>
  <c r="X8" i="8"/>
  <c r="X18" i="8"/>
  <c r="X24" i="8"/>
  <c r="X29" i="8"/>
  <c r="X25" i="8"/>
  <c r="X31" i="8"/>
  <c r="Q71" i="13" l="1"/>
  <c r="R71" i="13"/>
  <c r="Q70" i="13"/>
  <c r="R70" i="13"/>
  <c r="X22" i="8"/>
  <c r="X21" i="8"/>
  <c r="AE25" i="10" l="1"/>
  <c r="W25" i="10" s="1"/>
  <c r="AE27" i="10"/>
  <c r="AE22" i="10"/>
  <c r="AE8" i="10"/>
  <c r="W8" i="10" s="1"/>
  <c r="AE7" i="10"/>
  <c r="W7" i="10" s="1"/>
  <c r="X11" i="10"/>
  <c r="X31" i="10"/>
  <c r="X33" i="10"/>
  <c r="X24" i="10"/>
  <c r="X28" i="10"/>
  <c r="X18" i="10"/>
  <c r="X30" i="10"/>
  <c r="X19" i="10"/>
  <c r="X14" i="10"/>
  <c r="X10" i="10"/>
  <c r="X9" i="10"/>
  <c r="X8" i="10" l="1"/>
  <c r="X25" i="10"/>
  <c r="X7" i="10"/>
  <c r="W22" i="10"/>
  <c r="W26" i="10"/>
  <c r="W27" i="10"/>
  <c r="AC9" i="10" l="1"/>
  <c r="AD9" i="10"/>
  <c r="V9" i="10" s="1"/>
  <c r="V44" i="10" s="1"/>
  <c r="AA9" i="10"/>
  <c r="AB9" i="10" s="1"/>
  <c r="AC11" i="10"/>
  <c r="AD11" i="10"/>
  <c r="V11" i="10" s="1"/>
  <c r="V46" i="10" s="1"/>
  <c r="AA11" i="10"/>
  <c r="AB11" i="10" s="1"/>
  <c r="AC10" i="10"/>
  <c r="AD10" i="10"/>
  <c r="AA10" i="10"/>
  <c r="AB10" i="10" s="1"/>
  <c r="V10" i="10" s="1"/>
  <c r="V45" i="10" s="1"/>
  <c r="E20" i="26"/>
  <c r="R20" i="26" s="1"/>
  <c r="AD19" i="10"/>
  <c r="AC19" i="10"/>
  <c r="AA19" i="10"/>
  <c r="AB19" i="10" s="1"/>
  <c r="AD31" i="10"/>
  <c r="AC31" i="10"/>
  <c r="AA31" i="10"/>
  <c r="AB31" i="10" s="1"/>
  <c r="AD25" i="10"/>
  <c r="AC25" i="10"/>
  <c r="V25" i="10" s="1"/>
  <c r="V60" i="10" s="1"/>
  <c r="AA25" i="10"/>
  <c r="AB25" i="10" s="1"/>
  <c r="AC28" i="10"/>
  <c r="AD28" i="10"/>
  <c r="AA28" i="10"/>
  <c r="AB28" i="10" s="1"/>
  <c r="AC18" i="10"/>
  <c r="AD18" i="10"/>
  <c r="AA18" i="10"/>
  <c r="AB18" i="10" s="1"/>
  <c r="AD33" i="10"/>
  <c r="V33" i="10" s="1"/>
  <c r="V68" i="10" s="1"/>
  <c r="AC33" i="10"/>
  <c r="AA33" i="10"/>
  <c r="AB33" i="10" s="1"/>
  <c r="AD24" i="10"/>
  <c r="AC24" i="10"/>
  <c r="AA24" i="10"/>
  <c r="AB24" i="10" s="1"/>
  <c r="AD8" i="10"/>
  <c r="AC8" i="10"/>
  <c r="AA8" i="10"/>
  <c r="AB8" i="10" s="1"/>
  <c r="AC14" i="10"/>
  <c r="AD14" i="10"/>
  <c r="V14" i="10" s="1"/>
  <c r="AA14" i="10"/>
  <c r="AB14" i="10" s="1"/>
  <c r="AD30" i="10"/>
  <c r="V30" i="10" s="1"/>
  <c r="V65" i="10" s="1"/>
  <c r="AC30" i="10"/>
  <c r="AA30" i="10"/>
  <c r="AB30" i="10" s="1"/>
  <c r="AD7" i="10"/>
  <c r="AC7" i="10"/>
  <c r="AA7" i="10"/>
  <c r="AB7" i="10" s="1"/>
  <c r="X22" i="10"/>
  <c r="X26" i="10"/>
  <c r="X27" i="10"/>
  <c r="AD20" i="11"/>
  <c r="AD14" i="11"/>
  <c r="AD22" i="11"/>
  <c r="AD8" i="11"/>
  <c r="I6" i="27"/>
  <c r="V7" i="10" l="1"/>
  <c r="V42" i="10" s="1"/>
  <c r="V24" i="10"/>
  <c r="V59" i="10" s="1"/>
  <c r="V8" i="10"/>
  <c r="V43" i="10" s="1"/>
  <c r="V18" i="10"/>
  <c r="V53" i="10" s="1"/>
  <c r="V19" i="10"/>
  <c r="V31" i="10"/>
  <c r="V66" i="10" s="1"/>
  <c r="V28" i="10"/>
  <c r="V63" i="10" s="1"/>
  <c r="V49" i="10"/>
  <c r="J20" i="26"/>
  <c r="AD46" i="10"/>
  <c r="AD49" i="10"/>
  <c r="AD43" i="10"/>
  <c r="AD53" i="10"/>
  <c r="AC63" i="10"/>
  <c r="AC54" i="10"/>
  <c r="AD45" i="10"/>
  <c r="AC46" i="10"/>
  <c r="AC49" i="10"/>
  <c r="AC53" i="10"/>
  <c r="AD54" i="10"/>
  <c r="AC45" i="10"/>
  <c r="AC65" i="10"/>
  <c r="AD22" i="10"/>
  <c r="AC22" i="10"/>
  <c r="AA22" i="10"/>
  <c r="AB22" i="10" s="1"/>
  <c r="AC42" i="10"/>
  <c r="AD65" i="10"/>
  <c r="AC59" i="10"/>
  <c r="AD68" i="10"/>
  <c r="AC60" i="10"/>
  <c r="AD66" i="10"/>
  <c r="AD44" i="10"/>
  <c r="AD26" i="10"/>
  <c r="AC26" i="10"/>
  <c r="AA26" i="10"/>
  <c r="AB26" i="10" s="1"/>
  <c r="AC68" i="10"/>
  <c r="AC66" i="10"/>
  <c r="AC27" i="10"/>
  <c r="AD27" i="10"/>
  <c r="AA27" i="10"/>
  <c r="AB27" i="10" s="1"/>
  <c r="AD42" i="10"/>
  <c r="AC43" i="10"/>
  <c r="AD59" i="10"/>
  <c r="AD63" i="10"/>
  <c r="AD60" i="10"/>
  <c r="AC44" i="10"/>
  <c r="I3" i="27"/>
  <c r="V27" i="10" l="1"/>
  <c r="V22" i="10"/>
  <c r="V57" i="10" s="1"/>
  <c r="V26" i="10"/>
  <c r="V61" i="10" s="1"/>
  <c r="V54" i="10"/>
  <c r="AD61" i="10"/>
  <c r="AD62" i="10"/>
  <c r="AD57" i="10"/>
  <c r="AC57" i="10"/>
  <c r="AC62" i="10"/>
  <c r="AC61" i="10"/>
  <c r="Q57" i="19"/>
  <c r="Q58" i="19"/>
  <c r="Q45" i="19"/>
  <c r="Q52" i="19"/>
  <c r="Q50" i="19"/>
  <c r="Q35" i="19"/>
  <c r="Q36" i="19"/>
  <c r="Q67" i="19"/>
  <c r="Q47" i="19"/>
  <c r="Q65" i="19"/>
  <c r="Q60" i="19"/>
  <c r="Q59" i="19"/>
  <c r="Q46" i="19"/>
  <c r="Q61" i="19"/>
  <c r="Q64" i="19"/>
  <c r="Q54" i="19"/>
  <c r="Q63" i="19"/>
  <c r="Q49" i="19"/>
  <c r="Q53" i="19"/>
  <c r="Q66" i="19"/>
  <c r="Q68" i="19"/>
  <c r="Q42" i="19"/>
  <c r="Q55" i="19"/>
  <c r="Q48" i="19"/>
  <c r="Q56" i="19"/>
  <c r="Q43" i="19"/>
  <c r="Q51" i="19"/>
  <c r="Q44" i="19"/>
  <c r="Q62" i="19"/>
  <c r="Q69" i="19"/>
  <c r="I13" i="27"/>
  <c r="I12" i="27"/>
  <c r="I16" i="27"/>
  <c r="V62" i="10" l="1"/>
  <c r="Q70" i="19"/>
  <c r="R70" i="19"/>
  <c r="Q71" i="19"/>
  <c r="R71" i="19"/>
  <c r="Q65" i="17"/>
  <c r="Q58" i="17"/>
  <c r="Q23" i="24"/>
  <c r="Q58" i="24" l="1"/>
  <c r="R58" i="24"/>
  <c r="Q15" i="24"/>
  <c r="Q50" i="17"/>
  <c r="Q45" i="17"/>
  <c r="Q10" i="24"/>
  <c r="Q30" i="24"/>
  <c r="Q67" i="17"/>
  <c r="Q25" i="24"/>
  <c r="Q31" i="24"/>
  <c r="Q64" i="17"/>
  <c r="Q29" i="24"/>
  <c r="Q61" i="17"/>
  <c r="Q49" i="17"/>
  <c r="Q14" i="24"/>
  <c r="Q7" i="24"/>
  <c r="R42" i="24" s="1"/>
  <c r="Q49" i="24" l="1"/>
  <c r="R49" i="24"/>
  <c r="Q61" i="24"/>
  <c r="R61" i="24"/>
  <c r="Q64" i="24"/>
  <c r="R64" i="24"/>
  <c r="Q45" i="24"/>
  <c r="R45" i="24"/>
  <c r="Q50" i="24"/>
  <c r="R50" i="24"/>
  <c r="Q66" i="24"/>
  <c r="R66" i="24"/>
  <c r="Q65" i="24"/>
  <c r="R65" i="24"/>
  <c r="Q60" i="24"/>
  <c r="R60" i="24"/>
  <c r="Q60" i="17"/>
  <c r="Q32" i="24"/>
  <c r="Q42" i="24"/>
  <c r="Q66" i="17"/>
  <c r="Q67" i="24" l="1"/>
  <c r="R67" i="24"/>
  <c r="Q55" i="17"/>
  <c r="Q20" i="24"/>
  <c r="Q51" i="17"/>
  <c r="Q16" i="24"/>
  <c r="Q8" i="24"/>
  <c r="R43" i="24" s="1"/>
  <c r="Q43" i="17"/>
  <c r="Q55" i="24" l="1"/>
  <c r="R55" i="24"/>
  <c r="Q51" i="24"/>
  <c r="R51" i="24"/>
  <c r="Q53" i="17"/>
  <c r="Q43" i="24"/>
  <c r="Q11" i="24"/>
  <c r="Q46" i="17"/>
  <c r="Q54" i="17"/>
  <c r="Q19" i="24"/>
  <c r="Q69" i="17"/>
  <c r="Q62" i="17"/>
  <c r="Q27" i="24"/>
  <c r="R62" i="24" s="1"/>
  <c r="Q59" i="17"/>
  <c r="Q24" i="24"/>
  <c r="Q56" i="17"/>
  <c r="Q21" i="24"/>
  <c r="Q9" i="24"/>
  <c r="Q44" i="17"/>
  <c r="Q22" i="24"/>
  <c r="Q57" i="17"/>
  <c r="Q13" i="24"/>
  <c r="Q48" i="17"/>
  <c r="Q12" i="24"/>
  <c r="Q47" i="17"/>
  <c r="Q59" i="24" l="1"/>
  <c r="R59" i="24"/>
  <c r="Q44" i="24"/>
  <c r="R44" i="24"/>
  <c r="Q48" i="24"/>
  <c r="R48" i="24"/>
  <c r="Q46" i="24"/>
  <c r="R46" i="24"/>
  <c r="Q57" i="24"/>
  <c r="R57" i="24"/>
  <c r="Q56" i="24"/>
  <c r="R56" i="24"/>
  <c r="Q54" i="24"/>
  <c r="R54" i="24"/>
  <c r="Q47" i="24"/>
  <c r="R47" i="24"/>
  <c r="Q62" i="24"/>
  <c r="Q18" i="24"/>
  <c r="Q33" i="24"/>
  <c r="Q68" i="17"/>
  <c r="Q63" i="17"/>
  <c r="Q28" i="24"/>
  <c r="Q17" i="24"/>
  <c r="R52" i="24" s="1"/>
  <c r="Q52" i="17"/>
  <c r="Q68" i="24" l="1"/>
  <c r="R68" i="24"/>
  <c r="Q63" i="24"/>
  <c r="R63" i="24"/>
  <c r="Q53" i="24"/>
  <c r="R53" i="24"/>
  <c r="Q36" i="24"/>
  <c r="Q52" i="24"/>
  <c r="Q71" i="24" l="1"/>
  <c r="R71" i="24"/>
  <c r="AH27" i="18" l="1"/>
  <c r="AH8" i="18"/>
  <c r="AH12" i="18"/>
  <c r="AH23" i="18"/>
  <c r="AH34" i="18"/>
  <c r="AH16" i="18"/>
  <c r="AH29" i="18"/>
  <c r="AA26" i="19"/>
  <c r="AH25" i="18"/>
  <c r="AH7" i="18"/>
  <c r="AC26" i="19"/>
  <c r="AH17" i="18"/>
  <c r="AE26" i="16"/>
  <c r="AA26" i="16"/>
  <c r="AH13" i="18"/>
  <c r="AH15" i="18"/>
  <c r="AH32" i="18"/>
  <c r="AH30" i="18"/>
  <c r="AA26" i="14"/>
  <c r="AH20" i="18"/>
  <c r="AH19" i="18"/>
  <c r="AH21" i="18"/>
  <c r="AG26" i="14"/>
  <c r="AH31" i="18"/>
  <c r="AH11" i="18"/>
  <c r="AI26" i="16"/>
  <c r="AH28" i="18"/>
  <c r="AH22" i="18"/>
  <c r="AH33" i="18"/>
  <c r="AH14" i="18"/>
  <c r="AH18" i="18"/>
  <c r="AH26" i="18"/>
  <c r="AG26" i="19"/>
  <c r="AH9" i="18"/>
  <c r="AH24" i="18"/>
  <c r="AH10" i="18"/>
  <c r="AD14" i="14" l="1"/>
  <c r="AD16" i="18"/>
  <c r="AD22" i="19"/>
  <c r="AD14" i="19"/>
  <c r="AD22" i="14"/>
  <c r="AD22" i="18"/>
  <c r="AF22" i="16"/>
  <c r="AF14" i="16"/>
  <c r="AD14" i="18"/>
  <c r="AD26" i="18"/>
  <c r="AD26" i="16"/>
  <c r="AF8" i="16"/>
  <c r="AC61" i="14"/>
  <c r="AD29" i="19"/>
  <c r="AD29" i="18"/>
  <c r="AC61" i="19"/>
  <c r="AD34" i="18"/>
  <c r="AD27" i="14"/>
  <c r="AD8" i="18"/>
  <c r="AE61" i="16"/>
  <c r="AD8" i="19"/>
  <c r="AD12" i="14"/>
  <c r="AD27" i="18"/>
  <c r="AD8" i="14"/>
  <c r="AF34" i="16"/>
  <c r="W27" i="16" l="1"/>
  <c r="X27" i="16" s="1"/>
  <c r="W26" i="16"/>
  <c r="X26" i="16" s="1"/>
  <c r="V26" i="16" l="1"/>
  <c r="N12" i="27"/>
  <c r="V61" i="16" l="1"/>
  <c r="U26" i="24"/>
  <c r="W26" i="14" l="1"/>
  <c r="X26" i="14" l="1"/>
  <c r="V26" i="14"/>
  <c r="V61" i="14" s="1"/>
  <c r="K12" i="27"/>
  <c r="AD34" i="11" l="1"/>
  <c r="W24" i="16"/>
  <c r="X24" i="16" s="1"/>
  <c r="AD34" i="14"/>
  <c r="AD34" i="19"/>
  <c r="W21" i="16"/>
  <c r="X21" i="16" s="1"/>
  <c r="AE34" i="10"/>
  <c r="W34" i="10" s="1"/>
  <c r="AA34" i="10" l="1"/>
  <c r="AB34" i="10" s="1"/>
  <c r="V34" i="10" s="1"/>
  <c r="X34" i="10"/>
  <c r="AC34" i="10"/>
  <c r="AD34" i="10"/>
  <c r="AE12" i="9"/>
  <c r="I19" i="27"/>
  <c r="V69" i="10" l="1"/>
  <c r="AC69" i="10"/>
  <c r="AD69" i="10"/>
  <c r="AC15" i="10"/>
  <c r="AD15" i="10"/>
  <c r="AA15" i="10"/>
  <c r="AB15" i="10" l="1"/>
  <c r="AE15" i="10"/>
  <c r="W15" i="10" s="1"/>
  <c r="X15" i="10" s="1"/>
  <c r="AD50" i="10"/>
  <c r="AC50" i="10"/>
  <c r="AK20" i="21"/>
  <c r="AK13" i="21"/>
  <c r="AK15" i="21"/>
  <c r="AK17" i="21"/>
  <c r="AK23" i="21"/>
  <c r="AK16" i="21"/>
  <c r="AK7" i="21"/>
  <c r="AK27" i="21"/>
  <c r="AK29" i="21"/>
  <c r="AK22" i="21"/>
  <c r="AK32" i="21"/>
  <c r="AK21" i="21"/>
  <c r="E16" i="26"/>
  <c r="J16" i="26" s="1"/>
  <c r="V15" i="10" l="1"/>
  <c r="V50" i="10" s="1"/>
  <c r="R16" i="26"/>
  <c r="AA28" i="21"/>
  <c r="AA19" i="21"/>
  <c r="AD19" i="21" s="1"/>
  <c r="AE24" i="21"/>
  <c r="AA14" i="21"/>
  <c r="AB14" i="21" s="1"/>
  <c r="AA10" i="21"/>
  <c r="AB10" i="21" s="1"/>
  <c r="AA34" i="21"/>
  <c r="AD34" i="21" s="1"/>
  <c r="AA30" i="21"/>
  <c r="AB30" i="21" s="1"/>
  <c r="AE20" i="21"/>
  <c r="AD42" i="21"/>
  <c r="AL7" i="21"/>
  <c r="AA33" i="21"/>
  <c r="AD33" i="21" s="1"/>
  <c r="AA24" i="21"/>
  <c r="AC24" i="21" s="1"/>
  <c r="AA18" i="21"/>
  <c r="AC18" i="21" s="1"/>
  <c r="AA31" i="21"/>
  <c r="AC31" i="21" s="1"/>
  <c r="AA11" i="21"/>
  <c r="AD11" i="21" s="1"/>
  <c r="AA8" i="21"/>
  <c r="AD8" i="21" s="1"/>
  <c r="AA25" i="21"/>
  <c r="AA9" i="21"/>
  <c r="AB9" i="21" s="1"/>
  <c r="AE10" i="21"/>
  <c r="AE14" i="21"/>
  <c r="AE19" i="21"/>
  <c r="AE13" i="21"/>
  <c r="AE16" i="21"/>
  <c r="AE17" i="21"/>
  <c r="AE33" i="21"/>
  <c r="AE11" i="21"/>
  <c r="AL24" i="21"/>
  <c r="AE29" i="21"/>
  <c r="AL19" i="21"/>
  <c r="AL20" i="21"/>
  <c r="AE21" i="21"/>
  <c r="AE18" i="21"/>
  <c r="AE34" i="21"/>
  <c r="AE28" i="21"/>
  <c r="AE9" i="21"/>
  <c r="AK12" i="21"/>
  <c r="AL22" i="21"/>
  <c r="AL16" i="21"/>
  <c r="AE31" i="21"/>
  <c r="AE27" i="21"/>
  <c r="AE32" i="21"/>
  <c r="AL18" i="21"/>
  <c r="AL14" i="21"/>
  <c r="AL15" i="21"/>
  <c r="AK18" i="21"/>
  <c r="AE23" i="21"/>
  <c r="AE12" i="21"/>
  <c r="AE30" i="21"/>
  <c r="AL9" i="21"/>
  <c r="AA20" i="21"/>
  <c r="AF20" i="21" s="1"/>
  <c r="W20" i="21" s="1"/>
  <c r="AL17" i="21"/>
  <c r="AL25" i="21"/>
  <c r="AK19" i="21"/>
  <c r="W19" i="21" s="1"/>
  <c r="AL23" i="21"/>
  <c r="AA27" i="21"/>
  <c r="AL27" i="21"/>
  <c r="AE8" i="21"/>
  <c r="AL11" i="21"/>
  <c r="AL29" i="21"/>
  <c r="AL10" i="21"/>
  <c r="AL33" i="21"/>
  <c r="AE7" i="21"/>
  <c r="AK14" i="21"/>
  <c r="AA32" i="21"/>
  <c r="AF32" i="21" s="1"/>
  <c r="AL32" i="21"/>
  <c r="AL13" i="21"/>
  <c r="AK9" i="21"/>
  <c r="AK8" i="21"/>
  <c r="AL8" i="21"/>
  <c r="AE15" i="21"/>
  <c r="AA17" i="21"/>
  <c r="AL12" i="21"/>
  <c r="AK28" i="21"/>
  <c r="AL28" i="21"/>
  <c r="AA22" i="21"/>
  <c r="AE22" i="21"/>
  <c r="AA12" i="21"/>
  <c r="AF12" i="21" s="1"/>
  <c r="AA16" i="21"/>
  <c r="AF16" i="21" s="1"/>
  <c r="AK25" i="21"/>
  <c r="AE25" i="21"/>
  <c r="AK10" i="21"/>
  <c r="AA7" i="21"/>
  <c r="AF7" i="21" s="1"/>
  <c r="AK33" i="21"/>
  <c r="AA29" i="21"/>
  <c r="AK31" i="21"/>
  <c r="AL31" i="21"/>
  <c r="AA13" i="21"/>
  <c r="AF13" i="21" s="1"/>
  <c r="AA15" i="21"/>
  <c r="AF15" i="21" s="1"/>
  <c r="AA23" i="21"/>
  <c r="AF23" i="21" s="1"/>
  <c r="AK34" i="21"/>
  <c r="AL34" i="21"/>
  <c r="AA21" i="21"/>
  <c r="AL21" i="21"/>
  <c r="AK30" i="21"/>
  <c r="AL30" i="21"/>
  <c r="AK24" i="21"/>
  <c r="AK11" i="21"/>
  <c r="AE49" i="21" l="1"/>
  <c r="AB25" i="21"/>
  <c r="AF25" i="21"/>
  <c r="W25" i="21" s="1"/>
  <c r="AE45" i="21"/>
  <c r="AE53" i="21"/>
  <c r="AE68" i="21"/>
  <c r="AE65" i="21"/>
  <c r="AC19" i="21"/>
  <c r="W13" i="21"/>
  <c r="X13" i="21" s="1"/>
  <c r="W33" i="21"/>
  <c r="W9" i="21"/>
  <c r="X9" i="21" s="1"/>
  <c r="AE66" i="21"/>
  <c r="AE44" i="21"/>
  <c r="AD9" i="21"/>
  <c r="W14" i="21"/>
  <c r="V14" i="21" s="1"/>
  <c r="W27" i="21"/>
  <c r="X27" i="21" s="1"/>
  <c r="AB24" i="21"/>
  <c r="W7" i="21"/>
  <c r="V7" i="21" s="1"/>
  <c r="W32" i="21"/>
  <c r="X32" i="21" s="1"/>
  <c r="AC30" i="21"/>
  <c r="W11" i="21"/>
  <c r="X11" i="21" s="1"/>
  <c r="W23" i="21"/>
  <c r="W15" i="21"/>
  <c r="X15" i="21" s="1"/>
  <c r="W16" i="21"/>
  <c r="W12" i="21"/>
  <c r="X12" i="21" s="1"/>
  <c r="W29" i="21"/>
  <c r="AE54" i="21"/>
  <c r="AD31" i="21"/>
  <c r="AE50" i="21"/>
  <c r="AE59" i="21"/>
  <c r="AE42" i="21"/>
  <c r="W10" i="21"/>
  <c r="X10" i="21" s="1"/>
  <c r="W28" i="21"/>
  <c r="X28" i="21" s="1"/>
  <c r="AE43" i="21"/>
  <c r="W18" i="21"/>
  <c r="X18" i="21" s="1"/>
  <c r="AE63" i="21"/>
  <c r="AE46" i="21"/>
  <c r="AB8" i="21"/>
  <c r="W30" i="21"/>
  <c r="AE64" i="21"/>
  <c r="W8" i="21"/>
  <c r="AE69" i="21"/>
  <c r="AB11" i="21"/>
  <c r="AD10" i="21"/>
  <c r="W31" i="21"/>
  <c r="X31" i="21" s="1"/>
  <c r="AC11" i="21"/>
  <c r="W24" i="21"/>
  <c r="X24" i="21" s="1"/>
  <c r="AE60" i="21"/>
  <c r="AD25" i="21"/>
  <c r="AE67" i="21"/>
  <c r="AC9" i="21"/>
  <c r="AC8" i="21"/>
  <c r="AB18" i="21"/>
  <c r="AB33" i="21"/>
  <c r="AB34" i="21"/>
  <c r="AC14" i="21"/>
  <c r="W34" i="21"/>
  <c r="X34" i="21" s="1"/>
  <c r="AE57" i="21"/>
  <c r="AC29" i="21"/>
  <c r="AC25" i="21"/>
  <c r="X20" i="21"/>
  <c r="AB15" i="21"/>
  <c r="AC15" i="21"/>
  <c r="AD16" i="21"/>
  <c r="AE51" i="21"/>
  <c r="AB16" i="21"/>
  <c r="AC16" i="21"/>
  <c r="AD12" i="21"/>
  <c r="AB12" i="21"/>
  <c r="AC12" i="21"/>
  <c r="X19" i="21"/>
  <c r="AE58" i="21"/>
  <c r="AE56" i="21"/>
  <c r="AD15" i="21"/>
  <c r="AB22" i="21"/>
  <c r="AD22" i="21"/>
  <c r="AC22" i="21"/>
  <c r="AC13" i="21"/>
  <c r="AD13" i="21"/>
  <c r="AB13" i="21"/>
  <c r="AC7" i="21"/>
  <c r="AB7" i="21"/>
  <c r="AD7" i="21"/>
  <c r="AE62" i="21"/>
  <c r="AD28" i="21"/>
  <c r="AB28" i="21"/>
  <c r="AC28" i="21"/>
  <c r="AD21" i="21"/>
  <c r="AB21" i="21"/>
  <c r="AD17" i="21"/>
  <c r="AB17" i="21"/>
  <c r="AC17" i="21"/>
  <c r="AC21" i="21"/>
  <c r="AF21" i="21"/>
  <c r="W21" i="21" s="1"/>
  <c r="AB23" i="21"/>
  <c r="AD23" i="21"/>
  <c r="AC23" i="21"/>
  <c r="AB29" i="21"/>
  <c r="AD29" i="21"/>
  <c r="AF22" i="21"/>
  <c r="W22" i="21" s="1"/>
  <c r="AF17" i="21"/>
  <c r="W17" i="21" s="1"/>
  <c r="AD32" i="21"/>
  <c r="AC32" i="21"/>
  <c r="AB32" i="21"/>
  <c r="AB27" i="21"/>
  <c r="AC27" i="21"/>
  <c r="AD27" i="21"/>
  <c r="AE47" i="21"/>
  <c r="AB20" i="21"/>
  <c r="AD20" i="21"/>
  <c r="AC20" i="21"/>
  <c r="AE48" i="21"/>
  <c r="AE52" i="21"/>
  <c r="AE55" i="21"/>
  <c r="AD30" i="21"/>
  <c r="AC34" i="21"/>
  <c r="AC10" i="21"/>
  <c r="AD14" i="21"/>
  <c r="AB31" i="21"/>
  <c r="AD18" i="21"/>
  <c r="AD24" i="21"/>
  <c r="AC33" i="21"/>
  <c r="AB19" i="21"/>
  <c r="V19" i="21" s="1"/>
  <c r="E6" i="27"/>
  <c r="V30" i="21" l="1"/>
  <c r="V65" i="21" s="1"/>
  <c r="V54" i="21"/>
  <c r="V20" i="21"/>
  <c r="V8" i="21"/>
  <c r="V29" i="21"/>
  <c r="V23" i="21"/>
  <c r="V33" i="21"/>
  <c r="V13" i="21"/>
  <c r="V16" i="21"/>
  <c r="F16" i="26" s="1"/>
  <c r="G16" i="26" s="1"/>
  <c r="L16" i="26" s="1"/>
  <c r="K16" i="26" s="1"/>
  <c r="X33" i="21"/>
  <c r="V9" i="21"/>
  <c r="V15" i="21"/>
  <c r="V32" i="21"/>
  <c r="X14" i="21"/>
  <c r="V27" i="21"/>
  <c r="V12" i="21"/>
  <c r="X7" i="21"/>
  <c r="V49" i="21"/>
  <c r="V11" i="21"/>
  <c r="X23" i="21"/>
  <c r="X29" i="21"/>
  <c r="X16" i="21"/>
  <c r="H16" i="26" s="1"/>
  <c r="V10" i="21"/>
  <c r="V34" i="21"/>
  <c r="V18" i="21"/>
  <c r="X8" i="21"/>
  <c r="V28" i="21"/>
  <c r="V31" i="21"/>
  <c r="V24" i="21"/>
  <c r="X30" i="21"/>
  <c r="X21" i="21"/>
  <c r="V21" i="21"/>
  <c r="X22" i="21"/>
  <c r="V22" i="21"/>
  <c r="X17" i="21"/>
  <c r="V17" i="21"/>
  <c r="X25" i="21"/>
  <c r="V25" i="21"/>
  <c r="E15" i="27"/>
  <c r="E19" i="27"/>
  <c r="E13" i="27"/>
  <c r="E7" i="27"/>
  <c r="E5" i="27"/>
  <c r="E9" i="27"/>
  <c r="E3" i="27"/>
  <c r="E8" i="27"/>
  <c r="E4" i="27"/>
  <c r="E14" i="27"/>
  <c r="E11" i="27"/>
  <c r="E16" i="27"/>
  <c r="E10" i="27"/>
  <c r="V63" i="21" l="1"/>
  <c r="V45" i="21"/>
  <c r="V46" i="21"/>
  <c r="V44" i="21"/>
  <c r="V68" i="21"/>
  <c r="V43" i="21"/>
  <c r="V66" i="21"/>
  <c r="V50" i="21"/>
  <c r="V64" i="21"/>
  <c r="V56" i="21"/>
  <c r="V60" i="21"/>
  <c r="V52" i="21"/>
  <c r="V59" i="21"/>
  <c r="V53" i="21"/>
  <c r="V58" i="21"/>
  <c r="V55" i="21"/>
  <c r="V42" i="21"/>
  <c r="V51" i="21"/>
  <c r="V48" i="21"/>
  <c r="V67" i="21"/>
  <c r="V62" i="21"/>
  <c r="V47" i="21"/>
  <c r="V69" i="21"/>
  <c r="V35" i="21"/>
  <c r="V70" i="21" s="1"/>
  <c r="V57" i="21"/>
  <c r="M16" i="26"/>
  <c r="V36" i="21"/>
  <c r="E17" i="26"/>
  <c r="J17" i="26" s="1"/>
  <c r="V71" i="21" l="1"/>
  <c r="J22" i="26"/>
  <c r="R17" i="26"/>
  <c r="AL19" i="22"/>
  <c r="AD54" i="22"/>
  <c r="AK13" i="22"/>
  <c r="AD51" i="22"/>
  <c r="AL16" i="22"/>
  <c r="AA19" i="22"/>
  <c r="AL30" i="22"/>
  <c r="AD65" i="22"/>
  <c r="AD57" i="22"/>
  <c r="AL22" i="22"/>
  <c r="AD58" i="22"/>
  <c r="AL23" i="22"/>
  <c r="AD44" i="22"/>
  <c r="AL9" i="22"/>
  <c r="AK16" i="22"/>
  <c r="AK23" i="22"/>
  <c r="AD48" i="22"/>
  <c r="AL13" i="22"/>
  <c r="AK22" i="22"/>
  <c r="AD49" i="22"/>
  <c r="AL14" i="22"/>
  <c r="AK32" i="22"/>
  <c r="AA30" i="22"/>
  <c r="AB30" i="22" s="1"/>
  <c r="AA34" i="22"/>
  <c r="AC34" i="22" s="1"/>
  <c r="AA25" i="22"/>
  <c r="AK15" i="22"/>
  <c r="AL20" i="22"/>
  <c r="AD55" i="22"/>
  <c r="AL7" i="22"/>
  <c r="AD42" i="22"/>
  <c r="AA31" i="22"/>
  <c r="AC31" i="22" s="1"/>
  <c r="AL21" i="22"/>
  <c r="AD56" i="22"/>
  <c r="AD67" i="22"/>
  <c r="AL32" i="22"/>
  <c r="AA11" i="22"/>
  <c r="AB11" i="22" s="1"/>
  <c r="AD64" i="22"/>
  <c r="AL29" i="22"/>
  <c r="AD59" i="22"/>
  <c r="AL24" i="22"/>
  <c r="AE22" i="22"/>
  <c r="AD47" i="22"/>
  <c r="AL12" i="22"/>
  <c r="AK27" i="22"/>
  <c r="AA24" i="22"/>
  <c r="AK17" i="22"/>
  <c r="AA8" i="22"/>
  <c r="AB8" i="22" s="1"/>
  <c r="AL15" i="22"/>
  <c r="AD50" i="22"/>
  <c r="AA9" i="22"/>
  <c r="AC9" i="22" s="1"/>
  <c r="AD60" i="22"/>
  <c r="AL25" i="22"/>
  <c r="AK12" i="22"/>
  <c r="AA18" i="22"/>
  <c r="AC18" i="22" s="1"/>
  <c r="AD63" i="22"/>
  <c r="AL28" i="22"/>
  <c r="AD66" i="22"/>
  <c r="AL31" i="22"/>
  <c r="AA28" i="22"/>
  <c r="AB28" i="22" s="1"/>
  <c r="AL10" i="22"/>
  <c r="AD45" i="22"/>
  <c r="AL27" i="22"/>
  <c r="AD62" i="22"/>
  <c r="AL18" i="22"/>
  <c r="AD53" i="22"/>
  <c r="AA14" i="22"/>
  <c r="AC14" i="22" s="1"/>
  <c r="AA10" i="22"/>
  <c r="AB10" i="22" s="1"/>
  <c r="AD69" i="22"/>
  <c r="AL34" i="22"/>
  <c r="AL17" i="22"/>
  <c r="AD52" i="22"/>
  <c r="AK21" i="22"/>
  <c r="AD46" i="22"/>
  <c r="AL11" i="22"/>
  <c r="AK20" i="22"/>
  <c r="AD43" i="22"/>
  <c r="AL8" i="22"/>
  <c r="AK29" i="22"/>
  <c r="AA33" i="22"/>
  <c r="AC33" i="22" s="1"/>
  <c r="AE9" i="22"/>
  <c r="AE32" i="22"/>
  <c r="AE15" i="22"/>
  <c r="AE28" i="22"/>
  <c r="AE11" i="22"/>
  <c r="AE21" i="22"/>
  <c r="AA22" i="22"/>
  <c r="AF22" i="22" s="1"/>
  <c r="AE29" i="22"/>
  <c r="AL33" i="22"/>
  <c r="AD68" i="22"/>
  <c r="AA21" i="22"/>
  <c r="AF21" i="22" s="1"/>
  <c r="AE17" i="22"/>
  <c r="AK28" i="22"/>
  <c r="AE33" i="22"/>
  <c r="AE14" i="22"/>
  <c r="AE19" i="22"/>
  <c r="AK19" i="22"/>
  <c r="AK14" i="22"/>
  <c r="AE23" i="22"/>
  <c r="AK18" i="22"/>
  <c r="AE18" i="22"/>
  <c r="AA12" i="22"/>
  <c r="AC12" i="22" s="1"/>
  <c r="AE12" i="22"/>
  <c r="AK8" i="22"/>
  <c r="AE8" i="22"/>
  <c r="AK34" i="22"/>
  <c r="AE34" i="22"/>
  <c r="AK24" i="22"/>
  <c r="AE24" i="22"/>
  <c r="AK33" i="22"/>
  <c r="AA15" i="22"/>
  <c r="AF15" i="22" s="1"/>
  <c r="AE7" i="22"/>
  <c r="AE13" i="22"/>
  <c r="AA32" i="22"/>
  <c r="AF32" i="22" s="1"/>
  <c r="AE25" i="22"/>
  <c r="AK11" i="22"/>
  <c r="AA29" i="22"/>
  <c r="AK10" i="22"/>
  <c r="AE10" i="22"/>
  <c r="AA23" i="22"/>
  <c r="AA13" i="22"/>
  <c r="AA17" i="22"/>
  <c r="AF17" i="22" s="1"/>
  <c r="AK25" i="22"/>
  <c r="AE30" i="22"/>
  <c r="AA7" i="22"/>
  <c r="AE16" i="22"/>
  <c r="AK30" i="22"/>
  <c r="AK9" i="22"/>
  <c r="AA20" i="22"/>
  <c r="AE20" i="22"/>
  <c r="AA27" i="22"/>
  <c r="AC27" i="22" s="1"/>
  <c r="AE27" i="22"/>
  <c r="AA16" i="22"/>
  <c r="AF16" i="22" s="1"/>
  <c r="AK31" i="22"/>
  <c r="AE31" i="22"/>
  <c r="AE63" i="22" l="1"/>
  <c r="AB25" i="22"/>
  <c r="AF25" i="22"/>
  <c r="W25" i="22" s="1"/>
  <c r="X25" i="22" s="1"/>
  <c r="AE49" i="22"/>
  <c r="AD20" i="22"/>
  <c r="AE43" i="22"/>
  <c r="AE66" i="22"/>
  <c r="AE53" i="22"/>
  <c r="AE62" i="22"/>
  <c r="AC8" i="22"/>
  <c r="W11" i="22"/>
  <c r="X11" i="22" s="1"/>
  <c r="AE60" i="22"/>
  <c r="AE55" i="22"/>
  <c r="W14" i="22"/>
  <c r="AB14" i="22"/>
  <c r="AD25" i="22"/>
  <c r="W21" i="22"/>
  <c r="X21" i="22" s="1"/>
  <c r="AE46" i="22"/>
  <c r="W16" i="22"/>
  <c r="AE45" i="22"/>
  <c r="W15" i="22"/>
  <c r="W22" i="22"/>
  <c r="AD24" i="22"/>
  <c r="W17" i="22"/>
  <c r="W29" i="22"/>
  <c r="X29" i="22" s="1"/>
  <c r="W19" i="22"/>
  <c r="X19" i="22" s="1"/>
  <c r="W10" i="22"/>
  <c r="AE42" i="22"/>
  <c r="AE54" i="22"/>
  <c r="AC25" i="22"/>
  <c r="W9" i="22"/>
  <c r="X9" i="22" s="1"/>
  <c r="AD11" i="22"/>
  <c r="AB33" i="22"/>
  <c r="AE69" i="22"/>
  <c r="AE47" i="22"/>
  <c r="AE68" i="22"/>
  <c r="AE56" i="22"/>
  <c r="AE50" i="22"/>
  <c r="AC10" i="22"/>
  <c r="AD18" i="22"/>
  <c r="AB31" i="22"/>
  <c r="AD30" i="22"/>
  <c r="AB12" i="22"/>
  <c r="W27" i="22"/>
  <c r="W28" i="22"/>
  <c r="AE67" i="22"/>
  <c r="W30" i="22"/>
  <c r="AD17" i="22"/>
  <c r="AE48" i="22"/>
  <c r="AF12" i="22"/>
  <c r="W12" i="22" s="1"/>
  <c r="X12" i="22" s="1"/>
  <c r="AD14" i="22"/>
  <c r="AE59" i="22"/>
  <c r="W34" i="22"/>
  <c r="V34" i="22" s="1"/>
  <c r="W8" i="22"/>
  <c r="X8" i="22" s="1"/>
  <c r="W33" i="22"/>
  <c r="AD10" i="22"/>
  <c r="AB27" i="22"/>
  <c r="AD12" i="22"/>
  <c r="AB18" i="22"/>
  <c r="AC20" i="22"/>
  <c r="AC17" i="22"/>
  <c r="AC30" i="22"/>
  <c r="AC28" i="22"/>
  <c r="AC11" i="22"/>
  <c r="AB22" i="22"/>
  <c r="AF20" i="22"/>
  <c r="W20" i="22" s="1"/>
  <c r="AE65" i="22"/>
  <c r="AD27" i="22"/>
  <c r="AB20" i="22"/>
  <c r="AD28" i="22"/>
  <c r="AB34" i="22"/>
  <c r="W31" i="22"/>
  <c r="AF13" i="22"/>
  <c r="W13" i="22" s="1"/>
  <c r="AB13" i="22"/>
  <c r="AC13" i="22"/>
  <c r="AC23" i="22"/>
  <c r="AF23" i="22"/>
  <c r="W23" i="22" s="1"/>
  <c r="AB23" i="22"/>
  <c r="AD29" i="22"/>
  <c r="AB29" i="22"/>
  <c r="AC29" i="22"/>
  <c r="AB32" i="22"/>
  <c r="W32" i="22"/>
  <c r="AC32" i="22"/>
  <c r="W24" i="22"/>
  <c r="W18" i="22"/>
  <c r="AD13" i="22"/>
  <c r="AD19" i="22"/>
  <c r="AC19" i="22"/>
  <c r="AB19" i="22"/>
  <c r="AB16" i="22"/>
  <c r="AC16" i="22"/>
  <c r="AE51" i="22"/>
  <c r="AE58" i="22"/>
  <c r="AC21" i="22"/>
  <c r="AD21" i="22"/>
  <c r="AB21" i="22"/>
  <c r="AE64" i="22"/>
  <c r="AD32" i="22"/>
  <c r="AB7" i="22"/>
  <c r="AF7" i="22"/>
  <c r="W7" i="22" s="1"/>
  <c r="V7" i="22" s="1"/>
  <c r="AC7" i="22"/>
  <c r="AC15" i="22"/>
  <c r="AB15" i="22"/>
  <c r="AD15" i="22"/>
  <c r="AD22" i="22"/>
  <c r="AC22" i="22"/>
  <c r="AD9" i="22"/>
  <c r="AE44" i="22"/>
  <c r="AB9" i="22"/>
  <c r="AD7" i="22"/>
  <c r="AE57" i="22"/>
  <c r="AD23" i="22"/>
  <c r="AD16" i="22"/>
  <c r="AB24" i="22"/>
  <c r="AD31" i="22"/>
  <c r="AD34" i="22"/>
  <c r="AE52" i="22"/>
  <c r="AD33" i="22"/>
  <c r="AD8" i="22"/>
  <c r="AB17" i="22"/>
  <c r="AC24" i="22"/>
  <c r="F19" i="27"/>
  <c r="V10" i="22" l="1"/>
  <c r="V10" i="12" s="1"/>
  <c r="V25" i="22"/>
  <c r="V60" i="22" s="1"/>
  <c r="V69" i="22"/>
  <c r="V34" i="12"/>
  <c r="V30" i="22"/>
  <c r="V20" i="22"/>
  <c r="V20" i="12" s="1"/>
  <c r="V33" i="22"/>
  <c r="V14" i="22"/>
  <c r="V22" i="22"/>
  <c r="V27" i="22"/>
  <c r="V27" i="12" s="1"/>
  <c r="V16" i="22"/>
  <c r="V16" i="12" s="1"/>
  <c r="X14" i="22"/>
  <c r="V11" i="22"/>
  <c r="X16" i="22"/>
  <c r="X33" i="22"/>
  <c r="X17" i="22"/>
  <c r="V21" i="22"/>
  <c r="X28" i="22"/>
  <c r="X15" i="22"/>
  <c r="V15" i="22"/>
  <c r="V29" i="22"/>
  <c r="V29" i="12" s="1"/>
  <c r="V9" i="22"/>
  <c r="V44" i="22" s="1"/>
  <c r="V17" i="22"/>
  <c r="V28" i="22"/>
  <c r="X27" i="22"/>
  <c r="X22" i="22"/>
  <c r="V19" i="22"/>
  <c r="V12" i="22"/>
  <c r="X10" i="22"/>
  <c r="X30" i="22"/>
  <c r="V8" i="22"/>
  <c r="X20" i="22"/>
  <c r="X34" i="22"/>
  <c r="X32" i="22"/>
  <c r="V32" i="22"/>
  <c r="X18" i="22"/>
  <c r="V18" i="22"/>
  <c r="X24" i="22"/>
  <c r="V24" i="22"/>
  <c r="X23" i="22"/>
  <c r="V23" i="22"/>
  <c r="X13" i="22"/>
  <c r="V13" i="22"/>
  <c r="X31" i="22"/>
  <c r="V31" i="22"/>
  <c r="X7" i="22"/>
  <c r="U27" i="13"/>
  <c r="U34" i="13"/>
  <c r="F7" i="27"/>
  <c r="F13" i="27"/>
  <c r="F15" i="27"/>
  <c r="F10" i="27"/>
  <c r="F14" i="27"/>
  <c r="F8" i="27"/>
  <c r="F9" i="27"/>
  <c r="F3" i="27"/>
  <c r="F5" i="27"/>
  <c r="F6" i="27"/>
  <c r="F4" i="27"/>
  <c r="F11" i="27"/>
  <c r="F16" i="27"/>
  <c r="H17" i="26" l="1"/>
  <c r="V45" i="22"/>
  <c r="V25" i="12"/>
  <c r="V66" i="22"/>
  <c r="V31" i="12"/>
  <c r="V58" i="22"/>
  <c r="V23" i="12"/>
  <c r="V53" i="22"/>
  <c r="V18" i="12"/>
  <c r="V48" i="22"/>
  <c r="V13" i="12"/>
  <c r="V54" i="22"/>
  <c r="V19" i="12"/>
  <c r="V63" i="22"/>
  <c r="V28" i="12"/>
  <c r="V50" i="22"/>
  <c r="V15" i="12"/>
  <c r="V50" i="12" s="1"/>
  <c r="V49" i="22"/>
  <c r="V14" i="12"/>
  <c r="U17" i="13"/>
  <c r="V17" i="12"/>
  <c r="V68" i="22"/>
  <c r="V33" i="12"/>
  <c r="V9" i="12"/>
  <c r="V59" i="22"/>
  <c r="V24" i="12"/>
  <c r="V67" i="22"/>
  <c r="V32" i="12"/>
  <c r="V43" i="22"/>
  <c r="V8" i="12"/>
  <c r="U12" i="13"/>
  <c r="V12" i="12"/>
  <c r="V47" i="12" s="1"/>
  <c r="U21" i="13"/>
  <c r="V21" i="12"/>
  <c r="V46" i="22"/>
  <c r="V11" i="12"/>
  <c r="V46" i="12" s="1"/>
  <c r="U22" i="13"/>
  <c r="V22" i="12"/>
  <c r="V65" i="22"/>
  <c r="V30" i="12"/>
  <c r="V42" i="22"/>
  <c r="V7" i="12"/>
  <c r="V42" i="12" s="1"/>
  <c r="U65" i="12"/>
  <c r="U30" i="13"/>
  <c r="V51" i="12"/>
  <c r="U16" i="13"/>
  <c r="U25" i="13"/>
  <c r="U55" i="12"/>
  <c r="U20" i="13"/>
  <c r="U45" i="12"/>
  <c r="U10" i="13"/>
  <c r="V55" i="22"/>
  <c r="V55" i="12"/>
  <c r="U15" i="13"/>
  <c r="V51" i="22"/>
  <c r="V62" i="22"/>
  <c r="V57" i="22"/>
  <c r="V56" i="22"/>
  <c r="V64" i="22"/>
  <c r="V52" i="22"/>
  <c r="F17" i="26"/>
  <c r="G17" i="26" s="1"/>
  <c r="L17" i="26" s="1"/>
  <c r="K17" i="26" s="1"/>
  <c r="M17" i="26" s="1"/>
  <c r="V47" i="22"/>
  <c r="V45" i="12"/>
  <c r="U62" i="12"/>
  <c r="U57" i="12"/>
  <c r="U56" i="12"/>
  <c r="U47" i="12"/>
  <c r="V36" i="22"/>
  <c r="U7" i="13"/>
  <c r="V35" i="22"/>
  <c r="V70" i="22" s="1"/>
  <c r="U18" i="13"/>
  <c r="U69" i="12"/>
  <c r="U51" i="12"/>
  <c r="U31" i="13"/>
  <c r="U52" i="12"/>
  <c r="U13" i="13"/>
  <c r="U60" i="12"/>
  <c r="V62" i="12"/>
  <c r="U68" i="12"/>
  <c r="V69" i="12"/>
  <c r="V65" i="12" l="1"/>
  <c r="V57" i="12"/>
  <c r="V52" i="12"/>
  <c r="V60" i="12"/>
  <c r="V56" i="12"/>
  <c r="F22" i="26"/>
  <c r="V71" i="22"/>
  <c r="V35" i="12"/>
  <c r="V36" i="12"/>
  <c r="U50" i="12"/>
  <c r="V68" i="12"/>
  <c r="U33" i="13"/>
  <c r="V58" i="12"/>
  <c r="U23" i="13"/>
  <c r="V64" i="12"/>
  <c r="U29" i="13"/>
  <c r="U49" i="12"/>
  <c r="U14" i="13"/>
  <c r="U44" i="12"/>
  <c r="U9" i="13"/>
  <c r="V54" i="12"/>
  <c r="U19" i="13"/>
  <c r="V43" i="12"/>
  <c r="U8" i="13"/>
  <c r="V59" i="12"/>
  <c r="U24" i="13"/>
  <c r="V67" i="12"/>
  <c r="U32" i="13"/>
  <c r="V63" i="12"/>
  <c r="U28" i="13"/>
  <c r="U46" i="12"/>
  <c r="U11" i="13"/>
  <c r="V49" i="12"/>
  <c r="U63" i="12"/>
  <c r="U54" i="12"/>
  <c r="E22" i="26"/>
  <c r="U64" i="12"/>
  <c r="K22" i="26"/>
  <c r="L22" i="26" s="1"/>
  <c r="V44" i="12"/>
  <c r="U43" i="12"/>
  <c r="U48" i="12"/>
  <c r="U66" i="12"/>
  <c r="U53" i="12"/>
  <c r="V66" i="12"/>
  <c r="V53" i="12"/>
  <c r="U58" i="12"/>
  <c r="U59" i="12"/>
  <c r="U42" i="12"/>
  <c r="U35" i="12"/>
  <c r="U70" i="12" s="1"/>
  <c r="U36" i="12"/>
  <c r="U71" i="12" s="1"/>
  <c r="U67" i="12"/>
  <c r="V48" i="12"/>
  <c r="G22" i="26" l="1"/>
  <c r="M22" i="26"/>
  <c r="V70" i="12"/>
  <c r="V71" i="12"/>
  <c r="E18" i="26"/>
  <c r="J18" i="26" s="1"/>
  <c r="R18" i="26" l="1"/>
  <c r="AA26" i="8"/>
  <c r="AA19" i="8"/>
  <c r="AA13" i="8"/>
  <c r="AA30" i="8"/>
  <c r="AA34" i="8"/>
  <c r="AA21" i="8"/>
  <c r="AA7" i="8"/>
  <c r="AC7" i="8" s="1"/>
  <c r="AA18" i="8"/>
  <c r="AA28" i="8"/>
  <c r="AA27" i="8"/>
  <c r="AA24" i="8"/>
  <c r="AA31" i="8"/>
  <c r="AA17" i="8"/>
  <c r="AA20" i="8"/>
  <c r="AA33" i="8"/>
  <c r="AA11" i="8"/>
  <c r="AC11" i="8" s="1"/>
  <c r="AA15" i="8"/>
  <c r="AB15" i="8" s="1"/>
  <c r="AA12" i="8"/>
  <c r="AA22" i="8"/>
  <c r="AA23" i="8"/>
  <c r="AA29" i="8"/>
  <c r="AA14" i="8"/>
  <c r="AA8" i="8"/>
  <c r="AA16" i="8"/>
  <c r="AA32" i="8"/>
  <c r="AA9" i="8"/>
  <c r="AB9" i="8" s="1"/>
  <c r="AA25" i="8"/>
  <c r="AA10" i="8"/>
  <c r="AC10" i="8" s="1"/>
  <c r="AC30" i="8" l="1"/>
  <c r="V24" i="8"/>
  <c r="AC32" i="8"/>
  <c r="AB16" i="8"/>
  <c r="AB29" i="8"/>
  <c r="AB25" i="8"/>
  <c r="AC27" i="8"/>
  <c r="AB28" i="8"/>
  <c r="AC18" i="8"/>
  <c r="AC21" i="8"/>
  <c r="AB34" i="8"/>
  <c r="AC23" i="8"/>
  <c r="AC22" i="8"/>
  <c r="V29" i="8"/>
  <c r="V25" i="8"/>
  <c r="V22" i="8"/>
  <c r="V28" i="8"/>
  <c r="V7" i="8"/>
  <c r="V23" i="8"/>
  <c r="AD32" i="8"/>
  <c r="AD15" i="8"/>
  <c r="W15" i="8" s="1"/>
  <c r="X15" i="8" s="1"/>
  <c r="AC9" i="8"/>
  <c r="AC15" i="8"/>
  <c r="AB32" i="8"/>
  <c r="AB21" i="8"/>
  <c r="AB23" i="8"/>
  <c r="AB30" i="8"/>
  <c r="AB22" i="8"/>
  <c r="AC29" i="8"/>
  <c r="V21" i="8"/>
  <c r="AB18" i="8"/>
  <c r="AB11" i="8"/>
  <c r="V11" i="8" s="1"/>
  <c r="AB27" i="8"/>
  <c r="AC25" i="8"/>
  <c r="V18" i="8"/>
  <c r="AC28" i="8"/>
  <c r="AC34" i="8"/>
  <c r="V9" i="8"/>
  <c r="AD12" i="8"/>
  <c r="W12" i="8" s="1"/>
  <c r="AC12" i="8"/>
  <c r="AB8" i="8"/>
  <c r="V8" i="8" s="1"/>
  <c r="AC8" i="8"/>
  <c r="V14" i="8"/>
  <c r="AC14" i="8"/>
  <c r="AB14" i="8"/>
  <c r="AC17" i="8"/>
  <c r="AB17" i="8"/>
  <c r="V19" i="8"/>
  <c r="AB19" i="8"/>
  <c r="AC19" i="8"/>
  <c r="V10" i="8"/>
  <c r="AB10" i="8"/>
  <c r="AB20" i="8"/>
  <c r="AD20" i="8"/>
  <c r="AC20" i="8"/>
  <c r="AD17" i="8"/>
  <c r="V26" i="8"/>
  <c r="AC26" i="8"/>
  <c r="AB26" i="8"/>
  <c r="AD16" i="8"/>
  <c r="AC16" i="8"/>
  <c r="AB33" i="8"/>
  <c r="AC33" i="8"/>
  <c r="AB31" i="8"/>
  <c r="AC31" i="8"/>
  <c r="AB24" i="8"/>
  <c r="AC24" i="8"/>
  <c r="AB13" i="8"/>
  <c r="AC13" i="8"/>
  <c r="V13" i="8"/>
  <c r="AB12" i="8"/>
  <c r="AB7" i="8"/>
  <c r="G14" i="27"/>
  <c r="G3" i="27"/>
  <c r="G12" i="27"/>
  <c r="G6" i="27"/>
  <c r="G10" i="27"/>
  <c r="G11" i="27"/>
  <c r="G16" i="27"/>
  <c r="G5" i="27"/>
  <c r="V59" i="8" l="1"/>
  <c r="W16" i="8"/>
  <c r="V30" i="8"/>
  <c r="W17" i="8"/>
  <c r="W20" i="8"/>
  <c r="V34" i="8"/>
  <c r="W32" i="8"/>
  <c r="V27" i="8"/>
  <c r="V31" i="8"/>
  <c r="V15" i="8"/>
  <c r="V50" i="8" s="1"/>
  <c r="V45" i="8"/>
  <c r="V49" i="8"/>
  <c r="V60" i="8"/>
  <c r="V53" i="8"/>
  <c r="V44" i="8"/>
  <c r="V56" i="8"/>
  <c r="V61" i="8"/>
  <c r="V43" i="8"/>
  <c r="V63" i="8"/>
  <c r="V48" i="8"/>
  <c r="V54" i="8"/>
  <c r="V46" i="8"/>
  <c r="V33" i="8"/>
  <c r="V64" i="8"/>
  <c r="V57" i="8"/>
  <c r="V58" i="8"/>
  <c r="V42" i="8"/>
  <c r="X12" i="8"/>
  <c r="V12" i="8"/>
  <c r="G13" i="27"/>
  <c r="G19" i="27"/>
  <c r="G4" i="27"/>
  <c r="V32" i="8" l="1"/>
  <c r="V17" i="8"/>
  <c r="V66" i="8"/>
  <c r="V62" i="8"/>
  <c r="X17" i="8"/>
  <c r="V16" i="8"/>
  <c r="V51" i="8" s="1"/>
  <c r="X16" i="8"/>
  <c r="V20" i="8"/>
  <c r="V55" i="8" s="1"/>
  <c r="V65" i="8"/>
  <c r="H18" i="26"/>
  <c r="X20" i="8"/>
  <c r="V69" i="8"/>
  <c r="F18" i="26"/>
  <c r="G18" i="26" s="1"/>
  <c r="L18" i="26" s="1"/>
  <c r="K18" i="26" s="1"/>
  <c r="M18" i="26" s="1"/>
  <c r="X32" i="8"/>
  <c r="V52" i="8"/>
  <c r="V67" i="8"/>
  <c r="V68" i="8"/>
  <c r="V47" i="8"/>
  <c r="AH7" i="9"/>
  <c r="E19" i="26"/>
  <c r="R19" i="26" s="1"/>
  <c r="AC68" i="9"/>
  <c r="AI33" i="9"/>
  <c r="AC58" i="9"/>
  <c r="AI23" i="9"/>
  <c r="AI12" i="9"/>
  <c r="AC47" i="9"/>
  <c r="AI34" i="9"/>
  <c r="AC69" i="9"/>
  <c r="AC63" i="9"/>
  <c r="AI28" i="9"/>
  <c r="AI9" i="9"/>
  <c r="AC44" i="9"/>
  <c r="AH13" i="9"/>
  <c r="AC43" i="9"/>
  <c r="AI8" i="9"/>
  <c r="AC56" i="9"/>
  <c r="AI21" i="9"/>
  <c r="AC52" i="9"/>
  <c r="AI17" i="9"/>
  <c r="AC45" i="9"/>
  <c r="AI10" i="9"/>
  <c r="AI19" i="9"/>
  <c r="AC54" i="9"/>
  <c r="AD17" i="9"/>
  <c r="AA17" i="9"/>
  <c r="AA24" i="9"/>
  <c r="AA26" i="9"/>
  <c r="AD26" i="9"/>
  <c r="AD28" i="9"/>
  <c r="AI31" i="9"/>
  <c r="AC66" i="9"/>
  <c r="AD21" i="9"/>
  <c r="AH21" i="9"/>
  <c r="AC50" i="9"/>
  <c r="AI15" i="9"/>
  <c r="AA8" i="9"/>
  <c r="AB8" i="9" s="1"/>
  <c r="AA18" i="9"/>
  <c r="AD8" i="9"/>
  <c r="AA14" i="9"/>
  <c r="AH23" i="9"/>
  <c r="AI25" i="9"/>
  <c r="AC60" i="9"/>
  <c r="AA19" i="9"/>
  <c r="AH15" i="9"/>
  <c r="AA34" i="9"/>
  <c r="AA28" i="9"/>
  <c r="AD30" i="9"/>
  <c r="AI16" i="9"/>
  <c r="AC51" i="9"/>
  <c r="AC67" i="9"/>
  <c r="AI32" i="9"/>
  <c r="AA25" i="9"/>
  <c r="AA29" i="9"/>
  <c r="AA11" i="9"/>
  <c r="AB11" i="9" s="1"/>
  <c r="AA27" i="9"/>
  <c r="AI7" i="9"/>
  <c r="AC42" i="9"/>
  <c r="AC48" i="9"/>
  <c r="AI13" i="9"/>
  <c r="AI24" i="9"/>
  <c r="AC59" i="9"/>
  <c r="AC64" i="9"/>
  <c r="AI29" i="9"/>
  <c r="AC65" i="9"/>
  <c r="AI30" i="9"/>
  <c r="AI11" i="9"/>
  <c r="AC46" i="9"/>
  <c r="AD9" i="9"/>
  <c r="AC61" i="9"/>
  <c r="AI26" i="9"/>
  <c r="AA22" i="9"/>
  <c r="AA10" i="9"/>
  <c r="AB10" i="9" s="1"/>
  <c r="AD10" i="9"/>
  <c r="AD14" i="9"/>
  <c r="AD23" i="9"/>
  <c r="AA12" i="9"/>
  <c r="AD27" i="9"/>
  <c r="AC53" i="9"/>
  <c r="AI18" i="9"/>
  <c r="AA33" i="9"/>
  <c r="AC55" i="9"/>
  <c r="AI20" i="9"/>
  <c r="AA16" i="9"/>
  <c r="AA9" i="9"/>
  <c r="AA30" i="9"/>
  <c r="AD11" i="9"/>
  <c r="AC57" i="9"/>
  <c r="AI22" i="9"/>
  <c r="AA20" i="9"/>
  <c r="AD12" i="9"/>
  <c r="AI14" i="9"/>
  <c r="AC49" i="9"/>
  <c r="AA32" i="9"/>
  <c r="AA31" i="9"/>
  <c r="AD24" i="9"/>
  <c r="AD18" i="9"/>
  <c r="AD16" i="9"/>
  <c r="AD34" i="9"/>
  <c r="AD20" i="9"/>
  <c r="AD15" i="9"/>
  <c r="AH28" i="9"/>
  <c r="AD32" i="9"/>
  <c r="AD7" i="9"/>
  <c r="AC62" i="9"/>
  <c r="AI27" i="9"/>
  <c r="AH26" i="9"/>
  <c r="AH10" i="9"/>
  <c r="W10" i="9" s="1"/>
  <c r="AH14" i="9"/>
  <c r="AA7" i="9"/>
  <c r="AB7" i="9" s="1"/>
  <c r="AH16" i="9"/>
  <c r="AH18" i="9"/>
  <c r="AH17" i="9"/>
  <c r="AH12" i="9"/>
  <c r="AH8" i="9"/>
  <c r="AH11" i="9"/>
  <c r="AH32" i="9"/>
  <c r="AD29" i="9"/>
  <c r="AH27" i="9"/>
  <c r="AH31" i="9"/>
  <c r="AD31" i="9"/>
  <c r="AH33" i="9"/>
  <c r="AD33" i="9"/>
  <c r="AA21" i="9"/>
  <c r="AH34" i="9"/>
  <c r="AH19" i="9"/>
  <c r="W19" i="9" s="1"/>
  <c r="AD19" i="9"/>
  <c r="AH25" i="9"/>
  <c r="AD25" i="9"/>
  <c r="AH22" i="9"/>
  <c r="AD22" i="9"/>
  <c r="AH24" i="9"/>
  <c r="AD13" i="9"/>
  <c r="AA13" i="9"/>
  <c r="AB13" i="9" s="1"/>
  <c r="AA15" i="9"/>
  <c r="AB15" i="9" s="1"/>
  <c r="AH20" i="9"/>
  <c r="AH30" i="9"/>
  <c r="AH29" i="9"/>
  <c r="AH9" i="9"/>
  <c r="AA23" i="9"/>
  <c r="G9" i="27"/>
  <c r="G15" i="27"/>
  <c r="G8" i="27"/>
  <c r="G7" i="27"/>
  <c r="V35" i="8" l="1"/>
  <c r="V70" i="8" s="1"/>
  <c r="V36" i="8"/>
  <c r="AB28" i="9"/>
  <c r="AB32" i="9"/>
  <c r="AB26" i="9"/>
  <c r="W26" i="9" s="1"/>
  <c r="AB27" i="9"/>
  <c r="W27" i="9" s="1"/>
  <c r="AB18" i="9"/>
  <c r="AE25" i="9"/>
  <c r="AC9" i="9"/>
  <c r="AC21" i="9"/>
  <c r="AE15" i="9"/>
  <c r="W15" i="9" s="1"/>
  <c r="V15" i="9" s="1"/>
  <c r="AE21" i="9"/>
  <c r="AE7" i="9"/>
  <c r="W7" i="9" s="1"/>
  <c r="V7" i="9" s="1"/>
  <c r="V71" i="8"/>
  <c r="AC19" i="9"/>
  <c r="AD60" i="9"/>
  <c r="AD47" i="9"/>
  <c r="AD49" i="9"/>
  <c r="AD59" i="9"/>
  <c r="AC8" i="9"/>
  <c r="AB9" i="9"/>
  <c r="W9" i="9" s="1"/>
  <c r="V9" i="9" s="1"/>
  <c r="AD62" i="9"/>
  <c r="AC26" i="9"/>
  <c r="AD63" i="9"/>
  <c r="AC17" i="9"/>
  <c r="AD67" i="9"/>
  <c r="AC25" i="9"/>
  <c r="AD46" i="9"/>
  <c r="AC11" i="9"/>
  <c r="AD53" i="9"/>
  <c r="AC16" i="9"/>
  <c r="AB16" i="9"/>
  <c r="AC12" i="9"/>
  <c r="AD52" i="9"/>
  <c r="AD51" i="9"/>
  <c r="AD68" i="9"/>
  <c r="W8" i="9"/>
  <c r="X8" i="9" s="1"/>
  <c r="AC18" i="9"/>
  <c r="AD48" i="9"/>
  <c r="AE13" i="9"/>
  <c r="W13" i="9" s="1"/>
  <c r="X13" i="9" s="1"/>
  <c r="W32" i="9"/>
  <c r="AD43" i="9"/>
  <c r="AD45" i="9"/>
  <c r="AC27" i="9"/>
  <c r="AB25" i="9"/>
  <c r="AD69" i="9"/>
  <c r="AC34" i="9"/>
  <c r="AC28" i="9"/>
  <c r="AD44" i="9"/>
  <c r="W11" i="9"/>
  <c r="V11" i="9" s="1"/>
  <c r="AD56" i="9"/>
  <c r="AC24" i="9"/>
  <c r="AD42" i="9"/>
  <c r="AD65" i="9"/>
  <c r="AB19" i="9"/>
  <c r="AB12" i="9"/>
  <c r="W12" i="9" s="1"/>
  <c r="X12" i="9" s="1"/>
  <c r="AD61" i="9"/>
  <c r="AB24" i="9"/>
  <c r="AB17" i="9"/>
  <c r="J19" i="26"/>
  <c r="AC10" i="9"/>
  <c r="AD54" i="9"/>
  <c r="V19" i="9"/>
  <c r="AB22" i="9"/>
  <c r="AC22" i="9"/>
  <c r="AC30" i="9"/>
  <c r="AB30" i="9"/>
  <c r="AB29" i="9"/>
  <c r="AC29" i="9"/>
  <c r="AD64" i="9"/>
  <c r="AC14" i="9"/>
  <c r="AB14" i="9"/>
  <c r="AE23" i="9"/>
  <c r="AB23" i="9"/>
  <c r="AD58" i="9"/>
  <c r="AC23" i="9"/>
  <c r="X10" i="9"/>
  <c r="V10" i="9"/>
  <c r="AB31" i="9"/>
  <c r="AC31" i="9"/>
  <c r="AD66" i="9"/>
  <c r="AC20" i="9"/>
  <c r="AB20" i="9"/>
  <c r="AC33" i="9"/>
  <c r="AB33" i="9"/>
  <c r="AD57" i="9"/>
  <c r="AD55" i="9"/>
  <c r="AC32" i="9"/>
  <c r="AB34" i="9"/>
  <c r="AC7" i="9"/>
  <c r="X19" i="9"/>
  <c r="AD50" i="9"/>
  <c r="AC13" i="9"/>
  <c r="AC15" i="9"/>
  <c r="AB21" i="9"/>
  <c r="H3" i="27"/>
  <c r="W28" i="9" l="1"/>
  <c r="X28" i="9" s="1"/>
  <c r="W18" i="9"/>
  <c r="W31" i="9"/>
  <c r="W16" i="9"/>
  <c r="X16" i="9" s="1"/>
  <c r="W25" i="9"/>
  <c r="X25" i="9" s="1"/>
  <c r="W22" i="9"/>
  <c r="V22" i="9" s="1"/>
  <c r="W33" i="9"/>
  <c r="V33" i="9" s="1"/>
  <c r="X26" i="9"/>
  <c r="W24" i="9"/>
  <c r="W29" i="9"/>
  <c r="V27" i="9"/>
  <c r="W17" i="9"/>
  <c r="W34" i="9"/>
  <c r="V32" i="9"/>
  <c r="W20" i="9"/>
  <c r="W30" i="9"/>
  <c r="W14" i="9"/>
  <c r="X14" i="9" s="1"/>
  <c r="W21" i="9"/>
  <c r="V50" i="9"/>
  <c r="V44" i="9"/>
  <c r="V54" i="9"/>
  <c r="V45" i="9"/>
  <c r="V46" i="9"/>
  <c r="V42" i="9"/>
  <c r="X7" i="9"/>
  <c r="V26" i="9"/>
  <c r="V13" i="9"/>
  <c r="X15" i="9"/>
  <c r="W23" i="9"/>
  <c r="X9" i="9"/>
  <c r="X32" i="9"/>
  <c r="V12" i="9"/>
  <c r="V8" i="9"/>
  <c r="X11" i="9"/>
  <c r="X27" i="9"/>
  <c r="F19" i="26"/>
  <c r="G19" i="26" s="1"/>
  <c r="L19" i="26" s="1"/>
  <c r="K19" i="26" s="1"/>
  <c r="H15" i="27"/>
  <c r="H13" i="27"/>
  <c r="H12" i="27"/>
  <c r="H16" i="27"/>
  <c r="H4" i="27"/>
  <c r="H5" i="27"/>
  <c r="X22" i="9" l="1"/>
  <c r="V25" i="9"/>
  <c r="V60" i="9" s="1"/>
  <c r="X33" i="9"/>
  <c r="X30" i="9"/>
  <c r="V14" i="9"/>
  <c r="V31" i="9"/>
  <c r="V66" i="9" s="1"/>
  <c r="X31" i="9"/>
  <c r="V24" i="9"/>
  <c r="V59" i="9" s="1"/>
  <c r="V34" i="9"/>
  <c r="V69" i="9" s="1"/>
  <c r="X34" i="9"/>
  <c r="V28" i="9"/>
  <c r="V63" i="9" s="1"/>
  <c r="X29" i="9"/>
  <c r="V18" i="9"/>
  <c r="V53" i="9" s="1"/>
  <c r="V17" i="9"/>
  <c r="V52" i="9" s="1"/>
  <c r="X18" i="9"/>
  <c r="X17" i="9"/>
  <c r="V30" i="9"/>
  <c r="V65" i="9" s="1"/>
  <c r="V29" i="9"/>
  <c r="V64" i="9" s="1"/>
  <c r="V23" i="9"/>
  <c r="X21" i="9"/>
  <c r="V16" i="9"/>
  <c r="V62" i="9"/>
  <c r="X24" i="9"/>
  <c r="V20" i="9"/>
  <c r="X20" i="9"/>
  <c r="V67" i="9"/>
  <c r="H19" i="26"/>
  <c r="V21" i="9"/>
  <c r="V49" i="9"/>
  <c r="V43" i="9"/>
  <c r="V68" i="9"/>
  <c r="V57" i="9"/>
  <c r="X23" i="9"/>
  <c r="V61" i="9"/>
  <c r="V48" i="9"/>
  <c r="V47" i="9"/>
  <c r="M19" i="26"/>
  <c r="AC20" i="10"/>
  <c r="AD21" i="10"/>
  <c r="AD13" i="10"/>
  <c r="AC13" i="10"/>
  <c r="AD20" i="10"/>
  <c r="AC21" i="10"/>
  <c r="AD29" i="10"/>
  <c r="AC23" i="10"/>
  <c r="AC16" i="10"/>
  <c r="AC12" i="10"/>
  <c r="AC17" i="10"/>
  <c r="AC29" i="10"/>
  <c r="AD23" i="10"/>
  <c r="AD16" i="10"/>
  <c r="AC32" i="10"/>
  <c r="AA29" i="10"/>
  <c r="AD32" i="10"/>
  <c r="AA20" i="10"/>
  <c r="AA17" i="10"/>
  <c r="AD17" i="10"/>
  <c r="AA32" i="10"/>
  <c r="AA23" i="10"/>
  <c r="AA12" i="10"/>
  <c r="AE12" i="10" s="1"/>
  <c r="W12" i="10" s="1"/>
  <c r="AD12" i="10"/>
  <c r="AA16" i="10"/>
  <c r="AA13" i="10"/>
  <c r="AA21" i="10"/>
  <c r="H8" i="27"/>
  <c r="H19" i="27"/>
  <c r="H6" i="27"/>
  <c r="H14" i="27"/>
  <c r="H9" i="27"/>
  <c r="H11" i="27"/>
  <c r="H7" i="27"/>
  <c r="H10" i="27"/>
  <c r="V58" i="9" l="1"/>
  <c r="V55" i="9"/>
  <c r="AB16" i="10"/>
  <c r="V51" i="9"/>
  <c r="AB32" i="10"/>
  <c r="AE20" i="10"/>
  <c r="AB17" i="10"/>
  <c r="V56" i="9"/>
  <c r="AB21" i="10"/>
  <c r="V36" i="9"/>
  <c r="V71" i="9" s="1"/>
  <c r="V35" i="9"/>
  <c r="V70" i="9" s="1"/>
  <c r="AB29" i="10"/>
  <c r="AE29" i="10"/>
  <c r="W29" i="10" s="1"/>
  <c r="AD47" i="10"/>
  <c r="AC64" i="10"/>
  <c r="AD52" i="10"/>
  <c r="AD67" i="10"/>
  <c r="AD64" i="10"/>
  <c r="AD51" i="10"/>
  <c r="AC52" i="10"/>
  <c r="AE21" i="10"/>
  <c r="W21" i="10" s="1"/>
  <c r="AE16" i="10"/>
  <c r="AE32" i="10"/>
  <c r="AE17" i="10"/>
  <c r="AD55" i="10"/>
  <c r="AB20" i="10"/>
  <c r="AD48" i="10"/>
  <c r="AE13" i="10"/>
  <c r="W13" i="10" s="1"/>
  <c r="AB13" i="10"/>
  <c r="X12" i="10"/>
  <c r="V12" i="10"/>
  <c r="AC55" i="10"/>
  <c r="AD58" i="10"/>
  <c r="AE23" i="10"/>
  <c r="AB23" i="10"/>
  <c r="AC67" i="10"/>
  <c r="AC51" i="10"/>
  <c r="AC58" i="10"/>
  <c r="AB12" i="10"/>
  <c r="AC47" i="10"/>
  <c r="AC56" i="10"/>
  <c r="AC48" i="10"/>
  <c r="AD56" i="10"/>
  <c r="I4" i="27"/>
  <c r="W20" i="10" l="1"/>
  <c r="W32" i="10"/>
  <c r="W16" i="10"/>
  <c r="X21" i="10"/>
  <c r="W23" i="10"/>
  <c r="V29" i="10"/>
  <c r="W17" i="10"/>
  <c r="V47" i="10"/>
  <c r="V21" i="10"/>
  <c r="X29" i="10"/>
  <c r="X13" i="10"/>
  <c r="V13" i="10"/>
  <c r="F20" i="26" s="1"/>
  <c r="G20" i="26" s="1"/>
  <c r="L20" i="26" s="1"/>
  <c r="K20" i="26" s="1"/>
  <c r="M20" i="26" s="1"/>
  <c r="I14" i="27"/>
  <c r="I5" i="27"/>
  <c r="I10" i="27"/>
  <c r="X32" i="10" l="1"/>
  <c r="X16" i="10"/>
  <c r="V17" i="10"/>
  <c r="H20" i="26"/>
  <c r="V64" i="10"/>
  <c r="V16" i="10"/>
  <c r="X20" i="10"/>
  <c r="V20" i="10"/>
  <c r="V32" i="10"/>
  <c r="X17" i="10"/>
  <c r="V23" i="10"/>
  <c r="X23" i="10"/>
  <c r="V48" i="10"/>
  <c r="V56" i="10"/>
  <c r="AD27" i="11"/>
  <c r="AD29" i="11"/>
  <c r="AA26" i="11"/>
  <c r="AC26" i="11"/>
  <c r="AH26" i="11"/>
  <c r="E21" i="26"/>
  <c r="J21" i="26" s="1"/>
  <c r="I8" i="27"/>
  <c r="I11" i="27"/>
  <c r="I9" i="27"/>
  <c r="I7" i="27"/>
  <c r="I15" i="27"/>
  <c r="V52" i="10" l="1"/>
  <c r="V36" i="10"/>
  <c r="V71" i="10" s="1"/>
  <c r="V35" i="10"/>
  <c r="V70" i="10" s="1"/>
  <c r="V67" i="10"/>
  <c r="AB26" i="11"/>
  <c r="V51" i="10"/>
  <c r="V55" i="10"/>
  <c r="V58" i="10"/>
  <c r="AC61" i="11"/>
  <c r="J23" i="26"/>
  <c r="R21" i="26"/>
  <c r="W26" i="11" l="1"/>
  <c r="V26" i="11" s="1"/>
  <c r="AA8" i="11"/>
  <c r="AB8" i="11" s="1"/>
  <c r="AA20" i="11"/>
  <c r="AA30" i="11"/>
  <c r="AA22" i="11"/>
  <c r="AA33" i="11"/>
  <c r="AA34" i="11"/>
  <c r="AA11" i="11"/>
  <c r="AB11" i="11" s="1"/>
  <c r="AA9" i="11"/>
  <c r="AB9" i="11" s="1"/>
  <c r="AA31" i="11"/>
  <c r="AA18" i="11"/>
  <c r="AA24" i="11"/>
  <c r="AA25" i="11"/>
  <c r="AA10" i="11"/>
  <c r="AB10" i="11" s="1"/>
  <c r="AA19" i="11"/>
  <c r="AA14" i="11"/>
  <c r="AA28" i="11"/>
  <c r="AA27" i="11"/>
  <c r="AA29" i="11"/>
  <c r="AC19" i="11"/>
  <c r="AA15" i="11"/>
  <c r="AC25" i="11"/>
  <c r="AC7" i="11"/>
  <c r="AC13" i="11"/>
  <c r="AC10" i="11"/>
  <c r="AH34" i="11"/>
  <c r="AC34" i="11"/>
  <c r="AH19" i="11"/>
  <c r="AA17" i="11"/>
  <c r="AC20" i="11"/>
  <c r="AA21" i="11"/>
  <c r="AA23" i="11"/>
  <c r="AC23" i="11"/>
  <c r="AC27" i="11"/>
  <c r="AC17" i="11"/>
  <c r="AA12" i="11"/>
  <c r="AC22" i="11"/>
  <c r="AC9" i="11"/>
  <c r="AC28" i="11"/>
  <c r="AC18" i="11"/>
  <c r="AC16" i="11"/>
  <c r="AC15" i="11"/>
  <c r="AA16" i="11"/>
  <c r="AA32" i="11"/>
  <c r="AH23" i="11"/>
  <c r="AC29" i="11"/>
  <c r="AC12" i="11"/>
  <c r="AH18" i="11"/>
  <c r="AC31" i="11"/>
  <c r="AH25" i="11"/>
  <c r="AC8" i="11"/>
  <c r="AA13" i="11"/>
  <c r="AC30" i="11"/>
  <c r="AC33" i="11"/>
  <c r="AH8" i="11"/>
  <c r="W8" i="11" s="1"/>
  <c r="AH22" i="11"/>
  <c r="AH13" i="11"/>
  <c r="AC14" i="11"/>
  <c r="AC21" i="11"/>
  <c r="AH28" i="11"/>
  <c r="AH15" i="11"/>
  <c r="AH14" i="11"/>
  <c r="AH9" i="11"/>
  <c r="AC32" i="11"/>
  <c r="AH10" i="11"/>
  <c r="W10" i="11" s="1"/>
  <c r="AA7" i="11"/>
  <c r="AH20" i="11"/>
  <c r="AH21" i="11"/>
  <c r="AC11" i="11"/>
  <c r="AH11" i="11"/>
  <c r="AH31" i="11"/>
  <c r="W31" i="11" s="1"/>
  <c r="AH33" i="11"/>
  <c r="AH7" i="11"/>
  <c r="AH30" i="11"/>
  <c r="AH16" i="11"/>
  <c r="AH32" i="11"/>
  <c r="AH17" i="11"/>
  <c r="AH24" i="11"/>
  <c r="AC24" i="11"/>
  <c r="AH29" i="11"/>
  <c r="AH27" i="11"/>
  <c r="W27" i="11" s="1"/>
  <c r="AH12" i="11"/>
  <c r="J12" i="27"/>
  <c r="AB19" i="11" l="1"/>
  <c r="AB24" i="11"/>
  <c r="AB18" i="11"/>
  <c r="AB31" i="11"/>
  <c r="AB34" i="11"/>
  <c r="AB33" i="11"/>
  <c r="AB22" i="11"/>
  <c r="AB30" i="11"/>
  <c r="W30" i="11" s="1"/>
  <c r="AB29" i="11"/>
  <c r="W29" i="11" s="1"/>
  <c r="AB20" i="11"/>
  <c r="AB27" i="11"/>
  <c r="AB28" i="11"/>
  <c r="X26" i="11"/>
  <c r="AB14" i="11"/>
  <c r="W14" i="11" s="1"/>
  <c r="AC57" i="11"/>
  <c r="V10" i="11"/>
  <c r="V45" i="11" s="1"/>
  <c r="AC68" i="11"/>
  <c r="AB17" i="11"/>
  <c r="AD17" i="11"/>
  <c r="AB15" i="11"/>
  <c r="AD15" i="11"/>
  <c r="W15" i="11" s="1"/>
  <c r="V15" i="11" s="1"/>
  <c r="AB25" i="11"/>
  <c r="AD25" i="11"/>
  <c r="AB32" i="11"/>
  <c r="AD32" i="11"/>
  <c r="AB12" i="11"/>
  <c r="AD12" i="11"/>
  <c r="W12" i="11" s="1"/>
  <c r="X12" i="11" s="1"/>
  <c r="AB21" i="11"/>
  <c r="AD21" i="11"/>
  <c r="AB13" i="11"/>
  <c r="AD13" i="11"/>
  <c r="W13" i="11" s="1"/>
  <c r="V13" i="11" s="1"/>
  <c r="AB16" i="11"/>
  <c r="AD16" i="11"/>
  <c r="AB23" i="11"/>
  <c r="AD23" i="11"/>
  <c r="AB7" i="11"/>
  <c r="AD7" i="11"/>
  <c r="W7" i="11" s="1"/>
  <c r="V8" i="11"/>
  <c r="V8" i="13" s="1"/>
  <c r="AC67" i="11"/>
  <c r="AC69" i="11"/>
  <c r="W24" i="11"/>
  <c r="W11" i="11"/>
  <c r="X11" i="11" s="1"/>
  <c r="AC65" i="11"/>
  <c r="U61" i="13"/>
  <c r="V26" i="13"/>
  <c r="V61" i="13" s="1"/>
  <c r="AC47" i="11"/>
  <c r="W28" i="11"/>
  <c r="AC62" i="11"/>
  <c r="W9" i="11"/>
  <c r="V9" i="11" s="1"/>
  <c r="AC63" i="11"/>
  <c r="AC52" i="11"/>
  <c r="AC50" i="11"/>
  <c r="AC44" i="11"/>
  <c r="AC60" i="11"/>
  <c r="AC43" i="11"/>
  <c r="AC66" i="11"/>
  <c r="AC45" i="11"/>
  <c r="W33" i="11"/>
  <c r="V27" i="11"/>
  <c r="AC54" i="11"/>
  <c r="V61" i="11"/>
  <c r="W20" i="11"/>
  <c r="AC56" i="11"/>
  <c r="AC55" i="11"/>
  <c r="AC53" i="11"/>
  <c r="AC48" i="11"/>
  <c r="AC59" i="11"/>
  <c r="AC42" i="11"/>
  <c r="AC49" i="11"/>
  <c r="U50" i="13"/>
  <c r="AC46" i="11"/>
  <c r="W18" i="11"/>
  <c r="W19" i="11"/>
  <c r="U45" i="13"/>
  <c r="U43" i="13"/>
  <c r="AC51" i="11"/>
  <c r="X31" i="11"/>
  <c r="AC58" i="11"/>
  <c r="X27" i="11"/>
  <c r="X10" i="11"/>
  <c r="AC64" i="11"/>
  <c r="V31" i="11"/>
  <c r="X8" i="11"/>
  <c r="J13" i="27"/>
  <c r="J5" i="27"/>
  <c r="V10" i="13" l="1"/>
  <c r="V45" i="13" s="1"/>
  <c r="W17" i="11"/>
  <c r="W23" i="11"/>
  <c r="V23" i="11" s="1"/>
  <c r="X28" i="11"/>
  <c r="W16" i="11"/>
  <c r="W21" i="11"/>
  <c r="V21" i="11" s="1"/>
  <c r="X19" i="11"/>
  <c r="V18" i="11"/>
  <c r="V53" i="11" s="1"/>
  <c r="W22" i="11"/>
  <c r="V24" i="11"/>
  <c r="W32" i="11"/>
  <c r="V30" i="11"/>
  <c r="W25" i="11"/>
  <c r="W34" i="11"/>
  <c r="V17" i="11"/>
  <c r="X17" i="11"/>
  <c r="X24" i="11"/>
  <c r="V11" i="11"/>
  <c r="V46" i="11" s="1"/>
  <c r="V43" i="11"/>
  <c r="V28" i="11"/>
  <c r="V66" i="11"/>
  <c r="V31" i="13"/>
  <c r="U62" i="13"/>
  <c r="V27" i="13"/>
  <c r="V62" i="13" s="1"/>
  <c r="V44" i="11"/>
  <c r="V9" i="13"/>
  <c r="V50" i="11"/>
  <c r="V15" i="13"/>
  <c r="V50" i="13" s="1"/>
  <c r="V48" i="11"/>
  <c r="V13" i="13"/>
  <c r="X9" i="11"/>
  <c r="X15" i="11"/>
  <c r="X18" i="11"/>
  <c r="X14" i="11"/>
  <c r="X30" i="11"/>
  <c r="U65" i="13"/>
  <c r="X29" i="11"/>
  <c r="V33" i="11"/>
  <c r="X33" i="11"/>
  <c r="V7" i="11"/>
  <c r="V43" i="13"/>
  <c r="V29" i="11"/>
  <c r="X7" i="11"/>
  <c r="V20" i="11"/>
  <c r="X20" i="11"/>
  <c r="X13" i="11"/>
  <c r="V62" i="11"/>
  <c r="U69" i="13"/>
  <c r="V14" i="11"/>
  <c r="U59" i="13"/>
  <c r="U53" i="13"/>
  <c r="V19" i="11"/>
  <c r="V12" i="11"/>
  <c r="U63" i="13"/>
  <c r="U66" i="13"/>
  <c r="U48" i="13"/>
  <c r="U52" i="13"/>
  <c r="U67" i="13"/>
  <c r="U46" i="13"/>
  <c r="U44" i="13"/>
  <c r="J8" i="27"/>
  <c r="J3" i="27"/>
  <c r="J10" i="27"/>
  <c r="J11" i="27"/>
  <c r="J14" i="27"/>
  <c r="J4" i="27"/>
  <c r="J9" i="27"/>
  <c r="J6" i="27"/>
  <c r="V18" i="13" l="1"/>
  <c r="X34" i="11"/>
  <c r="X32" i="11"/>
  <c r="V59" i="11"/>
  <c r="X22" i="11"/>
  <c r="V22" i="11"/>
  <c r="V22" i="13" s="1"/>
  <c r="V57" i="13" s="1"/>
  <c r="X21" i="11"/>
  <c r="V16" i="11"/>
  <c r="V16" i="13" s="1"/>
  <c r="V51" i="13" s="1"/>
  <c r="V24" i="13"/>
  <c r="V59" i="13" s="1"/>
  <c r="V63" i="11"/>
  <c r="V17" i="13"/>
  <c r="V52" i="13" s="1"/>
  <c r="V34" i="11"/>
  <c r="X16" i="11"/>
  <c r="X25" i="11"/>
  <c r="X23" i="11"/>
  <c r="V25" i="11"/>
  <c r="V30" i="13"/>
  <c r="V65" i="13" s="1"/>
  <c r="V32" i="11"/>
  <c r="V65" i="11"/>
  <c r="H21" i="26"/>
  <c r="V52" i="11"/>
  <c r="V11" i="13"/>
  <c r="V46" i="13" s="1"/>
  <c r="V28" i="13"/>
  <c r="V63" i="13" s="1"/>
  <c r="U49" i="13"/>
  <c r="V14" i="13"/>
  <c r="V49" i="13" s="1"/>
  <c r="U58" i="13"/>
  <c r="V23" i="13"/>
  <c r="V58" i="13" s="1"/>
  <c r="U55" i="13"/>
  <c r="V20" i="13"/>
  <c r="V55" i="13" s="1"/>
  <c r="U47" i="13"/>
  <c r="V12" i="13"/>
  <c r="V47" i="13" s="1"/>
  <c r="V54" i="11"/>
  <c r="V19" i="13"/>
  <c r="U56" i="13"/>
  <c r="V21" i="13"/>
  <c r="V56" i="13" s="1"/>
  <c r="U64" i="13"/>
  <c r="V29" i="13"/>
  <c r="V64" i="13" s="1"/>
  <c r="V68" i="11"/>
  <c r="V33" i="13"/>
  <c r="U57" i="13"/>
  <c r="U51" i="13"/>
  <c r="V7" i="13"/>
  <c r="V42" i="13" s="1"/>
  <c r="U60" i="13"/>
  <c r="U68" i="13"/>
  <c r="F21" i="26"/>
  <c r="G21" i="26" s="1"/>
  <c r="L21" i="26" s="1"/>
  <c r="K21" i="26" s="1"/>
  <c r="M21" i="26" s="1"/>
  <c r="V64" i="11"/>
  <c r="V42" i="11"/>
  <c r="V55" i="11"/>
  <c r="V56" i="11"/>
  <c r="V49" i="11"/>
  <c r="V53" i="13"/>
  <c r="V47" i="11"/>
  <c r="V58" i="11"/>
  <c r="V44" i="13"/>
  <c r="V66" i="13"/>
  <c r="V48" i="13"/>
  <c r="U42" i="13"/>
  <c r="J16" i="27"/>
  <c r="J7" i="27"/>
  <c r="J19" i="27"/>
  <c r="J15" i="27"/>
  <c r="V57" i="11" l="1"/>
  <c r="V60" i="11"/>
  <c r="V51" i="11"/>
  <c r="V35" i="11"/>
  <c r="V70" i="11" s="1"/>
  <c r="V25" i="13"/>
  <c r="V60" i="13" s="1"/>
  <c r="V67" i="11"/>
  <c r="V32" i="13"/>
  <c r="V67" i="13" s="1"/>
  <c r="V34" i="13"/>
  <c r="V69" i="13" s="1"/>
  <c r="V69" i="11"/>
  <c r="V36" i="11"/>
  <c r="V71" i="11" s="1"/>
  <c r="F23" i="26"/>
  <c r="V54" i="13"/>
  <c r="U35" i="13"/>
  <c r="U70" i="13" s="1"/>
  <c r="U36" i="13"/>
  <c r="U71" i="13" s="1"/>
  <c r="E23" i="26"/>
  <c r="V68" i="13"/>
  <c r="U54" i="13"/>
  <c r="K23" i="26"/>
  <c r="L23" i="26" s="1"/>
  <c r="V36" i="13" l="1"/>
  <c r="V71" i="13" s="1"/>
  <c r="V35" i="13"/>
  <c r="V70" i="13" s="1"/>
  <c r="G23" i="26"/>
  <c r="M23" i="26"/>
  <c r="AG17" i="14" l="1"/>
  <c r="AG7" i="14"/>
  <c r="AG16" i="14"/>
  <c r="AG29" i="14"/>
  <c r="AG23" i="14"/>
  <c r="E25" i="26"/>
  <c r="J25" i="26" s="1"/>
  <c r="AA14" i="14"/>
  <c r="AA32" i="14"/>
  <c r="AA18" i="14"/>
  <c r="AA24" i="14"/>
  <c r="AA13" i="14"/>
  <c r="AA34" i="14"/>
  <c r="AB34" i="14" s="1"/>
  <c r="AA33" i="14"/>
  <c r="AA11" i="14"/>
  <c r="AA20" i="14"/>
  <c r="AA28" i="14"/>
  <c r="AA15" i="14"/>
  <c r="AA31" i="14"/>
  <c r="AA19" i="14"/>
  <c r="AA27" i="14"/>
  <c r="AA12" i="14"/>
  <c r="AA21" i="14"/>
  <c r="AA30" i="14"/>
  <c r="AA9" i="14"/>
  <c r="AA10" i="14"/>
  <c r="AA22" i="14"/>
  <c r="AA8" i="14"/>
  <c r="AA25" i="14"/>
  <c r="AD25" i="14" s="1"/>
  <c r="AC11" i="14"/>
  <c r="AC31" i="14"/>
  <c r="AC25" i="14"/>
  <c r="AC20" i="14"/>
  <c r="AC24" i="14"/>
  <c r="AC19" i="14"/>
  <c r="AC29" i="14"/>
  <c r="AC15" i="14"/>
  <c r="AC9" i="14"/>
  <c r="AC22" i="14"/>
  <c r="AC10" i="14"/>
  <c r="AC16" i="14"/>
  <c r="AC33" i="14"/>
  <c r="AC21" i="14"/>
  <c r="AC17" i="14"/>
  <c r="AC7" i="14"/>
  <c r="AC14" i="14"/>
  <c r="AC8" i="14"/>
  <c r="AC30" i="14"/>
  <c r="AC65" i="14" l="1"/>
  <c r="AC57" i="14"/>
  <c r="AC50" i="14"/>
  <c r="R25" i="26"/>
  <c r="AC43" i="14"/>
  <c r="AC54" i="14"/>
  <c r="AC49" i="14"/>
  <c r="AC44" i="14"/>
  <c r="AC59" i="14"/>
  <c r="AC45" i="14"/>
  <c r="AC60" i="14"/>
  <c r="AC56" i="14"/>
  <c r="AC68" i="14"/>
  <c r="AC66" i="14"/>
  <c r="AC55" i="14"/>
  <c r="AC46" i="14"/>
  <c r="AC34" i="14"/>
  <c r="AC69" i="14" s="1"/>
  <c r="AC18" i="14"/>
  <c r="AC53" i="14" s="1"/>
  <c r="AC23" i="14"/>
  <c r="AC32" i="14"/>
  <c r="AC67" i="14" s="1"/>
  <c r="AC28" i="14"/>
  <c r="AC63" i="14" s="1"/>
  <c r="AC12" i="14" l="1"/>
  <c r="AC47" i="14" s="1"/>
  <c r="AC27" i="14"/>
  <c r="AC62" i="14" s="1"/>
  <c r="AC13" i="14"/>
  <c r="AC48" i="14" s="1"/>
  <c r="AG22" i="14"/>
  <c r="AG8" i="14"/>
  <c r="AG21" i="14"/>
  <c r="AG30" i="14"/>
  <c r="AA23" i="14"/>
  <c r="AG15" i="14"/>
  <c r="AG10" i="14"/>
  <c r="W10" i="14" s="1"/>
  <c r="AG24" i="14"/>
  <c r="AG12" i="14"/>
  <c r="AA16" i="14"/>
  <c r="AG9" i="14"/>
  <c r="AG27" i="14"/>
  <c r="AA17" i="14"/>
  <c r="AA7" i="14"/>
  <c r="AC42" i="14" s="1"/>
  <c r="AG33" i="14"/>
  <c r="AG34" i="14"/>
  <c r="W34" i="14" s="1"/>
  <c r="AG32" i="14"/>
  <c r="AG20" i="14"/>
  <c r="AG18" i="14"/>
  <c r="AG19" i="14"/>
  <c r="AG25" i="14"/>
  <c r="AG31" i="14"/>
  <c r="AG14" i="14"/>
  <c r="W14" i="14" s="1"/>
  <c r="AA29" i="14"/>
  <c r="AG28" i="14"/>
  <c r="AG13" i="14"/>
  <c r="AG11" i="14"/>
  <c r="X34" i="14" l="1"/>
  <c r="V34" i="14"/>
  <c r="AC58" i="14"/>
  <c r="AD23" i="14"/>
  <c r="W23" i="14" s="1"/>
  <c r="X14" i="14"/>
  <c r="V14" i="14"/>
  <c r="AC52" i="14"/>
  <c r="AD17" i="14"/>
  <c r="AC64" i="14"/>
  <c r="AD29" i="14"/>
  <c r="AC51" i="14"/>
  <c r="AD16" i="14"/>
  <c r="W16" i="14" s="1"/>
  <c r="AD7" i="14"/>
  <c r="W7" i="14" s="1"/>
  <c r="V7" i="14" s="1"/>
  <c r="X10" i="14"/>
  <c r="V10" i="14"/>
  <c r="K19" i="27"/>
  <c r="K6" i="27"/>
  <c r="V49" i="14" l="1"/>
  <c r="V69" i="14"/>
  <c r="V45" i="14"/>
  <c r="X16" i="14"/>
  <c r="V16" i="14"/>
  <c r="X23" i="14"/>
  <c r="V23" i="14"/>
  <c r="X7" i="14"/>
  <c r="V42" i="14"/>
  <c r="K7" i="27"/>
  <c r="K3" i="27"/>
  <c r="K11" i="27"/>
  <c r="V58" i="14" l="1"/>
  <c r="V51" i="14"/>
  <c r="E29" i="26"/>
  <c r="U61" i="17"/>
  <c r="AI27" i="16"/>
  <c r="AI16" i="16"/>
  <c r="AI23" i="16"/>
  <c r="AI24" i="16"/>
  <c r="AI7" i="16"/>
  <c r="AI29" i="16"/>
  <c r="AI21" i="16"/>
  <c r="AI17" i="16"/>
  <c r="AA31" i="16"/>
  <c r="AA33" i="16"/>
  <c r="AA28" i="16"/>
  <c r="AA11" i="16"/>
  <c r="AA20" i="16"/>
  <c r="AA9" i="16"/>
  <c r="AA25" i="16"/>
  <c r="AA14" i="16"/>
  <c r="AA10" i="16"/>
  <c r="AA30" i="16"/>
  <c r="AA22" i="16"/>
  <c r="AA12" i="16"/>
  <c r="AA19" i="16"/>
  <c r="AA32" i="16"/>
  <c r="AA18" i="16"/>
  <c r="AA13" i="16"/>
  <c r="AA15" i="16"/>
  <c r="AA8" i="16"/>
  <c r="AA34" i="16"/>
  <c r="AF12" i="16" l="1"/>
  <c r="AF25" i="16"/>
  <c r="AD14" i="16"/>
  <c r="AD32" i="16"/>
  <c r="AD9" i="16"/>
  <c r="AD33" i="16"/>
  <c r="AD15" i="16"/>
  <c r="AD10" i="16"/>
  <c r="AD13" i="16"/>
  <c r="AD22" i="16"/>
  <c r="AD20" i="16"/>
  <c r="AD11" i="16"/>
  <c r="AD34" i="16"/>
  <c r="AB34" i="16"/>
  <c r="AD31" i="16"/>
  <c r="AD28" i="16"/>
  <c r="AD19" i="16"/>
  <c r="AC69" i="16"/>
  <c r="AD8" i="16"/>
  <c r="AD12" i="16"/>
  <c r="AD18" i="16"/>
  <c r="AD30" i="16"/>
  <c r="AD25" i="16"/>
  <c r="AE16" i="16"/>
  <c r="AE15" i="16"/>
  <c r="AE50" i="16" s="1"/>
  <c r="AE31" i="16"/>
  <c r="AE66" i="16" s="1"/>
  <c r="AE7" i="16"/>
  <c r="AE19" i="16"/>
  <c r="AE54" i="16" s="1"/>
  <c r="AE25" i="16"/>
  <c r="AE60" i="16" s="1"/>
  <c r="AE28" i="16"/>
  <c r="AE63" i="16" s="1"/>
  <c r="AE18" i="16"/>
  <c r="AE53" i="16" s="1"/>
  <c r="AE14" i="16"/>
  <c r="AE49" i="16" s="1"/>
  <c r="AE30" i="16"/>
  <c r="AE65" i="16" s="1"/>
  <c r="AE22" i="16"/>
  <c r="AE57" i="16" s="1"/>
  <c r="AA21" i="16"/>
  <c r="AE21" i="16"/>
  <c r="AE23" i="16"/>
  <c r="AA27" i="16"/>
  <c r="AE27" i="16"/>
  <c r="AE12" i="16"/>
  <c r="AE47" i="16" s="1"/>
  <c r="AE10" i="16"/>
  <c r="AE45" i="16" s="1"/>
  <c r="E26" i="26"/>
  <c r="J26" i="26" s="1"/>
  <c r="AE29" i="16"/>
  <c r="AD21" i="16" l="1"/>
  <c r="AD27" i="16"/>
  <c r="AE56" i="16"/>
  <c r="AE62" i="16"/>
  <c r="R26" i="26"/>
  <c r="AE20" i="16"/>
  <c r="AE55" i="16" s="1"/>
  <c r="AE33" i="16"/>
  <c r="AE68" i="16" s="1"/>
  <c r="AE17" i="16"/>
  <c r="AE11" i="16"/>
  <c r="AE46" i="16" s="1"/>
  <c r="AE9" i="16"/>
  <c r="AE44" i="16" s="1"/>
  <c r="U21" i="24" l="1"/>
  <c r="U27" i="24"/>
  <c r="AI33" i="16"/>
  <c r="W33" i="16" s="1"/>
  <c r="AA16" i="16"/>
  <c r="AE32" i="16"/>
  <c r="AE67" i="16" s="1"/>
  <c r="AA23" i="16"/>
  <c r="AI22" i="16"/>
  <c r="W22" i="16" s="1"/>
  <c r="AI14" i="16"/>
  <c r="W14" i="16" s="1"/>
  <c r="X14" i="16" s="1"/>
  <c r="AI9" i="16"/>
  <c r="W9" i="16" s="1"/>
  <c r="X9" i="16" s="1"/>
  <c r="AI15" i="16"/>
  <c r="W15" i="16" s="1"/>
  <c r="X15" i="16" s="1"/>
  <c r="AE34" i="16"/>
  <c r="AE69" i="16" s="1"/>
  <c r="AA24" i="16"/>
  <c r="AE24" i="16"/>
  <c r="AI19" i="16"/>
  <c r="W19" i="16" s="1"/>
  <c r="AI28" i="16"/>
  <c r="W28" i="16" s="1"/>
  <c r="X28" i="16" s="1"/>
  <c r="AI31" i="16"/>
  <c r="W31" i="16" s="1"/>
  <c r="AI10" i="16"/>
  <c r="W10" i="16" s="1"/>
  <c r="X10" i="16" s="1"/>
  <c r="AI32" i="16"/>
  <c r="W32" i="16" s="1"/>
  <c r="AI11" i="16"/>
  <c r="W11" i="16" s="1"/>
  <c r="V11" i="16" s="1"/>
  <c r="AI25" i="16"/>
  <c r="W25" i="16" s="1"/>
  <c r="X25" i="16" s="1"/>
  <c r="AI34" i="16"/>
  <c r="W34" i="16" s="1"/>
  <c r="AI18" i="16"/>
  <c r="W18" i="16" s="1"/>
  <c r="X18" i="16" s="1"/>
  <c r="AA17" i="16"/>
  <c r="AI20" i="16"/>
  <c r="W20" i="16" s="1"/>
  <c r="X20" i="16" s="1"/>
  <c r="AI30" i="16"/>
  <c r="W30" i="16" s="1"/>
  <c r="AI8" i="16"/>
  <c r="W8" i="16" s="1"/>
  <c r="AE8" i="16"/>
  <c r="AE43" i="16" s="1"/>
  <c r="AA29" i="16"/>
  <c r="AI12" i="16"/>
  <c r="W12" i="16" s="1"/>
  <c r="AI13" i="16"/>
  <c r="W13" i="16" s="1"/>
  <c r="AE13" i="16"/>
  <c r="AE48" i="16" s="1"/>
  <c r="AA7" i="16"/>
  <c r="X8" i="16" l="1"/>
  <c r="V8" i="16"/>
  <c r="V46" i="16"/>
  <c r="U56" i="17"/>
  <c r="U62" i="17"/>
  <c r="AF7" i="16"/>
  <c r="W7" i="16" s="1"/>
  <c r="W29" i="16"/>
  <c r="X29" i="16" s="1"/>
  <c r="AF16" i="16"/>
  <c r="W16" i="16" s="1"/>
  <c r="X16" i="16" s="1"/>
  <c r="AF17" i="16"/>
  <c r="W17" i="16" s="1"/>
  <c r="X17" i="16" s="1"/>
  <c r="AE59" i="16"/>
  <c r="V18" i="16"/>
  <c r="V25" i="16"/>
  <c r="V28" i="16"/>
  <c r="X11" i="16"/>
  <c r="X30" i="16"/>
  <c r="V30" i="16"/>
  <c r="X12" i="16"/>
  <c r="V12" i="16"/>
  <c r="X31" i="16"/>
  <c r="V31" i="16"/>
  <c r="X19" i="16"/>
  <c r="V19" i="16"/>
  <c r="V20" i="16"/>
  <c r="AD29" i="16"/>
  <c r="AE64" i="16"/>
  <c r="X34" i="16"/>
  <c r="V34" i="16"/>
  <c r="V10" i="16"/>
  <c r="AD23" i="16"/>
  <c r="AE58" i="16"/>
  <c r="AF23" i="16"/>
  <c r="W23" i="16" s="1"/>
  <c r="X13" i="16"/>
  <c r="V13" i="16"/>
  <c r="U11" i="24"/>
  <c r="X32" i="16"/>
  <c r="V32" i="16"/>
  <c r="X22" i="16"/>
  <c r="V22" i="16"/>
  <c r="X33" i="16"/>
  <c r="V33" i="16"/>
  <c r="AD24" i="16"/>
  <c r="AD16" i="16"/>
  <c r="AE51" i="16"/>
  <c r="AD7" i="16"/>
  <c r="AE42" i="16"/>
  <c r="AD17" i="16"/>
  <c r="AE52" i="16"/>
  <c r="V15" i="16"/>
  <c r="V9" i="16"/>
  <c r="V14" i="16"/>
  <c r="N15" i="27"/>
  <c r="N4" i="27"/>
  <c r="N6" i="27"/>
  <c r="N16" i="27"/>
  <c r="N19" i="27"/>
  <c r="N9" i="27"/>
  <c r="N5" i="27"/>
  <c r="V60" i="16" l="1"/>
  <c r="V68" i="16"/>
  <c r="V47" i="16"/>
  <c r="V57" i="16"/>
  <c r="U22" i="24"/>
  <c r="V53" i="16"/>
  <c r="V44" i="16"/>
  <c r="V50" i="16"/>
  <c r="V65" i="16"/>
  <c r="U30" i="24"/>
  <c r="V49" i="16"/>
  <c r="V67" i="16"/>
  <c r="V55" i="16"/>
  <c r="U20" i="24"/>
  <c r="V54" i="16"/>
  <c r="U19" i="24"/>
  <c r="V45" i="16"/>
  <c r="V48" i="16"/>
  <c r="U13" i="24"/>
  <c r="V69" i="16"/>
  <c r="U69" i="17"/>
  <c r="V66" i="16"/>
  <c r="V63" i="16"/>
  <c r="U28" i="24"/>
  <c r="V43" i="16"/>
  <c r="U8" i="24"/>
  <c r="V29" i="16"/>
  <c r="V7" i="16"/>
  <c r="X7" i="16"/>
  <c r="H26" i="26" s="1"/>
  <c r="U46" i="17"/>
  <c r="V16" i="16"/>
  <c r="F26" i="26" s="1"/>
  <c r="G26" i="26" s="1"/>
  <c r="L26" i="26" s="1"/>
  <c r="K26" i="26" s="1"/>
  <c r="V17" i="16"/>
  <c r="U24" i="24"/>
  <c r="U18" i="24"/>
  <c r="U25" i="24"/>
  <c r="U14" i="24"/>
  <c r="U9" i="24"/>
  <c r="U33" i="24"/>
  <c r="U32" i="24"/>
  <c r="U31" i="24"/>
  <c r="U10" i="24"/>
  <c r="U12" i="24"/>
  <c r="U15" i="24"/>
  <c r="X23" i="16"/>
  <c r="V23" i="16"/>
  <c r="N14" i="27"/>
  <c r="N3" i="27"/>
  <c r="N11" i="27"/>
  <c r="N7" i="27"/>
  <c r="N8" i="27"/>
  <c r="V58" i="16" l="1"/>
  <c r="U17" i="24"/>
  <c r="U29" i="24"/>
  <c r="U16" i="24"/>
  <c r="U51" i="17"/>
  <c r="V64" i="16"/>
  <c r="U43" i="17"/>
  <c r="V42" i="16"/>
  <c r="U65" i="17"/>
  <c r="U47" i="17"/>
  <c r="U64" i="17"/>
  <c r="U45" i="17"/>
  <c r="U67" i="17"/>
  <c r="U63" i="17"/>
  <c r="U48" i="17"/>
  <c r="U44" i="17"/>
  <c r="U55" i="17"/>
  <c r="U50" i="17"/>
  <c r="U57" i="17"/>
  <c r="U68" i="17"/>
  <c r="U49" i="17"/>
  <c r="U60" i="17"/>
  <c r="U52" i="17"/>
  <c r="U53" i="17"/>
  <c r="U66" i="17"/>
  <c r="U59" i="17"/>
  <c r="V51" i="16"/>
  <c r="V52" i="16"/>
  <c r="M26" i="26"/>
  <c r="E30" i="26"/>
  <c r="U54" i="17"/>
  <c r="U23" i="24"/>
  <c r="AA34" i="19"/>
  <c r="AB34" i="19" s="1"/>
  <c r="AA19" i="19"/>
  <c r="AA33" i="19"/>
  <c r="AA28" i="19"/>
  <c r="AA32" i="19"/>
  <c r="AA12" i="19"/>
  <c r="AD12" i="19" s="1"/>
  <c r="AA30" i="19"/>
  <c r="AG7" i="19"/>
  <c r="AA29" i="19"/>
  <c r="AG23" i="19"/>
  <c r="AA31" i="19"/>
  <c r="AA10" i="19"/>
  <c r="AG16" i="19"/>
  <c r="AG17" i="19"/>
  <c r="AA8" i="19"/>
  <c r="AA11" i="19"/>
  <c r="AA15" i="19"/>
  <c r="AA13" i="19"/>
  <c r="AA22" i="19"/>
  <c r="AA25" i="19"/>
  <c r="AD25" i="19" s="1"/>
  <c r="AA21" i="19"/>
  <c r="AA14" i="19"/>
  <c r="E27" i="26"/>
  <c r="AA20" i="19"/>
  <c r="AA24" i="19"/>
  <c r="AA27" i="19"/>
  <c r="U36" i="17" l="1"/>
  <c r="U35" i="17"/>
  <c r="U7" i="24"/>
  <c r="U36" i="24" s="1"/>
  <c r="U42" i="17"/>
  <c r="U58" i="17"/>
  <c r="U71" i="17"/>
  <c r="U70" i="17"/>
  <c r="J27" i="26"/>
  <c r="R27" i="26"/>
  <c r="AC34" i="19"/>
  <c r="AC69" i="19" s="1"/>
  <c r="AC17" i="19"/>
  <c r="AC20" i="19"/>
  <c r="AC55" i="19" s="1"/>
  <c r="AC31" i="19"/>
  <c r="AC66" i="19" s="1"/>
  <c r="AC29" i="19"/>
  <c r="AC64" i="19" s="1"/>
  <c r="AC13" i="19"/>
  <c r="AC48" i="19" s="1"/>
  <c r="AA9" i="19"/>
  <c r="AA23" i="19"/>
  <c r="AC23" i="19"/>
  <c r="AC27" i="19"/>
  <c r="AC62" i="19" s="1"/>
  <c r="AG15" i="19"/>
  <c r="AC15" i="19"/>
  <c r="AC50" i="19" s="1"/>
  <c r="AG34" i="19"/>
  <c r="W34" i="19" s="1"/>
  <c r="AG24" i="19"/>
  <c r="AC24" i="19"/>
  <c r="AC59" i="19" s="1"/>
  <c r="AC10" i="19"/>
  <c r="AC45" i="19" s="1"/>
  <c r="AC21" i="19"/>
  <c r="AC56" i="19" s="1"/>
  <c r="AC7" i="19"/>
  <c r="AG27" i="19"/>
  <c r="AC30" i="19"/>
  <c r="AC65" i="19" s="1"/>
  <c r="AC33" i="19"/>
  <c r="AC68" i="19" s="1"/>
  <c r="AA16" i="19"/>
  <c r="AC16" i="19"/>
  <c r="AG32" i="19"/>
  <c r="AC32" i="19"/>
  <c r="AC67" i="19" s="1"/>
  <c r="AC22" i="19"/>
  <c r="AC57" i="19" s="1"/>
  <c r="AG30" i="19"/>
  <c r="AG12" i="19"/>
  <c r="AC12" i="19"/>
  <c r="AC47" i="19" s="1"/>
  <c r="AA17" i="19"/>
  <c r="AD17" i="19" s="1"/>
  <c r="AG25" i="19"/>
  <c r="AC25" i="19"/>
  <c r="AC60" i="19" s="1"/>
  <c r="AG21" i="19"/>
  <c r="AA7" i="19"/>
  <c r="AG8" i="19"/>
  <c r="AC8" i="19"/>
  <c r="AC43" i="19" s="1"/>
  <c r="AG22" i="19"/>
  <c r="AG10" i="19"/>
  <c r="AG28" i="19"/>
  <c r="AC28" i="19"/>
  <c r="AC63" i="19" s="1"/>
  <c r="AG20" i="19"/>
  <c r="AG33" i="19"/>
  <c r="AG31" i="19"/>
  <c r="AC18" i="19"/>
  <c r="AA18" i="19"/>
  <c r="AC9" i="19"/>
  <c r="AG29" i="19"/>
  <c r="AG9" i="19"/>
  <c r="AG19" i="19"/>
  <c r="AC19" i="19"/>
  <c r="AC54" i="19" s="1"/>
  <c r="AG11" i="19"/>
  <c r="AC11" i="19"/>
  <c r="AC46" i="19" s="1"/>
  <c r="AG18" i="19"/>
  <c r="AG14" i="19"/>
  <c r="AC14" i="19"/>
  <c r="AC49" i="19" s="1"/>
  <c r="AG13" i="19"/>
  <c r="AC44" i="19" l="1"/>
  <c r="AC52" i="19"/>
  <c r="AC53" i="19"/>
  <c r="AC51" i="19"/>
  <c r="AC42" i="19"/>
  <c r="AC58" i="19"/>
  <c r="X34" i="19"/>
  <c r="V34" i="19"/>
  <c r="AD23" i="19"/>
  <c r="W23" i="19" s="1"/>
  <c r="AD7" i="19"/>
  <c r="W7" i="19" s="1"/>
  <c r="AD16" i="19"/>
  <c r="W16" i="19" s="1"/>
  <c r="L19" i="27"/>
  <c r="V69" i="19" l="1"/>
  <c r="X7" i="19"/>
  <c r="V7" i="19"/>
  <c r="X23" i="19"/>
  <c r="V23" i="19"/>
  <c r="X16" i="19"/>
  <c r="V16" i="19"/>
  <c r="L11" i="27"/>
  <c r="L3" i="27"/>
  <c r="L7" i="27"/>
  <c r="V51" i="19" l="1"/>
  <c r="V58" i="19"/>
  <c r="V42" i="19"/>
  <c r="AC28" i="18"/>
  <c r="AC26" i="18"/>
  <c r="AC22" i="18"/>
  <c r="AC15" i="18"/>
  <c r="AC10" i="18"/>
  <c r="AC18" i="18"/>
  <c r="AC17" i="18"/>
  <c r="AC34" i="18"/>
  <c r="AC30" i="18"/>
  <c r="AA22" i="18"/>
  <c r="AB22" i="18" s="1"/>
  <c r="W22" i="18" s="1"/>
  <c r="V22" i="18" s="1"/>
  <c r="AA17" i="18"/>
  <c r="AB17" i="18" s="1"/>
  <c r="E28" i="26"/>
  <c r="R28" i="26" s="1"/>
  <c r="AC16" i="18"/>
  <c r="AC8" i="18"/>
  <c r="AC23" i="18"/>
  <c r="AC14" i="18"/>
  <c r="AC29" i="18"/>
  <c r="AC13" i="18"/>
  <c r="AA23" i="18"/>
  <c r="AC32" i="18"/>
  <c r="AC27" i="18"/>
  <c r="AA33" i="18"/>
  <c r="AB33" i="18" s="1"/>
  <c r="W33" i="18" s="1"/>
  <c r="AC33" i="18"/>
  <c r="AA13" i="18"/>
  <c r="AC12" i="18"/>
  <c r="AC25" i="18"/>
  <c r="AC20" i="18"/>
  <c r="AC21" i="18"/>
  <c r="AA26" i="18"/>
  <c r="AB26" i="18" s="1"/>
  <c r="W26" i="18" s="1"/>
  <c r="X26" i="18" s="1"/>
  <c r="AA12" i="18"/>
  <c r="AA32" i="18"/>
  <c r="AB32" i="18" s="1"/>
  <c r="W32" i="18" s="1"/>
  <c r="AA9" i="18"/>
  <c r="AB9" i="18" s="1"/>
  <c r="W9" i="18" s="1"/>
  <c r="AC9" i="18"/>
  <c r="AA14" i="18"/>
  <c r="AB14" i="18" s="1"/>
  <c r="W14" i="18" s="1"/>
  <c r="AA8" i="18"/>
  <c r="AB8" i="18" s="1"/>
  <c r="W8" i="18" s="1"/>
  <c r="AC24" i="18"/>
  <c r="AA11" i="18"/>
  <c r="AB11" i="18" s="1"/>
  <c r="W11" i="18" s="1"/>
  <c r="AC11" i="18"/>
  <c r="AA16" i="18"/>
  <c r="AB16" i="18" s="1"/>
  <c r="W16" i="18" s="1"/>
  <c r="AA30" i="18"/>
  <c r="AB30" i="18" s="1"/>
  <c r="W30" i="18" s="1"/>
  <c r="AC31" i="18"/>
  <c r="AA20" i="18"/>
  <c r="AB20" i="18" s="1"/>
  <c r="W20" i="18" s="1"/>
  <c r="AA25" i="18"/>
  <c r="AA10" i="18"/>
  <c r="AB10" i="18" s="1"/>
  <c r="W10" i="18" s="1"/>
  <c r="AA18" i="18"/>
  <c r="AB18" i="18" s="1"/>
  <c r="W18" i="18" s="1"/>
  <c r="AA28" i="18"/>
  <c r="AA27" i="18"/>
  <c r="AB27" i="18" s="1"/>
  <c r="W27" i="18" s="1"/>
  <c r="AA31" i="18"/>
  <c r="AB31" i="18" s="1"/>
  <c r="W31" i="18" s="1"/>
  <c r="AA21" i="18"/>
  <c r="AA24" i="18"/>
  <c r="AB24" i="18" s="1"/>
  <c r="W24" i="18" s="1"/>
  <c r="AC7" i="18"/>
  <c r="AA7" i="18"/>
  <c r="AB7" i="18" s="1"/>
  <c r="AA29" i="18"/>
  <c r="AB29" i="18" s="1"/>
  <c r="W29" i="18" s="1"/>
  <c r="AA15" i="18"/>
  <c r="AB15" i="18" s="1"/>
  <c r="W15" i="18" s="1"/>
  <c r="AA34" i="18"/>
  <c r="AB34" i="18" s="1"/>
  <c r="W34" i="18" s="1"/>
  <c r="AA19" i="18"/>
  <c r="AB19" i="18" s="1"/>
  <c r="W19" i="18" s="1"/>
  <c r="AC19" i="18"/>
  <c r="M16" i="27"/>
  <c r="AB12" i="18" l="1"/>
  <c r="AD12" i="18"/>
  <c r="AB25" i="18"/>
  <c r="AD25" i="18"/>
  <c r="AB21" i="18"/>
  <c r="AD21" i="18"/>
  <c r="AB13" i="18"/>
  <c r="AD13" i="18"/>
  <c r="V57" i="18"/>
  <c r="AC55" i="18"/>
  <c r="AC54" i="18"/>
  <c r="J28" i="26"/>
  <c r="J29" i="26" s="1"/>
  <c r="AC63" i="18"/>
  <c r="AC61" i="18"/>
  <c r="AD7" i="18"/>
  <c r="W7" i="18" s="1"/>
  <c r="V7" i="18" s="1"/>
  <c r="AC64" i="18"/>
  <c r="AC48" i="18"/>
  <c r="AC57" i="18"/>
  <c r="AC62" i="18"/>
  <c r="AC43" i="18"/>
  <c r="AC66" i="18"/>
  <c r="AC44" i="18"/>
  <c r="AC68" i="18"/>
  <c r="AC52" i="18"/>
  <c r="AC69" i="18"/>
  <c r="AC42" i="18"/>
  <c r="AC47" i="18"/>
  <c r="AC58" i="18"/>
  <c r="AC49" i="18"/>
  <c r="AD17" i="18"/>
  <c r="W17" i="18" s="1"/>
  <c r="X17" i="18" s="1"/>
  <c r="AC65" i="18"/>
  <c r="X19" i="18"/>
  <c r="V19" i="18"/>
  <c r="X10" i="18"/>
  <c r="V10" i="18"/>
  <c r="X34" i="18"/>
  <c r="V34" i="18"/>
  <c r="X30" i="18"/>
  <c r="V30" i="18"/>
  <c r="X11" i="18"/>
  <c r="V11" i="18"/>
  <c r="X9" i="18"/>
  <c r="V9" i="18"/>
  <c r="X29" i="18"/>
  <c r="V29" i="18"/>
  <c r="X27" i="18"/>
  <c r="V27" i="18"/>
  <c r="X24" i="18"/>
  <c r="V24" i="18"/>
  <c r="X14" i="18"/>
  <c r="V14" i="18"/>
  <c r="X15" i="18"/>
  <c r="V15" i="18"/>
  <c r="X31" i="18"/>
  <c r="V31" i="18"/>
  <c r="X18" i="18"/>
  <c r="V18" i="18"/>
  <c r="X20" i="18"/>
  <c r="V20" i="18"/>
  <c r="X16" i="18"/>
  <c r="V16" i="18"/>
  <c r="X33" i="18"/>
  <c r="V33" i="18"/>
  <c r="AB28" i="18"/>
  <c r="W28" i="18" s="1"/>
  <c r="AC59" i="18"/>
  <c r="AD23" i="18"/>
  <c r="AC51" i="18"/>
  <c r="X22" i="18"/>
  <c r="AC45" i="18"/>
  <c r="AC50" i="18"/>
  <c r="AC46" i="18"/>
  <c r="V26" i="18"/>
  <c r="AC60" i="18"/>
  <c r="X8" i="18"/>
  <c r="V8" i="18"/>
  <c r="X32" i="18"/>
  <c r="V32" i="18"/>
  <c r="AC56" i="18"/>
  <c r="AC67" i="18"/>
  <c r="AC53" i="18"/>
  <c r="AB23" i="18"/>
  <c r="M9" i="27"/>
  <c r="M7" i="27"/>
  <c r="M12" i="27"/>
  <c r="M14" i="27"/>
  <c r="M19" i="27"/>
  <c r="M3" i="27"/>
  <c r="M15" i="27"/>
  <c r="M6" i="27"/>
  <c r="M13" i="27"/>
  <c r="W12" i="18" l="1"/>
  <c r="W25" i="18"/>
  <c r="W13" i="18"/>
  <c r="W21" i="18"/>
  <c r="V51" i="18"/>
  <c r="V16" i="15"/>
  <c r="V16" i="17" s="1"/>
  <c r="V53" i="18"/>
  <c r="V50" i="18"/>
  <c r="V62" i="18"/>
  <c r="V44" i="18"/>
  <c r="V65" i="18"/>
  <c r="V45" i="18"/>
  <c r="V61" i="18"/>
  <c r="V67" i="18"/>
  <c r="V43" i="18"/>
  <c r="V68" i="18"/>
  <c r="V55" i="18"/>
  <c r="V66" i="18"/>
  <c r="V49" i="18"/>
  <c r="V59" i="18"/>
  <c r="V64" i="18"/>
  <c r="V46" i="18"/>
  <c r="V69" i="18"/>
  <c r="V34" i="15"/>
  <c r="V34" i="17" s="1"/>
  <c r="V54" i="18"/>
  <c r="V42" i="18"/>
  <c r="V7" i="15"/>
  <c r="V7" i="17" s="1"/>
  <c r="J30" i="26"/>
  <c r="X7" i="18"/>
  <c r="W23" i="18"/>
  <c r="V23" i="18" s="1"/>
  <c r="V17" i="18"/>
  <c r="X28" i="18"/>
  <c r="V28" i="18"/>
  <c r="M8" i="27"/>
  <c r="M11" i="27"/>
  <c r="V12" i="18" l="1"/>
  <c r="X12" i="18"/>
  <c r="V25" i="18"/>
  <c r="V60" i="18" s="1"/>
  <c r="X25" i="18"/>
  <c r="V21" i="18"/>
  <c r="X21" i="18"/>
  <c r="X13" i="18"/>
  <c r="H28" i="26" s="1"/>
  <c r="V13" i="18"/>
  <c r="F28" i="26" s="1"/>
  <c r="G28" i="26" s="1"/>
  <c r="L28" i="26" s="1"/>
  <c r="K28" i="26" s="1"/>
  <c r="M28" i="26" s="1"/>
  <c r="V51" i="15"/>
  <c r="V16" i="24"/>
  <c r="V69" i="15"/>
  <c r="V7" i="24"/>
  <c r="V69" i="17"/>
  <c r="V42" i="15"/>
  <c r="V63" i="18"/>
  <c r="V52" i="18"/>
  <c r="V58" i="18"/>
  <c r="V23" i="15"/>
  <c r="V23" i="17" s="1"/>
  <c r="X23" i="18"/>
  <c r="V42" i="17"/>
  <c r="M5" i="27"/>
  <c r="M10" i="27"/>
  <c r="M4" i="27"/>
  <c r="V47" i="18" l="1"/>
  <c r="V35" i="18"/>
  <c r="V70" i="18" s="1"/>
  <c r="V36" i="18"/>
  <c r="V71" i="18" s="1"/>
  <c r="V48" i="18"/>
  <c r="V56" i="18"/>
  <c r="V58" i="15"/>
  <c r="V23" i="24"/>
  <c r="V51" i="17"/>
  <c r="U52" i="24"/>
  <c r="U62" i="24"/>
  <c r="E31" i="26"/>
  <c r="U54" i="24"/>
  <c r="U48" i="24"/>
  <c r="U65" i="24"/>
  <c r="U43" i="24"/>
  <c r="U56" i="24"/>
  <c r="V51" i="24"/>
  <c r="U51" i="24"/>
  <c r="U53" i="24"/>
  <c r="U67" i="24"/>
  <c r="U57" i="24"/>
  <c r="U42" i="24"/>
  <c r="V42" i="24"/>
  <c r="U60" i="24"/>
  <c r="U55" i="24"/>
  <c r="U49" i="24"/>
  <c r="U46" i="24"/>
  <c r="U47" i="24"/>
  <c r="U50" i="24"/>
  <c r="U68" i="24"/>
  <c r="U61" i="24"/>
  <c r="U45" i="24"/>
  <c r="U59" i="24"/>
  <c r="U66" i="24"/>
  <c r="U44" i="24"/>
  <c r="U64" i="24"/>
  <c r="V58" i="17" l="1"/>
  <c r="U58" i="24"/>
  <c r="V58" i="24"/>
  <c r="U63" i="24"/>
  <c r="J31" i="26"/>
  <c r="U71" i="24"/>
  <c r="AB7" i="19" l="1"/>
  <c r="AB23" i="19"/>
  <c r="AB19" i="19" l="1"/>
  <c r="W19" i="19"/>
  <c r="AB13" i="19"/>
  <c r="W13" i="19"/>
  <c r="AB29" i="19"/>
  <c r="W29" i="19"/>
  <c r="AB16" i="19"/>
  <c r="AB24" i="19" l="1"/>
  <c r="W24" i="19"/>
  <c r="AB22" i="16"/>
  <c r="AC57" i="16"/>
  <c r="AB27" i="16"/>
  <c r="AB17" i="16"/>
  <c r="AC52" i="16"/>
  <c r="AB25" i="19"/>
  <c r="W25" i="19"/>
  <c r="AB21" i="19"/>
  <c r="W21" i="19"/>
  <c r="AB10" i="19"/>
  <c r="W10" i="19"/>
  <c r="AB24" i="16"/>
  <c r="AB31" i="16"/>
  <c r="AC66" i="16"/>
  <c r="AB21" i="16"/>
  <c r="AB33" i="19"/>
  <c r="W33" i="19"/>
  <c r="AB27" i="19"/>
  <c r="W27" i="19"/>
  <c r="AB14" i="19"/>
  <c r="W14" i="19"/>
  <c r="AB8" i="16"/>
  <c r="AC43" i="16"/>
  <c r="AB26" i="16"/>
  <c r="AC61" i="16"/>
  <c r="AB25" i="16"/>
  <c r="AC60" i="16"/>
  <c r="AB11" i="16"/>
  <c r="AC46" i="16"/>
  <c r="V29" i="19"/>
  <c r="X29" i="19"/>
  <c r="AB18" i="19"/>
  <c r="W18" i="19"/>
  <c r="AB10" i="16"/>
  <c r="AC45" i="16"/>
  <c r="AB28" i="16"/>
  <c r="AC63" i="16"/>
  <c r="AB29" i="16"/>
  <c r="AC64" i="16"/>
  <c r="AB22" i="19"/>
  <c r="W22" i="19"/>
  <c r="AB11" i="19"/>
  <c r="W11" i="19"/>
  <c r="W26" i="19"/>
  <c r="AB26" i="19"/>
  <c r="AB12" i="16"/>
  <c r="AC47" i="16"/>
  <c r="AB30" i="16"/>
  <c r="AC65" i="16"/>
  <c r="AB33" i="16"/>
  <c r="AC68" i="16"/>
  <c r="AB15" i="16"/>
  <c r="AC50" i="16"/>
  <c r="AB31" i="19"/>
  <c r="W31" i="19"/>
  <c r="V13" i="19"/>
  <c r="X13" i="19"/>
  <c r="AB32" i="19"/>
  <c r="W32" i="19"/>
  <c r="AB16" i="16"/>
  <c r="AC51" i="16"/>
  <c r="AB32" i="16"/>
  <c r="AC67" i="16"/>
  <c r="AB12" i="19"/>
  <c r="W12" i="19"/>
  <c r="AB8" i="19"/>
  <c r="W8" i="19"/>
  <c r="AB18" i="16"/>
  <c r="AC53" i="16"/>
  <c r="AB19" i="16"/>
  <c r="AC54" i="16"/>
  <c r="AB9" i="16"/>
  <c r="AC44" i="16"/>
  <c r="AB20" i="19"/>
  <c r="W20" i="19"/>
  <c r="AB9" i="19"/>
  <c r="W9" i="19"/>
  <c r="AB14" i="16"/>
  <c r="AC49" i="16"/>
  <c r="AB28" i="19"/>
  <c r="W28" i="19"/>
  <c r="V19" i="19"/>
  <c r="X19" i="19"/>
  <c r="H27" i="26" s="1"/>
  <c r="AB20" i="16"/>
  <c r="AC55" i="16"/>
  <c r="AB23" i="16"/>
  <c r="AC58" i="16"/>
  <c r="AB13" i="16"/>
  <c r="AC48" i="16"/>
  <c r="W17" i="19"/>
  <c r="X17" i="19" s="1"/>
  <c r="AB17" i="19"/>
  <c r="AB30" i="19"/>
  <c r="W30" i="19"/>
  <c r="AB7" i="16"/>
  <c r="AC42" i="16"/>
  <c r="AB15" i="19"/>
  <c r="W15" i="19"/>
  <c r="L14" i="27"/>
  <c r="L5" i="27"/>
  <c r="V17" i="19" l="1"/>
  <c r="V52" i="19" s="1"/>
  <c r="X20" i="19"/>
  <c r="V20" i="19"/>
  <c r="X8" i="19"/>
  <c r="V8" i="19"/>
  <c r="X32" i="19"/>
  <c r="V32" i="19"/>
  <c r="V11" i="19"/>
  <c r="X11" i="19"/>
  <c r="X27" i="19"/>
  <c r="V27" i="19"/>
  <c r="AC59" i="16"/>
  <c r="V24" i="16"/>
  <c r="V59" i="16" s="1"/>
  <c r="F27" i="26"/>
  <c r="G27" i="26" s="1"/>
  <c r="L27" i="26" s="1"/>
  <c r="K27" i="26" s="1"/>
  <c r="V54" i="19"/>
  <c r="V19" i="15"/>
  <c r="V28" i="19"/>
  <c r="X28" i="19"/>
  <c r="X12" i="19"/>
  <c r="V12" i="19"/>
  <c r="X22" i="19"/>
  <c r="V22" i="19"/>
  <c r="V18" i="19"/>
  <c r="X18" i="19"/>
  <c r="V33" i="19"/>
  <c r="X33" i="19"/>
  <c r="V10" i="19"/>
  <c r="X10" i="19"/>
  <c r="V27" i="16"/>
  <c r="AC62" i="16"/>
  <c r="V15" i="19"/>
  <c r="X15" i="19"/>
  <c r="V48" i="19"/>
  <c r="V13" i="15"/>
  <c r="V31" i="19"/>
  <c r="X31" i="19"/>
  <c r="AC56" i="16"/>
  <c r="V21" i="16"/>
  <c r="X21" i="19"/>
  <c r="V21" i="19"/>
  <c r="V64" i="19"/>
  <c r="V29" i="15"/>
  <c r="V30" i="19"/>
  <c r="X30" i="19"/>
  <c r="V9" i="19"/>
  <c r="X9" i="19"/>
  <c r="V14" i="19"/>
  <c r="X14" i="19"/>
  <c r="V25" i="19"/>
  <c r="X25" i="19"/>
  <c r="X24" i="19"/>
  <c r="V24" i="19"/>
  <c r="X26" i="19"/>
  <c r="V26" i="19"/>
  <c r="N13" i="27"/>
  <c r="L15" i="27"/>
  <c r="L10" i="27"/>
  <c r="N10" i="27"/>
  <c r="L6" i="27"/>
  <c r="L16" i="27"/>
  <c r="L8" i="27"/>
  <c r="L9" i="27"/>
  <c r="L13" i="27"/>
  <c r="L12" i="27"/>
  <c r="L4" i="27"/>
  <c r="V17" i="15" l="1"/>
  <c r="V52" i="15" s="1"/>
  <c r="V49" i="19"/>
  <c r="V14" i="15"/>
  <c r="V68" i="19"/>
  <c r="V33" i="15"/>
  <c r="V63" i="19"/>
  <c r="V28" i="15"/>
  <c r="V61" i="19"/>
  <c r="V26" i="15"/>
  <c r="V56" i="19"/>
  <c r="V21" i="15"/>
  <c r="F29" i="26"/>
  <c r="G29" i="26" s="1"/>
  <c r="V54" i="15"/>
  <c r="V46" i="19"/>
  <c r="V11" i="15"/>
  <c r="V44" i="19"/>
  <c r="V9" i="15"/>
  <c r="V50" i="19"/>
  <c r="V15" i="15"/>
  <c r="V53" i="19"/>
  <c r="V18" i="15"/>
  <c r="V67" i="19"/>
  <c r="V32" i="15"/>
  <c r="V56" i="16"/>
  <c r="V35" i="16"/>
  <c r="V70" i="16" s="1"/>
  <c r="V36" i="16"/>
  <c r="V71" i="16" s="1"/>
  <c r="V57" i="19"/>
  <c r="V22" i="15"/>
  <c r="M27" i="26"/>
  <c r="K29" i="26"/>
  <c r="V65" i="19"/>
  <c r="V30" i="15"/>
  <c r="V62" i="16"/>
  <c r="V43" i="19"/>
  <c r="V8" i="15"/>
  <c r="V35" i="19"/>
  <c r="V70" i="19" s="1"/>
  <c r="V36" i="19"/>
  <c r="V71" i="19" s="1"/>
  <c r="V59" i="19"/>
  <c r="V24" i="15"/>
  <c r="V47" i="19"/>
  <c r="V12" i="15"/>
  <c r="V60" i="19"/>
  <c r="V25" i="15"/>
  <c r="V66" i="19"/>
  <c r="V31" i="15"/>
  <c r="V45" i="19"/>
  <c r="V10" i="15"/>
  <c r="V62" i="19"/>
  <c r="V27" i="15"/>
  <c r="V55" i="19"/>
  <c r="V20" i="15"/>
  <c r="V64" i="15"/>
  <c r="V48" i="15"/>
  <c r="AB16" i="14"/>
  <c r="AB23" i="14"/>
  <c r="AB26" i="14"/>
  <c r="AB14" i="14"/>
  <c r="AB10" i="14"/>
  <c r="AB7" i="14"/>
  <c r="AB13" i="14" l="1"/>
  <c r="W13" i="14"/>
  <c r="V65" i="15"/>
  <c r="V26" i="17"/>
  <c r="V61" i="15"/>
  <c r="AB20" i="14"/>
  <c r="W20" i="14"/>
  <c r="V66" i="15"/>
  <c r="V59" i="15"/>
  <c r="V67" i="15"/>
  <c r="V46" i="15"/>
  <c r="AB9" i="14"/>
  <c r="W9" i="14"/>
  <c r="AB29" i="14"/>
  <c r="W29" i="14"/>
  <c r="AB17" i="14"/>
  <c r="W17" i="14"/>
  <c r="L29" i="26"/>
  <c r="M29" i="26"/>
  <c r="V63" i="15"/>
  <c r="AB27" i="14"/>
  <c r="W27" i="14"/>
  <c r="AB8" i="14"/>
  <c r="W8" i="14"/>
  <c r="AB24" i="14"/>
  <c r="W24" i="14"/>
  <c r="V55" i="15"/>
  <c r="V60" i="15"/>
  <c r="V53" i="15"/>
  <c r="AB25" i="14"/>
  <c r="W25" i="14"/>
  <c r="AB21" i="14"/>
  <c r="W21" i="14"/>
  <c r="V57" i="15"/>
  <c r="V68" i="15"/>
  <c r="AB18" i="14"/>
  <c r="W18" i="14"/>
  <c r="AB11" i="14"/>
  <c r="W11" i="14"/>
  <c r="AB31" i="14"/>
  <c r="W31" i="14"/>
  <c r="AB12" i="14"/>
  <c r="W12" i="14"/>
  <c r="AB28" i="14"/>
  <c r="W28" i="14"/>
  <c r="V62" i="15"/>
  <c r="V47" i="15"/>
  <c r="V43" i="15"/>
  <c r="V35" i="15"/>
  <c r="V70" i="15" s="1"/>
  <c r="V36" i="15"/>
  <c r="V71" i="15" s="1"/>
  <c r="V50" i="15"/>
  <c r="AB33" i="14"/>
  <c r="W33" i="14"/>
  <c r="V56" i="15"/>
  <c r="V14" i="17"/>
  <c r="V49" i="15"/>
  <c r="AB19" i="14"/>
  <c r="W19" i="14"/>
  <c r="AB32" i="14"/>
  <c r="W32" i="14"/>
  <c r="V10" i="17"/>
  <c r="V45" i="15"/>
  <c r="V44" i="15"/>
  <c r="X24" i="14" l="1"/>
  <c r="V24" i="14"/>
  <c r="V20" i="14"/>
  <c r="X20" i="14"/>
  <c r="X28" i="14"/>
  <c r="V28" i="14"/>
  <c r="V14" i="24"/>
  <c r="V49" i="24" s="1"/>
  <c r="V49" i="17"/>
  <c r="V18" i="14"/>
  <c r="X18" i="14"/>
  <c r="V12" i="14"/>
  <c r="X12" i="14"/>
  <c r="X8" i="14"/>
  <c r="V8" i="14"/>
  <c r="V17" i="14"/>
  <c r="X17" i="14"/>
  <c r="AB15" i="14"/>
  <c r="W15" i="14"/>
  <c r="V10" i="24"/>
  <c r="V45" i="24" s="1"/>
  <c r="V45" i="17"/>
  <c r="V26" i="24"/>
  <c r="V61" i="24" s="1"/>
  <c r="V61" i="17"/>
  <c r="V25" i="14"/>
  <c r="X25" i="14"/>
  <c r="X32" i="14"/>
  <c r="V32" i="14"/>
  <c r="X27" i="14"/>
  <c r="V27" i="14"/>
  <c r="X29" i="14"/>
  <c r="V29" i="14"/>
  <c r="V31" i="14"/>
  <c r="X31" i="14"/>
  <c r="AB30" i="14"/>
  <c r="W30" i="14"/>
  <c r="V33" i="14"/>
  <c r="X33" i="14"/>
  <c r="V19" i="14"/>
  <c r="X19" i="14"/>
  <c r="H25" i="26" s="1"/>
  <c r="V11" i="14"/>
  <c r="X11" i="14"/>
  <c r="X9" i="14"/>
  <c r="V9" i="14"/>
  <c r="V13" i="14"/>
  <c r="X13" i="14"/>
  <c r="AB22" i="14"/>
  <c r="W22" i="14"/>
  <c r="X21" i="14"/>
  <c r="V21" i="14"/>
  <c r="K8" i="27"/>
  <c r="K4" i="27"/>
  <c r="K14" i="27"/>
  <c r="K15" i="27"/>
  <c r="K13" i="27"/>
  <c r="K5" i="27"/>
  <c r="K9" i="27"/>
  <c r="K10" i="27"/>
  <c r="V60" i="14" l="1"/>
  <c r="V25" i="17"/>
  <c r="V64" i="14"/>
  <c r="V29" i="17"/>
  <c r="V43" i="14"/>
  <c r="V8" i="17"/>
  <c r="V63" i="14"/>
  <c r="V28" i="17"/>
  <c r="X22" i="14"/>
  <c r="V22" i="14"/>
  <c r="V66" i="14"/>
  <c r="V31" i="17"/>
  <c r="V54" i="14"/>
  <c r="F25" i="26"/>
  <c r="G25" i="26" s="1"/>
  <c r="L25" i="26" s="1"/>
  <c r="K25" i="26" s="1"/>
  <c r="V19" i="17"/>
  <c r="V68" i="14"/>
  <c r="V33" i="17"/>
  <c r="V47" i="14"/>
  <c r="V12" i="17"/>
  <c r="V55" i="14"/>
  <c r="V20" i="17"/>
  <c r="V56" i="14"/>
  <c r="V21" i="17"/>
  <c r="V46" i="14"/>
  <c r="V11" i="17"/>
  <c r="V62" i="14"/>
  <c r="V27" i="17"/>
  <c r="V48" i="14"/>
  <c r="V13" i="17"/>
  <c r="V44" i="14"/>
  <c r="V9" i="17"/>
  <c r="V67" i="14"/>
  <c r="V32" i="17"/>
  <c r="V15" i="14"/>
  <c r="X15" i="14"/>
  <c r="V59" i="14"/>
  <c r="V24" i="17"/>
  <c r="V52" i="14"/>
  <c r="V17" i="17"/>
  <c r="X30" i="14"/>
  <c r="V30" i="14"/>
  <c r="V53" i="14"/>
  <c r="V18" i="17"/>
  <c r="K16" i="27"/>
  <c r="V36" i="14" l="1"/>
  <c r="V71" i="14" s="1"/>
  <c r="V35" i="14"/>
  <c r="V70" i="14" s="1"/>
  <c r="M25" i="26"/>
  <c r="K30" i="26"/>
  <c r="V43" i="17"/>
  <c r="V8" i="24"/>
  <c r="V24" i="24"/>
  <c r="V59" i="24" s="1"/>
  <c r="V59" i="17"/>
  <c r="V31" i="24"/>
  <c r="V66" i="24" s="1"/>
  <c r="V66" i="17"/>
  <c r="V18" i="24"/>
  <c r="V53" i="24" s="1"/>
  <c r="V53" i="17"/>
  <c r="V62" i="17"/>
  <c r="V27" i="24"/>
  <c r="V62" i="24" s="1"/>
  <c r="V12" i="24"/>
  <c r="V47" i="24" s="1"/>
  <c r="V47" i="17"/>
  <c r="V57" i="14"/>
  <c r="V22" i="17"/>
  <c r="V29" i="24"/>
  <c r="V64" i="24" s="1"/>
  <c r="V64" i="17"/>
  <c r="V13" i="24"/>
  <c r="V48" i="24" s="1"/>
  <c r="V48" i="17"/>
  <c r="V32" i="24"/>
  <c r="V67" i="24" s="1"/>
  <c r="V67" i="17"/>
  <c r="V11" i="24"/>
  <c r="V46" i="24" s="1"/>
  <c r="V46" i="17"/>
  <c r="V33" i="24"/>
  <c r="V68" i="24" s="1"/>
  <c r="V68" i="17"/>
  <c r="V50" i="14"/>
  <c r="V15" i="17"/>
  <c r="V65" i="14"/>
  <c r="V30" i="17"/>
  <c r="V63" i="17"/>
  <c r="V28" i="24"/>
  <c r="V63" i="24" s="1"/>
  <c r="V60" i="17"/>
  <c r="V25" i="24"/>
  <c r="V60" i="24" s="1"/>
  <c r="V20" i="24"/>
  <c r="V55" i="24" s="1"/>
  <c r="V55" i="17"/>
  <c r="V17" i="24"/>
  <c r="V52" i="24" s="1"/>
  <c r="V52" i="17"/>
  <c r="V9" i="24"/>
  <c r="V44" i="24" s="1"/>
  <c r="V44" i="17"/>
  <c r="V21" i="24"/>
  <c r="V56" i="24" s="1"/>
  <c r="V56" i="17"/>
  <c r="F30" i="26"/>
  <c r="G30" i="26" s="1"/>
  <c r="V19" i="24"/>
  <c r="V54" i="17"/>
  <c r="V30" i="24" l="1"/>
  <c r="V65" i="24" s="1"/>
  <c r="V65" i="17"/>
  <c r="F31" i="26"/>
  <c r="G31" i="26" s="1"/>
  <c r="V54" i="24"/>
  <c r="V50" i="17"/>
  <c r="V15" i="24"/>
  <c r="V50" i="24" s="1"/>
  <c r="V36" i="17"/>
  <c r="V71" i="17" s="1"/>
  <c r="V35" i="17"/>
  <c r="V70" i="17" s="1"/>
  <c r="V43" i="24"/>
  <c r="V22" i="24"/>
  <c r="V57" i="24" s="1"/>
  <c r="V57" i="17"/>
  <c r="M30" i="26"/>
  <c r="L30" i="26"/>
  <c r="K31" i="26"/>
  <c r="M31" i="26" l="1"/>
  <c r="L31" i="26"/>
  <c r="V36" i="24"/>
  <c r="V71" i="2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Graichen</author>
  </authors>
  <commentList>
    <comment ref="W6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Jakob Graichen:</t>
        </r>
        <r>
          <rPr>
            <sz val="9"/>
            <color indexed="81"/>
            <rFont val="Tahoma"/>
            <family val="2"/>
          </rPr>
          <t xml:space="preserve">
Formula to decide method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Graichen</author>
  </authors>
  <commentList>
    <comment ref="W6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Jakob Graichen:</t>
        </r>
        <r>
          <rPr>
            <sz val="9"/>
            <color indexed="81"/>
            <rFont val="Tahoma"/>
            <family val="2"/>
          </rPr>
          <t xml:space="preserve">
Formula to decide method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Graichen</author>
  </authors>
  <commentList>
    <comment ref="W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Jakob Graichen:</t>
        </r>
        <r>
          <rPr>
            <sz val="9"/>
            <color indexed="81"/>
            <rFont val="Tahoma"/>
            <family val="2"/>
          </rPr>
          <t xml:space="preserve">
Formula to decide method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Graichen</author>
  </authors>
  <commentList>
    <comment ref="W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Jakob Graichen:</t>
        </r>
        <r>
          <rPr>
            <sz val="9"/>
            <color indexed="81"/>
            <rFont val="Tahoma"/>
            <family val="2"/>
          </rPr>
          <t xml:space="preserve">
Formula to decide method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Graichen</author>
  </authors>
  <commentList>
    <comment ref="W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Jakob Graichen:</t>
        </r>
        <r>
          <rPr>
            <sz val="9"/>
            <color indexed="81"/>
            <rFont val="Tahoma"/>
            <family val="2"/>
          </rPr>
          <t xml:space="preserve">
Formula to decide method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Graichen</author>
  </authors>
  <commentList>
    <comment ref="W6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Jakob Graichen:</t>
        </r>
        <r>
          <rPr>
            <sz val="9"/>
            <color indexed="81"/>
            <rFont val="Tahoma"/>
            <family val="2"/>
          </rPr>
          <t xml:space="preserve">
Formula to decide method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Graichen</author>
  </authors>
  <commentList>
    <comment ref="W6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Jakob Graichen:</t>
        </r>
        <r>
          <rPr>
            <sz val="9"/>
            <color indexed="81"/>
            <rFont val="Tahoma"/>
            <family val="2"/>
          </rPr>
          <t xml:space="preserve">
Formula to decide method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Graichen</author>
  </authors>
  <commentList>
    <comment ref="W6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Jakob Graichen:</t>
        </r>
        <r>
          <rPr>
            <sz val="9"/>
            <color indexed="81"/>
            <rFont val="Tahoma"/>
            <family val="2"/>
          </rPr>
          <t xml:space="preserve">
Formula to decide method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Graichen</author>
  </authors>
  <commentList>
    <comment ref="W6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Jakob Graichen:</t>
        </r>
        <r>
          <rPr>
            <sz val="9"/>
            <color indexed="81"/>
            <rFont val="Tahoma"/>
            <family val="2"/>
          </rPr>
          <t xml:space="preserve">
Formula to decide method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Graichen</author>
  </authors>
  <commentList>
    <comment ref="W6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Jakob Graichen:</t>
        </r>
        <r>
          <rPr>
            <sz val="9"/>
            <color indexed="81"/>
            <rFont val="Tahoma"/>
            <family val="2"/>
          </rPr>
          <t xml:space="preserve">
Formula to decide method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Zuzana, Rošková Ing.</author>
  </authors>
  <commentList>
    <comment ref="D7" authorId="0" shapeId="0" xr:uid="{00000000-0006-0000-0D00-000001000000}">
      <text>
        <r>
          <rPr>
            <b/>
            <sz val="9"/>
            <color rgb="FF000000"/>
            <rFont val="Tahoma"/>
            <family val="2"/>
          </rPr>
          <t>Zuzana, Rošková Ing.: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new datasource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Graichen</author>
  </authors>
  <commentList>
    <comment ref="W6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Jakob Graichen:</t>
        </r>
        <r>
          <rPr>
            <sz val="9"/>
            <color indexed="81"/>
            <rFont val="Tahoma"/>
            <family val="2"/>
          </rPr>
          <t xml:space="preserve">
Formula to decide method</t>
        </r>
      </text>
    </comment>
  </commentList>
</comments>
</file>

<file path=xl/sharedStrings.xml><?xml version="1.0" encoding="utf-8"?>
<sst xmlns="http://schemas.openxmlformats.org/spreadsheetml/2006/main" count="2143" uniqueCount="254">
  <si>
    <t>ENERGY EFFICIENCY PROXIES 2020 - CONSULTATION INPUT SHEET</t>
  </si>
  <si>
    <t xml:space="preserve">1. Select country: </t>
  </si>
  <si>
    <t>FI</t>
  </si>
  <si>
    <t>2. Insert percentage change OR absolute values in the green columns M:O</t>
  </si>
  <si>
    <t xml:space="preserve">If absolute values are inserted, please do so for both 2019 and 2020. </t>
  </si>
  <si>
    <t>Please note that, for consistency and comparability, Eurostat 2019 values are used as a base. The percentage change between 2019 and 2020 values will be applied to 2019 Eurostat figures.</t>
  </si>
  <si>
    <t>Proxy values</t>
  </si>
  <si>
    <t>Values after MS change</t>
  </si>
  <si>
    <t>MS data</t>
  </si>
  <si>
    <t>change %</t>
  </si>
  <si>
    <t>method used</t>
  </si>
  <si>
    <t>info</t>
  </si>
  <si>
    <t>change % 18-19</t>
  </si>
  <si>
    <t>control</t>
  </si>
  <si>
    <t>Categories</t>
  </si>
  <si>
    <t>(Eurostat)</t>
  </si>
  <si>
    <t>(EEA proxy)</t>
  </si>
  <si>
    <t>PEC = Primary Energy Consumption, FEC = Final Energy Consumption</t>
  </si>
  <si>
    <t>Contacts:</t>
  </si>
  <si>
    <t>javier.esparrago@eea.europa.eu</t>
  </si>
  <si>
    <t>zuzana.roskova@chmi.cz</t>
  </si>
  <si>
    <t>ENERGY EFFICIENCY PROXY</t>
  </si>
  <si>
    <t>Not official Eurostat values. Estimated by CHMI 2024, August.</t>
  </si>
  <si>
    <t>Calculated Primary Energy Consumption - All products correspond with Primary Energy Consumption (Europe 2020-2030) in Eurostat.</t>
  </si>
  <si>
    <t>Calculated Final Energy Consumption - All sectors correspond with Final Energy Consumption (Europe 2020-2030) in Eurostat.</t>
  </si>
  <si>
    <t>Worksheets</t>
  </si>
  <si>
    <t>Data connection</t>
  </si>
  <si>
    <t>#</t>
  </si>
  <si>
    <t>Name</t>
  </si>
  <si>
    <t>Title</t>
  </si>
  <si>
    <t>Time stamp</t>
  </si>
  <si>
    <t>Data</t>
  </si>
  <si>
    <t>Note</t>
  </si>
  <si>
    <t>Index</t>
  </si>
  <si>
    <t>PEC_absolute</t>
  </si>
  <si>
    <t>MS Stats list</t>
  </si>
  <si>
    <t>Checklist of official statistics</t>
  </si>
  <si>
    <t>FEC_absolute</t>
  </si>
  <si>
    <t>Parameters</t>
  </si>
  <si>
    <t>drivers</t>
  </si>
  <si>
    <t>PEC Total</t>
  </si>
  <si>
    <t>Primary Energy Consumption - All Products</t>
  </si>
  <si>
    <t>FEC-o-lin</t>
  </si>
  <si>
    <t>PEC Fossil</t>
  </si>
  <si>
    <t>Primary Energy Consumption - Fossil Fuels</t>
  </si>
  <si>
    <t>PEC Solid</t>
  </si>
  <si>
    <t>Primary Energy Consumption - Solid Fuels</t>
  </si>
  <si>
    <t>PEC Liquid</t>
  </si>
  <si>
    <t>Primary Energy Consumption - Liquid fossil fuels</t>
  </si>
  <si>
    <t>PEC Gaseous</t>
  </si>
  <si>
    <t>Primary Energy Consumption - Gas</t>
  </si>
  <si>
    <t>PEC Nuclear</t>
  </si>
  <si>
    <t>Primary Energy Consumption - Nuclear heat</t>
  </si>
  <si>
    <t>PEC Waste</t>
  </si>
  <si>
    <t>Primary Energy Consumption (Waste non-renewable)</t>
  </si>
  <si>
    <t>PEC Electricity</t>
  </si>
  <si>
    <t>Primary Energy Consumption - Electrical Energy</t>
  </si>
  <si>
    <t>PEC RES</t>
  </si>
  <si>
    <t>Primary Energy Consumption (renewables)</t>
  </si>
  <si>
    <t>GFEC Total</t>
  </si>
  <si>
    <t>Gross Final Energy Consumption (including distribution losses)</t>
  </si>
  <si>
    <t>FEC Total</t>
  </si>
  <si>
    <t>Final Energy Consumption - All Sectors</t>
  </si>
  <si>
    <t>FEC Industry</t>
  </si>
  <si>
    <t>Final Energy Consumption - Industry</t>
  </si>
  <si>
    <t>FEC Transport</t>
  </si>
  <si>
    <t>Final Energy Consumption - Transport</t>
  </si>
  <si>
    <t>FEC Other</t>
  </si>
  <si>
    <t>Final Energy Consumption - Other Sectors</t>
  </si>
  <si>
    <t>FEC Transport foss</t>
  </si>
  <si>
    <t>FEC Transport, Fossil fuels</t>
  </si>
  <si>
    <t>FEC Transport RES</t>
  </si>
  <si>
    <t>FEC Transport (renewable)</t>
  </si>
  <si>
    <t>Changes</t>
  </si>
  <si>
    <t xml:space="preserve">Changes after MS Consultation </t>
  </si>
  <si>
    <t>Date</t>
  </si>
  <si>
    <t>Description</t>
  </si>
  <si>
    <t>Country</t>
  </si>
  <si>
    <t>Change in drivers V3 - BP stats and Eurostat Electricity and REN Wastes</t>
  </si>
  <si>
    <t>SI</t>
  </si>
  <si>
    <t>22.8.2024</t>
  </si>
  <si>
    <t xml:space="preserve">V5 has ppdated v.3 GHG proxy, RES proxy not looped. QC done; corrected partly updated equations for totals and updated FEC drivers. </t>
  </si>
  <si>
    <t>FR</t>
  </si>
  <si>
    <t>23.8.2024</t>
  </si>
  <si>
    <t>V6 connected GHG proxy V.4 and RES summary results V.1 via ENEF driver file V6</t>
  </si>
  <si>
    <t>ES</t>
  </si>
  <si>
    <t>03.9.2024</t>
  </si>
  <si>
    <t>In ENEF V.7, GHG proxy V7 and RES summary results V.4 connected</t>
  </si>
  <si>
    <t>HU</t>
  </si>
  <si>
    <t>04.9.2024</t>
  </si>
  <si>
    <t>V8 PEC ELE msdata for IE removed, does not affect RES GHG connections</t>
  </si>
  <si>
    <t>DE</t>
  </si>
  <si>
    <t>After consultations</t>
  </si>
  <si>
    <t>LV</t>
  </si>
  <si>
    <t>26.9.2024</t>
  </si>
  <si>
    <t>V.9 msdata added</t>
  </si>
  <si>
    <t>FR, SI, ES, HU, DE, LV</t>
  </si>
  <si>
    <t>27.9.2024</t>
  </si>
  <si>
    <t xml:space="preserve">V.10 historical FEC values added, ENEF driver file V.8 with RES summary results V.5 connection   </t>
  </si>
  <si>
    <t>MS</t>
  </si>
  <si>
    <t>V</t>
  </si>
  <si>
    <t>Comments</t>
  </si>
  <si>
    <t>Source</t>
  </si>
  <si>
    <t>Downloaded</t>
  </si>
  <si>
    <t>Link</t>
  </si>
  <si>
    <t>Austria</t>
  </si>
  <si>
    <t>AT</t>
  </si>
  <si>
    <t>Statistics Austria - Preliminary energy balance 2022</t>
  </si>
  <si>
    <t>https://www.statistik.at/en/statistics/energy-and-environment/energy/energy-balances</t>
  </si>
  <si>
    <t>Germany</t>
  </si>
  <si>
    <t>BMWi - Gesamtausgabe der Energiedaten - Datensammlung des BMWi, AGEB - Primärenergieverbrauch Jahr 2021</t>
  </si>
  <si>
    <t>25.07.2022 (FEC); 18.08.2022 (PEC)</t>
  </si>
  <si>
    <t>https://www.bmwi.de/Redaktion/DE/Artikel/Energie/energiedaten-gesamtausgabe.html</t>
  </si>
  <si>
    <t>https://ag-energiebilanzen.de/daten-und-fakten/primaerenergieverbrauch/</t>
  </si>
  <si>
    <t>Denmark</t>
  </si>
  <si>
    <t>DK</t>
  </si>
  <si>
    <t>PEC only</t>
  </si>
  <si>
    <t>Danish Energy Agency - Preliminary Energy Statsticis 2022</t>
  </si>
  <si>
    <t>https://ens.dk/en/our-services/statistics-data-key-figures-and-energy-maps/annual-and-monthly-statistics</t>
  </si>
  <si>
    <t>Estonia</t>
  </si>
  <si>
    <t>EE</t>
  </si>
  <si>
    <t>https://andmed.stat.ee/en/stat/majandus__energeetika__energia-tarbimine-ja-tootmine__aastastatistika/KE062</t>
  </si>
  <si>
    <t>Finland</t>
  </si>
  <si>
    <t>Statistics Finland - Energy supply and consumption</t>
  </si>
  <si>
    <t>Energy supply and consumption - Statistics Finland</t>
  </si>
  <si>
    <t>France</t>
  </si>
  <si>
    <t>Ministère de la Transition écologique et solidaire - Données et études statistiques</t>
  </si>
  <si>
    <t>https://www.statistiques.developpement-durable.gouv.fr/</t>
  </si>
  <si>
    <t>Hungary</t>
  </si>
  <si>
    <t>PEC only. Using change in domestic supply for PEC</t>
  </si>
  <si>
    <t>MEKH - Official Statistics - 7.2 National simplified Energy Balance - IEA format</t>
  </si>
  <si>
    <t>http://www.mekh.hu/annual-data</t>
  </si>
  <si>
    <t>Ireland</t>
  </si>
  <si>
    <t>IE</t>
  </si>
  <si>
    <t>SEAI - 2022 Provisional Energy Balance</t>
  </si>
  <si>
    <t>https://www.seai.ie/data-and-insights/seai-statistics/key-publications/national-energy-balance/</t>
  </si>
  <si>
    <t>Lithuania</t>
  </si>
  <si>
    <t>LT</t>
  </si>
  <si>
    <t>Statistics Lithuania - Energy balances</t>
  </si>
  <si>
    <t>https://osp.stat.gov.lt/en_GB/energetika</t>
  </si>
  <si>
    <t>Malta</t>
  </si>
  <si>
    <t>MT</t>
  </si>
  <si>
    <t>Based on data provied by MS during consultation.</t>
  </si>
  <si>
    <t>Msdata from consultations</t>
  </si>
  <si>
    <t>Netherlands</t>
  </si>
  <si>
    <t>NL</t>
  </si>
  <si>
    <t>CBS - Energy balance sheet; supply, transformation and consumption</t>
  </si>
  <si>
    <t>https://opendata.cbs.nl/statline/#/CBS/en/dataset/83140ENG/table?ts=1596898439837</t>
  </si>
  <si>
    <t>Portugal</t>
  </si>
  <si>
    <t>PT</t>
  </si>
  <si>
    <t>DGEG - Balanço Energético Sintético 2022</t>
  </si>
  <si>
    <t xml:space="preserve"> </t>
  </si>
  <si>
    <t>Slovenia</t>
  </si>
  <si>
    <t>Final data on annual energy statistics for 2021 will be published on 6 October 2022.</t>
  </si>
  <si>
    <t>Statistical Office of Slovenia - Energy balance</t>
  </si>
  <si>
    <t>https://www.stat.si/StatWeb/en/Field/Index/5</t>
  </si>
  <si>
    <t>Italy</t>
  </si>
  <si>
    <t>IT</t>
  </si>
  <si>
    <t>Ministry of Ecological Transition</t>
  </si>
  <si>
    <t>https://dgsaie.mise.gov.it/situazione-energetica-nazionale</t>
  </si>
  <si>
    <t>Spain</t>
  </si>
  <si>
    <t>https://energia.gob.es/balances/Balances/Paginas/Balances.aspx</t>
  </si>
  <si>
    <t>United Kingdom</t>
  </si>
  <si>
    <t>UK</t>
  </si>
  <si>
    <t>BEIS - Digest of UK Energy Statistics (DUKES)</t>
  </si>
  <si>
    <t>https://www.gov.uk/government/statistics/energy-chapter-1-digest-of-united-kingdom-energy-statistics-dukes</t>
  </si>
  <si>
    <r>
      <t xml:space="preserve">Parameters for cleaner formulae across sheets, only change when calculation is updated to new round </t>
    </r>
    <r>
      <rPr>
        <b/>
        <sz val="10"/>
        <color rgb="FFFF0000"/>
        <rFont val="Arial"/>
        <family val="2"/>
        <scheme val="minor"/>
      </rPr>
      <t>and after columns have been added to this results book and the drivers book.</t>
    </r>
  </si>
  <si>
    <t>Proxy year for which the forecasts are made</t>
  </si>
  <si>
    <t>Last Data Year</t>
  </si>
  <si>
    <t>Column Number in Drivers Book for Proxy Year</t>
  </si>
  <si>
    <t>Column Number in This Book for Proxy Year</t>
  </si>
  <si>
    <t>Column Number in This Book for Last Data Year</t>
  </si>
  <si>
    <t>Column offset for last data year (column number - 1)</t>
  </si>
  <si>
    <t>Eurostat Data</t>
  </si>
  <si>
    <t>Proxy</t>
  </si>
  <si>
    <t>MS Code 1</t>
  </si>
  <si>
    <t>MS Code 2</t>
  </si>
  <si>
    <t>BE</t>
  </si>
  <si>
    <t>BG</t>
  </si>
  <si>
    <t>CY</t>
  </si>
  <si>
    <t>CZ</t>
  </si>
  <si>
    <t>EL</t>
  </si>
  <si>
    <t>GR</t>
  </si>
  <si>
    <t>HR</t>
  </si>
  <si>
    <t>LU</t>
  </si>
  <si>
    <t>PL</t>
  </si>
  <si>
    <t>RO</t>
  </si>
  <si>
    <t>SE</t>
  </si>
  <si>
    <t>SK</t>
  </si>
  <si>
    <t>EU 27+UK</t>
  </si>
  <si>
    <t>EU 27</t>
  </si>
  <si>
    <t>Percentage Change</t>
  </si>
  <si>
    <t>perc. Limit</t>
  </si>
  <si>
    <t>R^2</t>
  </si>
  <si>
    <t>Trend Duration</t>
  </si>
  <si>
    <t>Row in Raw Sheet</t>
  </si>
  <si>
    <t>No Change</t>
  </si>
  <si>
    <t>Eurostat</t>
  </si>
  <si>
    <t>BP</t>
  </si>
  <si>
    <t>5yr lin trend</t>
  </si>
  <si>
    <t>Based on MS Stats</t>
  </si>
  <si>
    <t>Manual Override</t>
  </si>
  <si>
    <t>choice of BP or Eurostat</t>
  </si>
  <si>
    <t>limit</t>
  </si>
  <si>
    <t>MS data source</t>
  </si>
  <si>
    <t>Method</t>
  </si>
  <si>
    <t>5yr mean chg</t>
  </si>
  <si>
    <t>previous yr</t>
  </si>
  <si>
    <t>difference BP/Eurostat</t>
  </si>
  <si>
    <t/>
  </si>
  <si>
    <t>productName</t>
  </si>
  <si>
    <t>lin trend</t>
  </si>
  <si>
    <t>source row</t>
  </si>
  <si>
    <t>5yr m diff</t>
  </si>
  <si>
    <t xml:space="preserve">lin trend </t>
  </si>
  <si>
    <t>5yr Mean</t>
  </si>
  <si>
    <t>Eurostat t-1</t>
  </si>
  <si>
    <t>3yr lin trend</t>
  </si>
  <si>
    <t>dif. limit</t>
  </si>
  <si>
    <t>All Methods</t>
  </si>
  <si>
    <t>RES Proxy</t>
  </si>
  <si>
    <t>RES and Waste is mixed in HU 2019 Balance. Given the small share of waste compared to RES, the growth for the whole combination is applied to RES</t>
  </si>
  <si>
    <t>Factor estimated from mean GFEC/FEC relation in 5 years</t>
  </si>
  <si>
    <t>GFEC/FEC</t>
  </si>
  <si>
    <t>Manual overwrite</t>
  </si>
  <si>
    <t>trend duration</t>
  </si>
  <si>
    <t>GHG Proxy</t>
  </si>
  <si>
    <t>Historic time series as reported in nrg102, proxy year is sum of FEC-T fossil and FEC-T RES, which are evaluated separately</t>
  </si>
  <si>
    <t>update every year</t>
  </si>
  <si>
    <t>Linear regression model FEC-O vs inv. 1A4+1A5</t>
  </si>
  <si>
    <t>GHG Proxy LinM</t>
  </si>
  <si>
    <t>HDD trend</t>
  </si>
  <si>
    <t>(results from external evaluation)</t>
  </si>
  <si>
    <t>Source Row</t>
  </si>
  <si>
    <t>GHGP lin trend</t>
  </si>
  <si>
    <t>a</t>
  </si>
  <si>
    <t>b</t>
  </si>
  <si>
    <t>MS Data</t>
  </si>
  <si>
    <t>This is calculated as FEC Transport - FEC RES (for the historic time series)</t>
  </si>
  <si>
    <t>years for trend</t>
  </si>
  <si>
    <t>Min R^2</t>
  </si>
  <si>
    <t>trend r2</t>
  </si>
  <si>
    <t>This is not from nrg102, but from SHARES.</t>
  </si>
  <si>
    <t>Trend duration</t>
  </si>
  <si>
    <t>PEC SOLID</t>
  </si>
  <si>
    <t xml:space="preserve">PEC SOLID Raw Data </t>
  </si>
  <si>
    <t>PEC LIQUID</t>
  </si>
  <si>
    <t>Year</t>
  </si>
  <si>
    <t>Country_ID</t>
  </si>
  <si>
    <t xml:space="preserve">PEC Total </t>
  </si>
  <si>
    <t>FEC trans RES</t>
  </si>
  <si>
    <t>FES trans foss</t>
  </si>
  <si>
    <t>FEC transport</t>
  </si>
  <si>
    <t>FEC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</si>
</sst>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\+0.0%;\-0.0%"/>
    <numFmt numFmtId="166" formatCode="\+0.0%;\-0.0%;0.0%"/>
    <numFmt numFmtId="167" formatCode="0.0%"/>
    <numFmt numFmtId="168" formatCode="\+0.00%;\-0.00%;0.00%"/>
    <numFmt numFmtId="169" formatCode="\+0.000%;\-0.000%;0.000%"/>
  </numFmts>
  <fonts count="39"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3F3F76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rial"/>
      <family val="2"/>
      <charset val="238"/>
      <scheme val="minor"/>
    </font>
    <font>
      <b/>
      <sz val="11"/>
      <color theme="1"/>
      <name val="Arial"/>
      <family val="2"/>
      <scheme val="minor"/>
    </font>
    <font>
      <b/>
      <sz val="10"/>
      <color theme="7" tint="-0.499984740745262"/>
      <name val="Arial"/>
      <family val="2"/>
      <charset val="238"/>
      <scheme val="minor"/>
    </font>
    <font>
      <b/>
      <sz val="10"/>
      <name val="Arial"/>
      <family val="2"/>
      <charset val="238"/>
      <scheme val="minor"/>
    </font>
    <font>
      <b/>
      <sz val="10"/>
      <color theme="6" tint="-0.499984740745262"/>
      <name val="Arial"/>
      <family val="2"/>
      <charset val="238"/>
      <scheme val="minor"/>
    </font>
    <font>
      <b/>
      <sz val="11"/>
      <color theme="6"/>
      <name val="Arial"/>
      <family val="2"/>
      <charset val="238"/>
      <scheme val="minor"/>
    </font>
    <font>
      <sz val="11"/>
      <color theme="8" tint="-0.499984740745262"/>
      <name val="Arial"/>
      <family val="2"/>
      <scheme val="minor"/>
    </font>
    <font>
      <sz val="10"/>
      <color theme="8" tint="-0.249977111117893"/>
      <name val="Arial"/>
      <family val="2"/>
      <scheme val="minor"/>
    </font>
    <font>
      <b/>
      <sz val="11"/>
      <color theme="8" tint="0.79998168889431442"/>
      <name val="Arial"/>
      <family val="2"/>
      <charset val="238"/>
      <scheme val="minor"/>
    </font>
    <font>
      <b/>
      <sz val="11"/>
      <color theme="6" tint="0.79998168889431442"/>
      <name val="Arial"/>
      <family val="2"/>
      <charset val="238"/>
      <scheme val="minor"/>
    </font>
    <font>
      <sz val="9"/>
      <color theme="1"/>
      <name val="Arial"/>
      <family val="2"/>
      <scheme val="minor"/>
    </font>
    <font>
      <sz val="10"/>
      <color theme="8" tint="-0.499984740745262"/>
      <name val="Arial"/>
      <family val="2"/>
      <scheme val="minor"/>
    </font>
    <font>
      <sz val="10"/>
      <color theme="6" tint="-0.499984740745262"/>
      <name val="Arial"/>
      <family val="2"/>
      <scheme val="minor"/>
    </font>
    <font>
      <b/>
      <sz val="20"/>
      <color theme="1"/>
      <name val="Arial"/>
      <family val="2"/>
      <charset val="238"/>
      <scheme val="minor"/>
    </font>
    <font>
      <b/>
      <sz val="10"/>
      <color rgb="FFC00000"/>
      <name val="Arial"/>
      <family val="2"/>
      <charset val="238"/>
      <scheme val="minor"/>
    </font>
    <font>
      <sz val="8"/>
      <color theme="1"/>
      <name val="Arial"/>
      <family val="2"/>
      <scheme val="minor"/>
    </font>
    <font>
      <sz val="10"/>
      <name val="Arial"/>
      <family val="2"/>
      <scheme val="minor"/>
    </font>
    <font>
      <b/>
      <u/>
      <sz val="12"/>
      <name val="Arial"/>
      <family val="2"/>
      <charset val="238"/>
      <scheme val="minor"/>
    </font>
    <font>
      <i/>
      <sz val="10"/>
      <color theme="1"/>
      <name val="Arial"/>
      <family val="2"/>
      <scheme val="minor"/>
    </font>
    <font>
      <sz val="10"/>
      <color theme="0" tint="-0.499984740745262"/>
      <name val="Arial"/>
      <family val="2"/>
      <scheme val="minor"/>
    </font>
    <font>
      <b/>
      <sz val="10"/>
      <name val="Arial"/>
      <family val="2"/>
      <scheme val="minor"/>
    </font>
    <font>
      <i/>
      <sz val="8"/>
      <color theme="1"/>
      <name val="Arial"/>
      <family val="2"/>
      <scheme val="minor"/>
    </font>
    <font>
      <sz val="11"/>
      <color rgb="FF000000"/>
      <name val="Calibri"/>
      <family val="2"/>
      <charset val="238"/>
    </font>
    <font>
      <sz val="10"/>
      <name val="MS Sans Serif"/>
      <family val="2"/>
    </font>
    <font>
      <sz val="10"/>
      <color rgb="FF000000"/>
      <name val="Arial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</borders>
  <cellStyleXfs count="10">
    <xf numFmtId="0" fontId="0" fillId="0" borderId="0"/>
    <xf numFmtId="0" fontId="4" fillId="5" borderId="1" applyNumberFormat="0" applyAlignment="0" applyProtection="0"/>
    <xf numFmtId="0" fontId="5" fillId="6" borderId="2" applyNumberFormat="0" applyAlignment="0" applyProtection="0"/>
    <xf numFmtId="9" fontId="6" fillId="0" borderId="0" applyFont="0" applyFill="0" applyBorder="0" applyAlignment="0" applyProtection="0"/>
    <xf numFmtId="0" fontId="2" fillId="0" borderId="0"/>
    <xf numFmtId="0" fontId="6" fillId="0" borderId="0"/>
    <xf numFmtId="0" fontId="1" fillId="0" borderId="0"/>
    <xf numFmtId="0" fontId="35" fillId="0" borderId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65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4" borderId="0" xfId="0" applyFill="1"/>
    <xf numFmtId="2" fontId="0" fillId="0" borderId="0" xfId="0" applyNumberFormat="1"/>
    <xf numFmtId="166" fontId="0" fillId="0" borderId="0" xfId="0" applyNumberFormat="1"/>
    <xf numFmtId="0" fontId="5" fillId="6" borderId="2" xfId="2"/>
    <xf numFmtId="0" fontId="4" fillId="5" borderId="1" xfId="1"/>
    <xf numFmtId="0" fontId="0" fillId="0" borderId="3" xfId="0" applyBorder="1"/>
    <xf numFmtId="0" fontId="0" fillId="3" borderId="3" xfId="0" applyFill="1" applyBorder="1"/>
    <xf numFmtId="164" fontId="0" fillId="0" borderId="3" xfId="0" applyNumberFormat="1" applyBorder="1"/>
    <xf numFmtId="166" fontId="0" fillId="0" borderId="3" xfId="0" applyNumberFormat="1" applyBorder="1"/>
    <xf numFmtId="0" fontId="3" fillId="0" borderId="3" xfId="0" applyFont="1" applyBorder="1"/>
    <xf numFmtId="1" fontId="0" fillId="0" borderId="0" xfId="0" applyNumberFormat="1"/>
    <xf numFmtId="167" fontId="0" fillId="0" borderId="0" xfId="0" applyNumberFormat="1"/>
    <xf numFmtId="9" fontId="0" fillId="0" borderId="0" xfId="3" applyFont="1"/>
    <xf numFmtId="0" fontId="7" fillId="5" borderId="1" xfId="1" applyFont="1"/>
    <xf numFmtId="0" fontId="0" fillId="0" borderId="0" xfId="0" applyAlignment="1">
      <alignment horizontal="center"/>
    </xf>
    <xf numFmtId="0" fontId="0" fillId="7" borderId="0" xfId="0" applyFill="1"/>
    <xf numFmtId="14" fontId="0" fillId="0" borderId="0" xfId="0" applyNumberFormat="1" applyAlignment="1">
      <alignment horizontal="center" vertical="top"/>
    </xf>
    <xf numFmtId="49" fontId="0" fillId="0" borderId="0" xfId="0" applyNumberFormat="1" applyAlignment="1">
      <alignment vertical="top"/>
    </xf>
    <xf numFmtId="167" fontId="0" fillId="0" borderId="0" xfId="3" applyNumberFormat="1" applyFont="1"/>
    <xf numFmtId="10" fontId="0" fillId="0" borderId="0" xfId="3" applyNumberFormat="1" applyFont="1"/>
    <xf numFmtId="14" fontId="0" fillId="0" borderId="0" xfId="0" applyNumberFormat="1" applyAlignment="1">
      <alignment horizontal="center"/>
    </xf>
    <xf numFmtId="14" fontId="0" fillId="0" borderId="0" xfId="0" applyNumberFormat="1"/>
    <xf numFmtId="49" fontId="12" fillId="0" borderId="0" xfId="0" applyNumberFormat="1" applyFont="1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0" fontId="14" fillId="2" borderId="0" xfId="0" applyFont="1" applyFill="1"/>
    <xf numFmtId="0" fontId="15" fillId="2" borderId="0" xfId="0" applyFont="1" applyFill="1" applyAlignment="1">
      <alignment horizontal="center"/>
    </xf>
    <xf numFmtId="0" fontId="15" fillId="2" borderId="0" xfId="0" applyFont="1" applyFill="1"/>
    <xf numFmtId="9" fontId="0" fillId="7" borderId="0" xfId="3" applyFont="1" applyFill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quotePrefix="1" applyNumberFormat="1"/>
    <xf numFmtId="3" fontId="0" fillId="0" borderId="0" xfId="0" applyNumberFormat="1"/>
    <xf numFmtId="0" fontId="16" fillId="8" borderId="0" xfId="0" applyFont="1" applyFill="1"/>
    <xf numFmtId="164" fontId="16" fillId="8" borderId="0" xfId="0" applyNumberFormat="1" applyFont="1" applyFill="1"/>
    <xf numFmtId="9" fontId="0" fillId="0" borderId="0" xfId="0" applyNumberFormat="1"/>
    <xf numFmtId="164" fontId="18" fillId="9" borderId="4" xfId="1" applyNumberFormat="1" applyFont="1" applyFill="1" applyBorder="1"/>
    <xf numFmtId="167" fontId="18" fillId="9" borderId="4" xfId="1" applyNumberFormat="1" applyFont="1" applyFill="1" applyBorder="1"/>
    <xf numFmtId="0" fontId="25" fillId="0" borderId="0" xfId="0" applyFont="1"/>
    <xf numFmtId="165" fontId="0" fillId="0" borderId="0" xfId="0" quotePrefix="1" applyNumberFormat="1"/>
    <xf numFmtId="0" fontId="26" fillId="0" borderId="0" xfId="0" applyFont="1" applyAlignment="1">
      <alignment horizontal="left"/>
    </xf>
    <xf numFmtId="0" fontId="26" fillId="0" borderId="0" xfId="0" applyFont="1"/>
    <xf numFmtId="167" fontId="16" fillId="8" borderId="0" xfId="3" applyNumberFormat="1" applyFont="1" applyFill="1"/>
    <xf numFmtId="10" fontId="0" fillId="0" borderId="0" xfId="0" applyNumberFormat="1"/>
    <xf numFmtId="0" fontId="0" fillId="0" borderId="0" xfId="5" applyFont="1"/>
    <xf numFmtId="168" fontId="0" fillId="0" borderId="0" xfId="0" applyNumberFormat="1"/>
    <xf numFmtId="0" fontId="0" fillId="16" borderId="0" xfId="0" applyFill="1"/>
    <xf numFmtId="0" fontId="17" fillId="16" borderId="0" xfId="0" applyFont="1" applyFill="1"/>
    <xf numFmtId="164" fontId="18" fillId="16" borderId="4" xfId="1" applyNumberFormat="1" applyFont="1" applyFill="1" applyBorder="1" applyAlignment="1">
      <alignment horizontal="center"/>
    </xf>
    <xf numFmtId="0" fontId="19" fillId="16" borderId="0" xfId="0" applyFont="1" applyFill="1"/>
    <xf numFmtId="167" fontId="0" fillId="16" borderId="0" xfId="3" applyNumberFormat="1" applyFont="1" applyFill="1" applyBorder="1"/>
    <xf numFmtId="0" fontId="22" fillId="16" borderId="0" xfId="0" applyFont="1" applyFill="1"/>
    <xf numFmtId="167" fontId="0" fillId="16" borderId="0" xfId="0" applyNumberFormat="1" applyFill="1"/>
    <xf numFmtId="0" fontId="0" fillId="16" borderId="0" xfId="0" quotePrefix="1" applyFill="1"/>
    <xf numFmtId="0" fontId="19" fillId="0" borderId="5" xfId="0" applyFont="1" applyBorder="1"/>
    <xf numFmtId="164" fontId="0" fillId="0" borderId="5" xfId="0" applyNumberFormat="1" applyBorder="1"/>
    <xf numFmtId="167" fontId="0" fillId="0" borderId="5" xfId="3" applyNumberFormat="1" applyFont="1" applyBorder="1"/>
    <xf numFmtId="0" fontId="19" fillId="16" borderId="5" xfId="0" applyFont="1" applyFill="1" applyBorder="1"/>
    <xf numFmtId="167" fontId="0" fillId="16" borderId="5" xfId="3" applyNumberFormat="1" applyFont="1" applyFill="1" applyBorder="1"/>
    <xf numFmtId="164" fontId="23" fillId="14" borderId="5" xfId="0" applyNumberFormat="1" applyFont="1" applyFill="1" applyBorder="1"/>
    <xf numFmtId="167" fontId="23" fillId="14" borderId="5" xfId="3" applyNumberFormat="1" applyFont="1" applyFill="1" applyBorder="1"/>
    <xf numFmtId="164" fontId="23" fillId="15" borderId="5" xfId="0" applyNumberFormat="1" applyFont="1" applyFill="1" applyBorder="1"/>
    <xf numFmtId="167" fontId="23" fillId="15" borderId="5" xfId="3" applyNumberFormat="1" applyFont="1" applyFill="1" applyBorder="1"/>
    <xf numFmtId="0" fontId="19" fillId="14" borderId="5" xfId="0" applyFont="1" applyFill="1" applyBorder="1"/>
    <xf numFmtId="0" fontId="19" fillId="15" borderId="5" xfId="0" applyFont="1" applyFill="1" applyBorder="1"/>
    <xf numFmtId="0" fontId="0" fillId="0" borderId="5" xfId="0" applyBorder="1"/>
    <xf numFmtId="0" fontId="23" fillId="14" borderId="5" xfId="0" applyFont="1" applyFill="1" applyBorder="1"/>
    <xf numFmtId="0" fontId="23" fillId="15" borderId="5" xfId="0" applyFont="1" applyFill="1" applyBorder="1"/>
    <xf numFmtId="167" fontId="24" fillId="14" borderId="5" xfId="0" applyNumberFormat="1" applyFont="1" applyFill="1" applyBorder="1"/>
    <xf numFmtId="0" fontId="24" fillId="15" borderId="5" xfId="0" applyFont="1" applyFill="1" applyBorder="1"/>
    <xf numFmtId="0" fontId="24" fillId="14" borderId="5" xfId="0" applyFont="1" applyFill="1" applyBorder="1"/>
    <xf numFmtId="0" fontId="1" fillId="0" borderId="0" xfId="6"/>
    <xf numFmtId="0" fontId="6" fillId="0" borderId="0" xfId="5"/>
    <xf numFmtId="0" fontId="0" fillId="0" borderId="0" xfId="0" applyAlignment="1">
      <alignment horizontal="center" vertical="center"/>
    </xf>
    <xf numFmtId="0" fontId="6" fillId="0" borderId="6" xfId="5" applyBorder="1"/>
    <xf numFmtId="0" fontId="27" fillId="0" borderId="6" xfId="0" applyFont="1" applyBorder="1" applyAlignment="1">
      <alignment wrapText="1"/>
    </xf>
    <xf numFmtId="0" fontId="27" fillId="0" borderId="6" xfId="6" applyFont="1" applyBorder="1" applyAlignment="1">
      <alignment wrapText="1"/>
    </xf>
    <xf numFmtId="0" fontId="1" fillId="0" borderId="6" xfId="6" applyBorder="1" applyAlignment="1">
      <alignment wrapText="1"/>
    </xf>
    <xf numFmtId="0" fontId="1" fillId="0" borderId="6" xfId="6" applyBorder="1"/>
    <xf numFmtId="0" fontId="28" fillId="16" borderId="0" xfId="0" applyFont="1" applyFill="1"/>
    <xf numFmtId="0" fontId="0" fillId="16" borderId="0" xfId="0" applyFill="1" applyAlignment="1">
      <alignment horizontal="left" vertical="top" wrapText="1"/>
    </xf>
    <xf numFmtId="0" fontId="29" fillId="16" borderId="0" xfId="0" applyFont="1" applyFill="1"/>
    <xf numFmtId="0" fontId="0" fillId="13" borderId="7" xfId="0" applyFill="1" applyBorder="1" applyAlignment="1">
      <alignment horizontal="center"/>
    </xf>
    <xf numFmtId="0" fontId="0" fillId="13" borderId="8" xfId="0" applyFill="1" applyBorder="1" applyAlignment="1">
      <alignment horizontal="center" vertical="top"/>
    </xf>
    <xf numFmtId="164" fontId="18" fillId="9" borderId="14" xfId="1" applyNumberFormat="1" applyFont="1" applyFill="1" applyBorder="1"/>
    <xf numFmtId="0" fontId="22" fillId="16" borderId="13" xfId="0" applyFont="1" applyFill="1" applyBorder="1"/>
    <xf numFmtId="164" fontId="18" fillId="9" borderId="15" xfId="1" applyNumberFormat="1" applyFont="1" applyFill="1" applyBorder="1"/>
    <xf numFmtId="164" fontId="18" fillId="9" borderId="16" xfId="1" applyNumberFormat="1" applyFont="1" applyFill="1" applyBorder="1"/>
    <xf numFmtId="167" fontId="18" fillId="9" borderId="16" xfId="1" applyNumberFormat="1" applyFont="1" applyFill="1" applyBorder="1"/>
    <xf numFmtId="0" fontId="22" fillId="16" borderId="17" xfId="0" applyFont="1" applyFill="1" applyBorder="1"/>
    <xf numFmtId="164" fontId="18" fillId="9" borderId="18" xfId="1" applyNumberFormat="1" applyFont="1" applyFill="1" applyBorder="1"/>
    <xf numFmtId="164" fontId="18" fillId="9" borderId="19" xfId="1" applyNumberFormat="1" applyFont="1" applyFill="1" applyBorder="1"/>
    <xf numFmtId="167" fontId="18" fillId="9" borderId="19" xfId="1" applyNumberFormat="1" applyFont="1" applyFill="1" applyBorder="1"/>
    <xf numFmtId="0" fontId="22" fillId="16" borderId="11" xfId="0" applyFont="1" applyFill="1" applyBorder="1"/>
    <xf numFmtId="0" fontId="8" fillId="16" borderId="0" xfId="8" applyFill="1"/>
    <xf numFmtId="0" fontId="3" fillId="16" borderId="0" xfId="0" applyFont="1" applyFill="1"/>
    <xf numFmtId="0" fontId="30" fillId="16" borderId="0" xfId="0" applyFont="1" applyFill="1"/>
    <xf numFmtId="0" fontId="28" fillId="13" borderId="0" xfId="0" applyFont="1" applyFill="1"/>
    <xf numFmtId="164" fontId="31" fillId="0" borderId="5" xfId="0" applyNumberFormat="1" applyFont="1" applyBorder="1"/>
    <xf numFmtId="164" fontId="31" fillId="14" borderId="5" xfId="0" applyNumberFormat="1" applyFont="1" applyFill="1" applyBorder="1"/>
    <xf numFmtId="164" fontId="31" fillId="15" borderId="5" xfId="0" applyNumberFormat="1" applyFont="1" applyFill="1" applyBorder="1"/>
    <xf numFmtId="0" fontId="31" fillId="16" borderId="0" xfId="0" applyFont="1" applyFill="1"/>
    <xf numFmtId="164" fontId="31" fillId="16" borderId="5" xfId="0" applyNumberFormat="1" applyFont="1" applyFill="1" applyBorder="1"/>
    <xf numFmtId="0" fontId="32" fillId="16" borderId="0" xfId="0" applyFont="1" applyFill="1"/>
    <xf numFmtId="0" fontId="33" fillId="16" borderId="0" xfId="0" applyFont="1" applyFill="1"/>
    <xf numFmtId="9" fontId="0" fillId="16" borderId="0" xfId="3" applyFont="1" applyFill="1"/>
    <xf numFmtId="10" fontId="23" fillId="15" borderId="5" xfId="3" applyNumberFormat="1" applyFont="1" applyFill="1" applyBorder="1"/>
    <xf numFmtId="10" fontId="23" fillId="14" borderId="5" xfId="3" applyNumberFormat="1" applyFont="1" applyFill="1" applyBorder="1"/>
    <xf numFmtId="164" fontId="0" fillId="16" borderId="5" xfId="0" applyNumberFormat="1" applyFill="1" applyBorder="1"/>
    <xf numFmtId="169" fontId="0" fillId="0" borderId="0" xfId="0" applyNumberFormat="1"/>
    <xf numFmtId="14" fontId="0" fillId="0" borderId="0" xfId="5" applyNumberFormat="1" applyFont="1"/>
    <xf numFmtId="0" fontId="8" fillId="0" borderId="0" xfId="8"/>
    <xf numFmtId="166" fontId="0" fillId="0" borderId="0" xfId="0" applyNumberFormat="1" applyAlignment="1">
      <alignment horizontal="right"/>
    </xf>
    <xf numFmtId="10" fontId="34" fillId="0" borderId="0" xfId="0" applyNumberFormat="1" applyFont="1"/>
    <xf numFmtId="10" fontId="34" fillId="0" borderId="0" xfId="0" quotePrefix="1" applyNumberFormat="1" applyFont="1"/>
    <xf numFmtId="9" fontId="0" fillId="4" borderId="0" xfId="3" applyFont="1" applyFill="1"/>
    <xf numFmtId="0" fontId="0" fillId="0" borderId="0" xfId="0" applyAlignment="1">
      <alignment horizontal="left"/>
    </xf>
    <xf numFmtId="0" fontId="0" fillId="0" borderId="6" xfId="5" applyFont="1" applyBorder="1"/>
    <xf numFmtId="14" fontId="0" fillId="0" borderId="0" xfId="5" applyNumberFormat="1" applyFont="1" applyAlignment="1">
      <alignment wrapText="1"/>
    </xf>
    <xf numFmtId="0" fontId="0" fillId="0" borderId="0" xfId="5" applyFont="1" applyAlignment="1">
      <alignment wrapText="1"/>
    </xf>
    <xf numFmtId="164" fontId="0" fillId="4" borderId="0" xfId="0" applyNumberFormat="1" applyFill="1"/>
    <xf numFmtId="49" fontId="0" fillId="0" borderId="0" xfId="0" applyNumberFormat="1" applyAlignment="1">
      <alignment vertical="top" wrapText="1"/>
    </xf>
    <xf numFmtId="0" fontId="0" fillId="17" borderId="0" xfId="0" applyFill="1"/>
    <xf numFmtId="0" fontId="3" fillId="17" borderId="0" xfId="0" applyFont="1" applyFill="1"/>
    <xf numFmtId="0" fontId="3" fillId="0" borderId="0" xfId="0" applyFont="1" applyAlignment="1">
      <alignment horizontal="left"/>
    </xf>
    <xf numFmtId="0" fontId="20" fillId="11" borderId="0" xfId="0" applyFont="1" applyFill="1" applyAlignment="1">
      <alignment horizontal="center" vertical="center"/>
    </xf>
    <xf numFmtId="0" fontId="21" fillId="12" borderId="9" xfId="0" applyFont="1" applyFill="1" applyBorder="1" applyAlignment="1">
      <alignment horizontal="center" vertical="center" wrapText="1"/>
    </xf>
    <xf numFmtId="0" fontId="21" fillId="12" borderId="10" xfId="0" applyFont="1" applyFill="1" applyBorder="1" applyAlignment="1">
      <alignment horizontal="center" vertical="center" wrapText="1"/>
    </xf>
    <xf numFmtId="0" fontId="21" fillId="12" borderId="11" xfId="0" applyFont="1" applyFill="1" applyBorder="1" applyAlignment="1">
      <alignment horizontal="center" vertical="center" wrapText="1"/>
    </xf>
    <xf numFmtId="0" fontId="21" fillId="12" borderId="12" xfId="0" applyFont="1" applyFill="1" applyBorder="1" applyAlignment="1">
      <alignment horizontal="center" vertical="center" wrapText="1"/>
    </xf>
    <xf numFmtId="0" fontId="21" fillId="12" borderId="0" xfId="0" applyFont="1" applyFill="1" applyAlignment="1">
      <alignment horizontal="center" vertical="center" wrapText="1"/>
    </xf>
    <xf numFmtId="0" fontId="21" fillId="12" borderId="13" xfId="0" applyFont="1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20" fillId="10" borderId="0" xfId="0" applyFont="1" applyFill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7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36" fillId="18" borderId="0" xfId="0" applyFont="1" applyFill="1"/>
    <xf numFmtId="0" fontId="36" fillId="19" borderId="0" xfId="0" applyFont="1" applyFill="1"/>
    <xf numFmtId="0" fontId="0" fillId="0" borderId="0" xfId="0" applyAlignment="1">
      <alignment vertical="top"/>
    </xf>
    <xf numFmtId="164" fontId="0" fillId="3" borderId="0" xfId="0" applyNumberFormat="1" applyFill="1"/>
    <xf numFmtId="164" fontId="16" fillId="3" borderId="0" xfId="0" applyNumberFormat="1" applyFont="1" applyFill="1"/>
    <xf numFmtId="164" fontId="0" fillId="0" borderId="0" xfId="0" applyNumberFormat="1" applyFill="1"/>
    <xf numFmtId="164" fontId="16" fillId="0" borderId="0" xfId="0" applyNumberFormat="1" applyFont="1" applyFill="1"/>
    <xf numFmtId="0" fontId="36" fillId="3" borderId="0" xfId="0" applyFont="1" applyFill="1"/>
    <xf numFmtId="164" fontId="0" fillId="8" borderId="0" xfId="0" applyNumberFormat="1" applyFill="1"/>
    <xf numFmtId="0" fontId="36" fillId="19" borderId="0" xfId="0" applyFont="1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36" fillId="18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164" fontId="0" fillId="2" borderId="0" xfId="0" applyNumberFormat="1" applyFill="1"/>
    <xf numFmtId="0" fontId="0" fillId="0" borderId="0" xfId="0" applyFill="1"/>
    <xf numFmtId="0" fontId="3" fillId="0" borderId="0" xfId="0" applyFont="1" applyAlignment="1">
      <alignment horizontal="left" vertical="top"/>
    </xf>
  </cellXfs>
  <cellStyles count="10">
    <cellStyle name="Hyperlink" xfId="8" xr:uid="{00000000-0005-0000-0000-000000000000}"/>
    <cellStyle name="Input" xfId="1" builtinId="20"/>
    <cellStyle name="Normal" xfId="0" builtinId="0" customBuiltin="1"/>
    <cellStyle name="Normal 2" xfId="5" xr:uid="{00000000-0005-0000-0000-000003000000}"/>
    <cellStyle name="Normal 3" xfId="4" xr:uid="{00000000-0005-0000-0000-000004000000}"/>
    <cellStyle name="Normal 3 2" xfId="6" xr:uid="{00000000-0005-0000-0000-000005000000}"/>
    <cellStyle name="Normale 6" xfId="7" xr:uid="{00000000-0005-0000-0000-000006000000}"/>
    <cellStyle name="Output" xfId="2" builtinId="21"/>
    <cellStyle name="Percent" xfId="3" builtinId="5"/>
    <cellStyle name="Procenta 2" xfId="9" xr:uid="{00000000-0005-0000-0000-000009000000}"/>
  </cellStyles>
  <dxfs count="2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59271</xdr:colOff>
      <xdr:row>1</xdr:row>
      <xdr:rowOff>63003</xdr:rowOff>
    </xdr:from>
    <xdr:to>
      <xdr:col>19</xdr:col>
      <xdr:colOff>218821</xdr:colOff>
      <xdr:row>5</xdr:row>
      <xdr:rowOff>78164</xdr:rowOff>
    </xdr:to>
    <xdr:pic>
      <xdr:nvPicPr>
        <xdr:cNvPr id="2" name="Picture 1" descr="ETC-CCME_cropped_color-e1556216724904-150px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1538" y="181536"/>
          <a:ext cx="3368416" cy="768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17835</xdr:colOff>
      <xdr:row>1</xdr:row>
      <xdr:rowOff>111049</xdr:rowOff>
    </xdr:from>
    <xdr:to>
      <xdr:col>19</xdr:col>
      <xdr:colOff>1566331</xdr:colOff>
      <xdr:row>5</xdr:row>
      <xdr:rowOff>65740</xdr:rowOff>
    </xdr:to>
    <xdr:pic>
      <xdr:nvPicPr>
        <xdr:cNvPr id="3" name="Picture 2" descr="Copernicus Land Monitoring Service on Twitter: &quot;The European Environment  Agency in Copenhagen is looking for consultants to assist with the  implementation of the Copernicus Land Monitoring Service &amp; the Copernicus  Cross-Service 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9368" y="229582"/>
          <a:ext cx="2158096" cy="70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2</xdr:row>
      <xdr:rowOff>66675</xdr:rowOff>
    </xdr:from>
    <xdr:to>
      <xdr:col>7</xdr:col>
      <xdr:colOff>9525</xdr:colOff>
      <xdr:row>4</xdr:row>
      <xdr:rowOff>114301</xdr:rowOff>
    </xdr:to>
    <xdr:sp macro="" textlink="">
      <xdr:nvSpPr>
        <xdr:cNvPr id="2" name="Obdélní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80999" y="561975"/>
          <a:ext cx="5172076" cy="371476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a1-my.sharepoint.com/Users/Javi/Desktop/Work/Proxies/EnEff%20Proxy%202019Calculation_v4_withoutlinks_J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MS Stats list"/>
      <sheetName val="MS Input"/>
      <sheetName val="Parameters"/>
      <sheetName val="PEC Total"/>
      <sheetName val="PEC Fossil"/>
      <sheetName val="PEC Solid"/>
      <sheetName val="PEC Liquid"/>
      <sheetName val="PEC Gaseous"/>
      <sheetName val="PEC Nuclear"/>
      <sheetName val="PEC Waste"/>
      <sheetName val="PEC Electricity"/>
      <sheetName val="PEC RES"/>
      <sheetName val="GFEC Total"/>
      <sheetName val="FEC Total"/>
      <sheetName val="FEC Industry"/>
      <sheetName val="FEC Transport"/>
      <sheetName val="FEC Other"/>
      <sheetName val="FEC Transport foss"/>
      <sheetName val="FEC Transport 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eko_Institut">
  <a:themeElements>
    <a:clrScheme name="Oeko-Institut">
      <a:dk1>
        <a:sysClr val="windowText" lastClr="000000"/>
      </a:dk1>
      <a:lt1>
        <a:sysClr val="window" lastClr="FFFFFF"/>
      </a:lt1>
      <a:dk2>
        <a:srgbClr val="000099"/>
      </a:dk2>
      <a:lt2>
        <a:srgbClr val="B8D4FF"/>
      </a:lt2>
      <a:accent1>
        <a:srgbClr val="006AA4"/>
      </a:accent1>
      <a:accent2>
        <a:srgbClr val="00BEE1"/>
      </a:accent2>
      <a:accent3>
        <a:srgbClr val="97BF0D"/>
      </a:accent3>
      <a:accent4>
        <a:srgbClr val="DCDB1F"/>
      </a:accent4>
      <a:accent5>
        <a:srgbClr val="6586C3"/>
      </a:accent5>
      <a:accent6>
        <a:srgbClr val="009791"/>
      </a:accent6>
      <a:hlink>
        <a:srgbClr val="006AA4"/>
      </a:hlink>
      <a:folHlink>
        <a:srgbClr val="E3004F"/>
      </a:folHlink>
    </a:clrScheme>
    <a:fontScheme name="Oeko Institut">
      <a:majorFont>
        <a:latin typeface="Arial"/>
        <a:ea typeface=""/>
        <a:cs typeface="Arial"/>
      </a:majorFont>
      <a:minorFont>
        <a:latin typeface="Arial"/>
        <a:ea typeface=""/>
        <a:cs typeface="Arial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zuzana.roskova@chmi.cz" TargetMode="External"/><Relationship Id="rId1" Type="http://schemas.openxmlformats.org/officeDocument/2006/relationships/hyperlink" Target="mailto:javier.esparrago@eea.europa.eu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v.uk/government/statistics/energy-chapter-1-digest-of-united-kingdom-energy-statistics-dukes" TargetMode="External"/><Relationship Id="rId13" Type="http://schemas.openxmlformats.org/officeDocument/2006/relationships/hyperlink" Target="https://www.bmwi.de/Redaktion/DE/Artikel/Energie/energiedaten-gesamtausgabe.html" TargetMode="External"/><Relationship Id="rId18" Type="http://schemas.openxmlformats.org/officeDocument/2006/relationships/hyperlink" Target="https://ens.dk/en/our-services/statistics-data-key-figures-and-energy-maps/annual-and-monthly-statistics" TargetMode="External"/><Relationship Id="rId26" Type="http://schemas.openxmlformats.org/officeDocument/2006/relationships/hyperlink" Target="https://ag-energiebilanzen.de/daten-und-fakten/primaerenergieverbrauch/" TargetMode="External"/><Relationship Id="rId3" Type="http://schemas.openxmlformats.org/officeDocument/2006/relationships/hyperlink" Target="http://www.mekh.hu/annual-data" TargetMode="External"/><Relationship Id="rId21" Type="http://schemas.openxmlformats.org/officeDocument/2006/relationships/hyperlink" Target="https://opendata.cbs.nl/statline/" TargetMode="External"/><Relationship Id="rId7" Type="http://schemas.openxmlformats.org/officeDocument/2006/relationships/hyperlink" Target="https://www.stat.si/StatWeb/en/Field/Index/5" TargetMode="External"/><Relationship Id="rId12" Type="http://schemas.openxmlformats.org/officeDocument/2006/relationships/hyperlink" Target="https://www.statistiques.developpement-durable.gouv.fr/" TargetMode="External"/><Relationship Id="rId17" Type="http://schemas.openxmlformats.org/officeDocument/2006/relationships/hyperlink" Target="https://www.statistik.at/en/statistics/energy-and-environment/energy/energy-balances" TargetMode="External"/><Relationship Id="rId25" Type="http://schemas.openxmlformats.org/officeDocument/2006/relationships/hyperlink" Target="https://www.stat.fi/en/statistics/ehk" TargetMode="External"/><Relationship Id="rId2" Type="http://schemas.openxmlformats.org/officeDocument/2006/relationships/hyperlink" Target="https://www.seai.ie/data-and-insights/seai-statistics/key-publications/national-energy-balance/" TargetMode="External"/><Relationship Id="rId16" Type="http://schemas.openxmlformats.org/officeDocument/2006/relationships/hyperlink" Target="https://www.dgeg.gov.pt/pt/estatistica/energia/" TargetMode="External"/><Relationship Id="rId20" Type="http://schemas.openxmlformats.org/officeDocument/2006/relationships/hyperlink" Target="https://www.gov.uk/government/statistics/energy-chapter-1-digest-of-united-kingdom-energy-statistics-dukes" TargetMode="External"/><Relationship Id="rId1" Type="http://schemas.openxmlformats.org/officeDocument/2006/relationships/hyperlink" Target="https://www.statistiques.developpement-durable.gouv.fr/" TargetMode="External"/><Relationship Id="rId6" Type="http://schemas.openxmlformats.org/officeDocument/2006/relationships/hyperlink" Target="https://ens.dk/en/our-services/statistics-data-key-figures-and-energy-maps/annual-and-monthly-statistics" TargetMode="External"/><Relationship Id="rId11" Type="http://schemas.openxmlformats.org/officeDocument/2006/relationships/hyperlink" Target="http://www.stat.fi/til/ene_en.html" TargetMode="External"/><Relationship Id="rId24" Type="http://schemas.openxmlformats.org/officeDocument/2006/relationships/hyperlink" Target="https://andmed.stat.ee/en/stat/majandus__energeetika__energia-tarbimine-ja-tootmine__aastastatistika/KE062" TargetMode="External"/><Relationship Id="rId5" Type="http://schemas.openxmlformats.org/officeDocument/2006/relationships/hyperlink" Target="https://www.statistik.at/web_en/statistics/EnergyEnvironmentInnovationMobility/energy_environment/energy/energy_balances/index.html" TargetMode="External"/><Relationship Id="rId15" Type="http://schemas.openxmlformats.org/officeDocument/2006/relationships/hyperlink" Target="http://www.mekh.hu/annual-data" TargetMode="External"/><Relationship Id="rId23" Type="http://schemas.openxmlformats.org/officeDocument/2006/relationships/hyperlink" Target="https://dgsaie.mise.gov.it/situazione-energetica-nazionale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https://osp.stat.gov.lt/en_GB/energetika" TargetMode="External"/><Relationship Id="rId19" Type="http://schemas.openxmlformats.org/officeDocument/2006/relationships/hyperlink" Target="https://www.stat.si/StatWeb/en/Field/Index/5" TargetMode="External"/><Relationship Id="rId4" Type="http://schemas.openxmlformats.org/officeDocument/2006/relationships/hyperlink" Target="http://www.dgeg.gov.pt/" TargetMode="External"/><Relationship Id="rId9" Type="http://schemas.openxmlformats.org/officeDocument/2006/relationships/hyperlink" Target="https://opendata.cbs.nl/statline/" TargetMode="External"/><Relationship Id="rId14" Type="http://schemas.openxmlformats.org/officeDocument/2006/relationships/hyperlink" Target="https://www.seai.ie/data-and-insights/seai-statistics/key-publications/national-energy-balance/" TargetMode="External"/><Relationship Id="rId22" Type="http://schemas.openxmlformats.org/officeDocument/2006/relationships/hyperlink" Target="https://osp.stat.gov.lt/en_GB/energetika" TargetMode="External"/><Relationship Id="rId27" Type="http://schemas.openxmlformats.org/officeDocument/2006/relationships/hyperlink" Target="https://energia.gob.es/balances/Balances/Paginas/Balances.aspx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39997558519241921"/>
  </sheetPr>
  <dimension ref="A1:W47"/>
  <sheetViews>
    <sheetView zoomScale="90" zoomScaleNormal="90" workbookViewId="0">
      <selection activeCell="I2" sqref="I2"/>
    </sheetView>
  </sheetViews>
  <sheetFormatPr baseColWidth="10" defaultColWidth="8.83203125" defaultRowHeight="13"/>
  <cols>
    <col min="1" max="1" width="2.83203125" customWidth="1"/>
    <col min="2" max="2" width="18.1640625" customWidth="1"/>
    <col min="3" max="5" width="11.1640625" customWidth="1"/>
    <col min="6" max="6" width="12.33203125" customWidth="1"/>
    <col min="7" max="7" width="9" customWidth="1"/>
    <col min="8" max="8" width="18.5" customWidth="1"/>
    <col min="10" max="10" width="10.6640625" customWidth="1"/>
    <col min="13" max="13" width="11.5" customWidth="1"/>
    <col min="17" max="17" width="9.33203125" bestFit="1" customWidth="1"/>
    <col min="18" max="18" width="28.5" customWidth="1"/>
    <col min="20" max="20" width="29.5" customWidth="1"/>
  </cols>
  <sheetData>
    <row r="1" spans="1:23" ht="9.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</row>
    <row r="2" spans="1:23" ht="16">
      <c r="A2" s="53"/>
      <c r="B2" s="88" t="s">
        <v>0</v>
      </c>
      <c r="C2" s="88"/>
      <c r="D2" s="88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S2" s="53"/>
      <c r="T2" s="53"/>
      <c r="U2" s="53"/>
      <c r="V2" s="53"/>
      <c r="W2" s="53"/>
    </row>
    <row r="3" spans="1:23" ht="16.25" customHeight="1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</row>
    <row r="4" spans="1:23" ht="14">
      <c r="A4" s="54"/>
      <c r="B4" s="54" t="s">
        <v>1</v>
      </c>
      <c r="C4" s="55" t="s">
        <v>106</v>
      </c>
      <c r="D4" s="54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87"/>
      <c r="R4" s="87"/>
      <c r="S4" s="87"/>
      <c r="T4" s="87"/>
      <c r="U4" s="53"/>
      <c r="V4" s="53"/>
      <c r="W4" s="53"/>
    </row>
    <row r="5" spans="1:23" ht="14">
      <c r="A5" s="54"/>
      <c r="B5" s="54"/>
      <c r="C5" s="54"/>
      <c r="D5" s="54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87"/>
      <c r="R5" s="87"/>
      <c r="S5" s="87"/>
      <c r="T5" s="87"/>
      <c r="U5" s="53"/>
      <c r="V5" s="53"/>
      <c r="W5" s="53"/>
    </row>
    <row r="6" spans="1:23" ht="14">
      <c r="A6" s="54"/>
      <c r="B6" s="54" t="s">
        <v>3</v>
      </c>
      <c r="C6" s="54"/>
      <c r="D6" s="5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87"/>
      <c r="R6" s="87"/>
      <c r="S6" s="87"/>
      <c r="T6" s="87"/>
      <c r="U6" s="53"/>
      <c r="V6" s="53"/>
      <c r="W6" s="53"/>
    </row>
    <row r="7" spans="1:23" ht="14">
      <c r="A7" s="54"/>
      <c r="B7" s="86" t="s">
        <v>4</v>
      </c>
      <c r="C7" s="86"/>
      <c r="D7" s="86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87"/>
      <c r="R7" s="87"/>
      <c r="S7" s="87"/>
      <c r="U7" s="53"/>
      <c r="V7" s="53"/>
      <c r="W7" s="53"/>
    </row>
    <row r="8" spans="1:23" ht="14">
      <c r="A8" s="54"/>
      <c r="B8" s="86" t="s">
        <v>5</v>
      </c>
      <c r="C8" s="86"/>
      <c r="D8" s="86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87"/>
      <c r="R8" s="87"/>
      <c r="S8" s="87"/>
      <c r="T8" s="87"/>
      <c r="U8" s="53"/>
      <c r="V8" s="53"/>
      <c r="W8" s="53"/>
    </row>
    <row r="9" spans="1:23">
      <c r="A9" s="56"/>
      <c r="B9" s="53"/>
      <c r="C9" s="53"/>
      <c r="D9" s="53"/>
      <c r="E9" s="53"/>
      <c r="F9" s="112"/>
      <c r="G9" s="53"/>
      <c r="H9" s="53"/>
      <c r="I9" s="53"/>
      <c r="J9" s="53"/>
      <c r="K9" s="53"/>
      <c r="L9" s="53"/>
      <c r="M9" s="53"/>
      <c r="N9" s="53"/>
      <c r="O9" s="87"/>
      <c r="P9" s="87"/>
      <c r="Q9" s="87"/>
      <c r="R9" s="87"/>
      <c r="S9" s="53"/>
      <c r="T9" s="53"/>
      <c r="U9" s="53"/>
    </row>
    <row r="10" spans="1:23" ht="9" customHeight="1">
      <c r="A10" s="56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87"/>
      <c r="P10" s="87"/>
      <c r="Q10" s="87"/>
      <c r="R10" s="87"/>
      <c r="S10" s="53"/>
      <c r="T10" s="53"/>
      <c r="U10" s="53"/>
    </row>
    <row r="11" spans="1:23" ht="14" customHeight="1">
      <c r="A11" s="53"/>
      <c r="B11" s="53"/>
      <c r="C11" s="143" t="s">
        <v>6</v>
      </c>
      <c r="D11" s="143"/>
      <c r="E11" s="143"/>
      <c r="F11" s="143"/>
      <c r="G11" s="143"/>
      <c r="H11" s="143"/>
      <c r="I11" s="53"/>
      <c r="J11" s="132" t="s">
        <v>7</v>
      </c>
      <c r="K11" s="132"/>
      <c r="L11" s="132"/>
      <c r="M11" s="132"/>
      <c r="N11" s="53"/>
      <c r="O11" s="133" t="s">
        <v>8</v>
      </c>
      <c r="P11" s="134"/>
      <c r="Q11" s="134"/>
      <c r="R11" s="135"/>
      <c r="S11" s="53"/>
      <c r="T11" s="53"/>
      <c r="U11" s="53"/>
    </row>
    <row r="12" spans="1:23" ht="14" customHeight="1">
      <c r="A12" s="53"/>
      <c r="B12" s="53"/>
      <c r="C12" s="144"/>
      <c r="D12" s="144"/>
      <c r="E12" s="144"/>
      <c r="F12" s="144"/>
      <c r="G12" s="144"/>
      <c r="H12" s="144"/>
      <c r="I12" s="53"/>
      <c r="J12" s="132"/>
      <c r="K12" s="132"/>
      <c r="L12" s="132"/>
      <c r="M12" s="132"/>
      <c r="N12" s="53"/>
      <c r="O12" s="136"/>
      <c r="P12" s="137"/>
      <c r="Q12" s="137"/>
      <c r="R12" s="138"/>
      <c r="S12" s="53"/>
      <c r="T12" s="53"/>
      <c r="U12" s="53"/>
    </row>
    <row r="13" spans="1:23" ht="12.5" customHeight="1">
      <c r="A13" s="53"/>
      <c r="B13" s="53"/>
      <c r="C13" s="89">
        <f>2015</f>
        <v>2015</v>
      </c>
      <c r="D13" s="89">
        <f>E13-1</f>
        <v>2021</v>
      </c>
      <c r="E13" s="89">
        <f>YearLast</f>
        <v>2022</v>
      </c>
      <c r="F13" s="89">
        <f>YearProxy</f>
        <v>2023</v>
      </c>
      <c r="G13" s="139" t="s">
        <v>9</v>
      </c>
      <c r="H13" s="139" t="s">
        <v>10</v>
      </c>
      <c r="I13" s="53"/>
      <c r="J13" s="139">
        <f>YearLast</f>
        <v>2022</v>
      </c>
      <c r="K13" s="139">
        <f>YearProxy</f>
        <v>2023</v>
      </c>
      <c r="L13" s="139" t="s">
        <v>9</v>
      </c>
      <c r="M13" s="139" t="s">
        <v>11</v>
      </c>
      <c r="N13" s="53"/>
      <c r="O13" s="139">
        <f>YearLast</f>
        <v>2022</v>
      </c>
      <c r="P13" s="139">
        <f>YearProxy</f>
        <v>2023</v>
      </c>
      <c r="Q13" s="141" t="s">
        <v>12</v>
      </c>
      <c r="R13" s="139" t="s">
        <v>13</v>
      </c>
      <c r="S13" s="53"/>
      <c r="T13" s="53"/>
      <c r="U13" s="53"/>
    </row>
    <row r="14" spans="1:23">
      <c r="A14" s="53"/>
      <c r="B14" s="104" t="s">
        <v>14</v>
      </c>
      <c r="C14" s="90" t="s">
        <v>15</v>
      </c>
      <c r="D14" s="90" t="s">
        <v>15</v>
      </c>
      <c r="E14" s="90" t="s">
        <v>15</v>
      </c>
      <c r="F14" s="90" t="s">
        <v>16</v>
      </c>
      <c r="G14" s="140"/>
      <c r="H14" s="140"/>
      <c r="I14" s="53"/>
      <c r="J14" s="140"/>
      <c r="K14" s="140"/>
      <c r="L14" s="140"/>
      <c r="M14" s="140"/>
      <c r="O14" s="140"/>
      <c r="P14" s="140"/>
      <c r="Q14" s="142"/>
      <c r="R14" s="140"/>
      <c r="S14" s="53"/>
      <c r="T14" s="53"/>
      <c r="U14" s="53"/>
    </row>
    <row r="15" spans="1:23" ht="14">
      <c r="A15" s="53"/>
      <c r="B15" s="64" t="str">
        <f>Index!C18</f>
        <v>PEC Solid</v>
      </c>
      <c r="C15" s="109">
        <f>INDEX('PEC Solid'!$1:$34,MATCH($C$4,'PEC Solid'!$C:$C,0),C$13-2001)</f>
        <v>3204.6350000000002</v>
      </c>
      <c r="D15" s="109">
        <f>INDEX('PEC Solid'!$1:$34,MATCH($C$4,'PEC Solid'!$C:$C,0),D$13-2001)</f>
        <v>2516.1289999999999</v>
      </c>
      <c r="E15" s="109">
        <f>INDEX('PEC Solid'!$1:$34,MATCH($C$4,'PEC Solid'!$C:$C,0),E$13-2001)</f>
        <v>2398.2689999999998</v>
      </c>
      <c r="F15" s="115">
        <f ca="1">INDEX('PEC Solid'!$1:$34,MATCH($C$4,'PEC Solid'!$C:$C,0),F$13-2001)</f>
        <v>2422.3573988443741</v>
      </c>
      <c r="G15" s="65">
        <f ca="1">IFERROR((F15-E15)/ABS(E15),0)</f>
        <v>1.0044077142461624E-2</v>
      </c>
      <c r="H15" s="65" t="str">
        <f ca="1">INDEX('PEC Solid'!$1:$34,MATCH($C$4,'PEC Solid'!$C:$C,0),ColYearProxy+4)</f>
        <v>Based on MS Stats</v>
      </c>
      <c r="I15" s="53"/>
      <c r="J15" s="105">
        <f>E15</f>
        <v>2398.2689999999998</v>
      </c>
      <c r="K15" s="62">
        <f ca="1">J15+ABS(J15)*L15</f>
        <v>2422.3573988443741</v>
      </c>
      <c r="L15" s="63">
        <f ca="1">IF(OR(AND(ISNUMBER(O15),ISNUMBER(P15),ISBLANK(Q15)),R15="absolute value will be used"),IFERROR(P15/O15-1,0),IF(ISNUMBER(Q15),Q15,G15))</f>
        <v>1.0044077142461624E-2</v>
      </c>
      <c r="M15" s="72" t="str">
        <f t="shared" ref="M15:M23" ca="1" si="0">IF(K15=F15,"","changed")</f>
        <v/>
      </c>
      <c r="N15" s="53"/>
      <c r="O15" s="91"/>
      <c r="P15" s="43"/>
      <c r="Q15" s="44"/>
      <c r="R15" s="92" t="str">
        <f t="shared" ref="R15:R21" si="1">IF(AND(ISNUMBER(O15),ISBLANK(P15),ISBLANK(Q15)),"not enough info",IF(AND(ISBLANK(O15),ISNUMBER(P15),ISBLANK(Q15)),"please insert also value for year x-1",IF(OR(AND(ISNUMBER(O15),ISNUMBER(P15),O15&lt;&gt;E15),AND(ISBLANK(O15),ISNUMBER(P15),ISNUMBER(Q15))),"percentage change will be used",IF(AND(ISNUMBER(O15),ISNUMBER(P15),ISNUMBER(Q15)),"absolute value will be used",""))))</f>
        <v/>
      </c>
      <c r="S15" s="53"/>
      <c r="T15" s="53"/>
      <c r="U15" s="53"/>
    </row>
    <row r="16" spans="1:23" ht="14">
      <c r="A16" s="53"/>
      <c r="B16" s="64" t="str">
        <f>Index!C19</f>
        <v>PEC Liquid</v>
      </c>
      <c r="C16" s="109">
        <f>INDEX('PEC Liquid'!$1:$34,MATCH($C$4,'PEC Solid'!$C:$C,0),C$13-2001)</f>
        <v>10561.612999999999</v>
      </c>
      <c r="D16" s="109">
        <f>INDEX('PEC Liquid'!$1:$34,MATCH($C$4,'PEC Solid'!$C:$C,0),D$13-2001)</f>
        <v>9989.8439999999991</v>
      </c>
      <c r="E16" s="109">
        <f>INDEX('PEC Liquid'!$1:$34,MATCH($C$4,'PEC Solid'!$C:$C,0),E$13-2001)</f>
        <v>9920.2099999999991</v>
      </c>
      <c r="F16" s="115">
        <f ca="1">INDEX('PEC Liquid'!$1:$34,MATCH($C$4,'PEC Solid'!$C:$C,0),F$13-2001)</f>
        <v>10033.69644860114</v>
      </c>
      <c r="G16" s="65">
        <f t="shared" ref="G16:G21" ca="1" si="2">IFERROR((F16-E16)/ABS(E16),0)</f>
        <v>1.1439924013820383E-2</v>
      </c>
      <c r="H16" s="65" t="str">
        <f ca="1">INDEX('PEC Liquid'!$1:$34,MATCH($C$4,'PEC Solid'!$C:$C,0),ColYearProxy+4)</f>
        <v>Based on MS Stats</v>
      </c>
      <c r="I16" s="53"/>
      <c r="J16" s="105">
        <f t="shared" ref="J16:J21" si="3">E16</f>
        <v>9920.2099999999991</v>
      </c>
      <c r="K16" s="62">
        <f t="shared" ref="K16:K21" ca="1" si="4">J16+ABS(J16)*L16</f>
        <v>10033.69644860114</v>
      </c>
      <c r="L16" s="63">
        <f t="shared" ref="L16:L21" ca="1" si="5">IF(OR(AND(ISNUMBER(O16),ISNUMBER(P16),ISBLANK(Q16)),R16="absolute value will be used"),IFERROR(P16/O16-1,0),IF(ISNUMBER(Q16),Q16,G16))</f>
        <v>1.1439924013820383E-2</v>
      </c>
      <c r="M16" s="72" t="str">
        <f t="shared" ca="1" si="0"/>
        <v/>
      </c>
      <c r="N16" s="53"/>
      <c r="O16" s="91"/>
      <c r="P16" s="43"/>
      <c r="Q16" s="44"/>
      <c r="R16" s="92" t="str">
        <f t="shared" si="1"/>
        <v/>
      </c>
      <c r="S16" s="53"/>
      <c r="T16" s="53"/>
      <c r="U16" s="53"/>
      <c r="V16" s="3"/>
    </row>
    <row r="17" spans="1:21" ht="14">
      <c r="A17" s="53"/>
      <c r="B17" s="64" t="str">
        <f>Index!C20</f>
        <v>PEC Gaseous</v>
      </c>
      <c r="C17" s="109">
        <f>INDEX('PEC Gaseous'!$1:$34,MATCH($C$4,'PEC Solid'!$C:$C,0),C$13-2001)</f>
        <v>6576.1149999999998</v>
      </c>
      <c r="D17" s="109">
        <f>INDEX('PEC Gaseous'!$1:$34,MATCH($C$4,'PEC Solid'!$C:$C,0),D$13-2001)</f>
        <v>7402.5519999999997</v>
      </c>
      <c r="E17" s="109">
        <f>INDEX('PEC Gaseous'!$1:$34,MATCH($C$4,'PEC Solid'!$C:$C,0),E$13-2001)</f>
        <v>6596.2740000000003</v>
      </c>
      <c r="F17" s="115">
        <f ca="1">INDEX('PEC Gaseous'!$1:$34,MATCH($C$4,'PEC Solid'!$C:$C,0),F$13-2001)</f>
        <v>5596.183481278722</v>
      </c>
      <c r="G17" s="65">
        <f t="shared" ca="1" si="2"/>
        <v>-0.15161445972700321</v>
      </c>
      <c r="H17" s="65" t="str">
        <f ca="1">INDEX('PEC Gaseous'!$1:$34,MATCH($C$4,'PEC Solid'!$C:$C,0),ColYearProxy+4)</f>
        <v>Based on MS Stats</v>
      </c>
      <c r="I17" s="53"/>
      <c r="J17" s="105">
        <f t="shared" si="3"/>
        <v>6596.2740000000003</v>
      </c>
      <c r="K17" s="62">
        <f t="shared" ca="1" si="4"/>
        <v>5596.183481278722</v>
      </c>
      <c r="L17" s="63">
        <f t="shared" ca="1" si="5"/>
        <v>-0.15161445972700321</v>
      </c>
      <c r="M17" s="72" t="str">
        <f t="shared" ca="1" si="0"/>
        <v/>
      </c>
      <c r="N17" s="53"/>
      <c r="O17" s="91"/>
      <c r="P17" s="43"/>
      <c r="Q17" s="44"/>
      <c r="R17" s="92" t="str">
        <f t="shared" si="1"/>
        <v/>
      </c>
      <c r="S17" s="53"/>
      <c r="T17" s="53"/>
      <c r="U17" s="53"/>
    </row>
    <row r="18" spans="1:21" ht="14">
      <c r="A18" s="53"/>
      <c r="B18" s="64" t="str">
        <f>Index!C21</f>
        <v>PEC Nuclear</v>
      </c>
      <c r="C18" s="109">
        <f>INDEX('PEC Nuclear'!$1:$34,MATCH($C$4,'PEC Solid'!$C:$C,0),C$13-2001)</f>
        <v>0</v>
      </c>
      <c r="D18" s="109">
        <f>INDEX('PEC Nuclear'!$1:$34,MATCH($C$4,'PEC Solid'!$C:$C,0),D$13-2001)</f>
        <v>0</v>
      </c>
      <c r="E18" s="109">
        <f>INDEX('PEC Nuclear'!$1:$34,MATCH($C$4,'PEC Solid'!$C:$C,0),E$13-2001)</f>
        <v>0</v>
      </c>
      <c r="F18" s="115">
        <f ca="1">INDEX('PEC Nuclear'!$1:$34,MATCH($C$4,'PEC Solid'!$C:$C,0),F$13-2001)</f>
        <v>0</v>
      </c>
      <c r="G18" s="65">
        <f t="shared" ca="1" si="2"/>
        <v>0</v>
      </c>
      <c r="H18" s="65" t="str">
        <f>INDEX('PEC Nuclear'!$1:$34,MATCH($C$4,'PEC Solid'!$C:$C,0),ColYearProxy+4)</f>
        <v>No Change</v>
      </c>
      <c r="I18" s="53"/>
      <c r="J18" s="105">
        <f t="shared" si="3"/>
        <v>0</v>
      </c>
      <c r="K18" s="62">
        <f t="shared" ca="1" si="4"/>
        <v>0</v>
      </c>
      <c r="L18" s="63">
        <f t="shared" ca="1" si="5"/>
        <v>0</v>
      </c>
      <c r="M18" s="72" t="str">
        <f t="shared" ca="1" si="0"/>
        <v/>
      </c>
      <c r="N18" s="53"/>
      <c r="O18" s="91"/>
      <c r="P18" s="43"/>
      <c r="Q18" s="44"/>
      <c r="R18" s="92" t="str">
        <f t="shared" si="1"/>
        <v/>
      </c>
      <c r="S18" s="53"/>
      <c r="T18" s="53"/>
      <c r="U18" s="53"/>
    </row>
    <row r="19" spans="1:21" ht="14">
      <c r="A19" s="53"/>
      <c r="B19" s="64" t="str">
        <f>Index!C22</f>
        <v>PEC Waste</v>
      </c>
      <c r="C19" s="109">
        <f>INDEX('PEC Waste'!$1:$34,MATCH($C$4,'PEC Solid'!$C:$C,0),C$13-2001)</f>
        <v>666.351</v>
      </c>
      <c r="D19" s="109">
        <f>INDEX('PEC Waste'!$1:$34,MATCH($C$4,'PEC Solid'!$C:$C,0),D$13-2001)</f>
        <v>659.65099999999995</v>
      </c>
      <c r="E19" s="109">
        <f>INDEX('PEC Waste'!$1:$34,MATCH($C$4,'PEC Solid'!$C:$C,0),E$13-2001)</f>
        <v>691.11800000000005</v>
      </c>
      <c r="F19" s="115">
        <f ca="1">INDEX('PEC Waste'!$1:$34,MATCH($C$4,'PEC Solid'!$C:$C,0),F$13-2001)</f>
        <v>664.73561890938822</v>
      </c>
      <c r="G19" s="65">
        <f t="shared" ca="1" si="2"/>
        <v>-3.8173482807005214E-2</v>
      </c>
      <c r="H19" s="65" t="str">
        <f ca="1">INDEX('PEC Waste'!$1:$34,MATCH($C$4,'PEC Solid'!$C:$C,0),ColYearProxy+4)</f>
        <v>Based on MS Stats</v>
      </c>
      <c r="I19" s="53"/>
      <c r="J19" s="105">
        <f t="shared" si="3"/>
        <v>691.11800000000005</v>
      </c>
      <c r="K19" s="62">
        <f t="shared" ca="1" si="4"/>
        <v>664.73561890938822</v>
      </c>
      <c r="L19" s="63">
        <f t="shared" ca="1" si="5"/>
        <v>-3.8173482807005214E-2</v>
      </c>
      <c r="M19" s="72" t="str">
        <f t="shared" ca="1" si="0"/>
        <v/>
      </c>
      <c r="N19" s="53"/>
      <c r="O19" s="91"/>
      <c r="P19" s="43"/>
      <c r="Q19" s="44"/>
      <c r="R19" s="92" t="str">
        <f t="shared" si="1"/>
        <v/>
      </c>
      <c r="S19" s="53"/>
      <c r="T19" s="53"/>
      <c r="U19" s="53"/>
    </row>
    <row r="20" spans="1:21" ht="14">
      <c r="A20" s="53"/>
      <c r="B20" s="64" t="str">
        <f>Index!C23</f>
        <v>PEC Electricity</v>
      </c>
      <c r="C20" s="109">
        <f>INDEX('PEC Electricity'!$1:$34,MATCH($C$4,'PEC Solid'!$C:$C,0),C$13-2001)</f>
        <v>865.13499999999999</v>
      </c>
      <c r="D20" s="109">
        <f>INDEX('PEC Electricity'!$1:$34,MATCH($C$4,'PEC Solid'!$C:$C,0),D$13-2001)</f>
        <v>648.59500000000003</v>
      </c>
      <c r="E20" s="109">
        <f>INDEX('PEC Electricity'!$1:$34,MATCH($C$4,'PEC Solid'!$C:$C,0),E$13-2001)</f>
        <v>748.48099999999999</v>
      </c>
      <c r="F20" s="115">
        <f ca="1">INDEX('PEC Electricity'!$1:$34,MATCH($C$4,'PEC Solid'!$C:$C,0),F$13-2001)</f>
        <v>748.48099999999999</v>
      </c>
      <c r="G20" s="65">
        <f t="shared" ca="1" si="2"/>
        <v>0</v>
      </c>
      <c r="H20" s="65" t="str">
        <f ca="1">INDEX('PEC Electricity'!$1:$34,MATCH($C$4,'PEC Solid'!$C:$C,0),ColYearProxy+4)</f>
        <v>No Change</v>
      </c>
      <c r="I20" s="53"/>
      <c r="J20" s="105">
        <f t="shared" si="3"/>
        <v>748.48099999999999</v>
      </c>
      <c r="K20" s="62">
        <f t="shared" ca="1" si="4"/>
        <v>748.48099999999999</v>
      </c>
      <c r="L20" s="63">
        <f t="shared" ca="1" si="5"/>
        <v>0</v>
      </c>
      <c r="M20" s="72" t="str">
        <f t="shared" ca="1" si="0"/>
        <v/>
      </c>
      <c r="N20" s="53"/>
      <c r="O20" s="91"/>
      <c r="P20" s="43"/>
      <c r="Q20" s="44"/>
      <c r="R20" s="92" t="str">
        <f t="shared" si="1"/>
        <v/>
      </c>
      <c r="S20" s="53"/>
      <c r="T20" s="53"/>
      <c r="U20" s="53"/>
    </row>
    <row r="21" spans="1:21" ht="14">
      <c r="A21" s="53"/>
      <c r="B21" s="64" t="str">
        <f>Index!C24</f>
        <v>PEC RES</v>
      </c>
      <c r="C21" s="109">
        <f>INDEX('PEC RES'!$1:$34,MATCH($C$4,'PEC Solid'!$C:$C,0),C$13-2001)</f>
        <v>9790.2164500811996</v>
      </c>
      <c r="D21" s="109">
        <f>INDEX('PEC RES'!$1:$34,MATCH($C$4,'PEC Solid'!$C:$C,0),D$13-2001)</f>
        <v>10395.863697238899</v>
      </c>
      <c r="E21" s="109">
        <f>INDEX('PEC RES'!$1:$34,MATCH($C$4,'PEC Solid'!$C:$C,0),E$13-2001)</f>
        <v>9801.8576942772397</v>
      </c>
      <c r="F21" s="115">
        <f ca="1">INDEX('PEC RES'!$1:$34,MATCH($C$4,'PEC Solid'!$C:$C,0),F$13-2001)</f>
        <v>10925.272169771273</v>
      </c>
      <c r="G21" s="65">
        <f t="shared" ca="1" si="2"/>
        <v>0.11461240415170817</v>
      </c>
      <c r="H21" s="65" t="str">
        <f ca="1">INDEX('PEC RES'!$1:$34,MATCH($C$4,'PEC Solid'!$C:$C,0),ColYearProxy+4)</f>
        <v>Based on MS Stats</v>
      </c>
      <c r="I21" s="53"/>
      <c r="J21" s="105">
        <f t="shared" si="3"/>
        <v>9801.8576942772397</v>
      </c>
      <c r="K21" s="62">
        <f t="shared" ca="1" si="4"/>
        <v>10925.272169771273</v>
      </c>
      <c r="L21" s="63">
        <f t="shared" ca="1" si="5"/>
        <v>0.11461240415170817</v>
      </c>
      <c r="M21" s="72" t="str">
        <f t="shared" ca="1" si="0"/>
        <v/>
      </c>
      <c r="N21" s="53"/>
      <c r="O21" s="93"/>
      <c r="P21" s="94"/>
      <c r="Q21" s="95"/>
      <c r="R21" s="96" t="str">
        <f t="shared" si="1"/>
        <v/>
      </c>
      <c r="S21" s="53"/>
      <c r="T21" s="53"/>
      <c r="U21" s="53"/>
    </row>
    <row r="22" spans="1:21">
      <c r="A22" s="53"/>
      <c r="B22" s="66" t="str">
        <f>Index!C17</f>
        <v>PEC Fossil</v>
      </c>
      <c r="C22" s="106">
        <f>INDEX('PEC Fossil'!$1:$34,MATCH($C$4,'PEC Solid'!$C:$C,0),C$13-2001)</f>
        <v>20342.362999999998</v>
      </c>
      <c r="D22" s="106">
        <f>INDEX('PEC Fossil'!$1:$34,MATCH($C$4,'PEC Solid'!$C:$C,0),D$13-2001)</f>
        <v>19908.524999999998</v>
      </c>
      <c r="E22" s="106">
        <f>INDEX('PEC Fossil'!$1:$34,MATCH($C$4,'PEC Solid'!$C:$C,0),E$13-2001)</f>
        <v>18914.753000000001</v>
      </c>
      <c r="F22" s="66">
        <f ca="1">INDEX('PEC Fossil'!$1:$34,MATCH($C$4,'PEC Solid'!$C:$C,0),F$13-2001)</f>
        <v>18052.237328724237</v>
      </c>
      <c r="G22" s="67">
        <f ca="1">IFERROR(F22/E22-1,0)</f>
        <v>-4.5600155142166754E-2</v>
      </c>
      <c r="H22" s="67"/>
      <c r="I22" s="53"/>
      <c r="J22" s="106">
        <f>SUM(J15:J17)</f>
        <v>18914.753000000001</v>
      </c>
      <c r="K22" s="66">
        <f ca="1">SUM(K15:K17)</f>
        <v>18052.237328724237</v>
      </c>
      <c r="L22" s="67">
        <f ca="1">IFERROR(K22/J22-1,0)</f>
        <v>-4.5600155142166754E-2</v>
      </c>
      <c r="M22" s="73" t="str">
        <f t="shared" ca="1" si="0"/>
        <v/>
      </c>
      <c r="N22" s="53"/>
      <c r="O22" s="53"/>
      <c r="P22" s="53"/>
      <c r="Q22" s="57"/>
      <c r="R22" s="58"/>
      <c r="S22" s="53"/>
      <c r="T22" s="53"/>
      <c r="U22" s="53"/>
    </row>
    <row r="23" spans="1:21">
      <c r="A23" s="53"/>
      <c r="B23" s="68" t="str">
        <f>Index!C16</f>
        <v>PEC Total</v>
      </c>
      <c r="C23" s="107">
        <f>INDEX('PEC Total'!$1:$34,MATCH($C$4,'PEC Solid'!$C:$C,0),C$13-2001)</f>
        <v>31664.065450081194</v>
      </c>
      <c r="D23" s="107">
        <f>INDEX('PEC Total'!$1:$34,MATCH($C$4,'PEC Solid'!$C:$C,0),D$13-2001)</f>
        <v>31612.6346972389</v>
      </c>
      <c r="E23" s="107">
        <f>INDEX('PEC Total'!$1:$34,MATCH($C$4,'PEC Solid'!$C:$C,0),E$13-2001)</f>
        <v>30156.20969427724</v>
      </c>
      <c r="F23" s="68">
        <f ca="1">INDEX('PEC Total'!$1:$34,MATCH($C$4,'PEC Solid'!$C:$C,0),F$13-2001)</f>
        <v>30390.726117404898</v>
      </c>
      <c r="G23" s="113">
        <f ca="1">IFERROR(F23/E23-1,0)</f>
        <v>7.7767207983090447E-3</v>
      </c>
      <c r="H23" s="69"/>
      <c r="I23" s="53"/>
      <c r="J23" s="107">
        <f>SUM(J15:J21)</f>
        <v>30156.20969427724</v>
      </c>
      <c r="K23" s="68">
        <f ca="1">SUM(K15:K21)</f>
        <v>30390.726117404898</v>
      </c>
      <c r="L23" s="69">
        <f ca="1">IFERROR(K23/J23-1,0)</f>
        <v>7.7767207983090447E-3</v>
      </c>
      <c r="M23" s="74" t="str">
        <f t="shared" ca="1" si="0"/>
        <v/>
      </c>
      <c r="N23" s="53"/>
      <c r="O23" s="53"/>
      <c r="P23" s="53"/>
      <c r="Q23" s="57"/>
      <c r="R23" s="58"/>
      <c r="S23" s="53"/>
      <c r="T23" s="53"/>
      <c r="U23" s="53"/>
    </row>
    <row r="24" spans="1:21">
      <c r="A24" s="53"/>
      <c r="B24" s="53"/>
      <c r="C24" s="53"/>
      <c r="D24" s="53"/>
      <c r="E24" s="108"/>
      <c r="F24" s="53"/>
      <c r="G24" s="53"/>
      <c r="H24" s="53"/>
      <c r="I24" s="53"/>
      <c r="J24" s="108"/>
      <c r="K24" s="53"/>
      <c r="L24" s="53"/>
      <c r="M24" s="53"/>
      <c r="N24" s="53"/>
      <c r="O24" s="53"/>
      <c r="P24" s="53"/>
      <c r="Q24" s="59"/>
      <c r="R24" s="58"/>
      <c r="S24" s="53"/>
      <c r="T24" s="53"/>
      <c r="U24" s="53"/>
    </row>
    <row r="25" spans="1:21" ht="14">
      <c r="A25" s="53"/>
      <c r="B25" s="61" t="str">
        <f>Index!C27</f>
        <v>FEC Industry</v>
      </c>
      <c r="C25" s="105">
        <f>INDEX('FEC Industry'!$1:$34,MATCH($C$4,'PEC Solid'!$C:$C,0),C$13-2001)</f>
        <v>7363.8969999999999</v>
      </c>
      <c r="D25" s="105">
        <f>INDEX('FEC Industry'!$1:$34,MATCH($C$4,'PEC Solid'!$C:$C,0),D$13-2001)</f>
        <v>7540.0479999999998</v>
      </c>
      <c r="E25" s="105">
        <f>INDEX('FEC Industry'!$1:$34,MATCH($C$4,'PEC Solid'!$C:$C,0),E$13-2001)</f>
        <v>7619.808</v>
      </c>
      <c r="F25" s="62">
        <f ca="1">INDEX('FEC Industry'!$1:$34,MATCH($C$4,'PEC Solid'!$C:$C,0),F$13-2001)</f>
        <v>7227.5408637137552</v>
      </c>
      <c r="G25" s="63">
        <f t="shared" ref="G25:G28" ca="1" si="6">IFERROR(F25/E25-1,0)</f>
        <v>-5.1479923941160299E-2</v>
      </c>
      <c r="H25" s="63" t="str">
        <f ca="1">INDEX('FEC Industry'!$1:$34,MATCH($C$4,'PEC Solid'!$C:$C,0),ColYearProxy+4)</f>
        <v>Based on MS Stats</v>
      </c>
      <c r="I25" s="53"/>
      <c r="J25" s="105">
        <f t="shared" ref="J25" si="7">E25</f>
        <v>7619.808</v>
      </c>
      <c r="K25" s="62">
        <f t="shared" ref="K25:K28" ca="1" si="8">(1+L25)*J25</f>
        <v>7227.5408637137552</v>
      </c>
      <c r="L25" s="63">
        <f ca="1">IF(OR(AND(ISNUMBER(O25),ISNUMBER(P25),ISBLANK(Q25)),R25="absolute value will be used"),IFERROR(P25/O25-1,0),IF(ISNUMBER(Q25),Q25,G25))</f>
        <v>-5.1479923941160299E-2</v>
      </c>
      <c r="M25" s="72" t="str">
        <f ca="1">IF(K25=F25,"","changed")</f>
        <v/>
      </c>
      <c r="N25" s="53"/>
      <c r="O25" s="97"/>
      <c r="P25" s="98"/>
      <c r="Q25" s="99"/>
      <c r="R25" s="100" t="str">
        <f>IF(AND(ISNUMBER(O25),ISBLANK(P25),ISBLANK(Q25)),"not enough info",IF(AND(ISBLANK(O25),ISNUMBER(P25),ISBLANK(Q25)),"please insert also value for year x-1",IF(OR(AND(ISNUMBER(O25),ISNUMBER(P25),O25&lt;&gt;E25),AND(ISBLANK(O25),ISNUMBER(P25),ISNUMBER(Q25))),"percentage change will be used",IF(AND(ISNUMBER(O25),ISNUMBER(P25),ISNUMBER(Q25)),"absolute value will be used",""))))</f>
        <v/>
      </c>
      <c r="S25" s="53"/>
      <c r="T25" s="53"/>
      <c r="U25" s="53"/>
    </row>
    <row r="26" spans="1:21" ht="14">
      <c r="A26" s="53"/>
      <c r="B26" s="61" t="str">
        <f>Index!C29</f>
        <v>FEC Other</v>
      </c>
      <c r="C26" s="105">
        <f>INDEX('FEC Other'!$1:$34,MATCH($C$4,'PEC Solid'!$C:$C,0),C$13-2001)</f>
        <v>10977.0154500812</v>
      </c>
      <c r="D26" s="105">
        <f>INDEX('FEC Other'!$1:$34,MATCH($C$4,'PEC Solid'!$C:$C,0),D$13-2001)</f>
        <v>11987.685821056601</v>
      </c>
      <c r="E26" s="105">
        <f>INDEX('FEC Other'!$1:$34,MATCH($C$4,'PEC Solid'!$C:$C,0),E$13-2001)</f>
        <v>10583.402493073499</v>
      </c>
      <c r="F26" s="62">
        <f ca="1">INDEX('FEC Other'!$1:$34,MATCH($C$4,'PEC Solid'!$C:$C,0),F$13-2001)</f>
        <v>9966.8852870742539</v>
      </c>
      <c r="G26" s="63">
        <f t="shared" ca="1" si="6"/>
        <v>-5.825321359579172E-2</v>
      </c>
      <c r="H26" s="63" t="str">
        <f ca="1">INDEX('FEC Other'!$1:$34,MATCH($C$4,'PEC Solid'!$C:$C,0),ColYearProxy+4)</f>
        <v>Based on MS Stats</v>
      </c>
      <c r="I26" s="53"/>
      <c r="J26" s="105">
        <f>E26</f>
        <v>10583.402493073499</v>
      </c>
      <c r="K26" s="62">
        <f t="shared" ca="1" si="8"/>
        <v>9966.8852870742539</v>
      </c>
      <c r="L26" s="63">
        <f t="shared" ref="L26:L28" ca="1" si="9">IF(OR(AND(ISNUMBER(O26),ISNUMBER(P26),ISBLANK(Q26)),R26="absolute value will be used"),IFERROR(P26/O26-1,0),IF(ISNUMBER(Q26),Q26,G26))</f>
        <v>-5.825321359579172E-2</v>
      </c>
      <c r="M26" s="72" t="str">
        <f t="shared" ref="M26:M30" ca="1" si="10">IF(K26=F26,"","changed")</f>
        <v/>
      </c>
      <c r="N26" s="53"/>
      <c r="O26" s="91"/>
      <c r="P26" s="43"/>
      <c r="Q26" s="44"/>
      <c r="R26" s="92" t="str">
        <f>IF(AND(ISNUMBER(O26),ISBLANK(P26),ISBLANK(Q26)),"not enough info",IF(AND(ISBLANK(O26),ISNUMBER(P26),ISBLANK(Q26)),"please insert also value for year x-1",IF(OR(AND(ISNUMBER(O26),ISNUMBER(P26),O26&lt;&gt;E26),AND(ISBLANK(O26),ISNUMBER(P26),ISNUMBER(Q26))),"percentage change will be used",IF(AND(ISNUMBER(O26),ISNUMBER(P26),ISNUMBER(Q26)),"absolute value will be used",""))))</f>
        <v/>
      </c>
      <c r="S26" s="53"/>
      <c r="T26" s="53"/>
      <c r="U26" s="53"/>
    </row>
    <row r="27" spans="1:21" ht="14">
      <c r="A27" s="53"/>
      <c r="B27" s="61" t="str">
        <f>Index!C30</f>
        <v>FEC Transport foss</v>
      </c>
      <c r="C27" s="105">
        <f>INDEX('FEC Transport foss'!$1:$34,MATCH($C$4,'PEC Solid'!$C:$C,0),C$13-2001)</f>
        <v>8509.4840000000004</v>
      </c>
      <c r="D27" s="105">
        <f>INDEX('FEC Transport foss'!$1:$34,MATCH($C$4,'PEC Solid'!$C:$C,0),D$13-2001)</f>
        <v>7960.1710000000003</v>
      </c>
      <c r="E27" s="105">
        <f>INDEX('FEC Transport foss'!$1:$34,MATCH($C$4,'PEC Solid'!$C:$C,0),E$13-2001)</f>
        <v>7733.3519999999999</v>
      </c>
      <c r="F27" s="62">
        <f ca="1">INDEX('FEC Transport foss'!$1:$34,MATCH($C$4,'PEC Solid'!$C:$C,0),F$13-2001)</f>
        <v>7727.1623681365791</v>
      </c>
      <c r="G27" s="63">
        <f t="shared" ca="1" si="6"/>
        <v>-8.0038149865946373E-4</v>
      </c>
      <c r="H27" s="63" t="str">
        <f ca="1">INDEX('FEC Transport foss'!$1:$34,MATCH($C$4,'PEC Solid'!$C:$C,0),ColYearProxy+4)</f>
        <v>Based on MS Stats</v>
      </c>
      <c r="I27" s="53"/>
      <c r="J27" s="105">
        <f>E27</f>
        <v>7733.3519999999999</v>
      </c>
      <c r="K27" s="62">
        <f t="shared" ca="1" si="8"/>
        <v>7727.1623681365791</v>
      </c>
      <c r="L27" s="63">
        <f t="shared" ca="1" si="9"/>
        <v>-8.0038149865946373E-4</v>
      </c>
      <c r="M27" s="72" t="str">
        <f t="shared" ca="1" si="10"/>
        <v/>
      </c>
      <c r="N27" s="53"/>
      <c r="O27" s="91"/>
      <c r="P27" s="43"/>
      <c r="Q27" s="44"/>
      <c r="R27" s="92" t="str">
        <f>IF(AND(ISNUMBER(O27),ISBLANK(P27),ISBLANK(Q27)),"not enough info",IF(AND(ISBLANK(O27),ISNUMBER(P27),ISBLANK(Q27)),"please insert also value for year x-1",IF(OR(AND(ISNUMBER(O27),ISNUMBER(P27),O27&lt;&gt;E27),AND(ISBLANK(O27),ISNUMBER(P27),ISNUMBER(Q27))),"percentage change will be used",IF(AND(ISNUMBER(O27),ISNUMBER(P27),ISNUMBER(Q27)),"absolute value will be used",""))))</f>
        <v/>
      </c>
      <c r="S27" s="53"/>
      <c r="T27" s="53"/>
      <c r="U27" s="53"/>
    </row>
    <row r="28" spans="1:21" ht="14">
      <c r="A28" s="53"/>
      <c r="B28" s="61" t="str">
        <f>Index!C31</f>
        <v>FEC Transport RES</v>
      </c>
      <c r="C28" s="105">
        <f>INDEX('FEC Transport RES'!$1:$34,MATCH($C$4,'PEC Solid'!$C:$C,0),C$13-2001)</f>
        <v>653.56899999999996</v>
      </c>
      <c r="D28" s="105">
        <f>INDEX('FEC Transport RES'!$1:$34,MATCH($C$4,'PEC Solid'!$C:$C,0),D$13-2001)</f>
        <v>422.01900000000001</v>
      </c>
      <c r="E28" s="105">
        <f>INDEX('FEC Transport RES'!$1:$34,MATCH($C$4,'PEC Solid'!$C:$C,0),E$13-2001)</f>
        <v>403.12799999999999</v>
      </c>
      <c r="F28" s="62">
        <f ca="1">INDEX('FEC Transport RES'!$1:$34,MATCH($C$4,'PEC Solid'!$C:$C,0),F$13-2001)</f>
        <v>405.21432333689279</v>
      </c>
      <c r="G28" s="63">
        <f t="shared" ca="1" si="6"/>
        <v>5.1753372052867341E-3</v>
      </c>
      <c r="H28" s="63" t="str">
        <f ca="1">INDEX('FEC Transport RES'!$1:$34,MATCH($C$4,'PEC Solid'!$C:$C,0),ColYearProxy+4)</f>
        <v>RES Proxy</v>
      </c>
      <c r="I28" s="53"/>
      <c r="J28" s="105">
        <f>E28</f>
        <v>403.12799999999999</v>
      </c>
      <c r="K28" s="62">
        <f t="shared" ca="1" si="8"/>
        <v>405.21432333689279</v>
      </c>
      <c r="L28" s="63">
        <f t="shared" ca="1" si="9"/>
        <v>5.1753372052867341E-3</v>
      </c>
      <c r="M28" s="72" t="str">
        <f t="shared" ca="1" si="10"/>
        <v/>
      </c>
      <c r="N28" s="53"/>
      <c r="O28" s="93"/>
      <c r="P28" s="94"/>
      <c r="Q28" s="95"/>
      <c r="R28" s="96" t="str">
        <f>IF(AND(ISNUMBER(O28),ISBLANK(P28),ISBLANK(Q28)),"not enough info",IF(AND(ISBLANK(O28),ISNUMBER(P28),ISBLANK(Q28)),"please insert also value for year x-1",IF(OR(AND(ISNUMBER(O28),ISNUMBER(P28),O28&lt;&gt;E28),AND(ISBLANK(O28),ISNUMBER(P28),ISNUMBER(Q28))),"percentage change will be used",IF(AND(ISNUMBER(O28),ISNUMBER(P28),ISNUMBER(Q28)),"absolute value will be used",""))))</f>
        <v/>
      </c>
      <c r="S28" s="53"/>
      <c r="T28" s="53"/>
      <c r="U28" s="53"/>
    </row>
    <row r="29" spans="1:21">
      <c r="A29" s="53"/>
      <c r="B29" s="70" t="str">
        <f>Index!C28</f>
        <v>FEC Transport</v>
      </c>
      <c r="C29" s="106">
        <f>INDEX('FEC Transport'!$1:$34,MATCH($C$4,'PEC Solid'!$C:$C,0),C$13-2001)</f>
        <v>9163.0529999999999</v>
      </c>
      <c r="D29" s="106">
        <f>INDEX('FEC Transport'!$1:$34,MATCH($C$4,'PEC Solid'!$C:$C,0),D$13-2001)</f>
        <v>8382.19</v>
      </c>
      <c r="E29" s="106">
        <f>INDEX('FEC Transport'!$1:$34,MATCH($C$4,'PEC Solid'!$C:$C,0),E$13-2001)</f>
        <v>8136.48</v>
      </c>
      <c r="F29" s="66">
        <f ca="1">INDEX('FEC Transport'!$1:$34,MATCH($C$4,'PEC Solid'!$C:$C,0),F$13-2001)</f>
        <v>8132.3766914734715</v>
      </c>
      <c r="G29" s="67">
        <f ca="1">IFERROR(F29/E29-1,0)</f>
        <v>-5.0431003659179297E-4</v>
      </c>
      <c r="H29" s="67"/>
      <c r="I29" s="53"/>
      <c r="J29" s="106">
        <f>SUM(J27:J28)</f>
        <v>8136.48</v>
      </c>
      <c r="K29" s="66">
        <f ca="1">SUM(K27:K28)</f>
        <v>8132.3766914734715</v>
      </c>
      <c r="L29" s="67">
        <f ca="1">IFERROR(K29/J29-1,0)</f>
        <v>-5.0431003659179297E-4</v>
      </c>
      <c r="M29" s="75" t="str">
        <f t="shared" ca="1" si="10"/>
        <v/>
      </c>
      <c r="N29" s="53"/>
      <c r="O29" s="53"/>
      <c r="P29" s="53"/>
      <c r="Q29" s="59"/>
      <c r="R29" s="53"/>
      <c r="S29" s="53"/>
      <c r="T29" s="53"/>
      <c r="U29" s="53"/>
    </row>
    <row r="30" spans="1:21">
      <c r="A30" s="53"/>
      <c r="B30" s="71" t="str">
        <f>Index!C26</f>
        <v>FEC Total</v>
      </c>
      <c r="C30" s="107">
        <f>INDEX('FEC Total'!$1:$34,MATCH($C$4,'PEC Solid'!$C:$C,0),C$13-2001)</f>
        <v>27503.965450081203</v>
      </c>
      <c r="D30" s="107">
        <f>INDEX('FEC Total'!$1:$34,MATCH($C$4,'PEC Solid'!$C:$C,0),D$13-2001)</f>
        <v>27909.923821056604</v>
      </c>
      <c r="E30" s="107">
        <f>INDEX('FEC Total'!$1:$34,MATCH($C$4,'PEC Solid'!$C:$C,0),E$13-2001)</f>
        <v>26339.6904930735</v>
      </c>
      <c r="F30" s="68">
        <f ca="1">INDEX('FEC Total'!$1:$34,MATCH($C$4,'PEC Solid'!$C:$C,0),F$13-2001)</f>
        <v>25326.802842261481</v>
      </c>
      <c r="G30" s="69">
        <f ca="1">IFERROR(F30/E30-1,0)</f>
        <v>-3.8454804587714331E-2</v>
      </c>
      <c r="H30" s="69"/>
      <c r="I30" s="53"/>
      <c r="J30" s="107">
        <f>SUM(J25:J28)</f>
        <v>26339.6904930735</v>
      </c>
      <c r="K30" s="68">
        <f ca="1">SUM(K25:K28)</f>
        <v>25326.802842261477</v>
      </c>
      <c r="L30" s="69">
        <f t="shared" ref="L30:L31" ca="1" si="11">IFERROR(K30/J30-1,0)</f>
        <v>-3.8454804587714553E-2</v>
      </c>
      <c r="M30" s="76" t="str">
        <f t="shared" ca="1" si="10"/>
        <v/>
      </c>
      <c r="N30" s="53"/>
      <c r="O30" s="60"/>
      <c r="P30" s="53"/>
      <c r="Q30" s="59"/>
      <c r="R30" s="53"/>
      <c r="S30" s="53"/>
      <c r="T30" s="53"/>
      <c r="U30" s="53"/>
    </row>
    <row r="31" spans="1:21">
      <c r="A31" s="53"/>
      <c r="B31" s="70" t="str">
        <f>Index!C25</f>
        <v>GFEC Total</v>
      </c>
      <c r="C31" s="106">
        <f>INDEX('GFEC Total'!$1:$34,MATCH($C$4,'PEC Solid'!$C:$C,0),C$13-2001)</f>
        <v>28115.041756049119</v>
      </c>
      <c r="D31" s="106">
        <f>INDEX('GFEC Total'!$1:$34,MATCH($C$4,'PEC Solid'!$C:$C,0),D$13-2001)</f>
        <v>28530.019609766478</v>
      </c>
      <c r="E31" s="106">
        <f>INDEX('GFEC Total'!$1:$34,MATCH($C$4,'PEC Solid'!$C:$C,0),E$13-2001)</f>
        <v>26924.899225830908</v>
      </c>
      <c r="F31" s="66">
        <f ca="1">INDEX('GFEC Total'!$1:$34,MATCH($C$4,'PEC Solid'!$C:$C,0),F$13-2001)</f>
        <v>25889.507487557679</v>
      </c>
      <c r="G31" s="114">
        <f ca="1">IFERROR(F31/E31-1,0)</f>
        <v>-3.8454804587714331E-2</v>
      </c>
      <c r="H31" s="67"/>
      <c r="I31" s="53"/>
      <c r="J31" s="106">
        <f>E31</f>
        <v>26924.899225830908</v>
      </c>
      <c r="K31" s="66">
        <f ca="1">K30*J31/J30</f>
        <v>25889.507487557676</v>
      </c>
      <c r="L31" s="67">
        <f t="shared" ca="1" si="11"/>
        <v>-3.8454804587714442E-2</v>
      </c>
      <c r="M31" s="77" t="str">
        <f ca="1">IF(K31=F31,"","changed")</f>
        <v/>
      </c>
      <c r="N31" s="53"/>
      <c r="O31" s="60"/>
      <c r="P31" s="53"/>
      <c r="Q31" s="59"/>
      <c r="R31" s="53"/>
      <c r="S31" s="53"/>
      <c r="T31" s="53"/>
      <c r="U31" s="53"/>
    </row>
    <row r="32" spans="1:21">
      <c r="A32" s="53"/>
      <c r="B32" s="111" t="s">
        <v>17</v>
      </c>
      <c r="C32" s="111"/>
      <c r="D32" s="111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60"/>
      <c r="P32" s="53"/>
      <c r="Q32" s="53"/>
      <c r="R32" s="53"/>
      <c r="S32" s="53"/>
      <c r="T32" s="53"/>
      <c r="U32" s="53"/>
    </row>
    <row r="33" spans="1:2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60"/>
      <c r="P33" s="53"/>
      <c r="Q33" s="53"/>
      <c r="R33" s="53"/>
      <c r="S33" s="53"/>
      <c r="T33" s="53"/>
      <c r="U33" s="53"/>
    </row>
    <row r="34" spans="1:23">
      <c r="A34" s="53"/>
      <c r="B34" s="102" t="str">
        <f>IF(ISNUMBER(MATCH($C$4,'MS Stats list'!$B$3:$B$19,0)),"NOTE: Some of the 2019 proxies for "&amp;INDEX('MS Stats list'!$A$3:$A$19,MATCH('MS Input'!$C$4,'MS Stats list'!$B$3:$B$19,0))&amp;" have been based on Official Statistics from:","")</f>
        <v>NOTE: Some of the 2019 proxies for Austria have been based on Official Statistics from:</v>
      </c>
      <c r="C34" s="102"/>
      <c r="D34" s="102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</row>
    <row r="35" spans="1:23" ht="17" customHeight="1">
      <c r="A35" s="53"/>
      <c r="B35" s="53">
        <f>IF(ISNUMBER(MATCH($C$4,'MS Stats list'!$B$3:$B$19,0)), VLOOKUP('MS Input'!$C$4,'MS Stats list'!$B$3:$R$19,14,FALSE), "")</f>
        <v>0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</row>
    <row r="36" spans="1:23">
      <c r="A36" s="53"/>
      <c r="B36" s="53" t="str">
        <f>IF(ISNUMBER(MATCH($C$4,'MS Stats list'!$B$3:$B$19,0)), VLOOKUP('MS Input'!$C$4,'MS Stats list'!$B$3:$R$19,15,FALSE), "")</f>
        <v>Statistics Austria - Preliminary energy balance 2022</v>
      </c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</row>
    <row r="37" spans="1:23" ht="18.5" customHeight="1">
      <c r="A37" s="53"/>
      <c r="B37" s="103" t="str">
        <f>IF(ISNUMBER(MATCH($C$4,'MS Stats list'!$B$3:$B$19,0)), "The percentage difference between 2018 and 2019 has been calculated for the relevant categories and applied to Eurostat 2018 values. As a result, the absolute values for 2019 proxies might differ from the national statistics.", "")</f>
        <v>The percentage difference between 2018 and 2019 has been calculated for the relevant categories and applied to Eurostat 2018 values. As a result, the absolute values for 2019 proxies might differ from the national statistics.</v>
      </c>
      <c r="C37" s="103"/>
      <c r="D37" s="10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</row>
    <row r="38" spans="1:23">
      <c r="A38" s="53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</row>
    <row r="39" spans="1:23">
      <c r="A39" s="53"/>
      <c r="B39" s="110" t="s">
        <v>18</v>
      </c>
      <c r="C39" s="110"/>
      <c r="D39" s="110"/>
      <c r="E39" s="101" t="s">
        <v>19</v>
      </c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</row>
    <row r="40" spans="1:23">
      <c r="A40" s="53"/>
      <c r="B40" s="86"/>
      <c r="C40" s="86"/>
      <c r="D40" s="86"/>
      <c r="E40" s="101" t="s">
        <v>20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</row>
    <row r="41" spans="1:23">
      <c r="A41" s="53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</row>
    <row r="42" spans="1:23">
      <c r="A42" s="53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</row>
    <row r="43" spans="1:23">
      <c r="A43" s="53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</row>
    <row r="44" spans="1:23">
      <c r="A44" s="53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</row>
    <row r="45" spans="1:23"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</row>
    <row r="46" spans="1:23">
      <c r="A46" s="53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</row>
    <row r="47" spans="1:23">
      <c r="A47" s="53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</row>
  </sheetData>
  <protectedRanges>
    <protectedRange sqref="O25:Q28" name="FEC"/>
    <protectedRange sqref="O15:Q21" name="PEC"/>
  </protectedRanges>
  <mergeCells count="13">
    <mergeCell ref="J11:M12"/>
    <mergeCell ref="O11:R12"/>
    <mergeCell ref="G13:G14"/>
    <mergeCell ref="H13:H14"/>
    <mergeCell ref="J13:J14"/>
    <mergeCell ref="K13:K14"/>
    <mergeCell ref="L13:L14"/>
    <mergeCell ref="M13:M14"/>
    <mergeCell ref="O13:O14"/>
    <mergeCell ref="P13:P14"/>
    <mergeCell ref="Q13:Q14"/>
    <mergeCell ref="R13:R14"/>
    <mergeCell ref="C11:H12"/>
  </mergeCells>
  <conditionalFormatting sqref="J23">
    <cfRule type="expression" dxfId="22" priority="2">
      <formula>"$N$7&lt;&gt;$E$7"</formula>
    </cfRule>
  </conditionalFormatting>
  <conditionalFormatting sqref="M15:M23 M25:M31">
    <cfRule type="containsText" dxfId="21" priority="1" operator="containsText" text="changed">
      <formula>NOT(ISERROR(SEARCH("changed",M15)))</formula>
    </cfRule>
  </conditionalFormatting>
  <conditionalFormatting sqref="R15:R28">
    <cfRule type="containsText" dxfId="20" priority="3" operator="containsText" text="absolute">
      <formula>NOT(ISERROR(SEARCH("absolute",R15)))</formula>
    </cfRule>
    <cfRule type="containsText" dxfId="19" priority="4" operator="containsText" text="change">
      <formula>NOT(ISERROR(SEARCH("change",R15)))</formula>
    </cfRule>
    <cfRule type="containsText" dxfId="18" priority="5" operator="containsText" text="not">
      <formula>NOT(ISERROR(SEARCH("not",R15)))</formula>
    </cfRule>
    <cfRule type="containsText" dxfId="17" priority="6" operator="containsText" text="insert">
      <formula>NOT(ISERROR(SEARCH("insert",R15)))</formula>
    </cfRule>
  </conditionalFormatting>
  <hyperlinks>
    <hyperlink ref="E39" r:id="rId1" xr:uid="{00000000-0004-0000-0000-000000000000}"/>
    <hyperlink ref="E40" r:id="rId2" xr:uid="{00000000-0004-0000-0000-000001000000}"/>
  </hyperlinks>
  <pageMargins left="0.7" right="0.7" top="0.78740157499999996" bottom="0.78740157499999996" header="0.3" footer="0.3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'PEC Solid'!$C$7:$C$34</xm:f>
          </x14:formula1>
          <xm:sqref>C4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AN76"/>
  <sheetViews>
    <sheetView zoomScale="85" zoomScaleNormal="85" workbookViewId="0">
      <pane xSplit="3" ySplit="6" topLeftCell="D7" activePane="bottomRight" state="frozen"/>
      <selection pane="topRight" activeCell="AI47" sqref="AI47"/>
      <selection pane="bottomLeft" activeCell="AI47" sqref="AI47"/>
      <selection pane="bottomRight" activeCell="V6" sqref="V6:V36"/>
    </sheetView>
  </sheetViews>
  <sheetFormatPr baseColWidth="10" defaultColWidth="11.5" defaultRowHeight="13"/>
  <cols>
    <col min="1" max="1" width="13.5" customWidth="1"/>
    <col min="27" max="27" width="10.5" customWidth="1"/>
  </cols>
  <sheetData>
    <row r="1" spans="1:40">
      <c r="A1" t="s">
        <v>48</v>
      </c>
    </row>
    <row r="3" spans="1:40">
      <c r="AH3" t="s">
        <v>192</v>
      </c>
      <c r="AI3" s="18">
        <v>1</v>
      </c>
      <c r="AK3" t="s">
        <v>193</v>
      </c>
    </row>
    <row r="4" spans="1:40" ht="14">
      <c r="AA4">
        <v>1</v>
      </c>
      <c r="AB4">
        <v>2</v>
      </c>
      <c r="AC4">
        <v>3</v>
      </c>
      <c r="AD4">
        <v>4</v>
      </c>
      <c r="AE4">
        <v>5</v>
      </c>
      <c r="AF4">
        <v>6</v>
      </c>
      <c r="AI4" s="36"/>
      <c r="AJ4" s="37" t="s">
        <v>194</v>
      </c>
      <c r="AK4" s="10">
        <v>5</v>
      </c>
      <c r="AL4" s="10">
        <v>5</v>
      </c>
    </row>
    <row r="5" spans="1:40">
      <c r="A5" t="s">
        <v>195</v>
      </c>
      <c r="D5" t="s">
        <v>173</v>
      </c>
      <c r="AA5" t="s">
        <v>196</v>
      </c>
      <c r="AB5" t="s">
        <v>197</v>
      </c>
      <c r="AC5" t="s">
        <v>198</v>
      </c>
      <c r="AD5" t="str">
        <f>AD40</f>
        <v>5yr mean chg</v>
      </c>
      <c r="AE5" t="s">
        <v>199</v>
      </c>
      <c r="AF5" t="s">
        <v>200</v>
      </c>
      <c r="AG5" t="s">
        <v>201</v>
      </c>
      <c r="AI5" s="146" t="s">
        <v>202</v>
      </c>
      <c r="AJ5" s="37" t="s">
        <v>203</v>
      </c>
      <c r="AK5" s="21">
        <v>0.9</v>
      </c>
      <c r="AL5" s="35">
        <v>0.05</v>
      </c>
      <c r="AN5" t="s">
        <v>204</v>
      </c>
    </row>
    <row r="6" spans="1:40">
      <c r="B6" t="s">
        <v>175</v>
      </c>
      <c r="C6" t="s">
        <v>176</v>
      </c>
      <c r="D6" s="1">
        <f>'PEC Total'!D6</f>
        <v>2005</v>
      </c>
      <c r="E6" s="1">
        <f>'PEC Total'!E6</f>
        <v>2006</v>
      </c>
      <c r="F6" s="1">
        <f>'PEC Total'!F6</f>
        <v>2007</v>
      </c>
      <c r="G6" s="1">
        <f>'PEC Total'!G6</f>
        <v>2008</v>
      </c>
      <c r="H6" s="1">
        <f>'PEC Total'!H6</f>
        <v>2009</v>
      </c>
      <c r="I6" s="1">
        <f>'PEC Total'!I6</f>
        <v>2010</v>
      </c>
      <c r="J6" s="1">
        <f>'PEC Total'!J6</f>
        <v>2011</v>
      </c>
      <c r="K6" s="1">
        <f>'PEC Total'!K6</f>
        <v>2012</v>
      </c>
      <c r="L6" s="1">
        <f>'PEC Total'!L6</f>
        <v>2013</v>
      </c>
      <c r="M6" s="1">
        <f>'PEC Total'!M6</f>
        <v>2014</v>
      </c>
      <c r="N6" s="1">
        <f>'PEC Total'!N6</f>
        <v>2015</v>
      </c>
      <c r="O6" s="1">
        <f>'PEC Total'!O6</f>
        <v>2016</v>
      </c>
      <c r="P6" s="1">
        <f>'PEC Total'!P6</f>
        <v>2017</v>
      </c>
      <c r="Q6" s="1">
        <f>'PEC Total'!Q6</f>
        <v>2018</v>
      </c>
      <c r="R6" s="1">
        <f>'PEC Total'!R6</f>
        <v>2019</v>
      </c>
      <c r="S6" s="1">
        <f>'PEC Total'!S6</f>
        <v>2020</v>
      </c>
      <c r="T6" s="1">
        <f>'PEC Total'!T6</f>
        <v>2021</v>
      </c>
      <c r="U6" s="1">
        <f>'PEC Total'!U6</f>
        <v>2022</v>
      </c>
      <c r="V6" s="2">
        <f>YearProxy</f>
        <v>2023</v>
      </c>
      <c r="W6" s="21" t="s">
        <v>205</v>
      </c>
      <c r="AA6" s="2">
        <f>YearProxy</f>
        <v>2023</v>
      </c>
      <c r="AB6" s="2">
        <f>AA6</f>
        <v>2023</v>
      </c>
      <c r="AC6" s="2">
        <f t="shared" ref="AC6:AE6" si="0">AB6</f>
        <v>2023</v>
      </c>
      <c r="AD6" s="2">
        <f t="shared" si="0"/>
        <v>2023</v>
      </c>
      <c r="AE6" s="2">
        <f t="shared" si="0"/>
        <v>2023</v>
      </c>
      <c r="AF6" s="2">
        <f>AA6</f>
        <v>2023</v>
      </c>
      <c r="AG6" s="6"/>
      <c r="AI6" s="146"/>
      <c r="AK6" s="6" t="s">
        <v>199</v>
      </c>
      <c r="AL6" s="6" t="s">
        <v>206</v>
      </c>
    </row>
    <row r="7" spans="1:40">
      <c r="A7">
        <v>2</v>
      </c>
      <c r="B7" t="s">
        <v>106</v>
      </c>
      <c r="C7" t="s">
        <v>106</v>
      </c>
      <c r="D7" s="3">
        <v>13181</v>
      </c>
      <c r="E7" s="3">
        <v>12742.922</v>
      </c>
      <c r="F7" s="3">
        <v>12300.249</v>
      </c>
      <c r="G7" s="3">
        <v>11971.199000000001</v>
      </c>
      <c r="H7" s="3">
        <v>11143.874</v>
      </c>
      <c r="I7" s="3">
        <v>11601.279</v>
      </c>
      <c r="J7" s="3">
        <v>10914.888000000001</v>
      </c>
      <c r="K7" s="3">
        <v>10460.945</v>
      </c>
      <c r="L7" s="3">
        <v>10752.21</v>
      </c>
      <c r="M7" s="3">
        <v>10392.584999999999</v>
      </c>
      <c r="N7" s="3">
        <v>10561.612999999999</v>
      </c>
      <c r="O7" s="3">
        <v>10753.028</v>
      </c>
      <c r="P7" s="3">
        <v>10974.093999999999</v>
      </c>
      <c r="Q7" s="3">
        <v>10931.789000000001</v>
      </c>
      <c r="R7" s="3">
        <v>11140.467000000001</v>
      </c>
      <c r="S7" s="3">
        <v>9471.268</v>
      </c>
      <c r="T7" s="3">
        <v>9989.8439999999991</v>
      </c>
      <c r="U7" s="3">
        <v>9920.2099999999991</v>
      </c>
      <c r="V7" s="3">
        <f ca="1">INDEX($AA7:$AH7,1,W7)</f>
        <v>10033.69644860114</v>
      </c>
      <c r="W7" s="16">
        <f ca="1">IF(ISNUMBER(AF7),6,IF(ISNUMBER(AG7),AG7,IF(AI7&gt;0,AI7,IF(AND(AK7&gt;$AK$5,AE7&gt;0),5,IF(AND(AL7&lt;&gt;0,AL7&lt;$AL$5),4,1)))))</f>
        <v>6</v>
      </c>
      <c r="X7" t="str">
        <f ca="1">INDEX($AA$5:$AI$5,W7)</f>
        <v>Based on MS Stats</v>
      </c>
      <c r="AA7" s="3">
        <f t="shared" ref="AA7:AA34" ca="1" si="1">OFFSET($A7,0,OffsetLast)</f>
        <v>9920.2099999999991</v>
      </c>
      <c r="AB7" s="3">
        <f ca="1">$AA7*(1+AB42)</f>
        <v>9847.8411979349275</v>
      </c>
      <c r="AC7" s="3">
        <f ca="1">$AA7*(1+AC42)</f>
        <v>9919.8469197261365</v>
      </c>
      <c r="AD7" s="3">
        <f ca="1">$AA7*(1+AD42)</f>
        <v>9747.9636567334255</v>
      </c>
      <c r="AE7" s="3">
        <f t="shared" ref="AE7:AE34" ca="1" si="2">FORECAST(AC$6,OFFSET($A7,0,OffsetLast-TrendDuration+1,1,TrendDuration),OFFSET($A$6,0,OffsetLast-TrendDuration+1,1,TrendDuration))</f>
        <v>9338.5812999999616</v>
      </c>
      <c r="AF7" s="3">
        <f ca="1">IF(ISNUMBER(AF42),$AA7*(1+AF42),"")</f>
        <v>10033.69644860114</v>
      </c>
      <c r="AI7">
        <f>IFERROR(IF(ABS(AG42)&gt;$AH$3,0,IF(ABS(AB42)&lt;ABS(AC42),2,3)),IF(ISNUMBER(AB42),2,IF(ISNUMBER(AC42),3,0)))</f>
        <v>3</v>
      </c>
      <c r="AK7" s="7">
        <f t="shared" ref="AK7:AK34" ca="1" si="3">IFERROR(RSQ(OFFSET($A7,0,OffsetLast-TrendDuration+1,1,TrendDuration),OFFSET($A$6,0,OffsetLast-TrendDuration+1,1,TrendDuration)),0)</f>
        <v>0.49562872766194016</v>
      </c>
      <c r="AL7" s="18">
        <f t="shared" ref="AL7:AL34" ca="1" si="4">_xlfn.STDEV.S(OFFSET($A42,0,OffsetLast-TrendDuration+1,1,TrendDuration))</f>
        <v>7.8051147974981222E-2</v>
      </c>
      <c r="AN7" s="7" t="str">
        <f>IFERROR(INDEX('MS Stats list'!P:P, MATCH(B7,'MS Stats list'!B:B,0)),"")</f>
        <v>Statistics Austria - Preliminary energy balance 2022</v>
      </c>
    </row>
    <row r="8" spans="1:40">
      <c r="A8">
        <v>3</v>
      </c>
      <c r="B8" t="s">
        <v>177</v>
      </c>
      <c r="C8" t="s">
        <v>177</v>
      </c>
      <c r="D8" s="3">
        <v>18268.008999999998</v>
      </c>
      <c r="E8" s="3">
        <v>17580.722000000002</v>
      </c>
      <c r="F8" s="3">
        <v>16875.655999999999</v>
      </c>
      <c r="G8" s="3">
        <v>17644.487000000001</v>
      </c>
      <c r="H8" s="3">
        <v>18106.984</v>
      </c>
      <c r="I8" s="3">
        <v>18618.644</v>
      </c>
      <c r="J8" s="3">
        <v>17073.782999999999</v>
      </c>
      <c r="K8" s="3">
        <v>15790.16</v>
      </c>
      <c r="L8" s="3">
        <v>16242.447</v>
      </c>
      <c r="M8" s="3">
        <v>16371.261</v>
      </c>
      <c r="N8" s="3">
        <v>17042.802</v>
      </c>
      <c r="O8" s="3">
        <v>16505.440999999999</v>
      </c>
      <c r="P8" s="3">
        <v>16647.311000000002</v>
      </c>
      <c r="Q8" s="3">
        <v>16401.298999999999</v>
      </c>
      <c r="R8" s="3">
        <v>16034.904</v>
      </c>
      <c r="S8" s="3">
        <v>13954.281000000001</v>
      </c>
      <c r="T8" s="3">
        <v>15017.28</v>
      </c>
      <c r="U8" s="3">
        <v>14837.376</v>
      </c>
      <c r="V8" s="3">
        <f t="shared" ref="V8:V34" ca="1" si="5">INDEX($AA8:$AH8,1,W8)</f>
        <v>14680.683208781613</v>
      </c>
      <c r="W8" s="16">
        <f t="shared" ref="W8:W34" si="6">IF(ISNUMBER(AF8),6,IF(ISNUMBER(AG8),AG8,IF(AI8&gt;0,AI8,IF(AND(AK8&gt;$AK$5,AE8&gt;0),5,IF(AND(AL8&lt;&gt;0,AL8&lt;$AL$5),4,1)))))</f>
        <v>2</v>
      </c>
      <c r="X8" t="str">
        <f t="shared" ref="X8:X34" si="7">INDEX($AA$5:$AI$5,W8)</f>
        <v>Eurostat</v>
      </c>
      <c r="AA8" s="3">
        <f t="shared" ca="1" si="1"/>
        <v>14837.376</v>
      </c>
      <c r="AB8" s="3">
        <f t="shared" ref="AB8:AD34" ca="1" si="8">$AA8*(1+AB43)</f>
        <v>14680.683208781613</v>
      </c>
      <c r="AC8" s="3">
        <f t="shared" ca="1" si="8"/>
        <v>14092.533475238997</v>
      </c>
      <c r="AD8" s="3">
        <f t="shared" ca="1" si="8"/>
        <v>14598.313212246767</v>
      </c>
      <c r="AE8" s="3">
        <f t="shared" ca="1" si="2"/>
        <v>14005.387000000104</v>
      </c>
      <c r="AF8" s="3" t="str">
        <f t="shared" ref="AF8:AF34" si="9">IF(ISNUMBER(AF43),$AA8*(1+AF43),"")</f>
        <v/>
      </c>
      <c r="AH8" s="3"/>
      <c r="AI8">
        <f t="shared" ref="AI8:AI34" si="10">IFERROR(IF(ABS(AG43)&gt;$AH$3,0,IF(ABS(AB43)&lt;ABS(AC43),2,3)),IF(ISNUMBER(AB43),2,IF(ISNUMBER(AC43),3,0)))</f>
        <v>2</v>
      </c>
      <c r="AK8" s="7">
        <f t="shared" ca="1" si="3"/>
        <v>0.44695786952891053</v>
      </c>
      <c r="AL8" s="18">
        <f t="shared" ca="1" si="4"/>
        <v>7.313011344065351E-2</v>
      </c>
      <c r="AN8" s="7" t="str">
        <f>IFERROR(INDEX('MS Stats list'!P:P, MATCH(B8,'MS Stats list'!B:B,0)),"")</f>
        <v/>
      </c>
    </row>
    <row r="9" spans="1:40">
      <c r="A9">
        <v>4</v>
      </c>
      <c r="B9" t="s">
        <v>178</v>
      </c>
      <c r="C9" t="s">
        <v>178</v>
      </c>
      <c r="D9" s="3">
        <v>4449.9319999999998</v>
      </c>
      <c r="E9" s="3">
        <v>4613.5190000000002</v>
      </c>
      <c r="F9" s="3">
        <v>4383.2849999999999</v>
      </c>
      <c r="G9" s="3">
        <v>4216.2839999999997</v>
      </c>
      <c r="H9" s="3">
        <v>3995.0520000000001</v>
      </c>
      <c r="I9" s="3">
        <v>3834.9409999999998</v>
      </c>
      <c r="J9" s="3">
        <v>3606.2840000000001</v>
      </c>
      <c r="K9" s="3">
        <v>3780.6489999999999</v>
      </c>
      <c r="L9" s="3">
        <v>3455.8879999999999</v>
      </c>
      <c r="M9" s="3">
        <v>3773.2429999999999</v>
      </c>
      <c r="N9" s="3">
        <v>4058.596</v>
      </c>
      <c r="O9" s="3">
        <v>4189.5879999999997</v>
      </c>
      <c r="P9" s="3">
        <v>4389.8289999999997</v>
      </c>
      <c r="Q9" s="3">
        <v>4383.8509999999997</v>
      </c>
      <c r="R9" s="3">
        <v>4486.4579999999996</v>
      </c>
      <c r="S9" s="3">
        <v>4039.36</v>
      </c>
      <c r="T9" s="3">
        <v>4252.6940000000004</v>
      </c>
      <c r="U9" s="3">
        <v>4606.8590000000004</v>
      </c>
      <c r="V9" s="3">
        <f t="shared" ca="1" si="5"/>
        <v>4553.1278214938884</v>
      </c>
      <c r="W9" s="16">
        <f t="shared" si="6"/>
        <v>2</v>
      </c>
      <c r="X9" t="str">
        <f t="shared" si="7"/>
        <v>Eurostat</v>
      </c>
      <c r="AA9" s="3">
        <f t="shared" ca="1" si="1"/>
        <v>4606.8590000000004</v>
      </c>
      <c r="AB9" s="3">
        <f t="shared" ca="1" si="8"/>
        <v>4553.1278214938884</v>
      </c>
      <c r="AC9" s="3">
        <f t="shared" ca="1" si="8"/>
        <v>4550.1316181028387</v>
      </c>
      <c r="AD9" s="3">
        <f t="shared" ca="1" si="8"/>
        <v>4671.6134228916117</v>
      </c>
      <c r="AE9" s="3">
        <f t="shared" ca="1" si="2"/>
        <v>4417.5200000000041</v>
      </c>
      <c r="AF9" s="3" t="str">
        <f t="shared" si="9"/>
        <v/>
      </c>
      <c r="AI9">
        <f t="shared" si="10"/>
        <v>2</v>
      </c>
      <c r="AK9" s="7">
        <f t="shared" ca="1" si="3"/>
        <v>2.3508708419011887E-2</v>
      </c>
      <c r="AL9" s="18">
        <f t="shared" ca="1" si="4"/>
        <v>6.9859920642375173E-2</v>
      </c>
      <c r="AN9" s="7" t="str">
        <f>IFERROR(INDEX('MS Stats list'!P:P, MATCH(B9,'MS Stats list'!B:B,0)),"")</f>
        <v/>
      </c>
    </row>
    <row r="10" spans="1:40">
      <c r="A10">
        <v>5</v>
      </c>
      <c r="B10" t="s">
        <v>179</v>
      </c>
      <c r="C10" t="s">
        <v>179</v>
      </c>
      <c r="D10" s="3">
        <v>2382.8130000000001</v>
      </c>
      <c r="E10" s="3">
        <v>2478.3040000000001</v>
      </c>
      <c r="F10" s="3">
        <v>2590.6179999999999</v>
      </c>
      <c r="G10" s="3">
        <v>2720.2919999999999</v>
      </c>
      <c r="H10" s="3">
        <v>2642.2179999999998</v>
      </c>
      <c r="I10" s="3">
        <v>2541.8780000000002</v>
      </c>
      <c r="J10" s="3">
        <v>2512.9929999999999</v>
      </c>
      <c r="K10" s="3">
        <v>2364.7420000000002</v>
      </c>
      <c r="L10" s="3">
        <v>2035.6389999999999</v>
      </c>
      <c r="M10" s="3">
        <v>2076.4670000000001</v>
      </c>
      <c r="N10" s="3">
        <v>2103.9989999999998</v>
      </c>
      <c r="O10" s="3">
        <v>2248.2330000000002</v>
      </c>
      <c r="P10" s="3">
        <v>2331.5529999999999</v>
      </c>
      <c r="Q10" s="3">
        <v>2319.4589999999998</v>
      </c>
      <c r="R10" s="3">
        <v>2291.9949999999999</v>
      </c>
      <c r="S10" s="3">
        <v>1919.356</v>
      </c>
      <c r="T10" s="3">
        <v>1983.5050000000001</v>
      </c>
      <c r="U10" s="3">
        <v>2149.279</v>
      </c>
      <c r="V10" s="3">
        <f t="shared" ca="1" si="5"/>
        <v>2144.9961325888007</v>
      </c>
      <c r="W10" s="16">
        <f>IF(ISNUMBER(AF10),6,IF(ISNUMBER(AG10),AG10,IF(AI10&gt;0,AI10,IF(AND(AK10&gt;$AK$5,AE10&gt;0),5,IF(AND(AL10&lt;&gt;0,AL10&lt;$AL$5),4,1)))))</f>
        <v>3</v>
      </c>
      <c r="X10" t="str">
        <f t="shared" si="7"/>
        <v>BP</v>
      </c>
      <c r="AA10" s="3">
        <f t="shared" ca="1" si="1"/>
        <v>2149.279</v>
      </c>
      <c r="AB10" s="3">
        <f t="shared" ca="1" si="8"/>
        <v>2198.0913611961946</v>
      </c>
      <c r="AC10" s="3">
        <f t="shared" ca="1" si="8"/>
        <v>2144.9961325888007</v>
      </c>
      <c r="AD10" s="3">
        <f t="shared" ca="1" si="8"/>
        <v>2073.5330062939656</v>
      </c>
      <c r="AE10" s="3">
        <f t="shared" ca="1" si="2"/>
        <v>1938.0638000000035</v>
      </c>
      <c r="AF10" s="3" t="str">
        <f t="shared" si="9"/>
        <v/>
      </c>
      <c r="AI10">
        <f t="shared" si="10"/>
        <v>3</v>
      </c>
      <c r="AK10" s="7">
        <f t="shared" ca="1" si="3"/>
        <v>0.32813317303392087</v>
      </c>
      <c r="AL10" s="18">
        <f t="shared" ca="1" si="4"/>
        <v>9.2084554035802638E-2</v>
      </c>
      <c r="AN10" s="7" t="str">
        <f>IFERROR(INDEX('MS Stats list'!P:P, MATCH(B10,'MS Stats list'!B:B,0)),"")</f>
        <v/>
      </c>
    </row>
    <row r="11" spans="1:40">
      <c r="A11">
        <v>6</v>
      </c>
      <c r="B11" t="s">
        <v>180</v>
      </c>
      <c r="C11" t="s">
        <v>180</v>
      </c>
      <c r="D11" s="3">
        <v>7239.6949999999997</v>
      </c>
      <c r="E11" s="3">
        <v>7241.6859999999997</v>
      </c>
      <c r="F11" s="3">
        <v>7547.4269999999997</v>
      </c>
      <c r="G11" s="3">
        <v>7458.1840000000002</v>
      </c>
      <c r="H11" s="3">
        <v>7200.8829999999998</v>
      </c>
      <c r="I11" s="3">
        <v>6849.5709999999999</v>
      </c>
      <c r="J11" s="3">
        <v>6789.88</v>
      </c>
      <c r="K11" s="3">
        <v>6587.2569999999996</v>
      </c>
      <c r="L11" s="3">
        <v>6352.277</v>
      </c>
      <c r="M11" s="3">
        <v>6629.4780000000001</v>
      </c>
      <c r="N11" s="3">
        <v>6893.1350000000002</v>
      </c>
      <c r="O11" s="3">
        <v>7006.7709999999997</v>
      </c>
      <c r="P11" s="3">
        <v>7171.6750000000002</v>
      </c>
      <c r="Q11" s="3">
        <v>7292.3789999999999</v>
      </c>
      <c r="R11" s="3">
        <v>7348.3109999999997</v>
      </c>
      <c r="S11" s="3">
        <v>6502.8410000000003</v>
      </c>
      <c r="T11" s="3">
        <v>6969.4660000000003</v>
      </c>
      <c r="U11" s="3">
        <v>7245.7420000000002</v>
      </c>
      <c r="V11" s="3">
        <f t="shared" ca="1" si="5"/>
        <v>7273.9831870550643</v>
      </c>
      <c r="W11" s="16">
        <f t="shared" si="6"/>
        <v>3</v>
      </c>
      <c r="X11" t="str">
        <f t="shared" si="7"/>
        <v>BP</v>
      </c>
      <c r="AA11" s="3">
        <f t="shared" ca="1" si="1"/>
        <v>7245.7420000000002</v>
      </c>
      <c r="AB11" s="3">
        <f t="shared" ca="1" si="8"/>
        <v>7065.1651138686138</v>
      </c>
      <c r="AC11" s="3">
        <f t="shared" ca="1" si="8"/>
        <v>7273.9831870550643</v>
      </c>
      <c r="AD11" s="3">
        <f t="shared" ca="1" si="8"/>
        <v>7259.0452952100959</v>
      </c>
      <c r="AE11" s="3">
        <f t="shared" ca="1" si="2"/>
        <v>6930.1120999999985</v>
      </c>
      <c r="AF11" s="3" t="str">
        <f t="shared" si="9"/>
        <v/>
      </c>
      <c r="AI11">
        <f t="shared" si="10"/>
        <v>3</v>
      </c>
      <c r="AK11" s="7">
        <f t="shared" ca="1" si="3"/>
        <v>4.5530323330693151E-2</v>
      </c>
      <c r="AL11" s="18">
        <f t="shared" ca="1" si="4"/>
        <v>7.108739497463587E-2</v>
      </c>
      <c r="AN11" s="7" t="str">
        <f>IFERROR(INDEX('MS Stats list'!P:P, MATCH(B11,'MS Stats list'!B:B,0)),"")</f>
        <v/>
      </c>
    </row>
    <row r="12" spans="1:40">
      <c r="A12">
        <v>7</v>
      </c>
      <c r="B12" t="s">
        <v>91</v>
      </c>
      <c r="C12" t="s">
        <v>91</v>
      </c>
      <c r="D12" s="3">
        <v>102639.455</v>
      </c>
      <c r="E12" s="3">
        <v>103479.33500000001</v>
      </c>
      <c r="F12" s="3">
        <v>92308.763000000006</v>
      </c>
      <c r="G12" s="3">
        <v>99091.047000000006</v>
      </c>
      <c r="H12" s="3">
        <v>93029.126999999993</v>
      </c>
      <c r="I12" s="3">
        <v>93348.841</v>
      </c>
      <c r="J12" s="3">
        <v>89713.917000000001</v>
      </c>
      <c r="K12" s="3">
        <v>90138.994999999995</v>
      </c>
      <c r="L12" s="3">
        <v>93138.356</v>
      </c>
      <c r="M12" s="3">
        <v>90477.554000000004</v>
      </c>
      <c r="N12" s="3">
        <v>91334.837</v>
      </c>
      <c r="O12" s="3">
        <v>92344.331999999995</v>
      </c>
      <c r="P12" s="3">
        <v>93342.142999999996</v>
      </c>
      <c r="Q12" s="3">
        <v>90106.588000000003</v>
      </c>
      <c r="R12" s="3">
        <v>92147.938999999998</v>
      </c>
      <c r="S12" s="3">
        <v>81326.607999999993</v>
      </c>
      <c r="T12" s="3">
        <v>77651.165999999997</v>
      </c>
      <c r="U12" s="3">
        <v>82722.2</v>
      </c>
      <c r="V12" s="3">
        <f t="shared" ref="V12:V14" ca="1" si="11">INDEX($AA12:$AH12,1,W12)</f>
        <v>77075.633447098968</v>
      </c>
      <c r="W12" s="16">
        <f t="shared" ca="1" si="6"/>
        <v>6</v>
      </c>
      <c r="X12" t="str">
        <f t="shared" ref="X12:X14" ca="1" si="12">INDEX($AA$5:$AI$5,W12)</f>
        <v>Based on MS Stats</v>
      </c>
      <c r="AA12" s="3">
        <f t="shared" ca="1" si="1"/>
        <v>82722.2</v>
      </c>
      <c r="AB12" s="3">
        <f t="shared" ca="1" si="8"/>
        <v>78290.133875172905</v>
      </c>
      <c r="AC12" s="3">
        <f t="shared" ca="1" si="8"/>
        <v>78138.586275187758</v>
      </c>
      <c r="AD12" s="3">
        <f t="shared" ca="1" si="8"/>
        <v>82390.991343556088</v>
      </c>
      <c r="AE12" s="3">
        <f t="shared" ca="1" si="2"/>
        <v>76011.235499999486</v>
      </c>
      <c r="AF12" s="3">
        <f t="shared" ca="1" si="9"/>
        <v>77075.633447098968</v>
      </c>
      <c r="AH12" s="3"/>
      <c r="AI12">
        <f t="shared" si="10"/>
        <v>2</v>
      </c>
      <c r="AK12" s="7">
        <f t="shared" ca="1" si="3"/>
        <v>0.57235827659822158</v>
      </c>
      <c r="AL12" s="18">
        <f t="shared" ca="1" si="4"/>
        <v>6.9681774908046903E-2</v>
      </c>
      <c r="AN12" s="7" t="str">
        <f>IFERROR(INDEX('MS Stats list'!P:P, MATCH(B12,'MS Stats list'!B:B,0)),"")</f>
        <v>BMWi - Gesamtausgabe der Energiedaten - Datensammlung des BMWi, AGEB - Primärenergieverbrauch Jahr 2021</v>
      </c>
    </row>
    <row r="13" spans="1:40">
      <c r="A13">
        <v>8</v>
      </c>
      <c r="B13" t="s">
        <v>115</v>
      </c>
      <c r="C13" t="s">
        <v>115</v>
      </c>
      <c r="D13" s="3">
        <v>7966.8670000000002</v>
      </c>
      <c r="E13" s="3">
        <v>8117.9570000000003</v>
      </c>
      <c r="F13" s="3">
        <v>8101.8950000000004</v>
      </c>
      <c r="G13" s="3">
        <v>7995.6769999999997</v>
      </c>
      <c r="H13" s="3">
        <v>7451.9750000000004</v>
      </c>
      <c r="I13" s="3">
        <v>7519.5379999999996</v>
      </c>
      <c r="J13" s="3">
        <v>7049.9709999999995</v>
      </c>
      <c r="K13" s="3">
        <v>6789.3620000000001</v>
      </c>
      <c r="L13" s="3">
        <v>6544.9179999999997</v>
      </c>
      <c r="M13" s="3">
        <v>6413.2520000000004</v>
      </c>
      <c r="N13" s="3">
        <v>6434.893</v>
      </c>
      <c r="O13" s="3">
        <v>6571.0680000000002</v>
      </c>
      <c r="P13" s="3">
        <v>6760.6890000000003</v>
      </c>
      <c r="Q13" s="3">
        <v>6798.2510000000002</v>
      </c>
      <c r="R13" s="3">
        <v>6728.6469999999999</v>
      </c>
      <c r="S13" s="3">
        <v>5625.8180000000002</v>
      </c>
      <c r="T13" s="3">
        <v>5810.902</v>
      </c>
      <c r="U13" s="3">
        <v>6425.2669999999998</v>
      </c>
      <c r="V13" s="3">
        <f t="shared" ca="1" si="11"/>
        <v>6419.0050175706137</v>
      </c>
      <c r="W13" s="16">
        <f t="shared" ca="1" si="6"/>
        <v>6</v>
      </c>
      <c r="X13" t="str">
        <f t="shared" ca="1" si="12"/>
        <v>Based on MS Stats</v>
      </c>
      <c r="AA13" s="3">
        <f t="shared" ca="1" si="1"/>
        <v>6425.2669999999998</v>
      </c>
      <c r="AB13" s="3">
        <f t="shared" ca="1" si="8"/>
        <v>6522.6687230924708</v>
      </c>
      <c r="AC13" s="3">
        <f t="shared" ca="1" si="8"/>
        <v>6482.6963161657995</v>
      </c>
      <c r="AD13" s="3">
        <f t="shared" ca="1" si="8"/>
        <v>6229.7344758164663</v>
      </c>
      <c r="AE13" s="3">
        <f t="shared" ca="1" si="2"/>
        <v>5778.6631000000052</v>
      </c>
      <c r="AF13" s="3">
        <f t="shared" ca="1" si="9"/>
        <v>6419.0050175706137</v>
      </c>
      <c r="AH13" s="3"/>
      <c r="AI13">
        <f t="shared" si="10"/>
        <v>3</v>
      </c>
      <c r="AK13" s="7">
        <f t="shared" ca="1" si="3"/>
        <v>0.24302502711275048</v>
      </c>
      <c r="AL13" s="18">
        <f t="shared" ca="1" si="4"/>
        <v>9.8843292118260109E-2</v>
      </c>
      <c r="AN13" s="7" t="str">
        <f>IFERROR(INDEX('MS Stats list'!P:P, MATCH(B13,'MS Stats list'!B:B,0)),"")</f>
        <v>Danish Energy Agency - Preliminary Energy Statsticis 2022</v>
      </c>
    </row>
    <row r="14" spans="1:40">
      <c r="A14">
        <v>9</v>
      </c>
      <c r="B14" t="s">
        <v>120</v>
      </c>
      <c r="C14" t="s">
        <v>120</v>
      </c>
      <c r="D14" s="3">
        <v>729.12800000000004</v>
      </c>
      <c r="E14" s="3">
        <v>716.26300000000003</v>
      </c>
      <c r="F14" s="3">
        <v>723.11800000000005</v>
      </c>
      <c r="G14" s="3">
        <v>683.06600000000003</v>
      </c>
      <c r="H14" s="3">
        <v>515.76800000000003</v>
      </c>
      <c r="I14" s="3">
        <v>524.53800000000001</v>
      </c>
      <c r="J14" s="3">
        <v>507.87700000000001</v>
      </c>
      <c r="K14" s="3">
        <v>509.80599999999998</v>
      </c>
      <c r="L14" s="3">
        <v>435.35899999999998</v>
      </c>
      <c r="M14" s="3">
        <v>369.488</v>
      </c>
      <c r="N14" s="3">
        <v>263.51600000000002</v>
      </c>
      <c r="O14" s="3">
        <v>413.005</v>
      </c>
      <c r="P14" s="3">
        <v>153.79499999999999</v>
      </c>
      <c r="Q14" s="3">
        <v>82.613</v>
      </c>
      <c r="R14" s="3">
        <v>-7.5810000000000004</v>
      </c>
      <c r="S14" s="3">
        <v>-126.509</v>
      </c>
      <c r="T14" s="3">
        <v>-182.81299999999999</v>
      </c>
      <c r="U14" s="3">
        <v>98.085999999999999</v>
      </c>
      <c r="V14" s="3">
        <f t="shared" ca="1" si="11"/>
        <v>97.722381835032436</v>
      </c>
      <c r="W14" s="16">
        <f t="shared" si="6"/>
        <v>2</v>
      </c>
      <c r="X14" t="str">
        <f t="shared" si="12"/>
        <v>Eurostat</v>
      </c>
      <c r="AA14" s="3">
        <f t="shared" ca="1" si="1"/>
        <v>98.085999999999999</v>
      </c>
      <c r="AB14" s="3">
        <f t="shared" ca="1" si="8"/>
        <v>97.722381835032436</v>
      </c>
      <c r="AC14" s="3">
        <f t="shared" ca="1" si="8"/>
        <v>93.915566945159156</v>
      </c>
      <c r="AD14" s="3">
        <f t="shared" ca="1" si="8"/>
        <v>86.078204120849975</v>
      </c>
      <c r="AE14" s="3">
        <f t="shared" ca="1" si="2"/>
        <v>-70.526600000001054</v>
      </c>
      <c r="AF14" s="3" t="str">
        <f t="shared" si="9"/>
        <v/>
      </c>
      <c r="AI14">
        <f t="shared" si="10"/>
        <v>2</v>
      </c>
      <c r="AK14" s="7">
        <f t="shared" ca="1" si="3"/>
        <v>3.3460462844819801E-2</v>
      </c>
      <c r="AL14" s="18">
        <f t="shared" ca="1" si="4"/>
        <v>7.3493331395240071</v>
      </c>
      <c r="AN14" s="7">
        <f>IFERROR(INDEX('MS Stats list'!P:P, MATCH(B14,'MS Stats list'!B:B,0)),"")</f>
        <v>0</v>
      </c>
    </row>
    <row r="15" spans="1:40">
      <c r="A15">
        <v>11</v>
      </c>
      <c r="B15" t="s">
        <v>85</v>
      </c>
      <c r="C15" t="s">
        <v>85</v>
      </c>
      <c r="D15" s="3">
        <v>62845.224999999999</v>
      </c>
      <c r="E15" s="3">
        <v>62928.588000000003</v>
      </c>
      <c r="F15" s="3">
        <v>63520.864999999998</v>
      </c>
      <c r="G15" s="3">
        <v>60817.078000000001</v>
      </c>
      <c r="H15" s="3">
        <v>56424.983</v>
      </c>
      <c r="I15" s="3">
        <v>54282.356</v>
      </c>
      <c r="J15" s="3">
        <v>51788.053</v>
      </c>
      <c r="K15" s="3">
        <v>47793.107000000004</v>
      </c>
      <c r="L15" s="3">
        <v>46257.733999999997</v>
      </c>
      <c r="M15" s="3">
        <v>46303.173999999999</v>
      </c>
      <c r="N15" s="3">
        <v>48564.317999999999</v>
      </c>
      <c r="O15" s="3">
        <v>49688.974999999999</v>
      </c>
      <c r="P15" s="3">
        <v>52851.285000000003</v>
      </c>
      <c r="Q15" s="3">
        <v>52799.347999999998</v>
      </c>
      <c r="R15" s="3">
        <v>51311.241999999998</v>
      </c>
      <c r="S15" s="3">
        <v>40349.175999999999</v>
      </c>
      <c r="T15" s="3">
        <v>45298.258999999998</v>
      </c>
      <c r="U15" s="3">
        <v>49454.35</v>
      </c>
      <c r="V15" s="3">
        <f t="shared" ca="1" si="5"/>
        <v>47285.55074049074</v>
      </c>
      <c r="W15" s="16">
        <f t="shared" ca="1" si="6"/>
        <v>6</v>
      </c>
      <c r="X15" t="str">
        <f t="shared" ca="1" si="7"/>
        <v>Based on MS Stats</v>
      </c>
      <c r="AA15" s="3">
        <f t="shared" ca="1" si="1"/>
        <v>49454.35</v>
      </c>
      <c r="AB15" s="3">
        <f t="shared" ca="1" si="8"/>
        <v>48247.85863431164</v>
      </c>
      <c r="AC15" s="3">
        <f t="shared" ca="1" si="8"/>
        <v>48644.874634996253</v>
      </c>
      <c r="AD15" s="3">
        <f t="shared" ca="1" si="8"/>
        <v>48411.847759570825</v>
      </c>
      <c r="AE15" s="3">
        <f t="shared" ca="1" si="2"/>
        <v>44031.581299999729</v>
      </c>
      <c r="AF15" s="3">
        <f t="shared" ca="1" si="9"/>
        <v>47285.55074049074</v>
      </c>
      <c r="AI15">
        <f t="shared" si="10"/>
        <v>3</v>
      </c>
      <c r="AK15" s="7">
        <f t="shared" ca="1" si="3"/>
        <v>0.15847564948705703</v>
      </c>
      <c r="AL15" s="18">
        <f t="shared" ca="1" si="4"/>
        <v>0.13203980122004813</v>
      </c>
      <c r="AN15" s="7" t="str">
        <f>IFERROR(INDEX('MS Stats list'!P:P, MATCH(B15,'MS Stats list'!B:B,0)),"")</f>
        <v>Ministry of Ecological Transition</v>
      </c>
    </row>
    <row r="16" spans="1:40">
      <c r="A16">
        <v>12</v>
      </c>
      <c r="B16" t="s">
        <v>2</v>
      </c>
      <c r="C16" t="s">
        <v>2</v>
      </c>
      <c r="D16" s="3">
        <v>9399.0069999999996</v>
      </c>
      <c r="E16" s="3">
        <v>9793.3549999999996</v>
      </c>
      <c r="F16" s="3">
        <v>9236.7870000000003</v>
      </c>
      <c r="G16" s="3">
        <v>9067.1239999999998</v>
      </c>
      <c r="H16" s="3">
        <v>8622.8649999999998</v>
      </c>
      <c r="I16" s="3">
        <v>8852.9699999999993</v>
      </c>
      <c r="J16" s="3">
        <v>8824.8780000000006</v>
      </c>
      <c r="K16" s="3">
        <v>8269.6080000000002</v>
      </c>
      <c r="L16" s="3">
        <v>6896.8810000000003</v>
      </c>
      <c r="M16" s="3">
        <v>7940.1189999999997</v>
      </c>
      <c r="N16" s="3">
        <v>7121.6090000000004</v>
      </c>
      <c r="O16" s="3">
        <v>7792.8509999999997</v>
      </c>
      <c r="P16" s="3">
        <v>7467.4669999999996</v>
      </c>
      <c r="Q16" s="3">
        <v>7503.5950000000003</v>
      </c>
      <c r="R16" s="3">
        <v>7169.4620000000004</v>
      </c>
      <c r="S16" s="3">
        <v>6375.3670000000002</v>
      </c>
      <c r="T16" s="3">
        <v>5976.2640000000001</v>
      </c>
      <c r="U16" s="3">
        <v>6474.6549999999997</v>
      </c>
      <c r="V16" s="3">
        <f ca="1">INDEX($AA16:$AH16,1,W16)</f>
        <v>6078.8700285371315</v>
      </c>
      <c r="W16" s="16">
        <f t="shared" ca="1" si="6"/>
        <v>6</v>
      </c>
      <c r="X16" t="str">
        <f t="shared" ca="1" si="7"/>
        <v>Based on MS Stats</v>
      </c>
      <c r="AA16" s="3">
        <f t="shared" ca="1" si="1"/>
        <v>6474.6549999999997</v>
      </c>
      <c r="AB16" s="3">
        <f t="shared" ca="1" si="8"/>
        <v>6421.4941417959071</v>
      </c>
      <c r="AC16" s="3">
        <f t="shared" ca="1" si="8"/>
        <v>5981.8562674147697</v>
      </c>
      <c r="AD16" s="3">
        <f t="shared" ca="1" si="8"/>
        <v>6236.4992579786285</v>
      </c>
      <c r="AE16" s="3">
        <f t="shared" ca="1" si="2"/>
        <v>5724.545199999935</v>
      </c>
      <c r="AF16" s="3">
        <f t="shared" ca="1" si="9"/>
        <v>6078.8700285371315</v>
      </c>
      <c r="AI16">
        <f t="shared" si="10"/>
        <v>2</v>
      </c>
      <c r="AK16" s="7">
        <f t="shared" ca="1" si="3"/>
        <v>0.68361492498758247</v>
      </c>
      <c r="AL16" s="18">
        <f t="shared" ca="1" si="4"/>
        <v>7.379972638089094E-2</v>
      </c>
      <c r="AN16" s="7" t="str">
        <f>IFERROR(INDEX('MS Stats list'!P:P, MATCH(B16,'MS Stats list'!B:B,0)),"")</f>
        <v>Statistics Finland - Energy supply and consumption</v>
      </c>
    </row>
    <row r="17" spans="1:40">
      <c r="A17">
        <v>13</v>
      </c>
      <c r="B17" t="s">
        <v>82</v>
      </c>
      <c r="C17" t="s">
        <v>82</v>
      </c>
      <c r="D17" s="3">
        <v>79030.130999999994</v>
      </c>
      <c r="E17" s="3">
        <v>77548.942999999999</v>
      </c>
      <c r="F17" s="3">
        <v>75749.225999999995</v>
      </c>
      <c r="G17" s="3">
        <v>75071.095000000001</v>
      </c>
      <c r="H17" s="3">
        <v>73244.998999999996</v>
      </c>
      <c r="I17" s="3">
        <v>69822.991999999998</v>
      </c>
      <c r="J17" s="3">
        <v>72134.100000000006</v>
      </c>
      <c r="K17" s="3">
        <v>69731.148000000001</v>
      </c>
      <c r="L17" s="3">
        <v>68231.123000000007</v>
      </c>
      <c r="M17" s="3">
        <v>67127.767999999996</v>
      </c>
      <c r="N17" s="3">
        <v>68669.354000000007</v>
      </c>
      <c r="O17" s="3">
        <v>66538.478000000003</v>
      </c>
      <c r="P17" s="3">
        <v>66390.592999999993</v>
      </c>
      <c r="Q17" s="3">
        <v>64675.87</v>
      </c>
      <c r="R17" s="3">
        <v>65214.27</v>
      </c>
      <c r="S17" s="3">
        <v>53297.563000000002</v>
      </c>
      <c r="T17" s="3">
        <v>56755.529000000002</v>
      </c>
      <c r="U17" s="3">
        <v>59902.481</v>
      </c>
      <c r="V17" s="3">
        <f t="shared" ca="1" si="5"/>
        <v>58546.735664670836</v>
      </c>
      <c r="W17" s="16">
        <f t="shared" ca="1" si="6"/>
        <v>6</v>
      </c>
      <c r="X17" t="str">
        <f t="shared" ca="1" si="7"/>
        <v>Based on MS Stats</v>
      </c>
      <c r="AA17" s="3">
        <f t="shared" ca="1" si="1"/>
        <v>59902.481</v>
      </c>
      <c r="AB17" s="3">
        <f t="shared" ca="1" si="8"/>
        <v>59286.992316318428</v>
      </c>
      <c r="AC17" s="3">
        <f t="shared" ca="1" si="8"/>
        <v>59148.664793980832</v>
      </c>
      <c r="AD17" s="3">
        <f t="shared" ca="1" si="8"/>
        <v>59723.609735348946</v>
      </c>
      <c r="AE17" s="3">
        <f t="shared" ca="1" si="2"/>
        <v>54567.486899999902</v>
      </c>
      <c r="AF17" s="3">
        <f ca="1">IF(ISNUMBER(AF52),$AA17*(1+AF52),"")</f>
        <v>58546.735664670836</v>
      </c>
      <c r="AI17">
        <f t="shared" si="10"/>
        <v>2</v>
      </c>
      <c r="AK17" s="7">
        <f t="shared" ca="1" si="3"/>
        <v>0.31021908013666089</v>
      </c>
      <c r="AL17" s="18">
        <f t="shared" ca="1" si="4"/>
        <v>0.1001674492815306</v>
      </c>
      <c r="AN17" s="7" t="str">
        <f>IFERROR(INDEX('MS Stats list'!P:P, MATCH(B17,'MS Stats list'!B:B,0)),"")</f>
        <v>Ministère de la Transition écologique et solidaire - Données et études statistiques</v>
      </c>
    </row>
    <row r="18" spans="1:40">
      <c r="A18">
        <v>10</v>
      </c>
      <c r="B18" t="s">
        <v>181</v>
      </c>
      <c r="C18" t="s">
        <v>182</v>
      </c>
      <c r="D18" s="3">
        <v>17059.112000000001</v>
      </c>
      <c r="E18" s="3">
        <v>17013.190999999999</v>
      </c>
      <c r="F18" s="3">
        <v>16108.936</v>
      </c>
      <c r="G18" s="3">
        <v>16595.362000000001</v>
      </c>
      <c r="H18" s="3">
        <v>15982.334999999999</v>
      </c>
      <c r="I18" s="3">
        <v>13781.33</v>
      </c>
      <c r="J18" s="3">
        <v>12676.279</v>
      </c>
      <c r="K18" s="3">
        <v>12429.116</v>
      </c>
      <c r="L18" s="3">
        <v>10663.062</v>
      </c>
      <c r="M18" s="3">
        <v>11180.829</v>
      </c>
      <c r="N18" s="3">
        <v>11697.286</v>
      </c>
      <c r="O18" s="3">
        <v>11828.769</v>
      </c>
      <c r="P18" s="3">
        <v>11460.08</v>
      </c>
      <c r="Q18" s="3">
        <v>11026.079</v>
      </c>
      <c r="R18" s="3">
        <v>11306.584000000001</v>
      </c>
      <c r="S18" s="3">
        <v>9121.5589999999993</v>
      </c>
      <c r="T18" s="3">
        <v>9756.0130000000008</v>
      </c>
      <c r="U18" s="3">
        <v>11471.419</v>
      </c>
      <c r="V18" s="3">
        <f t="shared" ca="1" si="5"/>
        <v>11464.05299421286</v>
      </c>
      <c r="W18" s="16">
        <f t="shared" si="6"/>
        <v>3</v>
      </c>
      <c r="X18" t="str">
        <f t="shared" si="7"/>
        <v>BP</v>
      </c>
      <c r="AA18" s="3">
        <f t="shared" ca="1" si="1"/>
        <v>11471.419</v>
      </c>
      <c r="AB18" s="3">
        <f t="shared" ca="1" si="8"/>
        <v>11249.787652977218</v>
      </c>
      <c r="AC18" s="3">
        <f t="shared" ca="1" si="8"/>
        <v>11464.05299421286</v>
      </c>
      <c r="AD18" s="3">
        <f t="shared" ca="1" si="8"/>
        <v>11134.103248224845</v>
      </c>
      <c r="AE18" s="3">
        <f t="shared" ca="1" si="2"/>
        <v>10338.363500000007</v>
      </c>
      <c r="AF18" s="3" t="str">
        <f t="shared" si="9"/>
        <v/>
      </c>
      <c r="AI18">
        <f t="shared" si="10"/>
        <v>3</v>
      </c>
      <c r="AK18" s="7">
        <f t="shared" ca="1" si="3"/>
        <v>1.0084652384840884E-2</v>
      </c>
      <c r="AL18" s="18">
        <f t="shared" ca="1" si="4"/>
        <v>0.1368091749633456</v>
      </c>
      <c r="AN18" s="7" t="str">
        <f>IFERROR(INDEX('MS Stats list'!P:P, MATCH(B18,'MS Stats list'!B:B,0)),"")</f>
        <v/>
      </c>
    </row>
    <row r="19" spans="1:40">
      <c r="A19">
        <v>14</v>
      </c>
      <c r="B19" t="s">
        <v>183</v>
      </c>
      <c r="C19" t="s">
        <v>183</v>
      </c>
      <c r="D19" s="3">
        <v>4234.6390000000001</v>
      </c>
      <c r="E19" s="3">
        <v>4336.2349999999997</v>
      </c>
      <c r="F19" s="3">
        <v>4407.9690000000001</v>
      </c>
      <c r="G19" s="3">
        <v>4159.4660000000003</v>
      </c>
      <c r="H19" s="3">
        <v>4110.7389999999996</v>
      </c>
      <c r="I19" s="3">
        <v>3539.4580000000001</v>
      </c>
      <c r="J19" s="3">
        <v>3465.9229999999998</v>
      </c>
      <c r="K19" s="3">
        <v>3135.1170000000002</v>
      </c>
      <c r="L19" s="3">
        <v>3016.5529999999999</v>
      </c>
      <c r="M19" s="3">
        <v>2990.2820000000002</v>
      </c>
      <c r="N19" s="3">
        <v>3127.3229999999999</v>
      </c>
      <c r="O19" s="3">
        <v>3114.933</v>
      </c>
      <c r="P19" s="3">
        <v>3350.2840000000001</v>
      </c>
      <c r="Q19" s="3">
        <v>3219.7139999999999</v>
      </c>
      <c r="R19" s="3">
        <v>3122.3879999999999</v>
      </c>
      <c r="S19" s="3">
        <v>2648.877</v>
      </c>
      <c r="T19" s="3">
        <v>2802.549</v>
      </c>
      <c r="U19" s="3">
        <v>3151.9659999999999</v>
      </c>
      <c r="V19" s="3">
        <f t="shared" ca="1" si="5"/>
        <v>3206.8575344075216</v>
      </c>
      <c r="W19" s="16">
        <f t="shared" si="6"/>
        <v>2</v>
      </c>
      <c r="X19" t="str">
        <f t="shared" si="7"/>
        <v>Eurostat</v>
      </c>
      <c r="AA19" s="3">
        <f t="shared" ca="1" si="1"/>
        <v>3151.9659999999999</v>
      </c>
      <c r="AB19" s="3">
        <f t="shared" ca="1" si="8"/>
        <v>3206.8575344075216</v>
      </c>
      <c r="AC19" s="3">
        <f t="shared" ca="1" si="8"/>
        <v>3225.7165186184329</v>
      </c>
      <c r="AD19" s="3">
        <f t="shared" ca="1" si="8"/>
        <v>3078.2608887817155</v>
      </c>
      <c r="AE19" s="3">
        <f t="shared" ca="1" si="2"/>
        <v>2852.4983000000066</v>
      </c>
      <c r="AF19" s="3" t="str">
        <f t="shared" si="9"/>
        <v/>
      </c>
      <c r="AI19">
        <f t="shared" si="10"/>
        <v>2</v>
      </c>
      <c r="AK19" s="7">
        <f t="shared" ca="1" si="3"/>
        <v>8.3591755483955102E-2</v>
      </c>
      <c r="AL19" s="18">
        <f t="shared" ca="1" si="4"/>
        <v>0.10493987254241592</v>
      </c>
      <c r="AN19" s="7" t="str">
        <f>IFERROR(INDEX('MS Stats list'!P:P, MATCH(B19,'MS Stats list'!B:B,0)),"")</f>
        <v/>
      </c>
    </row>
    <row r="20" spans="1:40">
      <c r="A20">
        <v>15</v>
      </c>
      <c r="B20" t="s">
        <v>88</v>
      </c>
      <c r="C20" t="s">
        <v>88</v>
      </c>
      <c r="D20" s="3">
        <v>5632.1989999999996</v>
      </c>
      <c r="E20" s="3">
        <v>5876.9110000000001</v>
      </c>
      <c r="F20" s="3">
        <v>5795.3919999999998</v>
      </c>
      <c r="G20" s="3">
        <v>5650</v>
      </c>
      <c r="H20" s="3">
        <v>5591.4449999999997</v>
      </c>
      <c r="I20" s="3">
        <v>5186.1869999999999</v>
      </c>
      <c r="J20" s="3">
        <v>5214.6260000000002</v>
      </c>
      <c r="K20" s="3">
        <v>4893.4390000000003</v>
      </c>
      <c r="L20" s="3">
        <v>4744.1580000000004</v>
      </c>
      <c r="M20" s="3">
        <v>5253.2340000000004</v>
      </c>
      <c r="N20" s="3">
        <v>5583.64</v>
      </c>
      <c r="O20" s="3">
        <v>5613.0810000000001</v>
      </c>
      <c r="P20" s="3">
        <v>5926.223</v>
      </c>
      <c r="Q20" s="3">
        <v>6338.5619999999999</v>
      </c>
      <c r="R20" s="3">
        <v>6563.7190000000001</v>
      </c>
      <c r="S20" s="3">
        <v>5780.4989999999998</v>
      </c>
      <c r="T20" s="3">
        <v>6215.1859999999997</v>
      </c>
      <c r="U20" s="3">
        <v>6555.5150000000003</v>
      </c>
      <c r="V20" s="3">
        <f t="shared" ca="1" si="5"/>
        <v>6242.7347760950252</v>
      </c>
      <c r="W20" s="16">
        <f t="shared" ca="1" si="6"/>
        <v>6</v>
      </c>
      <c r="X20" t="str">
        <f t="shared" ca="1" si="7"/>
        <v>Based on MS Stats</v>
      </c>
      <c r="AA20" s="3">
        <f t="shared" ca="1" si="1"/>
        <v>6555.5150000000003</v>
      </c>
      <c r="AB20" s="3">
        <f t="shared" ca="1" si="8"/>
        <v>6357.1003683791323</v>
      </c>
      <c r="AC20" s="3">
        <f t="shared" ca="1" si="8"/>
        <v>6365.2765144446266</v>
      </c>
      <c r="AD20" s="3">
        <f t="shared" ca="1" si="8"/>
        <v>6665.1040189513633</v>
      </c>
      <c r="AE20" s="3">
        <f t="shared" ca="1" si="2"/>
        <v>6316.3081000000002</v>
      </c>
      <c r="AF20" s="3">
        <f ca="1">IF(ISNUMBER(AF55),$AA20*(1+AF55),"")</f>
        <v>6242.7347760950252</v>
      </c>
      <c r="AI20">
        <f t="shared" si="10"/>
        <v>3</v>
      </c>
      <c r="AK20" s="7">
        <f t="shared" ca="1" si="3"/>
        <v>1.7649333473467943E-3</v>
      </c>
      <c r="AL20" s="18">
        <f t="shared" ca="1" si="4"/>
        <v>8.1111227247790157E-2</v>
      </c>
      <c r="AN20" s="7" t="str">
        <f>IFERROR(INDEX('MS Stats list'!P:P, MATCH(B20,'MS Stats list'!B:B,0)),"")</f>
        <v>MEKH - Official Statistics - 7.2 National simplified Energy Balance - IEA format</v>
      </c>
    </row>
    <row r="21" spans="1:40">
      <c r="A21">
        <v>16</v>
      </c>
      <c r="B21" t="s">
        <v>133</v>
      </c>
      <c r="C21" t="s">
        <v>133</v>
      </c>
      <c r="D21" s="3">
        <v>8265.3250000000007</v>
      </c>
      <c r="E21" s="3">
        <v>8223.0470000000005</v>
      </c>
      <c r="F21" s="3">
        <v>8730.8459999999995</v>
      </c>
      <c r="G21" s="3">
        <v>8105.3710000000001</v>
      </c>
      <c r="H21" s="3">
        <v>7675.0690000000004</v>
      </c>
      <c r="I21" s="3">
        <v>7442.7060000000001</v>
      </c>
      <c r="J21" s="3">
        <v>6629.8329999999996</v>
      </c>
      <c r="K21" s="3">
        <v>6203.8869999999997</v>
      </c>
      <c r="L21" s="3">
        <v>6318.0360000000001</v>
      </c>
      <c r="M21" s="3">
        <v>6280.6120000000001</v>
      </c>
      <c r="N21" s="3">
        <v>6691.75</v>
      </c>
      <c r="O21" s="3">
        <v>7068.4179999999997</v>
      </c>
      <c r="P21" s="3">
        <v>7057.1559999999999</v>
      </c>
      <c r="Q21" s="3">
        <v>7154.009</v>
      </c>
      <c r="R21" s="3">
        <v>7179.9</v>
      </c>
      <c r="S21" s="3">
        <v>5999.4629999999997</v>
      </c>
      <c r="T21" s="3">
        <v>6339.7370000000001</v>
      </c>
      <c r="U21" s="3">
        <v>6911.0230000000001</v>
      </c>
      <c r="V21" s="3">
        <f t="shared" ca="1" si="5"/>
        <v>6878.9621772778637</v>
      </c>
      <c r="W21" s="16">
        <f t="shared" ca="1" si="6"/>
        <v>6</v>
      </c>
      <c r="X21" t="str">
        <f t="shared" ca="1" si="7"/>
        <v>Based on MS Stats</v>
      </c>
      <c r="AA21" s="3">
        <f t="shared" ca="1" si="1"/>
        <v>6911.0230000000001</v>
      </c>
      <c r="AB21" s="3">
        <f t="shared" ca="1" si="8"/>
        <v>6794.772457036077</v>
      </c>
      <c r="AC21" s="3">
        <f t="shared" ca="1" si="8"/>
        <v>6831.0570741298234</v>
      </c>
      <c r="AD21" s="3">
        <f t="shared" ca="1" si="8"/>
        <v>6778.9857239032917</v>
      </c>
      <c r="AE21" s="3">
        <f t="shared" ca="1" si="2"/>
        <v>6318.9859000000288</v>
      </c>
      <c r="AF21" s="3">
        <f ca="1">IF(ISNUMBER(AF56),$AA21*(1+AF56),"")</f>
        <v>6878.9621772778637</v>
      </c>
      <c r="AI21">
        <f t="shared" si="10"/>
        <v>3</v>
      </c>
      <c r="AK21" s="7">
        <f t="shared" ca="1" si="3"/>
        <v>0.15986350236267838</v>
      </c>
      <c r="AL21" s="18">
        <f t="shared" ca="1" si="4"/>
        <v>9.8194497174485806E-2</v>
      </c>
      <c r="AN21" s="7" t="str">
        <f>IFERROR(INDEX('MS Stats list'!P:P, MATCH(B21,'MS Stats list'!B:B,0)),"")</f>
        <v>SEAI - 2022 Provisional Energy Balance</v>
      </c>
    </row>
    <row r="22" spans="1:40">
      <c r="A22">
        <v>17</v>
      </c>
      <c r="B22" t="s">
        <v>157</v>
      </c>
      <c r="C22" t="s">
        <v>157</v>
      </c>
      <c r="D22" s="3">
        <v>75864.392000000007</v>
      </c>
      <c r="E22" s="3">
        <v>74238.747000000003</v>
      </c>
      <c r="F22" s="3">
        <v>71999.475000000006</v>
      </c>
      <c r="G22" s="3">
        <v>67758.491999999998</v>
      </c>
      <c r="H22" s="3">
        <v>62786.631999999998</v>
      </c>
      <c r="I22" s="3">
        <v>59547.55</v>
      </c>
      <c r="J22" s="3">
        <v>57355.385999999999</v>
      </c>
      <c r="K22" s="3">
        <v>51278.597000000002</v>
      </c>
      <c r="L22" s="3">
        <v>50576.154000000002</v>
      </c>
      <c r="M22" s="3">
        <v>48066.400999999998</v>
      </c>
      <c r="N22" s="3">
        <v>50756.425999999999</v>
      </c>
      <c r="O22" s="3">
        <v>49241.394</v>
      </c>
      <c r="P22" s="3">
        <v>48221.99</v>
      </c>
      <c r="Q22" s="3">
        <v>48260.669000000002</v>
      </c>
      <c r="R22" s="3">
        <v>47673.392</v>
      </c>
      <c r="S22" s="3">
        <v>38794.133000000002</v>
      </c>
      <c r="T22" s="3">
        <v>45808.269</v>
      </c>
      <c r="U22" s="3">
        <v>46426.991999999998</v>
      </c>
      <c r="V22" s="3">
        <f t="shared" ca="1" si="5"/>
        <v>45824.647815970224</v>
      </c>
      <c r="W22" s="16">
        <f t="shared" si="6"/>
        <v>3</v>
      </c>
      <c r="X22" t="str">
        <f t="shared" si="7"/>
        <v>BP</v>
      </c>
      <c r="AA22" s="3">
        <f t="shared" ca="1" si="1"/>
        <v>46426.991999999998</v>
      </c>
      <c r="AB22" s="3">
        <f t="shared" ca="1" si="8"/>
        <v>45653.501840290388</v>
      </c>
      <c r="AC22" s="3">
        <f t="shared" ca="1" si="8"/>
        <v>45824.647815970224</v>
      </c>
      <c r="AD22" s="3">
        <f t="shared" ca="1" si="8"/>
        <v>45033.063665697759</v>
      </c>
      <c r="AE22" s="3">
        <f t="shared" ca="1" si="2"/>
        <v>43732.947900000261</v>
      </c>
      <c r="AF22" s="3" t="str">
        <f t="shared" si="9"/>
        <v/>
      </c>
      <c r="AI22">
        <f t="shared" si="10"/>
        <v>3</v>
      </c>
      <c r="AK22" s="7">
        <f t="shared" ca="1" si="3"/>
        <v>5.2582236266251262E-2</v>
      </c>
      <c r="AL22" s="18">
        <f t="shared" ca="1" si="4"/>
        <v>0.1301046064128224</v>
      </c>
      <c r="AN22" s="7" t="str">
        <f>IFERROR(INDEX('MS Stats list'!P:P, MATCH(B22,'MS Stats list'!B:B,0)),"")</f>
        <v>Ministry of Ecological Transition</v>
      </c>
    </row>
    <row r="23" spans="1:40">
      <c r="A23">
        <v>18</v>
      </c>
      <c r="B23" t="s">
        <v>137</v>
      </c>
      <c r="C23" t="s">
        <v>137</v>
      </c>
      <c r="D23" s="3">
        <v>2465.9589999999998</v>
      </c>
      <c r="E23" s="3">
        <v>2473.645</v>
      </c>
      <c r="F23" s="3">
        <v>2483.2800000000002</v>
      </c>
      <c r="G23" s="3">
        <v>2704.6239999999998</v>
      </c>
      <c r="H23" s="3">
        <v>2345.89</v>
      </c>
      <c r="I23" s="3">
        <v>2370.3150000000001</v>
      </c>
      <c r="J23" s="3">
        <v>2275.5610000000001</v>
      </c>
      <c r="K23" s="3">
        <v>2365.89</v>
      </c>
      <c r="L23" s="3">
        <v>2309.1350000000002</v>
      </c>
      <c r="M23" s="3">
        <v>2384</v>
      </c>
      <c r="N23" s="3">
        <v>2425.8670000000002</v>
      </c>
      <c r="O23" s="3">
        <v>2629.2460000000001</v>
      </c>
      <c r="P23" s="3">
        <v>2685.1219999999998</v>
      </c>
      <c r="Q23" s="3">
        <v>2814.0970000000002</v>
      </c>
      <c r="R23" s="3">
        <v>2772.877</v>
      </c>
      <c r="S23" s="3">
        <v>2643.4380000000001</v>
      </c>
      <c r="T23" s="3">
        <v>2678.9340000000002</v>
      </c>
      <c r="U23" s="3">
        <v>2794.8040000000001</v>
      </c>
      <c r="V23" s="3">
        <f t="shared" ca="1" si="5"/>
        <v>2916.4684768645288</v>
      </c>
      <c r="W23" s="16">
        <f t="shared" ca="1" si="6"/>
        <v>6</v>
      </c>
      <c r="X23" t="str">
        <f t="shared" ca="1" si="7"/>
        <v>Based on MS Stats</v>
      </c>
      <c r="AA23" s="3">
        <f t="shared" ca="1" si="1"/>
        <v>2794.8040000000001</v>
      </c>
      <c r="AB23" s="3">
        <f t="shared" ca="1" si="8"/>
        <v>2882.0328788910101</v>
      </c>
      <c r="AC23" s="3">
        <f t="shared" ca="1" si="8"/>
        <v>2841.2004179410014</v>
      </c>
      <c r="AD23" s="3">
        <f t="shared" ca="1" si="8"/>
        <v>2809.1771308068373</v>
      </c>
      <c r="AE23" s="3">
        <f t="shared" ca="1" si="2"/>
        <v>2701.0712999999996</v>
      </c>
      <c r="AF23" s="3">
        <f t="shared" ca="1" si="9"/>
        <v>2916.4684768645288</v>
      </c>
      <c r="AI23">
        <f t="shared" si="10"/>
        <v>3</v>
      </c>
      <c r="AK23" s="7">
        <f t="shared" ca="1" si="3"/>
        <v>7.763212198350504E-2</v>
      </c>
      <c r="AL23" s="18">
        <f t="shared" ca="1" si="4"/>
        <v>3.9923095660576384E-2</v>
      </c>
      <c r="AN23" s="7" t="str">
        <f>IFERROR(INDEX('MS Stats list'!P:P, MATCH(B23,'MS Stats list'!B:B,0)),"")</f>
        <v>Statistics Lithuania - Energy balances</v>
      </c>
    </row>
    <row r="24" spans="1:40">
      <c r="A24">
        <v>19</v>
      </c>
      <c r="B24" t="s">
        <v>184</v>
      </c>
      <c r="C24" t="s">
        <v>184</v>
      </c>
      <c r="D24" s="3">
        <v>3133.2080000000001</v>
      </c>
      <c r="E24" s="3">
        <v>2953.0709999999999</v>
      </c>
      <c r="F24" s="3">
        <v>2880.2730000000001</v>
      </c>
      <c r="G24" s="3">
        <v>2902.9670000000001</v>
      </c>
      <c r="H24" s="3">
        <v>2714.3879999999999</v>
      </c>
      <c r="I24" s="3">
        <v>2839.9290000000001</v>
      </c>
      <c r="J24" s="3">
        <v>2898</v>
      </c>
      <c r="K24" s="3">
        <v>2790.0369999999998</v>
      </c>
      <c r="L24" s="3">
        <v>2746.9380000000001</v>
      </c>
      <c r="M24" s="3">
        <v>2649.076</v>
      </c>
      <c r="N24" s="3">
        <v>2603.6550000000002</v>
      </c>
      <c r="O24" s="3">
        <v>2597.2939999999999</v>
      </c>
      <c r="P24" s="3">
        <v>2722.1660000000002</v>
      </c>
      <c r="Q24" s="3">
        <v>2876.2289999999998</v>
      </c>
      <c r="R24" s="3">
        <v>2911.3359999999998</v>
      </c>
      <c r="S24" s="3">
        <v>2366.5010000000002</v>
      </c>
      <c r="T24" s="3">
        <v>2540.5990000000002</v>
      </c>
      <c r="U24" s="3">
        <v>2315.587</v>
      </c>
      <c r="V24" s="3">
        <f t="shared" ca="1" si="5"/>
        <v>2260.3874470062296</v>
      </c>
      <c r="W24" s="16">
        <f t="shared" si="6"/>
        <v>2</v>
      </c>
      <c r="X24" t="str">
        <f t="shared" si="7"/>
        <v>Eurostat</v>
      </c>
      <c r="AA24" s="3">
        <f t="shared" ca="1" si="1"/>
        <v>2315.587</v>
      </c>
      <c r="AB24" s="3">
        <f t="shared" ca="1" si="8"/>
        <v>2260.3874470062296</v>
      </c>
      <c r="AC24" s="3">
        <f t="shared" ca="1" si="8"/>
        <v>2246.6688163792014</v>
      </c>
      <c r="AD24" s="3">
        <f t="shared" ca="1" si="8"/>
        <v>2276.2101835672156</v>
      </c>
      <c r="AE24" s="3">
        <f t="shared" ca="1" si="2"/>
        <v>2154.4441000000224</v>
      </c>
      <c r="AF24" s="3" t="str">
        <f t="shared" si="9"/>
        <v/>
      </c>
      <c r="AI24">
        <f t="shared" si="10"/>
        <v>2</v>
      </c>
      <c r="AK24" s="7">
        <f t="shared" ca="1" si="3"/>
        <v>0.71315342000018156</v>
      </c>
      <c r="AL24" s="18">
        <f t="shared" ca="1" si="4"/>
        <v>0.10962977329504238</v>
      </c>
      <c r="AN24" s="7" t="str">
        <f>IFERROR(INDEX('MS Stats list'!P:P, MATCH(B24,'MS Stats list'!B:B,0)),"")</f>
        <v/>
      </c>
    </row>
    <row r="25" spans="1:40">
      <c r="A25">
        <v>20</v>
      </c>
      <c r="B25" t="s">
        <v>93</v>
      </c>
      <c r="C25" t="s">
        <v>93</v>
      </c>
      <c r="D25" s="3">
        <v>1387.2940000000001</v>
      </c>
      <c r="E25" s="3">
        <v>1512.8520000000001</v>
      </c>
      <c r="F25" s="3">
        <v>1636.18</v>
      </c>
      <c r="G25" s="3">
        <v>1536.7670000000001</v>
      </c>
      <c r="H25" s="3">
        <v>1410.076</v>
      </c>
      <c r="I25" s="3">
        <v>1448</v>
      </c>
      <c r="J25" s="3">
        <v>1302.954</v>
      </c>
      <c r="K25" s="3">
        <v>1284.402</v>
      </c>
      <c r="L25" s="3">
        <v>1300.6590000000001</v>
      </c>
      <c r="M25" s="3">
        <v>1339.14</v>
      </c>
      <c r="N25" s="3">
        <v>1372.835</v>
      </c>
      <c r="O25" s="3">
        <v>1391.309</v>
      </c>
      <c r="P25" s="3">
        <v>1476.3030000000001</v>
      </c>
      <c r="Q25" s="3">
        <v>1489.72</v>
      </c>
      <c r="R25" s="3">
        <v>1455.5509999999999</v>
      </c>
      <c r="S25" s="3">
        <v>1329.172</v>
      </c>
      <c r="T25" s="3">
        <v>1382.4880000000001</v>
      </c>
      <c r="U25" s="3">
        <v>1447.4490000000001</v>
      </c>
      <c r="V25" s="3">
        <f t="shared" ca="1" si="5"/>
        <v>1470.3516740506332</v>
      </c>
      <c r="W25" s="16">
        <f t="shared" ca="1" si="6"/>
        <v>6</v>
      </c>
      <c r="X25" t="str">
        <f t="shared" ca="1" si="7"/>
        <v>Based on MS Stats</v>
      </c>
      <c r="AA25" s="3">
        <f t="shared" ca="1" si="1"/>
        <v>1447.4490000000001</v>
      </c>
      <c r="AB25" s="3">
        <f t="shared" ca="1" si="8"/>
        <v>1504.4103961348524</v>
      </c>
      <c r="AC25" s="3">
        <f t="shared" ca="1" si="8"/>
        <v>1445.2576635996479</v>
      </c>
      <c r="AD25" s="3">
        <f t="shared" ca="1" si="8"/>
        <v>1433.8419343241824</v>
      </c>
      <c r="AE25" s="3">
        <f t="shared" ca="1" si="2"/>
        <v>1373.5945000000029</v>
      </c>
      <c r="AF25" s="3">
        <f t="shared" ca="1" si="9"/>
        <v>1470.3516740506332</v>
      </c>
      <c r="AI25">
        <f t="shared" si="10"/>
        <v>3</v>
      </c>
      <c r="AK25" s="7">
        <f t="shared" ca="1" si="3"/>
        <v>0.15025695806232803</v>
      </c>
      <c r="AL25" s="18">
        <f t="shared" ca="1" si="4"/>
        <v>5.4606347634331122E-2</v>
      </c>
      <c r="AN25" s="7" t="str">
        <f>IFERROR(INDEX('MS Stats list'!P:P, MATCH(B25,'MS Stats list'!B:B,0)),"")</f>
        <v/>
      </c>
    </row>
    <row r="26" spans="1:40">
      <c r="A26">
        <v>21</v>
      </c>
      <c r="B26" t="s">
        <v>141</v>
      </c>
      <c r="C26" t="s">
        <v>141</v>
      </c>
      <c r="D26" s="3">
        <v>915.19500000000005</v>
      </c>
      <c r="E26" s="3">
        <v>923.91800000000001</v>
      </c>
      <c r="F26" s="3">
        <v>948.28499999999997</v>
      </c>
      <c r="G26" s="3">
        <v>957.28899999999999</v>
      </c>
      <c r="H26" s="3">
        <v>882.87</v>
      </c>
      <c r="I26" s="3">
        <v>924.62</v>
      </c>
      <c r="J26" s="3">
        <v>919.50900000000001</v>
      </c>
      <c r="K26" s="3">
        <v>958.75099999999998</v>
      </c>
      <c r="L26" s="3">
        <v>862.13800000000003</v>
      </c>
      <c r="M26" s="3">
        <v>868.61099999999999</v>
      </c>
      <c r="N26" s="3">
        <v>640.17899999999997</v>
      </c>
      <c r="O26" s="3">
        <v>553.93200000000002</v>
      </c>
      <c r="P26" s="3">
        <v>459.798</v>
      </c>
      <c r="Q26" s="3">
        <v>443.29</v>
      </c>
      <c r="R26" s="3">
        <v>475.88299999999998</v>
      </c>
      <c r="S26" s="3">
        <v>344.21600000000001</v>
      </c>
      <c r="T26" s="3">
        <v>364.31299999999999</v>
      </c>
      <c r="U26" s="3">
        <v>464.53699999999998</v>
      </c>
      <c r="V26" s="3">
        <f ca="1">INDEX($AA26:$AH26,1,W26)</f>
        <v>456.65199232954211</v>
      </c>
      <c r="W26" s="16">
        <f t="shared" si="6"/>
        <v>2</v>
      </c>
      <c r="X26" t="str">
        <f t="shared" si="7"/>
        <v>Eurostat</v>
      </c>
      <c r="AA26" s="3">
        <f t="shared" ca="1" si="1"/>
        <v>464.53699999999998</v>
      </c>
      <c r="AB26" s="3">
        <f t="shared" ca="1" si="8"/>
        <v>456.65199232954211</v>
      </c>
      <c r="AC26" s="3" t="e">
        <f t="shared" ca="1" si="8"/>
        <v>#N/A</v>
      </c>
      <c r="AD26" s="3">
        <f t="shared" ca="1" si="8"/>
        <v>434.89048025487597</v>
      </c>
      <c r="AE26" s="3">
        <f t="shared" ca="1" si="2"/>
        <v>397.72500000000036</v>
      </c>
      <c r="AF26" s="3" t="str">
        <f t="shared" si="9"/>
        <v/>
      </c>
      <c r="AH26" s="16"/>
      <c r="AI26">
        <f t="shared" si="10"/>
        <v>2</v>
      </c>
      <c r="AK26" s="7">
        <f t="shared" ca="1" si="3"/>
        <v>3.2949828933265805E-2</v>
      </c>
      <c r="AL26" s="18">
        <f t="shared" ca="1" si="4"/>
        <v>0.20034595143920239</v>
      </c>
      <c r="AN26" s="7" t="str">
        <f>IFERROR(INDEX('MS Stats list'!P:P, MATCH(B26,'MS Stats list'!B:B,0)),"")</f>
        <v>Msdata from consultations</v>
      </c>
    </row>
    <row r="27" spans="1:40">
      <c r="A27">
        <v>22</v>
      </c>
      <c r="B27" t="s">
        <v>145</v>
      </c>
      <c r="C27" t="s">
        <v>145</v>
      </c>
      <c r="D27" s="3">
        <v>23511.87</v>
      </c>
      <c r="E27" s="3">
        <v>23757.99</v>
      </c>
      <c r="F27" s="3">
        <v>24192.262999999999</v>
      </c>
      <c r="G27" s="3">
        <v>23307.167000000001</v>
      </c>
      <c r="H27" s="3">
        <v>21859.133999999998</v>
      </c>
      <c r="I27" s="3">
        <v>22238.233</v>
      </c>
      <c r="J27" s="3">
        <v>21778.738000000001</v>
      </c>
      <c r="K27" s="3">
        <v>21637.251</v>
      </c>
      <c r="L27" s="3">
        <v>20965.038</v>
      </c>
      <c r="M27" s="3">
        <v>20591.661</v>
      </c>
      <c r="N27" s="3">
        <v>15580.662</v>
      </c>
      <c r="O27" s="3">
        <v>18820.538</v>
      </c>
      <c r="P27" s="3">
        <v>17607.329000000002</v>
      </c>
      <c r="Q27" s="3">
        <v>15032.251</v>
      </c>
      <c r="R27" s="3">
        <v>20967.488000000001</v>
      </c>
      <c r="S27" s="3">
        <v>17463.446</v>
      </c>
      <c r="T27" s="3">
        <v>18314.567999999999</v>
      </c>
      <c r="U27" s="3">
        <v>19441.504000000001</v>
      </c>
      <c r="V27" s="3">
        <f t="shared" ca="1" si="5"/>
        <v>19928.165633363406</v>
      </c>
      <c r="W27" s="16">
        <f t="shared" si="6"/>
        <v>3</v>
      </c>
      <c r="X27" t="str">
        <f t="shared" si="7"/>
        <v>BP</v>
      </c>
      <c r="AA27" s="3">
        <f t="shared" ca="1" si="1"/>
        <v>19441.504000000001</v>
      </c>
      <c r="AB27" s="3">
        <f t="shared" ca="1" si="8"/>
        <v>19969.092223503714</v>
      </c>
      <c r="AC27" s="3">
        <f t="shared" ca="1" si="8"/>
        <v>19928.165633363406</v>
      </c>
      <c r="AD27" s="3">
        <f t="shared" ca="1" si="8"/>
        <v>18199.632269764264</v>
      </c>
      <c r="AE27" s="3">
        <f t="shared" ca="1" si="2"/>
        <v>20093.527199999895</v>
      </c>
      <c r="AF27" s="3" t="str">
        <f t="shared" si="9"/>
        <v/>
      </c>
      <c r="AI27">
        <f t="shared" si="10"/>
        <v>3</v>
      </c>
      <c r="AK27" s="7">
        <f t="shared" ca="1" si="3"/>
        <v>0.19217679481992994</v>
      </c>
      <c r="AL27" s="18">
        <f t="shared" ca="1" si="4"/>
        <v>0.22584295861178247</v>
      </c>
      <c r="AN27" s="7" t="str">
        <f>IFERROR(INDEX('MS Stats list'!P:P, MATCH(B27,'MS Stats list'!B:B,0)),"")</f>
        <v>CBS - Energy balance sheet; supply, transformation and consumption</v>
      </c>
    </row>
    <row r="28" spans="1:40">
      <c r="A28">
        <v>23</v>
      </c>
      <c r="B28" t="s">
        <v>185</v>
      </c>
      <c r="C28" t="s">
        <v>185</v>
      </c>
      <c r="D28" s="3">
        <v>19581.207999999999</v>
      </c>
      <c r="E28" s="3">
        <v>20560.694</v>
      </c>
      <c r="F28" s="3">
        <v>21136.558000000001</v>
      </c>
      <c r="G28" s="3">
        <v>22142.550999999999</v>
      </c>
      <c r="H28" s="3">
        <v>21498.628000000001</v>
      </c>
      <c r="I28" s="3">
        <v>22731.115000000002</v>
      </c>
      <c r="J28" s="3">
        <v>23060.022000000001</v>
      </c>
      <c r="K28" s="3">
        <v>22163.909</v>
      </c>
      <c r="L28" s="3">
        <v>19907.367999999999</v>
      </c>
      <c r="M28" s="3">
        <v>19696.655999999999</v>
      </c>
      <c r="N28" s="3">
        <v>20659.644</v>
      </c>
      <c r="O28" s="3">
        <v>23199.852999999999</v>
      </c>
      <c r="P28" s="3">
        <v>26311.606</v>
      </c>
      <c r="Q28" s="3">
        <v>27214.870999999999</v>
      </c>
      <c r="R28" s="3">
        <v>27637.011999999999</v>
      </c>
      <c r="S28" s="3">
        <v>25800.953000000001</v>
      </c>
      <c r="T28" s="3">
        <v>28101.704000000002</v>
      </c>
      <c r="U28" s="3">
        <v>29226.232</v>
      </c>
      <c r="V28" s="3">
        <f t="shared" ca="1" si="5"/>
        <v>29294.221180442084</v>
      </c>
      <c r="W28" s="16">
        <f t="shared" si="6"/>
        <v>3</v>
      </c>
      <c r="X28" t="str">
        <f t="shared" si="7"/>
        <v>BP</v>
      </c>
      <c r="AA28" s="3">
        <f t="shared" ca="1" si="1"/>
        <v>29226.232</v>
      </c>
      <c r="AB28" s="3">
        <f ca="1">$AA28*(1+AB63)</f>
        <v>29001.229222521859</v>
      </c>
      <c r="AC28" s="3">
        <f t="shared" ca="1" si="8"/>
        <v>29294.221180442084</v>
      </c>
      <c r="AD28" s="3">
        <f t="shared" ca="1" si="8"/>
        <v>28712.459654437072</v>
      </c>
      <c r="AE28" s="3">
        <f t="shared" ca="1" si="2"/>
        <v>28942.378599999938</v>
      </c>
      <c r="AF28" s="3" t="str">
        <f t="shared" si="9"/>
        <v/>
      </c>
      <c r="AI28">
        <f t="shared" si="10"/>
        <v>3</v>
      </c>
      <c r="AK28" s="7">
        <f t="shared" ca="1" si="3"/>
        <v>0.32052200929896635</v>
      </c>
      <c r="AL28" s="18">
        <f t="shared" ca="1" si="4"/>
        <v>5.6679577546102651E-2</v>
      </c>
      <c r="AN28" s="7" t="str">
        <f>IFERROR(INDEX('MS Stats list'!P:P, MATCH(B28,'MS Stats list'!B:B,0)),"")</f>
        <v/>
      </c>
    </row>
    <row r="29" spans="1:40">
      <c r="A29">
        <v>24</v>
      </c>
      <c r="B29" t="s">
        <v>149</v>
      </c>
      <c r="C29" t="s">
        <v>149</v>
      </c>
      <c r="D29" s="3">
        <v>13550.040999999999</v>
      </c>
      <c r="E29" s="3">
        <v>12269.503000000001</v>
      </c>
      <c r="F29" s="3">
        <v>11908.361000000001</v>
      </c>
      <c r="G29" s="3">
        <v>11662.294</v>
      </c>
      <c r="H29" s="3">
        <v>11214.311</v>
      </c>
      <c r="I29" s="3">
        <v>10664.986000000001</v>
      </c>
      <c r="J29" s="3">
        <v>9781.0930000000008</v>
      </c>
      <c r="K29" s="3">
        <v>8990.49</v>
      </c>
      <c r="L29" s="3">
        <v>8921.7980000000007</v>
      </c>
      <c r="M29" s="3">
        <v>8767.0720000000001</v>
      </c>
      <c r="N29" s="3">
        <v>9024.7340000000004</v>
      </c>
      <c r="O29" s="3">
        <v>9200.9719999999998</v>
      </c>
      <c r="P29" s="3">
        <v>9382.5889999999999</v>
      </c>
      <c r="Q29" s="3">
        <v>9520.0609999999997</v>
      </c>
      <c r="R29" s="3">
        <v>9668.0360000000001</v>
      </c>
      <c r="S29" s="3">
        <v>7820.27</v>
      </c>
      <c r="T29" s="3">
        <v>7942.0950000000003</v>
      </c>
      <c r="U29" s="3">
        <v>9355.7350000000006</v>
      </c>
      <c r="V29" s="3">
        <f t="shared" ca="1" si="5"/>
        <v>8963.9499980015989</v>
      </c>
      <c r="W29" s="16">
        <f t="shared" si="6"/>
        <v>3</v>
      </c>
      <c r="X29" t="str">
        <f t="shared" si="7"/>
        <v>BP</v>
      </c>
      <c r="AA29" s="3">
        <f t="shared" ca="1" si="1"/>
        <v>9355.7350000000006</v>
      </c>
      <c r="AB29" s="3">
        <f t="shared" ca="1" si="8"/>
        <v>8738.0270573003327</v>
      </c>
      <c r="AC29" s="3">
        <f t="shared" ca="1" si="8"/>
        <v>8963.9499980015989</v>
      </c>
      <c r="AD29" s="3">
        <f t="shared" ca="1" si="8"/>
        <v>9057.6594325515707</v>
      </c>
      <c r="AE29" s="3">
        <f t="shared" ca="1" si="2"/>
        <v>8244.8614999999991</v>
      </c>
      <c r="AF29" s="3" t="str">
        <f t="shared" si="9"/>
        <v/>
      </c>
      <c r="AI29">
        <f t="shared" si="10"/>
        <v>3</v>
      </c>
      <c r="AK29" s="7">
        <f t="shared" ca="1" si="3"/>
        <v>0.12957136182020526</v>
      </c>
      <c r="AL29" s="18">
        <f t="shared" ca="1" si="4"/>
        <v>0.13104839004709712</v>
      </c>
      <c r="AN29" s="7" t="str">
        <f>IFERROR(INDEX('MS Stats list'!P:P, MATCH(B29,'MS Stats list'!B:B,0)),"")</f>
        <v>DGEG - Balanço Energético Sintético 2022</v>
      </c>
    </row>
    <row r="30" spans="1:40">
      <c r="A30">
        <v>25</v>
      </c>
      <c r="B30" t="s">
        <v>186</v>
      </c>
      <c r="C30" t="s">
        <v>186</v>
      </c>
      <c r="D30" s="3">
        <v>8243.3449999999993</v>
      </c>
      <c r="E30" s="3">
        <v>8628.17</v>
      </c>
      <c r="F30" s="3">
        <v>8774.0030000000006</v>
      </c>
      <c r="G30" s="3">
        <v>8590.5010000000002</v>
      </c>
      <c r="H30" s="3">
        <v>7232.5659999999998</v>
      </c>
      <c r="I30" s="3">
        <v>7347.1350000000002</v>
      </c>
      <c r="J30" s="3">
        <v>7327.2889999999998</v>
      </c>
      <c r="K30" s="3">
        <v>7584.7460000000001</v>
      </c>
      <c r="L30" s="3">
        <v>7291.21</v>
      </c>
      <c r="M30" s="3">
        <v>7295.1809999999996</v>
      </c>
      <c r="N30" s="3">
        <v>7865.4650000000001</v>
      </c>
      <c r="O30" s="3">
        <v>7965.4260000000004</v>
      </c>
      <c r="P30" s="3">
        <v>8906.5049999999992</v>
      </c>
      <c r="Q30" s="3">
        <v>9075.1839999999993</v>
      </c>
      <c r="R30" s="3">
        <v>9140.7530000000006</v>
      </c>
      <c r="S30" s="3">
        <v>8804.9609999999993</v>
      </c>
      <c r="T30" s="3">
        <v>9709.0310000000009</v>
      </c>
      <c r="U30" s="3">
        <v>9892.2999999999993</v>
      </c>
      <c r="V30" s="3">
        <f t="shared" ca="1" si="5"/>
        <v>9901.1613060259169</v>
      </c>
      <c r="W30" s="16">
        <f t="shared" si="6"/>
        <v>3</v>
      </c>
      <c r="X30" t="str">
        <f t="shared" si="7"/>
        <v>BP</v>
      </c>
      <c r="AA30" s="3">
        <f t="shared" ca="1" si="1"/>
        <v>9892.2999999999993</v>
      </c>
      <c r="AB30" s="3">
        <f t="shared" ca="1" si="8"/>
        <v>10196.183084121656</v>
      </c>
      <c r="AC30" s="3">
        <f t="shared" ca="1" si="8"/>
        <v>9901.1613060259169</v>
      </c>
      <c r="AD30" s="3">
        <f t="shared" ca="1" si="8"/>
        <v>10035.643460777834</v>
      </c>
      <c r="AE30" s="3">
        <f t="shared" ca="1" si="2"/>
        <v>9985.1987999999546</v>
      </c>
      <c r="AF30" s="3" t="str">
        <f t="shared" si="9"/>
        <v/>
      </c>
      <c r="AI30">
        <f t="shared" si="10"/>
        <v>3</v>
      </c>
      <c r="AK30" s="7">
        <f t="shared" ca="1" si="3"/>
        <v>0.58019761070710207</v>
      </c>
      <c r="AL30" s="18">
        <f t="shared" ca="1" si="4"/>
        <v>5.048750103496414E-2</v>
      </c>
      <c r="AN30" s="7" t="str">
        <f>IFERROR(INDEX('MS Stats list'!P:P, MATCH(B30,'MS Stats list'!B:B,0)),"")</f>
        <v/>
      </c>
    </row>
    <row r="31" spans="1:40">
      <c r="A31">
        <v>26</v>
      </c>
      <c r="B31" t="s">
        <v>187</v>
      </c>
      <c r="C31" t="s">
        <v>187</v>
      </c>
      <c r="D31" s="3">
        <v>12440.669</v>
      </c>
      <c r="E31" s="3">
        <v>11672.821</v>
      </c>
      <c r="F31" s="3">
        <v>11099.394</v>
      </c>
      <c r="G31" s="3">
        <v>11898.968000000001</v>
      </c>
      <c r="H31" s="3">
        <v>10857.045</v>
      </c>
      <c r="I31" s="3">
        <v>12565.972</v>
      </c>
      <c r="J31" s="3">
        <v>12620.031000000001</v>
      </c>
      <c r="K31" s="3">
        <v>11526.38</v>
      </c>
      <c r="L31" s="3">
        <v>10684.254000000001</v>
      </c>
      <c r="M31" s="3">
        <v>10420.963</v>
      </c>
      <c r="N31" s="3">
        <v>7837.317</v>
      </c>
      <c r="O31" s="3">
        <v>8875.6239999999998</v>
      </c>
      <c r="P31" s="3">
        <v>8547.9599999999991</v>
      </c>
      <c r="Q31" s="3">
        <v>9809.7780000000002</v>
      </c>
      <c r="R31" s="3">
        <v>8620.4419999999991</v>
      </c>
      <c r="S31" s="3">
        <v>7175.5320000000002</v>
      </c>
      <c r="T31" s="3">
        <v>7631.567</v>
      </c>
      <c r="U31" s="3">
        <v>7969.9470000000001</v>
      </c>
      <c r="V31" s="3">
        <f t="shared" ca="1" si="5"/>
        <v>8104.4754526826155</v>
      </c>
      <c r="W31" s="16">
        <f t="shared" si="6"/>
        <v>2</v>
      </c>
      <c r="X31" t="str">
        <f t="shared" si="7"/>
        <v>Eurostat</v>
      </c>
      <c r="AA31" s="3">
        <f t="shared" ca="1" si="1"/>
        <v>7969.9470000000001</v>
      </c>
      <c r="AB31" s="3">
        <f t="shared" ca="1" si="8"/>
        <v>8104.4754526826155</v>
      </c>
      <c r="AC31" s="3">
        <f t="shared" ca="1" si="8"/>
        <v>7776.2644610175976</v>
      </c>
      <c r="AD31" s="3">
        <f t="shared" ca="1" si="8"/>
        <v>7287.7365510535501</v>
      </c>
      <c r="AE31" s="3">
        <f t="shared" ca="1" si="2"/>
        <v>6840.8921000000555</v>
      </c>
      <c r="AF31" s="3" t="str">
        <f t="shared" si="9"/>
        <v/>
      </c>
      <c r="AI31">
        <f t="shared" si="10"/>
        <v>2</v>
      </c>
      <c r="AK31" s="7">
        <f t="shared" ca="1" si="3"/>
        <v>0.52077679093105789</v>
      </c>
      <c r="AL31" s="18">
        <f t="shared" ca="1" si="4"/>
        <v>0.13263389612331578</v>
      </c>
      <c r="AN31" s="7" t="str">
        <f>IFERROR(INDEX('MS Stats list'!P:P, MATCH(B31,'MS Stats list'!B:B,0)),"")</f>
        <v/>
      </c>
    </row>
    <row r="32" spans="1:40">
      <c r="A32">
        <v>27</v>
      </c>
      <c r="B32" t="s">
        <v>79</v>
      </c>
      <c r="C32" t="s">
        <v>79</v>
      </c>
      <c r="D32" s="3">
        <v>2421.4389999999999</v>
      </c>
      <c r="E32" s="3">
        <v>2468.4050000000002</v>
      </c>
      <c r="F32" s="3">
        <v>2433.73</v>
      </c>
      <c r="G32" s="3">
        <v>2830.5619999999999</v>
      </c>
      <c r="H32" s="3">
        <v>2440.2060000000001</v>
      </c>
      <c r="I32" s="3">
        <v>2475.4549999999999</v>
      </c>
      <c r="J32" s="3">
        <v>2463.9670000000001</v>
      </c>
      <c r="K32" s="3">
        <v>2391.7370000000001</v>
      </c>
      <c r="L32" s="3">
        <v>2251.2139999999999</v>
      </c>
      <c r="M32" s="3">
        <v>2196.6689999999999</v>
      </c>
      <c r="N32" s="3">
        <v>2174.7559999999999</v>
      </c>
      <c r="O32" s="3">
        <v>2286.194</v>
      </c>
      <c r="P32" s="3">
        <v>2306.2759999999998</v>
      </c>
      <c r="Q32" s="3">
        <v>2314.6709999999998</v>
      </c>
      <c r="R32" s="3">
        <v>2222.2930000000001</v>
      </c>
      <c r="S32" s="3">
        <v>1875.7670000000001</v>
      </c>
      <c r="T32" s="3">
        <v>2053.1750000000002</v>
      </c>
      <c r="U32" s="3">
        <v>2275.3200000000002</v>
      </c>
      <c r="V32" s="3">
        <f t="shared" ca="1" si="5"/>
        <v>2001.5685245927443</v>
      </c>
      <c r="W32" s="16">
        <f t="shared" ca="1" si="6"/>
        <v>6</v>
      </c>
      <c r="X32" t="str">
        <f t="shared" ca="1" si="7"/>
        <v>Based on MS Stats</v>
      </c>
      <c r="AA32" s="3">
        <f t="shared" ca="1" si="1"/>
        <v>2275.3200000000002</v>
      </c>
      <c r="AB32" s="3">
        <f t="shared" ca="1" si="8"/>
        <v>1982.600033855269</v>
      </c>
      <c r="AC32" s="3">
        <f t="shared" ca="1" si="8"/>
        <v>2018.5846481714379</v>
      </c>
      <c r="AD32" s="3">
        <f t="shared" ca="1" si="8"/>
        <v>2217.566225838827</v>
      </c>
      <c r="AE32" s="3">
        <f t="shared" ca="1" si="2"/>
        <v>2073.8991999999926</v>
      </c>
      <c r="AF32" s="3">
        <f t="shared" ca="1" si="9"/>
        <v>2001.5685245927443</v>
      </c>
      <c r="AI32">
        <f t="shared" si="10"/>
        <v>3</v>
      </c>
      <c r="AK32" s="7">
        <f t="shared" ca="1" si="3"/>
        <v>4.6311840325791019E-2</v>
      </c>
      <c r="AL32" s="18">
        <f t="shared" ca="1" si="4"/>
        <v>0.10787712646768152</v>
      </c>
      <c r="AN32" s="7" t="str">
        <f>IFERROR(INDEX('MS Stats list'!P:P, MATCH(B32,'MS Stats list'!B:B,0)),"")</f>
        <v>Statistical Office of Slovenia - Energy balance</v>
      </c>
    </row>
    <row r="33" spans="1:40">
      <c r="A33">
        <v>28</v>
      </c>
      <c r="B33" t="s">
        <v>188</v>
      </c>
      <c r="C33" t="s">
        <v>188</v>
      </c>
      <c r="D33" s="3">
        <v>2402.7449999999999</v>
      </c>
      <c r="E33" s="3">
        <v>2282.9119999999998</v>
      </c>
      <c r="F33" s="3">
        <v>2466.6950000000002</v>
      </c>
      <c r="G33" s="3">
        <v>2667.5810000000001</v>
      </c>
      <c r="H33" s="3">
        <v>2454.424</v>
      </c>
      <c r="I33" s="3">
        <v>2713.2579999999998</v>
      </c>
      <c r="J33" s="3">
        <v>2646.8780000000002</v>
      </c>
      <c r="K33" s="3">
        <v>2632.817</v>
      </c>
      <c r="L33" s="3">
        <v>2468.703</v>
      </c>
      <c r="M33" s="3">
        <v>2245.9340000000002</v>
      </c>
      <c r="N33" s="3">
        <v>2486.471</v>
      </c>
      <c r="O33" s="3">
        <v>2739.1869999999999</v>
      </c>
      <c r="P33" s="3">
        <v>3028.81</v>
      </c>
      <c r="Q33" s="3">
        <v>3037.1489999999999</v>
      </c>
      <c r="R33" s="3">
        <v>3009.4549999999999</v>
      </c>
      <c r="S33" s="3">
        <v>2812.2339999999999</v>
      </c>
      <c r="T33" s="3">
        <v>2906.9270000000001</v>
      </c>
      <c r="U33" s="3">
        <v>3066.5079999999998</v>
      </c>
      <c r="V33" s="3">
        <f t="shared" ca="1" si="5"/>
        <v>3076.9525646904754</v>
      </c>
      <c r="W33" s="16">
        <f t="shared" si="6"/>
        <v>2</v>
      </c>
      <c r="X33" t="str">
        <f t="shared" si="7"/>
        <v>Eurostat</v>
      </c>
      <c r="AA33" s="3">
        <f t="shared" ca="1" si="1"/>
        <v>3066.5079999999998</v>
      </c>
      <c r="AB33" s="3">
        <f t="shared" ca="1" si="8"/>
        <v>3076.9525646904754</v>
      </c>
      <c r="AC33" s="3">
        <f t="shared" ca="1" si="8"/>
        <v>3085.2002880417554</v>
      </c>
      <c r="AD33" s="3">
        <f t="shared" ca="1" si="8"/>
        <v>3020.3572185794228</v>
      </c>
      <c r="AE33" s="3">
        <f t="shared" ca="1" si="2"/>
        <v>2953.3115999999991</v>
      </c>
      <c r="AF33" s="3" t="str">
        <f t="shared" si="9"/>
        <v/>
      </c>
      <c r="AI33">
        <f t="shared" si="10"/>
        <v>2</v>
      </c>
      <c r="AK33" s="7">
        <f t="shared" ca="1" si="3"/>
        <v>4.3438237626691814E-3</v>
      </c>
      <c r="AL33" s="18">
        <f t="shared" ca="1" si="4"/>
        <v>4.6036067771412989E-2</v>
      </c>
      <c r="AN33" s="7" t="str">
        <f>IFERROR(INDEX('MS Stats list'!P:P, MATCH(B33,'MS Stats list'!B:B,0)),"")</f>
        <v/>
      </c>
    </row>
    <row r="34" spans="1:40">
      <c r="A34">
        <v>29</v>
      </c>
      <c r="B34" t="s">
        <v>163</v>
      </c>
      <c r="C34" t="s">
        <v>163</v>
      </c>
      <c r="D34" s="3">
        <v>74694.051999999996</v>
      </c>
      <c r="E34" s="3">
        <v>74092.095000000001</v>
      </c>
      <c r="F34" s="3">
        <v>72315.966</v>
      </c>
      <c r="G34" s="3">
        <v>70829.392000000007</v>
      </c>
      <c r="H34" s="3">
        <v>66813.612999999998</v>
      </c>
      <c r="I34" s="3">
        <v>67183.019</v>
      </c>
      <c r="J34" s="3">
        <v>64436.813000000002</v>
      </c>
      <c r="K34" s="3">
        <v>64198.699000000001</v>
      </c>
      <c r="L34" s="3">
        <v>61527.425000000003</v>
      </c>
      <c r="M34" s="3">
        <v>62919.574000000001</v>
      </c>
      <c r="N34" s="3">
        <v>64171.741000000002</v>
      </c>
      <c r="O34" s="3">
        <v>64627.474999999999</v>
      </c>
      <c r="P34" s="3">
        <v>65670.092000000004</v>
      </c>
      <c r="Q34" s="3">
        <v>65221.196000000004</v>
      </c>
      <c r="R34" s="3">
        <v>64524.680999999997</v>
      </c>
      <c r="S34" s="3">
        <v>0</v>
      </c>
      <c r="T34" s="3">
        <v>0</v>
      </c>
      <c r="U34" s="3">
        <v>0</v>
      </c>
      <c r="V34" s="3">
        <f t="shared" ca="1" si="5"/>
        <v>0</v>
      </c>
      <c r="W34" s="16">
        <f t="shared" si="6"/>
        <v>3</v>
      </c>
      <c r="X34" t="str">
        <f t="shared" si="7"/>
        <v>BP</v>
      </c>
      <c r="AA34" s="3">
        <f t="shared" ca="1" si="1"/>
        <v>0</v>
      </c>
      <c r="AB34" s="3">
        <f t="shared" ca="1" si="8"/>
        <v>0</v>
      </c>
      <c r="AC34" s="3">
        <f t="shared" ca="1" si="8"/>
        <v>0</v>
      </c>
      <c r="AD34" s="3">
        <f t="shared" ca="1" si="8"/>
        <v>0</v>
      </c>
      <c r="AE34" s="3">
        <f t="shared" ca="1" si="2"/>
        <v>-32540.946500003338</v>
      </c>
      <c r="AF34" s="3" t="str">
        <f t="shared" si="9"/>
        <v/>
      </c>
      <c r="AI34">
        <f t="shared" si="10"/>
        <v>3</v>
      </c>
      <c r="AK34" s="7">
        <f t="shared" ca="1" si="3"/>
        <v>0.75265040172927644</v>
      </c>
      <c r="AL34" s="18">
        <f t="shared" ca="1" si="4"/>
        <v>0.44527897423794055</v>
      </c>
      <c r="AN34" s="7" t="str">
        <f>IFERROR(INDEX('MS Stats list'!P:P, MATCH(B34,'MS Stats list'!B:B,0)),"")</f>
        <v>BEIS - Digest of UK Energy Statistics (DUKES)</v>
      </c>
    </row>
    <row r="35" spans="1:40">
      <c r="B35" s="40" t="s">
        <v>189</v>
      </c>
      <c r="C35" s="40" t="s">
        <v>189</v>
      </c>
      <c r="D35" s="41">
        <f>SUM(D7:D34)</f>
        <v>583933.95400000003</v>
      </c>
      <c r="E35" s="41">
        <f t="shared" ref="E35:V35" si="13">SUM(E7:E34)</f>
        <v>580525.80100000021</v>
      </c>
      <c r="F35" s="41">
        <f t="shared" si="13"/>
        <v>562655.49499999988</v>
      </c>
      <c r="G35" s="41">
        <f t="shared" si="13"/>
        <v>561034.88699999999</v>
      </c>
      <c r="H35" s="41">
        <f t="shared" si="13"/>
        <v>530248.09900000005</v>
      </c>
      <c r="I35" s="41">
        <f t="shared" si="13"/>
        <v>522796.81599999988</v>
      </c>
      <c r="J35" s="41">
        <f t="shared" si="13"/>
        <v>507769.52600000007</v>
      </c>
      <c r="K35" s="41">
        <f t="shared" si="13"/>
        <v>488681.04399999999</v>
      </c>
      <c r="L35" s="41">
        <f t="shared" si="13"/>
        <v>476896.67499999999</v>
      </c>
      <c r="M35" s="41">
        <f t="shared" si="13"/>
        <v>473020.2840000001</v>
      </c>
      <c r="N35" s="41">
        <f t="shared" si="13"/>
        <v>477748.42300000013</v>
      </c>
      <c r="O35" s="41">
        <f t="shared" si="13"/>
        <v>485805.41499999992</v>
      </c>
      <c r="P35" s="41">
        <f t="shared" si="13"/>
        <v>493600.72300000006</v>
      </c>
      <c r="Q35" s="41">
        <f t="shared" si="13"/>
        <v>488142.57199999987</v>
      </c>
      <c r="R35" s="41">
        <f t="shared" ref="R35:S35" si="14">SUM(R7:R34)</f>
        <v>493117.90399999992</v>
      </c>
      <c r="S35" s="41">
        <f t="shared" si="14"/>
        <v>363516.15000000008</v>
      </c>
      <c r="T35" s="41">
        <f t="shared" ref="T35:U35" si="15">SUM(T7:T34)</f>
        <v>384069.25099999999</v>
      </c>
      <c r="U35" s="41">
        <f t="shared" si="15"/>
        <v>406603.34299999994</v>
      </c>
      <c r="V35" s="41">
        <f t="shared" ca="1" si="13"/>
        <v>396181.61362673721</v>
      </c>
    </row>
    <row r="36" spans="1:40">
      <c r="B36" s="40" t="s">
        <v>190</v>
      </c>
      <c r="C36" s="40" t="s">
        <v>190</v>
      </c>
      <c r="D36" s="41">
        <f>SUM(D7:D33)</f>
        <v>509239.902</v>
      </c>
      <c r="E36" s="41">
        <f t="shared" ref="E36:V36" si="16">SUM(E7:E33)</f>
        <v>506433.70600000018</v>
      </c>
      <c r="F36" s="41">
        <f t="shared" si="16"/>
        <v>490339.52899999992</v>
      </c>
      <c r="G36" s="41">
        <f t="shared" si="16"/>
        <v>490205.495</v>
      </c>
      <c r="H36" s="41">
        <f t="shared" si="16"/>
        <v>463434.48600000003</v>
      </c>
      <c r="I36" s="41">
        <f t="shared" si="16"/>
        <v>455613.7969999999</v>
      </c>
      <c r="J36" s="41">
        <f t="shared" si="16"/>
        <v>443332.71300000005</v>
      </c>
      <c r="K36" s="41">
        <f t="shared" si="16"/>
        <v>424482.34499999997</v>
      </c>
      <c r="L36" s="41">
        <f t="shared" si="16"/>
        <v>415369.25</v>
      </c>
      <c r="M36" s="41">
        <f t="shared" si="16"/>
        <v>410100.71000000008</v>
      </c>
      <c r="N36" s="41">
        <f t="shared" si="16"/>
        <v>413576.68200000015</v>
      </c>
      <c r="O36" s="41">
        <f t="shared" si="16"/>
        <v>421177.93999999994</v>
      </c>
      <c r="P36" s="41">
        <f t="shared" si="16"/>
        <v>427930.63100000005</v>
      </c>
      <c r="Q36" s="41">
        <f t="shared" si="16"/>
        <v>422921.37599999987</v>
      </c>
      <c r="R36" s="41">
        <f t="shared" ref="R36:S36" si="17">SUM(R7:R33)</f>
        <v>428593.22299999994</v>
      </c>
      <c r="S36" s="41">
        <f t="shared" si="17"/>
        <v>363516.15000000008</v>
      </c>
      <c r="T36" s="41">
        <f t="shared" ref="T36:U36" si="18">SUM(T7:T33)</f>
        <v>384069.25099999999</v>
      </c>
      <c r="U36" s="41">
        <f t="shared" si="18"/>
        <v>406603.34299999994</v>
      </c>
      <c r="V36" s="41">
        <f t="shared" ca="1" si="16"/>
        <v>396181.61362673721</v>
      </c>
    </row>
    <row r="39" spans="1:40">
      <c r="A39" s="5"/>
    </row>
    <row r="40" spans="1:40">
      <c r="A40" s="5" t="s">
        <v>191</v>
      </c>
      <c r="D40" t="s">
        <v>173</v>
      </c>
      <c r="AA40" t="s">
        <v>207</v>
      </c>
      <c r="AB40" t="s">
        <v>197</v>
      </c>
      <c r="AC40" t="s">
        <v>198</v>
      </c>
      <c r="AD40" t="str">
        <f>TrendDuration&amp;"yr mean chg"</f>
        <v>5yr mean chg</v>
      </c>
      <c r="AE40" t="str">
        <f>AE5</f>
        <v>5yr lin trend</v>
      </c>
      <c r="AF40" t="str">
        <f>AF5</f>
        <v>Based on MS Stats</v>
      </c>
      <c r="AG40" s="147" t="s">
        <v>208</v>
      </c>
    </row>
    <row r="41" spans="1:40">
      <c r="A41">
        <f t="shared" ref="A41:P56" si="19">A6</f>
        <v>0</v>
      </c>
      <c r="B41" t="str">
        <f t="shared" si="19"/>
        <v>MS Code 1</v>
      </c>
      <c r="C41" t="str">
        <f t="shared" si="19"/>
        <v>MS Code 2</v>
      </c>
      <c r="D41" s="1">
        <f t="shared" si="19"/>
        <v>2005</v>
      </c>
      <c r="E41" s="1">
        <f t="shared" si="19"/>
        <v>2006</v>
      </c>
      <c r="F41" s="1">
        <f t="shared" si="19"/>
        <v>2007</v>
      </c>
      <c r="G41" s="1">
        <f t="shared" si="19"/>
        <v>2008</v>
      </c>
      <c r="H41" s="1">
        <f t="shared" si="19"/>
        <v>2009</v>
      </c>
      <c r="I41" s="1">
        <f t="shared" si="19"/>
        <v>2010</v>
      </c>
      <c r="J41" s="1">
        <f t="shared" si="19"/>
        <v>2011</v>
      </c>
      <c r="K41" s="1">
        <f t="shared" si="19"/>
        <v>2012</v>
      </c>
      <c r="L41" s="1">
        <f t="shared" si="19"/>
        <v>2013</v>
      </c>
      <c r="M41" s="1">
        <f t="shared" si="19"/>
        <v>2014</v>
      </c>
      <c r="N41" s="1">
        <f t="shared" si="19"/>
        <v>2015</v>
      </c>
      <c r="O41" s="1">
        <f t="shared" si="19"/>
        <v>2016</v>
      </c>
      <c r="P41" s="1">
        <f t="shared" si="19"/>
        <v>2017</v>
      </c>
      <c r="Q41" s="1">
        <f t="shared" ref="Q41:U41" si="20">Q6</f>
        <v>2018</v>
      </c>
      <c r="R41" s="1">
        <f t="shared" si="20"/>
        <v>2019</v>
      </c>
      <c r="S41" s="1">
        <f t="shared" si="20"/>
        <v>2020</v>
      </c>
      <c r="T41" s="1">
        <f t="shared" si="20"/>
        <v>2021</v>
      </c>
      <c r="U41" s="1">
        <f t="shared" si="20"/>
        <v>2022</v>
      </c>
      <c r="V41" s="2">
        <f>YearProxy</f>
        <v>2023</v>
      </c>
      <c r="AA41" s="2">
        <f>YearProxy</f>
        <v>2023</v>
      </c>
      <c r="AB41" s="2">
        <f>AA41</f>
        <v>2023</v>
      </c>
      <c r="AC41" s="2">
        <f t="shared" ref="AC41:AD41" si="21">AB41</f>
        <v>2023</v>
      </c>
      <c r="AD41" s="2">
        <f t="shared" si="21"/>
        <v>2023</v>
      </c>
      <c r="AE41" s="2">
        <f>AD41</f>
        <v>2023</v>
      </c>
      <c r="AF41" s="2">
        <f>AE41</f>
        <v>2023</v>
      </c>
      <c r="AG41" s="147"/>
    </row>
    <row r="42" spans="1:40">
      <c r="A42">
        <f t="shared" si="19"/>
        <v>2</v>
      </c>
      <c r="B42" t="str">
        <f t="shared" si="19"/>
        <v>AT</v>
      </c>
      <c r="C42" t="str">
        <f t="shared" si="19"/>
        <v>AT</v>
      </c>
      <c r="D42" s="8"/>
      <c r="E42" s="8">
        <f t="shared" ref="E42:R59" si="22">IFERROR(E7/D7-1,0)</f>
        <v>-3.3235566345497292E-2</v>
      </c>
      <c r="F42" s="8">
        <f t="shared" si="22"/>
        <v>-3.4738735746793425E-2</v>
      </c>
      <c r="G42" s="8">
        <f t="shared" si="22"/>
        <v>-2.6751490965751912E-2</v>
      </c>
      <c r="H42" s="8">
        <f t="shared" si="22"/>
        <v>-6.9109618844361398E-2</v>
      </c>
      <c r="I42" s="8">
        <f t="shared" si="22"/>
        <v>4.1045421008887972E-2</v>
      </c>
      <c r="J42" s="8">
        <f t="shared" si="22"/>
        <v>-5.9165114467120361E-2</v>
      </c>
      <c r="K42" s="8">
        <f t="shared" si="22"/>
        <v>-4.1589341090811138E-2</v>
      </c>
      <c r="L42" s="8">
        <f t="shared" si="22"/>
        <v>2.7843086833933217E-2</v>
      </c>
      <c r="M42" s="8">
        <f t="shared" si="22"/>
        <v>-3.3446612370852113E-2</v>
      </c>
      <c r="N42" s="8">
        <f t="shared" si="22"/>
        <v>1.6264288432569884E-2</v>
      </c>
      <c r="O42" s="8">
        <f t="shared" si="22"/>
        <v>1.8123652135332069E-2</v>
      </c>
      <c r="P42" s="8">
        <f t="shared" si="22"/>
        <v>2.0558488269536657E-2</v>
      </c>
      <c r="Q42" s="8">
        <f t="shared" si="22"/>
        <v>-3.8549879379562446E-3</v>
      </c>
      <c r="R42" s="8">
        <f t="shared" si="22"/>
        <v>1.9089098774226265E-2</v>
      </c>
      <c r="S42" s="8">
        <f>IFERROR(S7/R7-1,0)</f>
        <v>-0.14983204923097038</v>
      </c>
      <c r="T42" s="8">
        <f t="shared" ref="T42:V57" si="23">IFERROR(T7/S7-1,0)</f>
        <v>5.4752542109461899E-2</v>
      </c>
      <c r="U42" s="8">
        <f t="shared" si="23"/>
        <v>-6.9704792186945363E-3</v>
      </c>
      <c r="V42" s="8">
        <f t="shared" ca="1" si="23"/>
        <v>1.1439924013820324E-2</v>
      </c>
      <c r="AA42" s="14">
        <v>0</v>
      </c>
      <c r="AB42" s="8">
        <v>-7.2950877113561229E-3</v>
      </c>
      <c r="AC42" s="8">
        <v>-3.6600059259054005E-5</v>
      </c>
      <c r="AD42" s="8">
        <f ca="1">AVERAGE(OFFSET($A42,0,OffsetLast-TrendDuration+1,1,TrendDuration))</f>
        <v>-1.7363175100786599E-2</v>
      </c>
      <c r="AE42" s="8">
        <f ca="1">AE7/AA7-1</f>
        <v>-5.8630684229470709E-2</v>
      </c>
      <c r="AF42" s="8">
        <v>1.1439924013820324E-2</v>
      </c>
      <c r="AG42" s="17">
        <f t="shared" ref="AG42:AG69" si="24">AC42-AB42</f>
        <v>7.2584876520970691E-3</v>
      </c>
    </row>
    <row r="43" spans="1:40">
      <c r="A43">
        <f t="shared" si="19"/>
        <v>3</v>
      </c>
      <c r="B43" t="str">
        <f t="shared" si="19"/>
        <v>BE</v>
      </c>
      <c r="C43" t="str">
        <f t="shared" si="19"/>
        <v>BE</v>
      </c>
      <c r="D43" s="8"/>
      <c r="E43" s="8">
        <f t="shared" si="22"/>
        <v>-3.7622436030111284E-2</v>
      </c>
      <c r="F43" s="8">
        <f t="shared" si="22"/>
        <v>-4.0104496277229229E-2</v>
      </c>
      <c r="G43" s="8">
        <f t="shared" si="22"/>
        <v>4.5558584507766842E-2</v>
      </c>
      <c r="H43" s="8">
        <f t="shared" si="22"/>
        <v>2.6211983380417969E-2</v>
      </c>
      <c r="I43" s="8">
        <f t="shared" si="22"/>
        <v>2.825760491090068E-2</v>
      </c>
      <c r="J43" s="8">
        <f t="shared" si="22"/>
        <v>-8.2973872855617192E-2</v>
      </c>
      <c r="K43" s="8">
        <f t="shared" si="22"/>
        <v>-7.5180936761349182E-2</v>
      </c>
      <c r="L43" s="8">
        <f t="shared" si="22"/>
        <v>2.8643598291594241E-2</v>
      </c>
      <c r="M43" s="8">
        <f t="shared" si="22"/>
        <v>7.9307015747074328E-3</v>
      </c>
      <c r="N43" s="8">
        <f t="shared" si="22"/>
        <v>4.1019503628950682E-2</v>
      </c>
      <c r="O43" s="8">
        <f t="shared" si="22"/>
        <v>-3.1530085252413298E-2</v>
      </c>
      <c r="P43" s="8">
        <f t="shared" si="22"/>
        <v>8.595347437248213E-3</v>
      </c>
      <c r="Q43" s="8">
        <f t="shared" si="22"/>
        <v>-1.4777882145651122E-2</v>
      </c>
      <c r="R43" s="8">
        <f t="shared" si="22"/>
        <v>-2.2339389093510187E-2</v>
      </c>
      <c r="S43" s="8">
        <f t="shared" ref="S43:S71" si="25">IFERROR(S8/R8-1,0)</f>
        <v>-0.12975587505855968</v>
      </c>
      <c r="T43" s="8">
        <f t="shared" si="23"/>
        <v>7.6177267750305422E-2</v>
      </c>
      <c r="U43" s="8">
        <f t="shared" si="23"/>
        <v>-1.19797992712396E-2</v>
      </c>
      <c r="V43" s="8">
        <f t="shared" ca="1" si="23"/>
        <v>-1.0560680757728869E-2</v>
      </c>
      <c r="AA43" s="8">
        <v>0</v>
      </c>
      <c r="AB43" s="8">
        <v>-1.0560680757728844E-2</v>
      </c>
      <c r="AC43" s="8">
        <v>-5.0200421203924615E-2</v>
      </c>
      <c r="AD43" s="8">
        <f t="shared" ref="AD43:AD69" si="26">AVERAGE(J43:N43)</f>
        <v>-1.6112201224342804E-2</v>
      </c>
      <c r="AE43" s="8">
        <f t="shared" ref="AE43:AE69" ca="1" si="27">AE8/AA8-1</f>
        <v>-5.6073863734389162E-2</v>
      </c>
      <c r="AF43" s="8"/>
      <c r="AG43" s="17">
        <f t="shared" si="24"/>
        <v>-3.9639740446195768E-2</v>
      </c>
    </row>
    <row r="44" spans="1:40">
      <c r="A44">
        <f t="shared" si="19"/>
        <v>4</v>
      </c>
      <c r="B44" t="str">
        <f t="shared" si="19"/>
        <v>BG</v>
      </c>
      <c r="C44" t="str">
        <f t="shared" si="19"/>
        <v>BG</v>
      </c>
      <c r="D44" s="8"/>
      <c r="E44" s="8">
        <f t="shared" si="22"/>
        <v>3.6761685347102002E-2</v>
      </c>
      <c r="F44" s="8">
        <f t="shared" si="22"/>
        <v>-4.9904205444911032E-2</v>
      </c>
      <c r="G44" s="8">
        <f t="shared" si="22"/>
        <v>-3.8099507561110024E-2</v>
      </c>
      <c r="H44" s="8">
        <f t="shared" si="22"/>
        <v>-5.2470848737893205E-2</v>
      </c>
      <c r="I44" s="8">
        <f t="shared" si="22"/>
        <v>-4.0077325651831419E-2</v>
      </c>
      <c r="J44" s="8">
        <f t="shared" si="22"/>
        <v>-5.9624646115807201E-2</v>
      </c>
      <c r="K44" s="8">
        <f t="shared" si="22"/>
        <v>4.8350324045471682E-2</v>
      </c>
      <c r="L44" s="8">
        <f t="shared" si="22"/>
        <v>-8.5900859878819791E-2</v>
      </c>
      <c r="M44" s="8">
        <f t="shared" si="22"/>
        <v>9.1830232924215105E-2</v>
      </c>
      <c r="N44" s="8">
        <f t="shared" si="22"/>
        <v>7.5625397039098763E-2</v>
      </c>
      <c r="O44" s="8">
        <f t="shared" si="22"/>
        <v>3.2275200586606712E-2</v>
      </c>
      <c r="P44" s="8">
        <f t="shared" si="22"/>
        <v>4.7794914440274283E-2</v>
      </c>
      <c r="Q44" s="8">
        <f t="shared" si="22"/>
        <v>-1.3617842517328338E-3</v>
      </c>
      <c r="R44" s="8">
        <f t="shared" si="22"/>
        <v>2.3405676880897675E-2</v>
      </c>
      <c r="S44" s="8">
        <f t="shared" si="25"/>
        <v>-9.9655006243232314E-2</v>
      </c>
      <c r="T44" s="8">
        <f t="shared" si="23"/>
        <v>5.2813812089043788E-2</v>
      </c>
      <c r="U44" s="8">
        <f t="shared" si="23"/>
        <v>8.3280151358174459E-2</v>
      </c>
      <c r="V44" s="8">
        <f t="shared" ca="1" si="23"/>
        <v>-1.166329998511173E-2</v>
      </c>
      <c r="AA44" s="8">
        <v>0</v>
      </c>
      <c r="AB44" s="8">
        <v>-1.1663299985111883E-2</v>
      </c>
      <c r="AC44" s="8">
        <v>-1.2313678777049955E-2</v>
      </c>
      <c r="AD44" s="8">
        <f t="shared" si="26"/>
        <v>1.4056089602831712E-2</v>
      </c>
      <c r="AE44" s="8">
        <f t="shared" ca="1" si="27"/>
        <v>-4.1099369440218636E-2</v>
      </c>
      <c r="AF44" s="8"/>
      <c r="AG44" s="17">
        <f t="shared" si="24"/>
        <v>-6.5037879193807248E-4</v>
      </c>
    </row>
    <row r="45" spans="1:40">
      <c r="A45">
        <f t="shared" si="19"/>
        <v>5</v>
      </c>
      <c r="B45" t="str">
        <f t="shared" si="19"/>
        <v>CY</v>
      </c>
      <c r="C45" t="str">
        <f t="shared" si="19"/>
        <v>CY</v>
      </c>
      <c r="D45" s="8"/>
      <c r="E45" s="8">
        <f t="shared" si="22"/>
        <v>4.0074903066249945E-2</v>
      </c>
      <c r="F45" s="8">
        <f t="shared" si="22"/>
        <v>4.5318895502730827E-2</v>
      </c>
      <c r="G45" s="8">
        <f t="shared" si="22"/>
        <v>5.0055237784961015E-2</v>
      </c>
      <c r="H45" s="8">
        <f t="shared" si="22"/>
        <v>-2.8700595377260996E-2</v>
      </c>
      <c r="I45" s="8">
        <f t="shared" si="22"/>
        <v>-3.7975670440516196E-2</v>
      </c>
      <c r="J45" s="8">
        <f t="shared" si="22"/>
        <v>-1.1363645304770853E-2</v>
      </c>
      <c r="K45" s="8">
        <f t="shared" si="22"/>
        <v>-5.8993797435965667E-2</v>
      </c>
      <c r="L45" s="8">
        <f t="shared" si="22"/>
        <v>-0.13917078480443124</v>
      </c>
      <c r="M45" s="8">
        <f t="shared" si="22"/>
        <v>2.0056601391504225E-2</v>
      </c>
      <c r="N45" s="8">
        <f t="shared" si="22"/>
        <v>1.3259059739451518E-2</v>
      </c>
      <c r="O45" s="8">
        <f t="shared" si="22"/>
        <v>6.8552313950719812E-2</v>
      </c>
      <c r="P45" s="8">
        <f t="shared" si="22"/>
        <v>3.7060215733867308E-2</v>
      </c>
      <c r="Q45" s="8">
        <f t="shared" si="22"/>
        <v>-5.1871006149120102E-3</v>
      </c>
      <c r="R45" s="8">
        <f t="shared" si="22"/>
        <v>-1.184069216140482E-2</v>
      </c>
      <c r="S45" s="8">
        <f t="shared" si="25"/>
        <v>-0.16258281540753794</v>
      </c>
      <c r="T45" s="8">
        <f t="shared" si="23"/>
        <v>3.34221478454233E-2</v>
      </c>
      <c r="U45" s="8">
        <f t="shared" si="23"/>
        <v>8.3576295497112429E-2</v>
      </c>
      <c r="V45" s="8">
        <f t="shared" ca="1" si="23"/>
        <v>-1.9926996035410927E-3</v>
      </c>
      <c r="AA45" s="8">
        <v>0</v>
      </c>
      <c r="AB45" s="8">
        <v>2.271103993301685E-2</v>
      </c>
      <c r="AC45" s="8">
        <v>-1.9926996035412058E-3</v>
      </c>
      <c r="AD45" s="8">
        <f t="shared" si="26"/>
        <v>-3.5242513282842405E-2</v>
      </c>
      <c r="AE45" s="8">
        <f t="shared" ca="1" si="27"/>
        <v>-9.8272583503582589E-2</v>
      </c>
      <c r="AF45" s="8"/>
      <c r="AG45" s="17">
        <f t="shared" si="24"/>
        <v>-2.4703739536558057E-2</v>
      </c>
    </row>
    <row r="46" spans="1:40">
      <c r="A46">
        <f t="shared" si="19"/>
        <v>6</v>
      </c>
      <c r="B46" t="str">
        <f t="shared" si="19"/>
        <v>CZ</v>
      </c>
      <c r="C46" t="str">
        <f t="shared" si="19"/>
        <v>CZ</v>
      </c>
      <c r="D46" s="8"/>
      <c r="E46" s="8">
        <f t="shared" si="22"/>
        <v>2.7501158543286053E-4</v>
      </c>
      <c r="F46" s="8">
        <f t="shared" si="22"/>
        <v>4.2219588090397719E-2</v>
      </c>
      <c r="G46" s="8">
        <f t="shared" si="22"/>
        <v>-1.1824294557602144E-2</v>
      </c>
      <c r="H46" s="8">
        <f t="shared" si="22"/>
        <v>-3.4499148854466477E-2</v>
      </c>
      <c r="I46" s="8">
        <f t="shared" si="22"/>
        <v>-4.8787350106924365E-2</v>
      </c>
      <c r="J46" s="8">
        <f t="shared" si="22"/>
        <v>-8.7145603717371234E-3</v>
      </c>
      <c r="K46" s="8">
        <f t="shared" si="22"/>
        <v>-2.9841911786364528E-2</v>
      </c>
      <c r="L46" s="8">
        <f t="shared" si="22"/>
        <v>-3.5671904102117069E-2</v>
      </c>
      <c r="M46" s="8">
        <f t="shared" si="22"/>
        <v>4.3638052937552851E-2</v>
      </c>
      <c r="N46" s="8">
        <f t="shared" si="22"/>
        <v>3.9770401229176633E-2</v>
      </c>
      <c r="O46" s="8">
        <f t="shared" si="22"/>
        <v>1.648538727298976E-2</v>
      </c>
      <c r="P46" s="8">
        <f t="shared" si="22"/>
        <v>2.353494926550348E-2</v>
      </c>
      <c r="Q46" s="8">
        <f t="shared" si="22"/>
        <v>1.6830656715481451E-2</v>
      </c>
      <c r="R46" s="8">
        <f t="shared" si="22"/>
        <v>7.669924999784028E-3</v>
      </c>
      <c r="S46" s="8">
        <f t="shared" si="25"/>
        <v>-0.11505637145733205</v>
      </c>
      <c r="T46" s="8">
        <f t="shared" si="23"/>
        <v>7.1757098166785882E-2</v>
      </c>
      <c r="U46" s="8">
        <f t="shared" si="23"/>
        <v>3.9640913665408561E-2</v>
      </c>
      <c r="V46" s="8">
        <f t="shared" ca="1" si="23"/>
        <v>3.8976252611622186E-3</v>
      </c>
      <c r="AA46" s="8">
        <v>0</v>
      </c>
      <c r="AB46" s="8">
        <v>-2.4921793534932221E-2</v>
      </c>
      <c r="AC46" s="8">
        <v>3.8976252611622798E-3</v>
      </c>
      <c r="AD46" s="8">
        <f t="shared" si="26"/>
        <v>1.8360155813021528E-3</v>
      </c>
      <c r="AE46" s="8">
        <f t="shared" ca="1" si="27"/>
        <v>-4.3560742295268295E-2</v>
      </c>
      <c r="AF46" s="8"/>
      <c r="AG46" s="17">
        <f t="shared" si="24"/>
        <v>2.8819418796094502E-2</v>
      </c>
    </row>
    <row r="47" spans="1:40">
      <c r="A47">
        <f t="shared" si="19"/>
        <v>7</v>
      </c>
      <c r="B47" t="str">
        <f t="shared" si="19"/>
        <v>DE</v>
      </c>
      <c r="C47" t="str">
        <f t="shared" si="19"/>
        <v>DE</v>
      </c>
      <c r="D47" s="8"/>
      <c r="E47" s="8">
        <f t="shared" si="22"/>
        <v>8.1828181959850976E-3</v>
      </c>
      <c r="F47" s="8">
        <f t="shared" si="22"/>
        <v>-0.1079497853363669</v>
      </c>
      <c r="G47" s="8">
        <f t="shared" si="22"/>
        <v>7.3473891097424859E-2</v>
      </c>
      <c r="H47" s="8">
        <f t="shared" si="22"/>
        <v>-6.1175254309302152E-2</v>
      </c>
      <c r="I47" s="8">
        <f t="shared" si="22"/>
        <v>3.4367085912780926E-3</v>
      </c>
      <c r="J47" s="8">
        <f t="shared" si="22"/>
        <v>-3.8939144407802551E-2</v>
      </c>
      <c r="K47" s="8">
        <f t="shared" si="22"/>
        <v>4.7381500464414028E-3</v>
      </c>
      <c r="L47" s="8">
        <f t="shared" si="22"/>
        <v>3.3274844033927886E-2</v>
      </c>
      <c r="M47" s="8">
        <f t="shared" si="22"/>
        <v>-2.8568273204220951E-2</v>
      </c>
      <c r="N47" s="8">
        <f t="shared" si="22"/>
        <v>9.4750903632960792E-3</v>
      </c>
      <c r="O47" s="8">
        <f t="shared" si="22"/>
        <v>1.1052682997616747E-2</v>
      </c>
      <c r="P47" s="8">
        <f t="shared" si="22"/>
        <v>1.0805330206947739E-2</v>
      </c>
      <c r="Q47" s="8">
        <f t="shared" si="22"/>
        <v>-3.4663388861770561E-2</v>
      </c>
      <c r="R47" s="8">
        <f t="shared" si="22"/>
        <v>2.2654847390292776E-2</v>
      </c>
      <c r="S47" s="8">
        <f t="shared" si="25"/>
        <v>-0.11743432481978799</v>
      </c>
      <c r="T47" s="8">
        <f t="shared" si="23"/>
        <v>-4.5193597647648076E-2</v>
      </c>
      <c r="U47" s="8">
        <f t="shared" si="23"/>
        <v>6.5305316857701801E-2</v>
      </c>
      <c r="V47" s="8">
        <f t="shared" ca="1" si="23"/>
        <v>-6.8259385665529027E-2</v>
      </c>
      <c r="AA47" s="8">
        <v>0</v>
      </c>
      <c r="AB47" s="8">
        <v>-5.3577710999309615E-2</v>
      </c>
      <c r="AC47" s="8">
        <v>-5.5409717401280929E-2</v>
      </c>
      <c r="AD47" s="8">
        <f t="shared" si="26"/>
        <v>-4.0038666336716265E-3</v>
      </c>
      <c r="AE47" s="8">
        <f t="shared" ca="1" si="27"/>
        <v>-8.1126523472544343E-2</v>
      </c>
      <c r="AF47" s="8">
        <v>-6.8259385665529138E-2</v>
      </c>
      <c r="AG47" s="17">
        <f t="shared" si="24"/>
        <v>-1.8320064019713145E-3</v>
      </c>
      <c r="AH47" s="8"/>
    </row>
    <row r="48" spans="1:40">
      <c r="A48">
        <f t="shared" si="19"/>
        <v>8</v>
      </c>
      <c r="B48" t="str">
        <f t="shared" si="19"/>
        <v>DK</v>
      </c>
      <c r="C48" t="str">
        <f t="shared" si="19"/>
        <v>DK</v>
      </c>
      <c r="D48" s="8"/>
      <c r="E48" s="8">
        <f t="shared" si="22"/>
        <v>1.8964795069379203E-2</v>
      </c>
      <c r="F48" s="8">
        <f t="shared" si="22"/>
        <v>-1.9785766295633556E-3</v>
      </c>
      <c r="G48" s="8">
        <f t="shared" si="22"/>
        <v>-1.3110266178468222E-2</v>
      </c>
      <c r="H48" s="8">
        <f t="shared" si="22"/>
        <v>-6.7999495227233364E-2</v>
      </c>
      <c r="I48" s="8">
        <f t="shared" si="22"/>
        <v>9.0664555369548427E-3</v>
      </c>
      <c r="J48" s="8">
        <f t="shared" si="22"/>
        <v>-6.244625667161996E-2</v>
      </c>
      <c r="K48" s="8">
        <f t="shared" si="22"/>
        <v>-3.6965967661427235E-2</v>
      </c>
      <c r="L48" s="8">
        <f t="shared" si="22"/>
        <v>-3.6003972096347203E-2</v>
      </c>
      <c r="M48" s="8">
        <f t="shared" si="22"/>
        <v>-2.0117287947686968E-2</v>
      </c>
      <c r="N48" s="8">
        <f t="shared" si="22"/>
        <v>3.3744190934645868E-3</v>
      </c>
      <c r="O48" s="8">
        <f t="shared" si="22"/>
        <v>2.1161968038940326E-2</v>
      </c>
      <c r="P48" s="8">
        <f t="shared" si="22"/>
        <v>2.8856952933678404E-2</v>
      </c>
      <c r="Q48" s="8">
        <f t="shared" si="22"/>
        <v>5.5559425969748943E-3</v>
      </c>
      <c r="R48" s="8">
        <f t="shared" si="22"/>
        <v>-1.0238515759421141E-2</v>
      </c>
      <c r="S48" s="8">
        <f t="shared" si="25"/>
        <v>-0.16390055831432382</v>
      </c>
      <c r="T48" s="8">
        <f t="shared" si="23"/>
        <v>3.2899037971011458E-2</v>
      </c>
      <c r="U48" s="8">
        <f t="shared" si="23"/>
        <v>0.10572627106772758</v>
      </c>
      <c r="V48" s="8">
        <f t="shared" ca="1" si="23"/>
        <v>-9.7458711511688723E-4</v>
      </c>
      <c r="AA48" s="8">
        <v>0</v>
      </c>
      <c r="AB48" s="8">
        <v>1.5159171298635674E-2</v>
      </c>
      <c r="AC48" s="8">
        <v>8.9380435343465042E-3</v>
      </c>
      <c r="AD48" s="8">
        <f t="shared" si="26"/>
        <v>-3.0431813056723357E-2</v>
      </c>
      <c r="AE48" s="8">
        <f t="shared" ca="1" si="27"/>
        <v>-0.10063455728765736</v>
      </c>
      <c r="AF48" s="8">
        <v>-9.7458711511699825E-4</v>
      </c>
      <c r="AG48" s="17">
        <f t="shared" si="24"/>
        <v>-6.2211277642891701E-3</v>
      </c>
    </row>
    <row r="49" spans="1:34">
      <c r="A49">
        <f t="shared" si="19"/>
        <v>9</v>
      </c>
      <c r="B49" t="str">
        <f t="shared" si="19"/>
        <v>EE</v>
      </c>
      <c r="C49" t="str">
        <f t="shared" si="19"/>
        <v>EE</v>
      </c>
      <c r="D49" s="8"/>
      <c r="E49" s="8">
        <f t="shared" si="22"/>
        <v>-1.7644364226857334E-2</v>
      </c>
      <c r="F49" s="8">
        <f t="shared" si="22"/>
        <v>9.5705069227365325E-3</v>
      </c>
      <c r="G49" s="8">
        <f t="shared" si="22"/>
        <v>-5.5387917324696723E-2</v>
      </c>
      <c r="H49" s="8">
        <f t="shared" si="22"/>
        <v>-0.24492215979129395</v>
      </c>
      <c r="I49" s="8">
        <f t="shared" si="22"/>
        <v>1.7003769136511027E-2</v>
      </c>
      <c r="J49" s="8">
        <f t="shared" si="22"/>
        <v>-3.1763189702176065E-2</v>
      </c>
      <c r="K49" s="8">
        <f t="shared" si="22"/>
        <v>3.7981637286192971E-3</v>
      </c>
      <c r="L49" s="8">
        <f t="shared" si="22"/>
        <v>-0.14603005849283845</v>
      </c>
      <c r="M49" s="8">
        <f t="shared" si="22"/>
        <v>-0.15130271798676487</v>
      </c>
      <c r="N49" s="8">
        <f t="shared" si="22"/>
        <v>-0.28680769064218592</v>
      </c>
      <c r="O49" s="8">
        <f t="shared" si="22"/>
        <v>0.56728623688884161</v>
      </c>
      <c r="P49" s="8">
        <f t="shared" si="22"/>
        <v>-0.62761952034479007</v>
      </c>
      <c r="Q49" s="8">
        <f t="shared" si="22"/>
        <v>-0.46283689326701127</v>
      </c>
      <c r="R49" s="8">
        <f t="shared" si="22"/>
        <v>-1.0917652185491387</v>
      </c>
      <c r="S49" s="8">
        <f t="shared" si="25"/>
        <v>15.687640153014112</v>
      </c>
      <c r="T49" s="8">
        <f t="shared" si="23"/>
        <v>0.44505924479681269</v>
      </c>
      <c r="U49" s="8">
        <f t="shared" si="23"/>
        <v>-1.5365373359662606</v>
      </c>
      <c r="V49" s="8">
        <f t="shared" ca="1" si="23"/>
        <v>-3.707136237256714E-3</v>
      </c>
      <c r="AA49" s="8">
        <v>0</v>
      </c>
      <c r="AB49" s="8">
        <v>-3.7071362372567192E-3</v>
      </c>
      <c r="AC49" s="8">
        <v>-4.2518127508929408E-2</v>
      </c>
      <c r="AD49" s="8">
        <f t="shared" si="26"/>
        <v>-0.1224210986190692</v>
      </c>
      <c r="AE49" s="8">
        <f t="shared" ca="1" si="27"/>
        <v>-1.7190281997430934</v>
      </c>
      <c r="AF49" s="8"/>
      <c r="AG49" s="17">
        <f t="shared" si="24"/>
        <v>-3.8810991271672687E-2</v>
      </c>
    </row>
    <row r="50" spans="1:34">
      <c r="A50">
        <f t="shared" si="19"/>
        <v>11</v>
      </c>
      <c r="B50" t="str">
        <f t="shared" si="19"/>
        <v>ES</v>
      </c>
      <c r="C50" t="str">
        <f t="shared" si="19"/>
        <v>ES</v>
      </c>
      <c r="D50" s="8"/>
      <c r="E50" s="8">
        <f t="shared" si="22"/>
        <v>1.3264810492763512E-3</v>
      </c>
      <c r="F50" s="8">
        <f t="shared" si="22"/>
        <v>9.4118908245643951E-3</v>
      </c>
      <c r="G50" s="8">
        <f t="shared" si="22"/>
        <v>-4.2565336602390369E-2</v>
      </c>
      <c r="H50" s="8">
        <f t="shared" si="22"/>
        <v>-7.2218119390740854E-2</v>
      </c>
      <c r="I50" s="8">
        <f t="shared" si="22"/>
        <v>-3.7973019858951518E-2</v>
      </c>
      <c r="J50" s="8">
        <f t="shared" si="22"/>
        <v>-4.5950529486966207E-2</v>
      </c>
      <c r="K50" s="8">
        <f t="shared" si="22"/>
        <v>-7.7140301065189654E-2</v>
      </c>
      <c r="L50" s="8">
        <f t="shared" si="22"/>
        <v>-3.2125406703523263E-2</v>
      </c>
      <c r="M50" s="8">
        <f t="shared" si="22"/>
        <v>9.8232222097172084E-4</v>
      </c>
      <c r="N50" s="8">
        <f t="shared" si="22"/>
        <v>4.8833455779942803E-2</v>
      </c>
      <c r="O50" s="8">
        <f t="shared" si="22"/>
        <v>2.3158093149789449E-2</v>
      </c>
      <c r="P50" s="8">
        <f t="shared" si="22"/>
        <v>6.3642085593434095E-2</v>
      </c>
      <c r="Q50" s="8">
        <f t="shared" si="22"/>
        <v>-9.8270079904405616E-4</v>
      </c>
      <c r="R50" s="8">
        <f t="shared" si="22"/>
        <v>-2.8184173789418732E-2</v>
      </c>
      <c r="S50" s="8">
        <f t="shared" si="25"/>
        <v>-0.2136386798043205</v>
      </c>
      <c r="T50" s="8">
        <f t="shared" si="23"/>
        <v>0.1226563585833822</v>
      </c>
      <c r="U50" s="8">
        <f t="shared" si="23"/>
        <v>9.1749464366831512E-2</v>
      </c>
      <c r="V50" s="8">
        <f t="shared" ca="1" si="23"/>
        <v>-4.3854570113837421E-2</v>
      </c>
      <c r="AA50" s="8">
        <v>0</v>
      </c>
      <c r="AB50" s="8">
        <v>-2.4396061533279813E-2</v>
      </c>
      <c r="AC50" s="8">
        <v>-1.6368132732585687E-2</v>
      </c>
      <c r="AD50" s="8">
        <f t="shared" si="26"/>
        <v>-2.1080091850952921E-2</v>
      </c>
      <c r="AE50" s="8">
        <f t="shared" ca="1" si="27"/>
        <v>-0.10965200634525107</v>
      </c>
      <c r="AF50" s="8">
        <v>-4.3854570113837532E-2</v>
      </c>
      <c r="AG50" s="17">
        <f t="shared" si="24"/>
        <v>8.0279288006941257E-3</v>
      </c>
    </row>
    <row r="51" spans="1:34">
      <c r="A51">
        <f t="shared" si="19"/>
        <v>12</v>
      </c>
      <c r="B51" t="str">
        <f t="shared" si="19"/>
        <v>FI</v>
      </c>
      <c r="C51" t="str">
        <f t="shared" si="19"/>
        <v>FI</v>
      </c>
      <c r="D51" s="8"/>
      <c r="E51" s="8">
        <f t="shared" si="22"/>
        <v>4.1956347090708723E-2</v>
      </c>
      <c r="F51" s="8">
        <f t="shared" si="22"/>
        <v>-5.6831188086207352E-2</v>
      </c>
      <c r="G51" s="8">
        <f t="shared" si="22"/>
        <v>-1.8368183655203985E-2</v>
      </c>
      <c r="H51" s="8">
        <f t="shared" si="22"/>
        <v>-4.8996682961433002E-2</v>
      </c>
      <c r="I51" s="8">
        <f t="shared" si="22"/>
        <v>2.668544619450719E-2</v>
      </c>
      <c r="J51" s="8">
        <f t="shared" si="22"/>
        <v>-3.1731723929934175E-3</v>
      </c>
      <c r="K51" s="8">
        <f t="shared" si="22"/>
        <v>-6.2920983156934285E-2</v>
      </c>
      <c r="L51" s="8">
        <f t="shared" si="22"/>
        <v>-0.16599662281452754</v>
      </c>
      <c r="M51" s="8">
        <f t="shared" si="22"/>
        <v>0.15126228798206021</v>
      </c>
      <c r="N51" s="8">
        <f t="shared" si="22"/>
        <v>-0.10308535678117658</v>
      </c>
      <c r="O51" s="8">
        <f t="shared" si="22"/>
        <v>9.4254261923113036E-2</v>
      </c>
      <c r="P51" s="8">
        <f t="shared" si="22"/>
        <v>-4.1754166735640141E-2</v>
      </c>
      <c r="Q51" s="8">
        <f t="shared" si="22"/>
        <v>4.8380528497817821E-3</v>
      </c>
      <c r="R51" s="8">
        <f t="shared" si="22"/>
        <v>-4.4529722086546486E-2</v>
      </c>
      <c r="S51" s="8">
        <f t="shared" si="25"/>
        <v>-0.11076075164356824</v>
      </c>
      <c r="T51" s="8">
        <f t="shared" si="23"/>
        <v>-6.2600788315402056E-2</v>
      </c>
      <c r="U51" s="8">
        <f t="shared" si="23"/>
        <v>8.3395077593626965E-2</v>
      </c>
      <c r="V51" s="8">
        <f t="shared" ca="1" si="23"/>
        <v>-6.1128349149548233E-2</v>
      </c>
      <c r="AA51" s="8">
        <v>0</v>
      </c>
      <c r="AB51" s="8">
        <v>-8.2106086276554149E-3</v>
      </c>
      <c r="AC51" s="8">
        <v>-7.6111967755074228E-2</v>
      </c>
      <c r="AD51" s="8">
        <f t="shared" si="26"/>
        <v>-3.6782769432714323E-2</v>
      </c>
      <c r="AE51" s="8">
        <f t="shared" ca="1" si="27"/>
        <v>-0.11585324623475146</v>
      </c>
      <c r="AF51" s="8">
        <v>-6.1128349149548233E-2</v>
      </c>
      <c r="AG51" s="17">
        <f t="shared" si="24"/>
        <v>-6.790135912741882E-2</v>
      </c>
    </row>
    <row r="52" spans="1:34">
      <c r="A52">
        <f t="shared" si="19"/>
        <v>13</v>
      </c>
      <c r="B52" t="str">
        <f t="shared" si="19"/>
        <v>FR</v>
      </c>
      <c r="C52" t="str">
        <f t="shared" si="19"/>
        <v>FR</v>
      </c>
      <c r="D52" s="8"/>
      <c r="E52" s="8">
        <f t="shared" si="22"/>
        <v>-1.8742066870672369E-2</v>
      </c>
      <c r="F52" s="8">
        <f t="shared" si="22"/>
        <v>-2.3207498779190372E-2</v>
      </c>
      <c r="G52" s="8">
        <f t="shared" si="22"/>
        <v>-8.9523158956105187E-3</v>
      </c>
      <c r="H52" s="8">
        <f t="shared" si="22"/>
        <v>-2.4324888294223079E-2</v>
      </c>
      <c r="I52" s="8">
        <f t="shared" si="22"/>
        <v>-4.6720008829544746E-2</v>
      </c>
      <c r="J52" s="8">
        <f t="shared" si="22"/>
        <v>3.3099526872179874E-2</v>
      </c>
      <c r="K52" s="8">
        <f t="shared" si="22"/>
        <v>-3.33122891947083E-2</v>
      </c>
      <c r="L52" s="8">
        <f t="shared" si="22"/>
        <v>-2.1511548899209254E-2</v>
      </c>
      <c r="M52" s="8">
        <f t="shared" si="22"/>
        <v>-1.6170846257359872E-2</v>
      </c>
      <c r="N52" s="8">
        <f t="shared" si="22"/>
        <v>2.2964952447100728E-2</v>
      </c>
      <c r="O52" s="8">
        <f t="shared" si="22"/>
        <v>-3.1030960332028235E-2</v>
      </c>
      <c r="P52" s="8">
        <f t="shared" si="22"/>
        <v>-2.222548583092121E-3</v>
      </c>
      <c r="Q52" s="8">
        <f t="shared" si="22"/>
        <v>-2.5827800634345754E-2</v>
      </c>
      <c r="R52" s="8">
        <f t="shared" si="22"/>
        <v>8.3245884438816198E-3</v>
      </c>
      <c r="S52" s="8">
        <f t="shared" si="25"/>
        <v>-0.1827315862003821</v>
      </c>
      <c r="T52" s="8">
        <f t="shared" si="23"/>
        <v>6.488037736359531E-2</v>
      </c>
      <c r="U52" s="8">
        <f t="shared" si="23"/>
        <v>5.5447496577822442E-2</v>
      </c>
      <c r="V52" s="8">
        <f t="shared" ca="1" si="23"/>
        <v>-2.2632540634321408E-2</v>
      </c>
      <c r="AA52" s="8">
        <v>0</v>
      </c>
      <c r="AB52" s="8">
        <v>-1.0274844604208792E-2</v>
      </c>
      <c r="AC52" s="8">
        <v>-1.2584056510433525E-2</v>
      </c>
      <c r="AD52" s="8">
        <f t="shared" si="26"/>
        <v>-2.9860410063993646E-3</v>
      </c>
      <c r="AE52" s="8">
        <f t="shared" ca="1" si="27"/>
        <v>-8.9061321183009023E-2</v>
      </c>
      <c r="AF52" s="8">
        <v>-2.2632540634321408E-2</v>
      </c>
      <c r="AG52" s="17">
        <f t="shared" si="24"/>
        <v>-2.3092119062247327E-3</v>
      </c>
    </row>
    <row r="53" spans="1:34">
      <c r="A53">
        <f t="shared" si="19"/>
        <v>10</v>
      </c>
      <c r="B53" t="str">
        <f t="shared" si="19"/>
        <v>EL</v>
      </c>
      <c r="C53" t="str">
        <f t="shared" si="19"/>
        <v>GR</v>
      </c>
      <c r="D53" s="8"/>
      <c r="E53" s="8">
        <f t="shared" si="22"/>
        <v>-2.6918751691179521E-3</v>
      </c>
      <c r="F53" s="8">
        <f t="shared" si="22"/>
        <v>-5.3150229136909033E-2</v>
      </c>
      <c r="G53" s="8">
        <f t="shared" si="22"/>
        <v>3.0196035293702961E-2</v>
      </c>
      <c r="H53" s="8">
        <f t="shared" si="22"/>
        <v>-3.6939658200887848E-2</v>
      </c>
      <c r="I53" s="8">
        <f t="shared" si="22"/>
        <v>-0.1377148583107537</v>
      </c>
      <c r="J53" s="8">
        <f t="shared" si="22"/>
        <v>-8.0184641105031207E-2</v>
      </c>
      <c r="K53" s="8">
        <f t="shared" si="22"/>
        <v>-1.9498071949978435E-2</v>
      </c>
      <c r="L53" s="8">
        <f t="shared" si="22"/>
        <v>-0.14209007301886956</v>
      </c>
      <c r="M53" s="8">
        <f t="shared" si="22"/>
        <v>4.8557065503323615E-2</v>
      </c>
      <c r="N53" s="8">
        <f t="shared" si="22"/>
        <v>4.6191297622027783E-2</v>
      </c>
      <c r="O53" s="8">
        <f t="shared" si="22"/>
        <v>1.1240470652765122E-2</v>
      </c>
      <c r="P53" s="8">
        <f t="shared" si="22"/>
        <v>-3.1168839293420958E-2</v>
      </c>
      <c r="Q53" s="8">
        <f t="shared" si="22"/>
        <v>-3.7870678040641925E-2</v>
      </c>
      <c r="R53" s="8">
        <f t="shared" si="22"/>
        <v>2.5440140597577932E-2</v>
      </c>
      <c r="S53" s="8">
        <f t="shared" si="25"/>
        <v>-0.19325244477023307</v>
      </c>
      <c r="T53" s="8">
        <f t="shared" si="23"/>
        <v>6.955543454797608E-2</v>
      </c>
      <c r="U53" s="8">
        <f t="shared" si="23"/>
        <v>0.17583063901206342</v>
      </c>
      <c r="V53" s="8">
        <f t="shared" ca="1" si="23"/>
        <v>-6.42118101268907E-4</v>
      </c>
      <c r="AA53" s="8">
        <v>0</v>
      </c>
      <c r="AB53" s="8">
        <v>-1.9320307890661314E-2</v>
      </c>
      <c r="AC53" s="8">
        <v>-6.4211810126892327E-4</v>
      </c>
      <c r="AD53" s="8">
        <f t="shared" si="26"/>
        <v>-2.9404884589705561E-2</v>
      </c>
      <c r="AE53" s="8">
        <f t="shared" ca="1" si="27"/>
        <v>-9.877204380730864E-2</v>
      </c>
      <c r="AF53" s="8"/>
      <c r="AG53" s="17">
        <f t="shared" si="24"/>
        <v>1.867818978939239E-2</v>
      </c>
    </row>
    <row r="54" spans="1:34">
      <c r="A54">
        <f t="shared" si="19"/>
        <v>14</v>
      </c>
      <c r="B54" t="str">
        <f t="shared" si="19"/>
        <v>HR</v>
      </c>
      <c r="C54" t="str">
        <f t="shared" si="19"/>
        <v>HR</v>
      </c>
      <c r="D54" s="8"/>
      <c r="E54" s="8">
        <f t="shared" si="22"/>
        <v>2.399165548704385E-2</v>
      </c>
      <c r="F54" s="8">
        <f t="shared" si="22"/>
        <v>1.6542922604517507E-2</v>
      </c>
      <c r="G54" s="8">
        <f t="shared" si="22"/>
        <v>-5.6375850193138732E-2</v>
      </c>
      <c r="H54" s="8">
        <f t="shared" si="22"/>
        <v>-1.1714724919016262E-2</v>
      </c>
      <c r="I54" s="8">
        <f t="shared" si="22"/>
        <v>-0.13897282216165985</v>
      </c>
      <c r="J54" s="8">
        <f t="shared" si="22"/>
        <v>-2.07757797945336E-2</v>
      </c>
      <c r="K54" s="8">
        <f t="shared" si="22"/>
        <v>-9.544528254089879E-2</v>
      </c>
      <c r="L54" s="8">
        <f t="shared" si="22"/>
        <v>-3.7818046344044065E-2</v>
      </c>
      <c r="M54" s="8">
        <f t="shared" si="22"/>
        <v>-8.7089469338015313E-3</v>
      </c>
      <c r="N54" s="8">
        <f t="shared" si="22"/>
        <v>4.5828788054103065E-2</v>
      </c>
      <c r="O54" s="8">
        <f t="shared" si="22"/>
        <v>-3.9618549155299165E-3</v>
      </c>
      <c r="P54" s="8">
        <f t="shared" si="22"/>
        <v>7.5555718212879652E-2</v>
      </c>
      <c r="Q54" s="8">
        <f t="shared" si="22"/>
        <v>-3.8972815438930053E-2</v>
      </c>
      <c r="R54" s="8">
        <f t="shared" si="22"/>
        <v>-3.0228150699099343E-2</v>
      </c>
      <c r="S54" s="8">
        <f t="shared" si="25"/>
        <v>-0.15165027536616205</v>
      </c>
      <c r="T54" s="8">
        <f t="shared" si="23"/>
        <v>5.8014018770973452E-2</v>
      </c>
      <c r="U54" s="8">
        <f t="shared" si="23"/>
        <v>0.12467828394793457</v>
      </c>
      <c r="V54" s="8">
        <f t="shared" ca="1" si="23"/>
        <v>1.7415014758256131E-2</v>
      </c>
      <c r="AA54" s="8">
        <v>0</v>
      </c>
      <c r="AB54" s="8">
        <v>1.7415014758256155E-2</v>
      </c>
      <c r="AC54" s="8">
        <v>2.3398259568292765E-2</v>
      </c>
      <c r="AD54" s="8">
        <f t="shared" si="26"/>
        <v>-2.3383853511834984E-2</v>
      </c>
      <c r="AE54" s="8">
        <f t="shared" ca="1" si="27"/>
        <v>-9.500981292310684E-2</v>
      </c>
      <c r="AF54" s="8"/>
      <c r="AG54" s="17">
        <f t="shared" si="24"/>
        <v>5.9832448100366094E-3</v>
      </c>
    </row>
    <row r="55" spans="1:34">
      <c r="A55">
        <f t="shared" si="19"/>
        <v>15</v>
      </c>
      <c r="B55" t="str">
        <f t="shared" si="19"/>
        <v>HU</v>
      </c>
      <c r="C55" t="str">
        <f t="shared" si="19"/>
        <v>HU</v>
      </c>
      <c r="D55" s="8"/>
      <c r="E55" s="8">
        <f t="shared" si="22"/>
        <v>4.3448748881209642E-2</v>
      </c>
      <c r="F55" s="8">
        <f t="shared" si="22"/>
        <v>-1.3871062536084056E-2</v>
      </c>
      <c r="G55" s="8">
        <f t="shared" si="22"/>
        <v>-2.5087517807250936E-2</v>
      </c>
      <c r="H55" s="8">
        <f t="shared" si="22"/>
        <v>-1.0363716814159374E-2</v>
      </c>
      <c r="I55" s="8">
        <f t="shared" si="22"/>
        <v>-7.2478223428827371E-2</v>
      </c>
      <c r="J55" s="8">
        <f t="shared" si="22"/>
        <v>5.4836048140955995E-3</v>
      </c>
      <c r="K55" s="8">
        <f t="shared" si="22"/>
        <v>-6.1593487241462741E-2</v>
      </c>
      <c r="L55" s="8">
        <f t="shared" si="22"/>
        <v>-3.0506357594321742E-2</v>
      </c>
      <c r="M55" s="8">
        <f t="shared" si="22"/>
        <v>0.10730586966117062</v>
      </c>
      <c r="N55" s="8">
        <f t="shared" si="22"/>
        <v>6.2895732419305794E-2</v>
      </c>
      <c r="O55" s="8">
        <f t="shared" si="22"/>
        <v>5.2727253189674972E-3</v>
      </c>
      <c r="P55" s="8">
        <f t="shared" si="22"/>
        <v>5.5787899729221824E-2</v>
      </c>
      <c r="Q55" s="8">
        <f t="shared" si="22"/>
        <v>6.9578718181884103E-2</v>
      </c>
      <c r="R55" s="8">
        <f t="shared" si="22"/>
        <v>3.5521779230052619E-2</v>
      </c>
      <c r="S55" s="8">
        <f t="shared" si="25"/>
        <v>-0.11932564450123473</v>
      </c>
      <c r="T55" s="8">
        <f t="shared" si="23"/>
        <v>7.5198871239316789E-2</v>
      </c>
      <c r="U55" s="8">
        <f t="shared" si="23"/>
        <v>5.4757653270553819E-2</v>
      </c>
      <c r="V55" s="8">
        <f t="shared" ca="1" si="23"/>
        <v>-4.7712532715579958E-2</v>
      </c>
      <c r="AA55" s="8">
        <v>0</v>
      </c>
      <c r="AB55" s="8">
        <v>-3.0266825965750695E-2</v>
      </c>
      <c r="AC55" s="8">
        <v>-2.9019609528065159E-2</v>
      </c>
      <c r="AD55" s="8">
        <f t="shared" si="26"/>
        <v>1.6717072411757506E-2</v>
      </c>
      <c r="AE55" s="8">
        <f t="shared" ca="1" si="27"/>
        <v>-3.648941387518756E-2</v>
      </c>
      <c r="AF55" s="8">
        <v>-4.7712532715579958E-2</v>
      </c>
      <c r="AG55" s="17">
        <f t="shared" si="24"/>
        <v>1.247216437685536E-3</v>
      </c>
    </row>
    <row r="56" spans="1:34">
      <c r="A56">
        <f t="shared" si="19"/>
        <v>16</v>
      </c>
      <c r="B56" t="str">
        <f t="shared" si="19"/>
        <v>IE</v>
      </c>
      <c r="C56" t="str">
        <f t="shared" si="19"/>
        <v>IE</v>
      </c>
      <c r="D56" s="8"/>
      <c r="E56" s="8">
        <f t="shared" si="22"/>
        <v>-5.1151043667370111E-3</v>
      </c>
      <c r="F56" s="8">
        <f t="shared" si="22"/>
        <v>6.175314332996007E-2</v>
      </c>
      <c r="G56" s="8">
        <f t="shared" si="22"/>
        <v>-7.1639678445822974E-2</v>
      </c>
      <c r="H56" s="8">
        <f t="shared" si="22"/>
        <v>-5.3088501439354174E-2</v>
      </c>
      <c r="I56" s="8">
        <f t="shared" si="22"/>
        <v>-3.0275037266765947E-2</v>
      </c>
      <c r="J56" s="8">
        <f t="shared" si="22"/>
        <v>-0.10921740023050763</v>
      </c>
      <c r="K56" s="8">
        <f t="shared" si="22"/>
        <v>-6.4246867153365694E-2</v>
      </c>
      <c r="L56" s="8">
        <f t="shared" si="22"/>
        <v>1.8399593674095049E-2</v>
      </c>
      <c r="M56" s="8">
        <f t="shared" si="22"/>
        <v>-5.923359727611599E-3</v>
      </c>
      <c r="N56" s="8">
        <f t="shared" si="22"/>
        <v>6.5461455030178639E-2</v>
      </c>
      <c r="O56" s="8">
        <f t="shared" si="22"/>
        <v>5.6288414839167578E-2</v>
      </c>
      <c r="P56" s="8">
        <f t="shared" si="22"/>
        <v>-1.5932843813141195E-3</v>
      </c>
      <c r="Q56" s="8">
        <f t="shared" si="22"/>
        <v>1.3724083752718608E-2</v>
      </c>
      <c r="R56" s="8">
        <f t="shared" si="22"/>
        <v>3.6190896600771794E-3</v>
      </c>
      <c r="S56" s="8">
        <f t="shared" si="25"/>
        <v>-0.16440855722224545</v>
      </c>
      <c r="T56" s="8">
        <f t="shared" si="23"/>
        <v>5.6717409541487296E-2</v>
      </c>
      <c r="U56" s="8">
        <f t="shared" si="23"/>
        <v>9.0111939974797162E-2</v>
      </c>
      <c r="V56" s="8">
        <f t="shared" ca="1" si="23"/>
        <v>-4.6390849404113199E-3</v>
      </c>
      <c r="AA56" s="8">
        <v>0</v>
      </c>
      <c r="AB56" s="8">
        <v>-1.6821032568394439E-2</v>
      </c>
      <c r="AC56" s="8">
        <v>-1.1570779878778616E-2</v>
      </c>
      <c r="AD56" s="8">
        <f t="shared" si="26"/>
        <v>-1.9105315681442248E-2</v>
      </c>
      <c r="AE56" s="8">
        <f t="shared" ca="1" si="27"/>
        <v>-8.566562432218372E-2</v>
      </c>
      <c r="AF56" s="8">
        <v>-4.6390849404113199E-3</v>
      </c>
      <c r="AG56" s="17">
        <f t="shared" si="24"/>
        <v>5.2502526896158232E-3</v>
      </c>
    </row>
    <row r="57" spans="1:34">
      <c r="A57">
        <f t="shared" ref="A57:C69" si="28">A22</f>
        <v>17</v>
      </c>
      <c r="B57" t="str">
        <f t="shared" si="28"/>
        <v>IT</v>
      </c>
      <c r="C57" t="str">
        <f t="shared" si="28"/>
        <v>IT</v>
      </c>
      <c r="D57" s="8"/>
      <c r="E57" s="8">
        <f t="shared" si="22"/>
        <v>-2.1428300644655618E-2</v>
      </c>
      <c r="F57" s="8">
        <f t="shared" si="22"/>
        <v>-3.0163116842475746E-2</v>
      </c>
      <c r="G57" s="8">
        <f t="shared" si="22"/>
        <v>-5.8902971167498208E-2</v>
      </c>
      <c r="H57" s="8">
        <f t="shared" si="22"/>
        <v>-7.3376190249334394E-2</v>
      </c>
      <c r="I57" s="8">
        <f t="shared" si="22"/>
        <v>-5.1588720350535633E-2</v>
      </c>
      <c r="J57" s="8">
        <f t="shared" si="22"/>
        <v>-3.6813672434886091E-2</v>
      </c>
      <c r="K57" s="8">
        <f t="shared" si="22"/>
        <v>-0.10594975335010381</v>
      </c>
      <c r="L57" s="8">
        <f t="shared" si="22"/>
        <v>-1.3698561214535609E-2</v>
      </c>
      <c r="M57" s="8">
        <f t="shared" si="22"/>
        <v>-4.9623247350915722E-2</v>
      </c>
      <c r="N57" s="8">
        <f t="shared" si="22"/>
        <v>5.5964768404441312E-2</v>
      </c>
      <c r="O57" s="8">
        <f t="shared" si="22"/>
        <v>-2.984906778109242E-2</v>
      </c>
      <c r="P57" s="8">
        <f t="shared" si="22"/>
        <v>-2.0702175896969988E-2</v>
      </c>
      <c r="Q57" s="8">
        <f t="shared" si="22"/>
        <v>8.0210294100280244E-4</v>
      </c>
      <c r="R57" s="8">
        <f t="shared" si="22"/>
        <v>-1.2168853274702851E-2</v>
      </c>
      <c r="S57" s="8">
        <f t="shared" si="25"/>
        <v>-0.18625188239175428</v>
      </c>
      <c r="T57" s="8">
        <f t="shared" si="23"/>
        <v>0.18080404065222955</v>
      </c>
      <c r="U57" s="8">
        <f t="shared" si="23"/>
        <v>1.3506797211656263E-2</v>
      </c>
      <c r="V57" s="8">
        <f t="shared" ca="1" si="23"/>
        <v>-1.2974008396446912E-2</v>
      </c>
      <c r="AA57" s="8">
        <v>0</v>
      </c>
      <c r="AB57" s="8">
        <v>-1.6660354814923419E-2</v>
      </c>
      <c r="AC57" s="8">
        <v>-1.2974008396446954E-2</v>
      </c>
      <c r="AD57" s="8">
        <f t="shared" si="26"/>
        <v>-3.0024093189199984E-2</v>
      </c>
      <c r="AE57" s="8">
        <f t="shared" ca="1" si="27"/>
        <v>-5.8027539238375336E-2</v>
      </c>
      <c r="AF57" s="8"/>
      <c r="AG57" s="17">
        <f t="shared" si="24"/>
        <v>3.6863464184764654E-3</v>
      </c>
    </row>
    <row r="58" spans="1:34">
      <c r="A58">
        <f t="shared" si="28"/>
        <v>18</v>
      </c>
      <c r="B58" t="str">
        <f t="shared" si="28"/>
        <v>LT</v>
      </c>
      <c r="C58" t="str">
        <f t="shared" si="28"/>
        <v>LT</v>
      </c>
      <c r="D58" s="8"/>
      <c r="E58" s="8">
        <f t="shared" ref="E58:R71" si="29">IFERROR(E23/D23-1,0)</f>
        <v>3.1168401421111103E-3</v>
      </c>
      <c r="F58" s="8">
        <f t="shared" si="29"/>
        <v>3.8950617408723964E-3</v>
      </c>
      <c r="G58" s="8">
        <f t="shared" si="29"/>
        <v>8.9133726361908305E-2</v>
      </c>
      <c r="H58" s="8">
        <f t="shared" si="29"/>
        <v>-0.13263729080271414</v>
      </c>
      <c r="I58" s="8">
        <f t="shared" si="29"/>
        <v>1.0411826641487876E-2</v>
      </c>
      <c r="J58" s="8">
        <f t="shared" si="29"/>
        <v>-3.9975277547498966E-2</v>
      </c>
      <c r="K58" s="8">
        <f t="shared" si="29"/>
        <v>3.9695266354099035E-2</v>
      </c>
      <c r="L58" s="8">
        <f t="shared" si="29"/>
        <v>-2.3988858315475259E-2</v>
      </c>
      <c r="M58" s="8">
        <f t="shared" si="29"/>
        <v>3.2421231326882127E-2</v>
      </c>
      <c r="N58" s="8">
        <f t="shared" si="29"/>
        <v>1.7561661073825618E-2</v>
      </c>
      <c r="O58" s="8">
        <f t="shared" si="29"/>
        <v>8.383765474364413E-2</v>
      </c>
      <c r="P58" s="8">
        <f t="shared" ref="P58:R58" si="30">IFERROR(P23/O23-1,0)</f>
        <v>2.1251720074880742E-2</v>
      </c>
      <c r="Q58" s="8">
        <f t="shared" si="30"/>
        <v>4.8033199236384938E-2</v>
      </c>
      <c r="R58" s="8">
        <f t="shared" si="30"/>
        <v>-1.4647682720247523E-2</v>
      </c>
      <c r="S58" s="8">
        <f t="shared" si="25"/>
        <v>-4.6680397291333109E-2</v>
      </c>
      <c r="T58" s="8">
        <f t="shared" ref="T58:T71" si="31">IFERROR(T23/S23-1,0)</f>
        <v>1.342796766937604E-2</v>
      </c>
      <c r="U58" s="8">
        <f t="shared" ref="U58:U71" si="32">IFERROR(U23/T23-1,0)</f>
        <v>4.3252278704887903E-2</v>
      </c>
      <c r="V58" s="8">
        <f t="shared" ref="V58:V71" ca="1" si="33">IFERROR(V23/U23-1,0)</f>
        <v>4.3532382544367643E-2</v>
      </c>
      <c r="AA58" s="8">
        <v>0</v>
      </c>
      <c r="AB58" s="8">
        <v>3.1211089897899814E-2</v>
      </c>
      <c r="AC58" s="8">
        <v>1.6600955895655432E-2</v>
      </c>
      <c r="AD58" s="8">
        <f t="shared" si="26"/>
        <v>5.1428045783665109E-3</v>
      </c>
      <c r="AE58" s="8">
        <f t="shared" ca="1" si="27"/>
        <v>-3.3538201605550988E-2</v>
      </c>
      <c r="AF58" s="8">
        <v>4.3532382544367643E-2</v>
      </c>
      <c r="AG58" s="17">
        <f t="shared" si="24"/>
        <v>-1.4610134002244382E-2</v>
      </c>
    </row>
    <row r="59" spans="1:34">
      <c r="A59">
        <f t="shared" si="28"/>
        <v>19</v>
      </c>
      <c r="B59" t="str">
        <f t="shared" si="28"/>
        <v>LU</v>
      </c>
      <c r="C59" t="str">
        <f t="shared" si="28"/>
        <v>LU</v>
      </c>
      <c r="D59" s="8"/>
      <c r="E59" s="8">
        <f t="shared" si="29"/>
        <v>-5.7492831628158769E-2</v>
      </c>
      <c r="F59" s="8">
        <f t="shared" si="29"/>
        <v>-2.4651625375752828E-2</v>
      </c>
      <c r="G59" s="8">
        <f t="shared" si="29"/>
        <v>7.879114236740703E-3</v>
      </c>
      <c r="H59" s="8">
        <f t="shared" si="29"/>
        <v>-6.4960779781513267E-2</v>
      </c>
      <c r="I59" s="8">
        <f t="shared" si="29"/>
        <v>4.6250204465979161E-2</v>
      </c>
      <c r="J59" s="8">
        <f t="shared" si="29"/>
        <v>2.0448046412427923E-2</v>
      </c>
      <c r="K59" s="8">
        <f t="shared" si="29"/>
        <v>-3.7254313319530774E-2</v>
      </c>
      <c r="L59" s="8">
        <f t="shared" si="29"/>
        <v>-1.5447465392035897E-2</v>
      </c>
      <c r="M59" s="8">
        <f t="shared" si="29"/>
        <v>-3.5625849582334945E-2</v>
      </c>
      <c r="N59" s="8">
        <f t="shared" si="29"/>
        <v>-1.7145978446824417E-2</v>
      </c>
      <c r="O59" s="8">
        <f t="shared" si="29"/>
        <v>-2.4431040210781685E-3</v>
      </c>
      <c r="P59" s="8">
        <f t="shared" si="22"/>
        <v>4.8077730129896912E-2</v>
      </c>
      <c r="Q59" s="8">
        <f t="shared" si="22"/>
        <v>5.6595740303860831E-2</v>
      </c>
      <c r="R59" s="8">
        <f t="shared" si="22"/>
        <v>1.2205912672460961E-2</v>
      </c>
      <c r="S59" s="8">
        <f t="shared" si="25"/>
        <v>-0.18714260394540505</v>
      </c>
      <c r="T59" s="8">
        <f t="shared" si="31"/>
        <v>7.3567684949213952E-2</v>
      </c>
      <c r="U59" s="8">
        <f t="shared" si="32"/>
        <v>-8.8566515219442365E-2</v>
      </c>
      <c r="V59" s="8">
        <f t="shared" ca="1" si="33"/>
        <v>-2.3838254832908579E-2</v>
      </c>
      <c r="AA59" s="8">
        <v>0</v>
      </c>
      <c r="AB59" s="8">
        <v>-2.3838254832908606E-2</v>
      </c>
      <c r="AC59" s="8">
        <v>-2.9762726954676615E-2</v>
      </c>
      <c r="AD59" s="8">
        <f t="shared" si="26"/>
        <v>-1.7005112065659623E-2</v>
      </c>
      <c r="AE59" s="8">
        <f t="shared" ca="1" si="27"/>
        <v>-6.9590518516461475E-2</v>
      </c>
      <c r="AF59" s="8"/>
      <c r="AG59" s="17">
        <f t="shared" si="24"/>
        <v>-5.9244721217680089E-3</v>
      </c>
    </row>
    <row r="60" spans="1:34">
      <c r="A60">
        <f t="shared" si="28"/>
        <v>20</v>
      </c>
      <c r="B60" t="str">
        <f t="shared" si="28"/>
        <v>LV</v>
      </c>
      <c r="C60" t="str">
        <f t="shared" si="28"/>
        <v>LV</v>
      </c>
      <c r="D60" s="8"/>
      <c r="E60" s="8">
        <f t="shared" si="29"/>
        <v>9.050568949335891E-2</v>
      </c>
      <c r="F60" s="8">
        <f t="shared" si="29"/>
        <v>8.1520201579533103E-2</v>
      </c>
      <c r="G60" s="8">
        <f t="shared" si="29"/>
        <v>-6.0759207422166228E-2</v>
      </c>
      <c r="H60" s="8">
        <f t="shared" si="29"/>
        <v>-8.2439953486768025E-2</v>
      </c>
      <c r="I60" s="8">
        <f t="shared" si="29"/>
        <v>2.6895004240906184E-2</v>
      </c>
      <c r="J60" s="8">
        <f t="shared" si="29"/>
        <v>-0.10016988950276251</v>
      </c>
      <c r="K60" s="8">
        <f t="shared" si="29"/>
        <v>-1.4238415170451102E-2</v>
      </c>
      <c r="L60" s="8">
        <f t="shared" si="29"/>
        <v>1.2657252168713606E-2</v>
      </c>
      <c r="M60" s="8">
        <f t="shared" si="29"/>
        <v>2.9585771520436843E-2</v>
      </c>
      <c r="N60" s="8">
        <f t="shared" si="29"/>
        <v>2.5161670923129709E-2</v>
      </c>
      <c r="O60" s="8">
        <f t="shared" si="29"/>
        <v>1.345682474587262E-2</v>
      </c>
      <c r="P60" s="8">
        <f t="shared" si="29"/>
        <v>6.1089233232876516E-2</v>
      </c>
      <c r="Q60" s="8">
        <f t="shared" si="29"/>
        <v>9.0882427252398923E-3</v>
      </c>
      <c r="R60" s="8">
        <f t="shared" si="29"/>
        <v>-2.2936524984560891E-2</v>
      </c>
      <c r="S60" s="8">
        <f t="shared" si="25"/>
        <v>-8.6825538919625522E-2</v>
      </c>
      <c r="T60" s="8">
        <f t="shared" si="31"/>
        <v>4.0112190145443982E-2</v>
      </c>
      <c r="U60" s="8">
        <f t="shared" si="32"/>
        <v>4.6988472956003946E-2</v>
      </c>
      <c r="V60" s="8">
        <f t="shared" ca="1" si="33"/>
        <v>1.5822784810126667E-2</v>
      </c>
      <c r="AA60" s="8">
        <v>0</v>
      </c>
      <c r="AB60" s="8">
        <v>3.9352955534082468E-2</v>
      </c>
      <c r="AC60" s="8">
        <v>-1.513929955633672E-3</v>
      </c>
      <c r="AD60" s="8">
        <f t="shared" si="26"/>
        <v>-9.4007220121866911E-3</v>
      </c>
      <c r="AE60" s="8">
        <f t="shared" ca="1" si="27"/>
        <v>-5.1023904814606391E-2</v>
      </c>
      <c r="AF60" s="8">
        <v>1.5822784810126667E-2</v>
      </c>
      <c r="AG60" s="17">
        <f t="shared" si="24"/>
        <v>-4.0866885489716141E-2</v>
      </c>
    </row>
    <row r="61" spans="1:34">
      <c r="A61">
        <f t="shared" si="28"/>
        <v>21</v>
      </c>
      <c r="B61" t="str">
        <f t="shared" si="28"/>
        <v>MT</v>
      </c>
      <c r="C61" t="str">
        <f t="shared" si="28"/>
        <v>MT</v>
      </c>
      <c r="D61" s="8"/>
      <c r="E61" s="8">
        <f t="shared" si="29"/>
        <v>9.5313020722358477E-3</v>
      </c>
      <c r="F61" s="8">
        <f t="shared" si="29"/>
        <v>2.6373552631294039E-2</v>
      </c>
      <c r="G61" s="8">
        <f t="shared" si="29"/>
        <v>9.4950357751097947E-3</v>
      </c>
      <c r="H61" s="8">
        <f t="shared" si="29"/>
        <v>-7.7739324279292865E-2</v>
      </c>
      <c r="I61" s="8">
        <f t="shared" si="29"/>
        <v>4.7288955338838035E-2</v>
      </c>
      <c r="J61" s="8">
        <f t="shared" si="29"/>
        <v>-5.5276762345611852E-3</v>
      </c>
      <c r="K61" s="8">
        <f t="shared" si="29"/>
        <v>4.2677124421838242E-2</v>
      </c>
      <c r="L61" s="8">
        <f t="shared" si="29"/>
        <v>-0.10076964717637837</v>
      </c>
      <c r="M61" s="8">
        <f t="shared" si="29"/>
        <v>7.508078753053482E-3</v>
      </c>
      <c r="N61" s="8">
        <f t="shared" si="29"/>
        <v>-0.2629853870144403</v>
      </c>
      <c r="O61" s="8">
        <f t="shared" si="29"/>
        <v>-0.13472325708903288</v>
      </c>
      <c r="P61" s="8">
        <f t="shared" si="29"/>
        <v>-0.16993782630358967</v>
      </c>
      <c r="Q61" s="8">
        <f t="shared" si="29"/>
        <v>-3.5902722499880357E-2</v>
      </c>
      <c r="R61" s="8">
        <f t="shared" si="29"/>
        <v>7.3525231789573375E-2</v>
      </c>
      <c r="S61" s="8">
        <f t="shared" si="25"/>
        <v>-0.27667935185749437</v>
      </c>
      <c r="T61" s="8">
        <f t="shared" si="31"/>
        <v>5.8384851372393909E-2</v>
      </c>
      <c r="U61" s="8">
        <f t="shared" si="32"/>
        <v>0.27510410004583963</v>
      </c>
      <c r="V61" s="8">
        <f t="shared" ca="1" si="33"/>
        <v>-1.6973906643513614E-2</v>
      </c>
      <c r="AA61" s="8">
        <v>0</v>
      </c>
      <c r="AB61" s="8">
        <v>-1.697390664351358E-2</v>
      </c>
      <c r="AC61" s="8" t="e">
        <v>#N/A</v>
      </c>
      <c r="AD61" s="8">
        <f t="shared" si="26"/>
        <v>-6.3819501450097627E-2</v>
      </c>
      <c r="AE61" s="8">
        <f t="shared" ca="1" si="27"/>
        <v>-0.14382492675502623</v>
      </c>
      <c r="AF61" s="8"/>
      <c r="AG61" s="17" t="e">
        <f t="shared" si="24"/>
        <v>#N/A</v>
      </c>
      <c r="AH61" s="8"/>
    </row>
    <row r="62" spans="1:34">
      <c r="A62">
        <f t="shared" si="28"/>
        <v>22</v>
      </c>
      <c r="B62" t="str">
        <f t="shared" si="28"/>
        <v>NL</v>
      </c>
      <c r="C62" t="str">
        <f t="shared" si="28"/>
        <v>NL</v>
      </c>
      <c r="D62" s="8"/>
      <c r="E62" s="8">
        <f t="shared" si="29"/>
        <v>1.0467904084192403E-2</v>
      </c>
      <c r="F62" s="8">
        <f t="shared" si="29"/>
        <v>1.8279029497023869E-2</v>
      </c>
      <c r="G62" s="8">
        <f t="shared" si="29"/>
        <v>-3.6585911785102398E-2</v>
      </c>
      <c r="H62" s="8">
        <f t="shared" si="29"/>
        <v>-6.212822862598455E-2</v>
      </c>
      <c r="I62" s="8">
        <f t="shared" si="29"/>
        <v>1.734281879602384E-2</v>
      </c>
      <c r="J62" s="8">
        <f t="shared" si="29"/>
        <v>-2.0662388059339065E-2</v>
      </c>
      <c r="K62" s="8">
        <f t="shared" si="29"/>
        <v>-6.496565595306758E-3</v>
      </c>
      <c r="L62" s="8">
        <f t="shared" si="29"/>
        <v>-3.1067393912470709E-2</v>
      </c>
      <c r="M62" s="8">
        <f t="shared" si="29"/>
        <v>-1.7809507428510285E-2</v>
      </c>
      <c r="N62" s="8">
        <f t="shared" si="29"/>
        <v>-0.24335088849801867</v>
      </c>
      <c r="O62" s="8">
        <f t="shared" si="29"/>
        <v>0.20794212723438843</v>
      </c>
      <c r="P62" s="8">
        <f t="shared" si="29"/>
        <v>-6.4461972341066875E-2</v>
      </c>
      <c r="Q62" s="8">
        <f t="shared" si="29"/>
        <v>-0.14625034836345707</v>
      </c>
      <c r="R62" s="8">
        <f t="shared" si="29"/>
        <v>0.39483354821576633</v>
      </c>
      <c r="S62" s="8">
        <f t="shared" si="25"/>
        <v>-0.16711787315676541</v>
      </c>
      <c r="T62" s="8">
        <f t="shared" si="31"/>
        <v>4.8737345424264999E-2</v>
      </c>
      <c r="U62" s="8">
        <f t="shared" si="32"/>
        <v>6.1532218504962932E-2</v>
      </c>
      <c r="V62" s="8">
        <f t="shared" ca="1" si="33"/>
        <v>2.5032097998354708E-2</v>
      </c>
      <c r="AA62" s="8">
        <v>0</v>
      </c>
      <c r="AB62" s="8">
        <v>2.7137212404128488E-2</v>
      </c>
      <c r="AC62" s="8">
        <v>2.5032097998354763E-2</v>
      </c>
      <c r="AD62" s="8">
        <f t="shared" si="26"/>
        <v>-6.3877348698729103E-2</v>
      </c>
      <c r="AE62" s="8">
        <f t="shared" ca="1" si="27"/>
        <v>3.3537693380095268E-2</v>
      </c>
      <c r="AF62" s="119"/>
      <c r="AG62" s="17">
        <f t="shared" si="24"/>
        <v>-2.1051144057737253E-3</v>
      </c>
    </row>
    <row r="63" spans="1:34">
      <c r="A63">
        <f t="shared" si="28"/>
        <v>23</v>
      </c>
      <c r="B63" t="str">
        <f t="shared" si="28"/>
        <v>PL</v>
      </c>
      <c r="C63" t="str">
        <f t="shared" si="28"/>
        <v>PL</v>
      </c>
      <c r="D63" s="8"/>
      <c r="E63" s="8">
        <f t="shared" si="29"/>
        <v>5.0021735124819777E-2</v>
      </c>
      <c r="F63" s="8">
        <f t="shared" si="29"/>
        <v>2.8008004009981491E-2</v>
      </c>
      <c r="G63" s="8">
        <f t="shared" si="29"/>
        <v>4.7594930073288078E-2</v>
      </c>
      <c r="H63" s="8">
        <f t="shared" si="29"/>
        <v>-2.9080795613838695E-2</v>
      </c>
      <c r="I63" s="8">
        <f t="shared" si="29"/>
        <v>5.7328635111040693E-2</v>
      </c>
      <c r="J63" s="8">
        <f t="shared" si="29"/>
        <v>1.4469461792789184E-2</v>
      </c>
      <c r="K63" s="8">
        <f t="shared" si="29"/>
        <v>-3.8860023637445007E-2</v>
      </c>
      <c r="L63" s="8">
        <f t="shared" si="29"/>
        <v>-0.10181150806926709</v>
      </c>
      <c r="M63" s="8">
        <f t="shared" si="29"/>
        <v>-1.058462374332958E-2</v>
      </c>
      <c r="N63" s="8">
        <f t="shared" si="29"/>
        <v>4.8890938644610582E-2</v>
      </c>
      <c r="O63" s="8">
        <f t="shared" si="29"/>
        <v>0.1229551196525942</v>
      </c>
      <c r="P63" s="8">
        <f t="shared" si="29"/>
        <v>0.1341281343463685</v>
      </c>
      <c r="Q63" s="8">
        <f t="shared" si="29"/>
        <v>3.4329527433635265E-2</v>
      </c>
      <c r="R63" s="8">
        <f t="shared" si="29"/>
        <v>1.5511409185073877E-2</v>
      </c>
      <c r="S63" s="8">
        <f t="shared" si="25"/>
        <v>-6.643478679967274E-2</v>
      </c>
      <c r="T63" s="8">
        <f t="shared" si="31"/>
        <v>8.9173101474197436E-2</v>
      </c>
      <c r="U63" s="8">
        <f t="shared" si="32"/>
        <v>4.001636342052417E-2</v>
      </c>
      <c r="V63" s="8">
        <f t="shared" ca="1" si="33"/>
        <v>2.3263067384835523E-3</v>
      </c>
      <c r="AA63" s="8">
        <v>0</v>
      </c>
      <c r="AB63" s="8">
        <v>-7.6986584339075884E-3</v>
      </c>
      <c r="AC63" s="8">
        <v>2.3263067384836559E-3</v>
      </c>
      <c r="AD63" s="8">
        <f t="shared" si="26"/>
        <v>-1.7579151002528381E-2</v>
      </c>
      <c r="AE63" s="8">
        <f t="shared" ca="1" si="27"/>
        <v>-9.7122817611268175E-3</v>
      </c>
      <c r="AF63" s="8"/>
      <c r="AG63" s="17">
        <f t="shared" si="24"/>
        <v>1.0024965172391244E-2</v>
      </c>
    </row>
    <row r="64" spans="1:34">
      <c r="A64">
        <f t="shared" si="28"/>
        <v>24</v>
      </c>
      <c r="B64" t="str">
        <f t="shared" si="28"/>
        <v>PT</v>
      </c>
      <c r="C64" t="str">
        <f t="shared" si="28"/>
        <v>PT</v>
      </c>
      <c r="D64" s="8"/>
      <c r="E64" s="8">
        <f t="shared" si="29"/>
        <v>-9.4504363492331822E-2</v>
      </c>
      <c r="F64" s="8">
        <f t="shared" si="29"/>
        <v>-2.9434118073079274E-2</v>
      </c>
      <c r="G64" s="8">
        <f t="shared" si="29"/>
        <v>-2.0663380964013545E-2</v>
      </c>
      <c r="H64" s="8">
        <f t="shared" si="29"/>
        <v>-3.8412940027064968E-2</v>
      </c>
      <c r="I64" s="8">
        <f t="shared" si="29"/>
        <v>-4.8984284455817151E-2</v>
      </c>
      <c r="J64" s="8">
        <f t="shared" si="29"/>
        <v>-8.2878027219163708E-2</v>
      </c>
      <c r="K64" s="8">
        <f t="shared" si="29"/>
        <v>-8.0829719132616495E-2</v>
      </c>
      <c r="L64" s="8">
        <f t="shared" si="29"/>
        <v>-7.6405179250518263E-3</v>
      </c>
      <c r="M64" s="8">
        <f t="shared" si="29"/>
        <v>-1.7342468412757217E-2</v>
      </c>
      <c r="N64" s="8">
        <f t="shared" si="29"/>
        <v>2.9389743805001256E-2</v>
      </c>
      <c r="O64" s="8">
        <f t="shared" si="29"/>
        <v>1.9528331804571586E-2</v>
      </c>
      <c r="P64" s="8">
        <f t="shared" si="29"/>
        <v>1.9738892803934149E-2</v>
      </c>
      <c r="Q64" s="8">
        <f t="shared" si="29"/>
        <v>1.465181944983418E-2</v>
      </c>
      <c r="R64" s="8">
        <f t="shared" si="29"/>
        <v>1.554349284106471E-2</v>
      </c>
      <c r="S64" s="8">
        <f t="shared" si="25"/>
        <v>-0.19112113359941973</v>
      </c>
      <c r="T64" s="8">
        <f t="shared" si="31"/>
        <v>1.5578106638261868E-2</v>
      </c>
      <c r="U64" s="8">
        <f t="shared" si="32"/>
        <v>0.17799333802982709</v>
      </c>
      <c r="V64" s="8">
        <f t="shared" ca="1" si="33"/>
        <v>-4.1876453533410407E-2</v>
      </c>
      <c r="AA64" s="8">
        <v>0</v>
      </c>
      <c r="AB64" s="8">
        <v>-6.6024523214869651E-2</v>
      </c>
      <c r="AC64" s="8">
        <v>-4.1876453533410539E-2</v>
      </c>
      <c r="AD64" s="8">
        <f t="shared" si="26"/>
        <v>-3.18601977769176E-2</v>
      </c>
      <c r="AE64" s="8">
        <f t="shared" ca="1" si="27"/>
        <v>-0.11873717030249376</v>
      </c>
      <c r="AF64" s="52"/>
      <c r="AG64" s="17">
        <f t="shared" si="24"/>
        <v>2.4148069681459113E-2</v>
      </c>
    </row>
    <row r="65" spans="1:33">
      <c r="A65">
        <f t="shared" si="28"/>
        <v>25</v>
      </c>
      <c r="B65" t="str">
        <f t="shared" si="28"/>
        <v>RO</v>
      </c>
      <c r="C65" t="str">
        <f t="shared" si="28"/>
        <v>RO</v>
      </c>
      <c r="D65" s="8"/>
      <c r="E65" s="8">
        <f t="shared" si="29"/>
        <v>4.6683112256007853E-2</v>
      </c>
      <c r="F65" s="8">
        <f t="shared" si="29"/>
        <v>1.6901961829681289E-2</v>
      </c>
      <c r="G65" s="8">
        <f t="shared" si="29"/>
        <v>-2.0914285076036654E-2</v>
      </c>
      <c r="H65" s="8">
        <f t="shared" si="29"/>
        <v>-0.1580740168704946</v>
      </c>
      <c r="I65" s="8">
        <f t="shared" si="29"/>
        <v>1.584071268758569E-2</v>
      </c>
      <c r="J65" s="8">
        <f t="shared" si="29"/>
        <v>-2.7011889668558942E-3</v>
      </c>
      <c r="K65" s="8">
        <f t="shared" si="29"/>
        <v>3.5136733381200047E-2</v>
      </c>
      <c r="L65" s="8">
        <f t="shared" si="29"/>
        <v>-3.8700834543437534E-2</v>
      </c>
      <c r="M65" s="8">
        <f t="shared" si="29"/>
        <v>5.4462839501256965E-4</v>
      </c>
      <c r="N65" s="8">
        <f t="shared" si="29"/>
        <v>7.8172700581383925E-2</v>
      </c>
      <c r="O65" s="8">
        <f t="shared" si="29"/>
        <v>1.2708848110061011E-2</v>
      </c>
      <c r="P65" s="8">
        <f t="shared" si="29"/>
        <v>0.11814547018577515</v>
      </c>
      <c r="Q65" s="8">
        <f t="shared" si="29"/>
        <v>1.8938854241927761E-2</v>
      </c>
      <c r="R65" s="8">
        <f t="shared" si="29"/>
        <v>7.2250876676440701E-3</v>
      </c>
      <c r="S65" s="8">
        <f t="shared" si="25"/>
        <v>-3.6735704377965472E-2</v>
      </c>
      <c r="T65" s="8">
        <f t="shared" si="31"/>
        <v>0.102677342920656</v>
      </c>
      <c r="U65" s="8">
        <f t="shared" si="32"/>
        <v>1.8876137072793231E-2</v>
      </c>
      <c r="V65" s="8">
        <f t="shared" ca="1" si="33"/>
        <v>8.9577813308516774E-4</v>
      </c>
      <c r="AA65" s="8">
        <v>0</v>
      </c>
      <c r="AB65" s="8">
        <v>3.0719153697487539E-2</v>
      </c>
      <c r="AC65" s="8">
        <v>8.9577813308506311E-4</v>
      </c>
      <c r="AD65" s="8">
        <f t="shared" si="26"/>
        <v>1.4490407769460622E-2</v>
      </c>
      <c r="AE65" s="8">
        <f t="shared" ca="1" si="27"/>
        <v>9.3910212993899567E-3</v>
      </c>
      <c r="AF65" s="8"/>
      <c r="AG65" s="17">
        <f t="shared" si="24"/>
        <v>-2.9823375564402475E-2</v>
      </c>
    </row>
    <row r="66" spans="1:33">
      <c r="A66">
        <f t="shared" si="28"/>
        <v>26</v>
      </c>
      <c r="B66" t="str">
        <f t="shared" si="28"/>
        <v>SE</v>
      </c>
      <c r="C66" t="str">
        <f t="shared" si="28"/>
        <v>SE</v>
      </c>
      <c r="D66" s="8"/>
      <c r="E66" s="8">
        <f t="shared" si="29"/>
        <v>-6.172079652629614E-2</v>
      </c>
      <c r="F66" s="8">
        <f t="shared" si="29"/>
        <v>-4.9124971589986632E-2</v>
      </c>
      <c r="G66" s="8">
        <f t="shared" si="29"/>
        <v>7.2037626558711265E-2</v>
      </c>
      <c r="H66" s="8">
        <f t="shared" si="29"/>
        <v>-8.7564148420266386E-2</v>
      </c>
      <c r="I66" s="8">
        <f t="shared" si="29"/>
        <v>0.15740258974702592</v>
      </c>
      <c r="J66" s="8">
        <f t="shared" si="29"/>
        <v>4.3020149973278521E-3</v>
      </c>
      <c r="K66" s="8">
        <f t="shared" si="29"/>
        <v>-8.6659929757700427E-2</v>
      </c>
      <c r="L66" s="8">
        <f t="shared" si="29"/>
        <v>-7.3060752812244445E-2</v>
      </c>
      <c r="M66" s="8">
        <f t="shared" si="29"/>
        <v>-2.4642899728890888E-2</v>
      </c>
      <c r="N66" s="8">
        <f t="shared" si="29"/>
        <v>-0.24792775869178307</v>
      </c>
      <c r="O66" s="8">
        <f t="shared" si="29"/>
        <v>0.1324824554117181</v>
      </c>
      <c r="P66" s="8">
        <f t="shared" si="29"/>
        <v>-3.6917291674365749E-2</v>
      </c>
      <c r="Q66" s="8">
        <f t="shared" si="29"/>
        <v>0.14761627335645011</v>
      </c>
      <c r="R66" s="8">
        <f t="shared" si="29"/>
        <v>-0.12123984864897053</v>
      </c>
      <c r="S66" s="8">
        <f t="shared" si="25"/>
        <v>-0.16761437522577138</v>
      </c>
      <c r="T66" s="8">
        <f t="shared" si="31"/>
        <v>6.3554172708030654E-2</v>
      </c>
      <c r="U66" s="8">
        <f t="shared" si="32"/>
        <v>4.433951769014155E-2</v>
      </c>
      <c r="V66" s="8">
        <f t="shared" ca="1" si="33"/>
        <v>1.6879466410832489E-2</v>
      </c>
      <c r="AA66" s="8">
        <v>0</v>
      </c>
      <c r="AB66" s="8">
        <v>1.6879466410832579E-2</v>
      </c>
      <c r="AC66" s="8">
        <v>-2.4301609406236102E-2</v>
      </c>
      <c r="AD66" s="8">
        <f t="shared" si="26"/>
        <v>-8.5597865198658196E-2</v>
      </c>
      <c r="AE66" s="8">
        <f t="shared" ca="1" si="27"/>
        <v>-0.14166404117868592</v>
      </c>
      <c r="AF66" s="8"/>
      <c r="AG66" s="17">
        <f t="shared" si="24"/>
        <v>-4.1181075817068681E-2</v>
      </c>
    </row>
    <row r="67" spans="1:33">
      <c r="A67">
        <f t="shared" si="28"/>
        <v>27</v>
      </c>
      <c r="B67" t="str">
        <f t="shared" si="28"/>
        <v>SI</v>
      </c>
      <c r="C67" t="str">
        <f t="shared" si="28"/>
        <v>SI</v>
      </c>
      <c r="D67" s="8"/>
      <c r="E67" s="8">
        <f t="shared" si="29"/>
        <v>1.9395904666605457E-2</v>
      </c>
      <c r="F67" s="8">
        <f t="shared" si="29"/>
        <v>-1.4047532718496458E-2</v>
      </c>
      <c r="G67" s="8">
        <f t="shared" si="29"/>
        <v>0.16305506362661415</v>
      </c>
      <c r="H67" s="8">
        <f t="shared" si="29"/>
        <v>-0.13790759573540512</v>
      </c>
      <c r="I67" s="8">
        <f t="shared" si="29"/>
        <v>1.4445091930763043E-2</v>
      </c>
      <c r="J67" s="8">
        <f t="shared" si="29"/>
        <v>-4.6407630112442755E-3</v>
      </c>
      <c r="K67" s="8">
        <f t="shared" si="29"/>
        <v>-2.9314515981748168E-2</v>
      </c>
      <c r="L67" s="8">
        <f t="shared" si="29"/>
        <v>-5.8753533519780854E-2</v>
      </c>
      <c r="M67" s="8">
        <f t="shared" si="29"/>
        <v>-2.4229149250137971E-2</v>
      </c>
      <c r="N67" s="8">
        <f t="shared" si="29"/>
        <v>-9.975558447813504E-3</v>
      </c>
      <c r="O67" s="8">
        <f t="shared" si="29"/>
        <v>5.1241610553091954E-2</v>
      </c>
      <c r="P67" s="8">
        <f t="shared" si="29"/>
        <v>8.7840314513991657E-3</v>
      </c>
      <c r="Q67" s="8">
        <f t="shared" si="29"/>
        <v>3.6400673640102355E-3</v>
      </c>
      <c r="R67" s="8">
        <f t="shared" si="29"/>
        <v>-3.9909775514533008E-2</v>
      </c>
      <c r="S67" s="8">
        <f t="shared" si="25"/>
        <v>-0.15593173357428569</v>
      </c>
      <c r="T67" s="8">
        <f t="shared" si="31"/>
        <v>9.4578910920172898E-2</v>
      </c>
      <c r="U67" s="8">
        <f t="shared" si="32"/>
        <v>0.10819584302360985</v>
      </c>
      <c r="V67" s="8">
        <f t="shared" ca="1" si="33"/>
        <v>-0.1203133956574266</v>
      </c>
      <c r="AA67" s="8">
        <v>0</v>
      </c>
      <c r="AB67" s="8">
        <v>-0.12865002115954297</v>
      </c>
      <c r="AC67" s="8">
        <v>-0.11283483282727805</v>
      </c>
      <c r="AD67" s="8">
        <f t="shared" si="26"/>
        <v>-2.5382704042144953E-2</v>
      </c>
      <c r="AE67" s="8">
        <f t="shared" ca="1" si="27"/>
        <v>-8.8524163634129516E-2</v>
      </c>
      <c r="AF67" s="8">
        <v>-0.1203133956574266</v>
      </c>
      <c r="AG67" s="17">
        <f t="shared" si="24"/>
        <v>1.5815188332264918E-2</v>
      </c>
    </row>
    <row r="68" spans="1:33">
      <c r="A68">
        <f t="shared" si="28"/>
        <v>28</v>
      </c>
      <c r="B68" t="str">
        <f t="shared" si="28"/>
        <v>SK</v>
      </c>
      <c r="C68" t="str">
        <f t="shared" si="28"/>
        <v>SK</v>
      </c>
      <c r="D68" s="8"/>
      <c r="E68" s="8">
        <f t="shared" si="29"/>
        <v>-4.9873373995159787E-2</v>
      </c>
      <c r="F68" s="8">
        <f t="shared" si="29"/>
        <v>8.0503760109894795E-2</v>
      </c>
      <c r="G68" s="8">
        <f t="shared" si="29"/>
        <v>8.1439334818451448E-2</v>
      </c>
      <c r="H68" s="8">
        <f t="shared" si="29"/>
        <v>-7.9906477066675863E-2</v>
      </c>
      <c r="I68" s="8">
        <f t="shared" si="29"/>
        <v>0.10545610701329511</v>
      </c>
      <c r="J68" s="8">
        <f t="shared" si="29"/>
        <v>-2.4465052715222702E-2</v>
      </c>
      <c r="K68" s="8">
        <f t="shared" si="29"/>
        <v>-5.3122962221908709E-3</v>
      </c>
      <c r="L68" s="8">
        <f t="shared" si="29"/>
        <v>-6.233399434901854E-2</v>
      </c>
      <c r="M68" s="8">
        <f t="shared" si="29"/>
        <v>-9.0237262238511362E-2</v>
      </c>
      <c r="N68" s="8">
        <f t="shared" si="29"/>
        <v>0.10709887289653208</v>
      </c>
      <c r="O68" s="8">
        <f t="shared" si="29"/>
        <v>0.10163641562680592</v>
      </c>
      <c r="P68" s="8">
        <f t="shared" si="29"/>
        <v>0.10573319747793786</v>
      </c>
      <c r="Q68" s="8">
        <f t="shared" si="29"/>
        <v>2.7532265147036661E-3</v>
      </c>
      <c r="R68" s="8">
        <f t="shared" si="29"/>
        <v>-9.118419939225908E-3</v>
      </c>
      <c r="S68" s="8">
        <f t="shared" si="25"/>
        <v>-6.5533792663455714E-2</v>
      </c>
      <c r="T68" s="8">
        <f t="shared" si="31"/>
        <v>3.3671806826885753E-2</v>
      </c>
      <c r="U68" s="8">
        <f t="shared" si="32"/>
        <v>5.4896803394099525E-2</v>
      </c>
      <c r="V68" s="8">
        <f t="shared" ca="1" si="33"/>
        <v>3.4060125362385119E-3</v>
      </c>
      <c r="AA68" s="8">
        <v>0</v>
      </c>
      <c r="AB68" s="8">
        <v>3.4060125362384269E-3</v>
      </c>
      <c r="AC68" s="8">
        <v>6.0956267003887668E-3</v>
      </c>
      <c r="AD68" s="8">
        <f t="shared" si="26"/>
        <v>-1.5049946525682279E-2</v>
      </c>
      <c r="AE68" s="8">
        <f t="shared" ca="1" si="27"/>
        <v>-3.691377945206753E-2</v>
      </c>
      <c r="AF68" s="8"/>
      <c r="AG68" s="17">
        <f t="shared" si="24"/>
        <v>2.6896141641503399E-3</v>
      </c>
    </row>
    <row r="69" spans="1:33">
      <c r="A69">
        <f t="shared" si="28"/>
        <v>29</v>
      </c>
      <c r="B69" t="str">
        <f t="shared" si="28"/>
        <v>UK</v>
      </c>
      <c r="C69" t="str">
        <f t="shared" si="28"/>
        <v>UK</v>
      </c>
      <c r="D69" s="8"/>
      <c r="E69" s="8">
        <f t="shared" si="29"/>
        <v>-8.0589683365951403E-3</v>
      </c>
      <c r="F69" s="8">
        <f t="shared" si="29"/>
        <v>-2.3971909553913928E-2</v>
      </c>
      <c r="G69" s="8">
        <f t="shared" si="29"/>
        <v>-2.0556649965790319E-2</v>
      </c>
      <c r="H69" s="8">
        <f t="shared" si="29"/>
        <v>-5.6696505315194656E-2</v>
      </c>
      <c r="I69" s="8">
        <f t="shared" si="29"/>
        <v>5.5289032191687681E-3</v>
      </c>
      <c r="J69" s="8">
        <f t="shared" si="29"/>
        <v>-4.0876489935648741E-2</v>
      </c>
      <c r="K69" s="8">
        <f t="shared" si="29"/>
        <v>-3.6953100085815871E-3</v>
      </c>
      <c r="L69" s="8">
        <f t="shared" si="29"/>
        <v>-4.1609472491023536E-2</v>
      </c>
      <c r="M69" s="8">
        <f t="shared" si="29"/>
        <v>2.262647916762317E-2</v>
      </c>
      <c r="N69" s="8">
        <f t="shared" si="29"/>
        <v>1.9901072438920142E-2</v>
      </c>
      <c r="O69" s="8">
        <f t="shared" si="29"/>
        <v>7.1017864389870677E-3</v>
      </c>
      <c r="P69" s="8">
        <f t="shared" si="29"/>
        <v>1.6132720642420439E-2</v>
      </c>
      <c r="Q69" s="8">
        <f t="shared" si="29"/>
        <v>-6.8356231326736072E-3</v>
      </c>
      <c r="R69" s="8">
        <f t="shared" si="29"/>
        <v>-1.0679273652080989E-2</v>
      </c>
      <c r="S69" s="8">
        <f t="shared" si="25"/>
        <v>-1</v>
      </c>
      <c r="T69" s="8">
        <f t="shared" si="31"/>
        <v>0</v>
      </c>
      <c r="U69" s="8">
        <f t="shared" si="32"/>
        <v>0</v>
      </c>
      <c r="V69" s="8">
        <f t="shared" ca="1" si="33"/>
        <v>0</v>
      </c>
      <c r="AA69" s="8">
        <v>0</v>
      </c>
      <c r="AB69" s="8">
        <v>0</v>
      </c>
      <c r="AC69" s="8">
        <v>0</v>
      </c>
      <c r="AD69" s="8">
        <f t="shared" si="26"/>
        <v>-8.7307441657421096E-3</v>
      </c>
      <c r="AE69" s="8" t="e">
        <f t="shared" ca="1" si="27"/>
        <v>#DIV/0!</v>
      </c>
      <c r="AF69" s="8"/>
      <c r="AG69" s="17">
        <f t="shared" si="24"/>
        <v>0</v>
      </c>
    </row>
    <row r="70" spans="1:33">
      <c r="B70" s="40" t="s">
        <v>189</v>
      </c>
      <c r="C70" s="40" t="s">
        <v>189</v>
      </c>
      <c r="D70" s="41"/>
      <c r="E70" s="49">
        <f t="shared" si="29"/>
        <v>-5.8365384931868824E-3</v>
      </c>
      <c r="F70" s="49">
        <f t="shared" ref="F70:F71" si="34">IFERROR(F35/E35-1,0)</f>
        <v>-3.0782966009809343E-2</v>
      </c>
      <c r="G70" s="49">
        <f t="shared" ref="G70:G71" si="35">IFERROR(G35/F35-1,0)</f>
        <v>-2.8802846757941536E-3</v>
      </c>
      <c r="H70" s="49">
        <f t="shared" ref="H70:H71" si="36">IFERROR(H35/G35-1,0)</f>
        <v>-5.4874997461610509E-2</v>
      </c>
      <c r="I70" s="49">
        <f t="shared" ref="I70:I71" si="37">IFERROR(I35/H35-1,0)</f>
        <v>-1.4052446419049125E-2</v>
      </c>
      <c r="J70" s="49">
        <f t="shared" ref="J70:J71" si="38">IFERROR(J35/I35-1,0)</f>
        <v>-2.8744035044008021E-2</v>
      </c>
      <c r="K70" s="49">
        <f t="shared" ref="K70:K71" si="39">IFERROR(K35/J35-1,0)</f>
        <v>-3.7592807410817497E-2</v>
      </c>
      <c r="L70" s="49">
        <f t="shared" ref="L70:L71" si="40">IFERROR(L35/K35-1,0)</f>
        <v>-2.4114643169993677E-2</v>
      </c>
      <c r="M70" s="49">
        <f t="shared" ref="M70:M71" si="41">IFERROR(M35/L35-1,0)</f>
        <v>-8.1283665901001889E-3</v>
      </c>
      <c r="N70" s="49">
        <f t="shared" ref="N70:N71" si="42">IFERROR(N35/M35-1,0)</f>
        <v>9.995636889009285E-3</v>
      </c>
      <c r="O70" s="49">
        <f t="shared" ref="O70:O71" si="43">IFERROR(O35/N35-1,0)</f>
        <v>1.6864507787186955E-2</v>
      </c>
      <c r="P70" s="49">
        <f t="shared" ref="P70:P71" si="44">IFERROR(P35/O35-1,0)</f>
        <v>1.604615296435119E-2</v>
      </c>
      <c r="Q70" s="49">
        <f t="shared" ref="Q70:R71" si="45">IFERROR(Q35/P35-1,0)</f>
        <v>-1.1057826185558839E-2</v>
      </c>
      <c r="R70" s="49">
        <f t="shared" si="45"/>
        <v>1.0192374698267503E-2</v>
      </c>
      <c r="S70" s="49">
        <f t="shared" si="25"/>
        <v>-0.26282102707834321</v>
      </c>
      <c r="T70" s="49">
        <f t="shared" si="31"/>
        <v>5.6539719074379269E-2</v>
      </c>
      <c r="U70" s="49">
        <f t="shared" si="32"/>
        <v>5.8671950283257557E-2</v>
      </c>
      <c r="V70" s="49">
        <f t="shared" ca="1" si="33"/>
        <v>-2.5631194511016919E-2</v>
      </c>
    </row>
    <row r="71" spans="1:33">
      <c r="B71" s="40" t="s">
        <v>190</v>
      </c>
      <c r="C71" s="40" t="s">
        <v>190</v>
      </c>
      <c r="D71" s="41"/>
      <c r="E71" s="49">
        <f t="shared" si="29"/>
        <v>-5.5105579688055073E-3</v>
      </c>
      <c r="F71" s="49">
        <f t="shared" si="34"/>
        <v>-3.177943491778612E-2</v>
      </c>
      <c r="G71" s="49">
        <f t="shared" si="35"/>
        <v>-2.7334936727063663E-4</v>
      </c>
      <c r="H71" s="49">
        <f t="shared" si="36"/>
        <v>-5.4611809278066081E-2</v>
      </c>
      <c r="I71" s="49">
        <f t="shared" si="37"/>
        <v>-1.6875500715326841E-2</v>
      </c>
      <c r="J71" s="49">
        <f t="shared" si="38"/>
        <v>-2.6955030951356096E-2</v>
      </c>
      <c r="K71" s="49">
        <f t="shared" si="39"/>
        <v>-4.2519686563260883E-2</v>
      </c>
      <c r="L71" s="49">
        <f t="shared" si="40"/>
        <v>-2.1468725630979901E-2</v>
      </c>
      <c r="M71" s="49">
        <f t="shared" si="41"/>
        <v>-1.2683991412459905E-2</v>
      </c>
      <c r="N71" s="49">
        <f t="shared" si="42"/>
        <v>8.4758985177082469E-3</v>
      </c>
      <c r="O71" s="49">
        <f t="shared" si="43"/>
        <v>1.8379319557478846E-2</v>
      </c>
      <c r="P71" s="49">
        <f t="shared" si="44"/>
        <v>1.6032869622754076E-2</v>
      </c>
      <c r="Q71" s="49">
        <f t="shared" si="45"/>
        <v>-1.1705764058755119E-2</v>
      </c>
      <c r="R71" s="49">
        <f t="shared" si="45"/>
        <v>1.3411114504649824E-2</v>
      </c>
      <c r="S71" s="49">
        <f t="shared" si="25"/>
        <v>-0.15183878210785395</v>
      </c>
      <c r="T71" s="49">
        <f t="shared" si="31"/>
        <v>5.6539719074379269E-2</v>
      </c>
      <c r="U71" s="49">
        <f t="shared" si="32"/>
        <v>5.8671950283257557E-2</v>
      </c>
      <c r="V71" s="49">
        <f t="shared" ca="1" si="33"/>
        <v>-2.5631194511016919E-2</v>
      </c>
    </row>
    <row r="72" spans="1:33">
      <c r="V72" s="8"/>
    </row>
    <row r="73" spans="1:33">
      <c r="N73" s="25"/>
      <c r="O73" s="25"/>
      <c r="P73" s="25"/>
      <c r="Q73" s="25"/>
      <c r="R73" s="25"/>
      <c r="S73" s="25"/>
      <c r="T73" s="25"/>
      <c r="U73" s="25"/>
    </row>
    <row r="74" spans="1:33">
      <c r="P74" s="8"/>
      <c r="Q74" s="8"/>
      <c r="R74" s="8"/>
      <c r="S74" s="8"/>
      <c r="T74" s="8"/>
      <c r="U74" s="8"/>
    </row>
    <row r="75" spans="1:33">
      <c r="P75" s="8"/>
      <c r="Q75" s="8"/>
      <c r="R75" s="8"/>
      <c r="S75" s="8"/>
      <c r="T75" s="8"/>
      <c r="U75" s="8"/>
    </row>
    <row r="76" spans="1:33">
      <c r="P76" s="8"/>
      <c r="Q76" s="8"/>
      <c r="R76" s="8"/>
      <c r="S76" s="8"/>
      <c r="T76" s="8"/>
      <c r="U76" s="8"/>
    </row>
  </sheetData>
  <mergeCells count="2">
    <mergeCell ref="AG40:AG41"/>
    <mergeCell ref="AI5:AI6"/>
  </mergeCells>
  <conditionalFormatting sqref="AK7:AK34">
    <cfRule type="cellIs" dxfId="13" priority="3" operator="greaterThan">
      <formula>$AK$5</formula>
    </cfRule>
  </conditionalFormatting>
  <conditionalFormatting sqref="AL7:AL34">
    <cfRule type="cellIs" dxfId="12" priority="2" operator="lessThan">
      <formula>$AL$5</formula>
    </cfRule>
  </conditionalFormatting>
  <pageMargins left="0.7" right="0.7" top="0.78740157499999996" bottom="0.78740157499999996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AN78"/>
  <sheetViews>
    <sheetView zoomScale="80" zoomScaleNormal="80" workbookViewId="0">
      <pane xSplit="3" ySplit="6" topLeftCell="D7" activePane="bottomRight" state="frozen"/>
      <selection pane="topRight" activeCell="AI47" sqref="AI47"/>
      <selection pane="bottomLeft" activeCell="AI47" sqref="AI47"/>
      <selection pane="bottomRight" activeCell="V6" sqref="V6:V36"/>
    </sheetView>
  </sheetViews>
  <sheetFormatPr baseColWidth="10" defaultColWidth="11.5" defaultRowHeight="13"/>
  <cols>
    <col min="1" max="1" width="12.6640625" customWidth="1"/>
    <col min="32" max="32" width="11.1640625" customWidth="1"/>
  </cols>
  <sheetData>
    <row r="1" spans="1:40">
      <c r="A1" t="s">
        <v>50</v>
      </c>
      <c r="AA1" s="11"/>
    </row>
    <row r="2" spans="1:40">
      <c r="A2" t="s">
        <v>210</v>
      </c>
      <c r="AA2" s="11"/>
    </row>
    <row r="3" spans="1:40">
      <c r="AA3" s="11"/>
      <c r="AH3" t="s">
        <v>192</v>
      </c>
      <c r="AI3" s="18">
        <v>1</v>
      </c>
      <c r="AK3" t="s">
        <v>193</v>
      </c>
    </row>
    <row r="4" spans="1:40" ht="14">
      <c r="AA4" s="11">
        <v>1</v>
      </c>
      <c r="AB4">
        <v>2</v>
      </c>
      <c r="AC4">
        <v>3</v>
      </c>
      <c r="AD4">
        <v>4</v>
      </c>
      <c r="AE4">
        <v>5</v>
      </c>
      <c r="AF4">
        <v>6</v>
      </c>
      <c r="AI4" s="36"/>
      <c r="AJ4" s="37" t="s">
        <v>194</v>
      </c>
      <c r="AK4" s="10">
        <v>5</v>
      </c>
      <c r="AL4" s="10">
        <v>5</v>
      </c>
    </row>
    <row r="5" spans="1:40">
      <c r="A5" t="s">
        <v>195</v>
      </c>
      <c r="D5" t="s">
        <v>173</v>
      </c>
      <c r="AA5" s="11" t="s">
        <v>196</v>
      </c>
      <c r="AB5" t="s">
        <v>197</v>
      </c>
      <c r="AC5" t="s">
        <v>198</v>
      </c>
      <c r="AD5" t="str">
        <f>AD40</f>
        <v>5yr mean chg</v>
      </c>
      <c r="AE5" t="s">
        <v>199</v>
      </c>
      <c r="AF5" t="s">
        <v>200</v>
      </c>
      <c r="AG5" t="s">
        <v>201</v>
      </c>
      <c r="AI5" s="146" t="s">
        <v>202</v>
      </c>
      <c r="AJ5" s="37" t="s">
        <v>203</v>
      </c>
      <c r="AK5" s="21">
        <v>0.9</v>
      </c>
      <c r="AL5" s="35">
        <v>0.05</v>
      </c>
      <c r="AN5" t="s">
        <v>204</v>
      </c>
    </row>
    <row r="6" spans="1:40">
      <c r="B6" t="s">
        <v>175</v>
      </c>
      <c r="C6" t="s">
        <v>176</v>
      </c>
      <c r="D6" s="1">
        <f>'PEC Total'!D6</f>
        <v>2005</v>
      </c>
      <c r="E6" s="1">
        <f>'PEC Total'!E6</f>
        <v>2006</v>
      </c>
      <c r="F6" s="1">
        <f>'PEC Total'!F6</f>
        <v>2007</v>
      </c>
      <c r="G6" s="1">
        <f>'PEC Total'!G6</f>
        <v>2008</v>
      </c>
      <c r="H6" s="1">
        <f>'PEC Total'!H6</f>
        <v>2009</v>
      </c>
      <c r="I6" s="1">
        <f>'PEC Total'!I6</f>
        <v>2010</v>
      </c>
      <c r="J6" s="1">
        <f>'PEC Total'!J6</f>
        <v>2011</v>
      </c>
      <c r="K6" s="1">
        <f>'PEC Total'!K6</f>
        <v>2012</v>
      </c>
      <c r="L6" s="1">
        <f>'PEC Total'!L6</f>
        <v>2013</v>
      </c>
      <c r="M6" s="1">
        <f>'PEC Total'!M6</f>
        <v>2014</v>
      </c>
      <c r="N6" s="1">
        <f>'PEC Total'!N6</f>
        <v>2015</v>
      </c>
      <c r="O6" s="1">
        <f>'PEC Total'!O6</f>
        <v>2016</v>
      </c>
      <c r="P6" s="1">
        <f>'PEC Total'!P6</f>
        <v>2017</v>
      </c>
      <c r="Q6" s="1">
        <f>'PEC Total'!Q6</f>
        <v>2018</v>
      </c>
      <c r="R6" s="1">
        <f>'PEC Total'!R6</f>
        <v>2019</v>
      </c>
      <c r="S6" s="1">
        <f>'PEC Total'!S6</f>
        <v>2020</v>
      </c>
      <c r="T6" s="1">
        <f>'PEC Total'!T6</f>
        <v>2021</v>
      </c>
      <c r="U6" s="1">
        <f>'PEC Total'!U6</f>
        <v>2022</v>
      </c>
      <c r="V6" s="2">
        <f>YearProxy</f>
        <v>2023</v>
      </c>
      <c r="W6" s="21" t="s">
        <v>205</v>
      </c>
      <c r="Y6" s="1"/>
      <c r="Z6" s="1"/>
      <c r="AA6" s="2">
        <f>YearProxy</f>
        <v>2023</v>
      </c>
      <c r="AB6" s="2">
        <f>AA6</f>
        <v>2023</v>
      </c>
      <c r="AC6" s="2">
        <f t="shared" ref="AC6:AE6" si="0">AB6</f>
        <v>2023</v>
      </c>
      <c r="AD6" s="2">
        <f t="shared" si="0"/>
        <v>2023</v>
      </c>
      <c r="AE6" s="2">
        <f t="shared" si="0"/>
        <v>2023</v>
      </c>
      <c r="AF6" s="2">
        <f>AA6</f>
        <v>2023</v>
      </c>
      <c r="AG6" s="6"/>
      <c r="AI6" s="146"/>
      <c r="AK6" s="6" t="s">
        <v>211</v>
      </c>
      <c r="AL6" s="6" t="s">
        <v>206</v>
      </c>
    </row>
    <row r="7" spans="1:40">
      <c r="A7">
        <v>2</v>
      </c>
      <c r="B7" t="s">
        <v>106</v>
      </c>
      <c r="C7" t="s">
        <v>106</v>
      </c>
      <c r="D7" s="3">
        <v>7769.665</v>
      </c>
      <c r="E7" s="3">
        <v>7249.2730000000001</v>
      </c>
      <c r="F7" s="3">
        <v>6845.7110000000002</v>
      </c>
      <c r="G7" s="3">
        <v>7221.0919999999996</v>
      </c>
      <c r="H7" s="3">
        <v>7030.259</v>
      </c>
      <c r="I7" s="3">
        <v>7746.0709999999999</v>
      </c>
      <c r="J7" s="3">
        <v>7335.2470000000003</v>
      </c>
      <c r="K7" s="3">
        <v>7011.1790000000001</v>
      </c>
      <c r="L7" s="3">
        <v>6763.8459999999995</v>
      </c>
      <c r="M7" s="3">
        <v>6122.7619999999997</v>
      </c>
      <c r="N7" s="3">
        <v>6576.1149999999998</v>
      </c>
      <c r="O7" s="3">
        <v>6902.2120000000004</v>
      </c>
      <c r="P7" s="3">
        <v>7445.643</v>
      </c>
      <c r="Q7" s="3">
        <v>7086.232</v>
      </c>
      <c r="R7" s="3">
        <v>7321.5110000000004</v>
      </c>
      <c r="S7" s="3">
        <v>6980.2820000000002</v>
      </c>
      <c r="T7" s="3">
        <v>7402.5519999999997</v>
      </c>
      <c r="U7" s="3">
        <v>6596.2740000000003</v>
      </c>
      <c r="V7" s="3">
        <f ca="1">INDEX($AA7:$AH7,1,W7)</f>
        <v>5596.183481278722</v>
      </c>
      <c r="W7" s="16">
        <f ca="1">IF(ISNUMBER(AF7),6,IF(ISNUMBER(AG7),AG7,IF(AI7&gt;0,AI7,IF(AND(AK7&gt;$AK$5,AE7&gt;0),5,IF(AND(AL7&gt;0,AL7&lt;$AL$5),4,1)))))</f>
        <v>6</v>
      </c>
      <c r="X7" t="str">
        <f ca="1">INDEX($AA$5:$AI$5,W7)</f>
        <v>Based on MS Stats</v>
      </c>
      <c r="Y7" s="3"/>
      <c r="Z7" s="3"/>
      <c r="AA7" s="13">
        <f t="shared" ref="AA7:AA34" ca="1" si="1">OFFSET($A7,0,OffsetLast)</f>
        <v>6596.2740000000003</v>
      </c>
      <c r="AB7" s="3">
        <f t="shared" ref="AB7:AD34" ca="1" si="2">$AA7*(1+AB42)</f>
        <v>4909.0652883230505</v>
      </c>
      <c r="AC7" s="3">
        <f t="shared" ca="1" si="2"/>
        <v>5736.3578454036069</v>
      </c>
      <c r="AD7" s="3">
        <f t="shared" ca="1" si="2"/>
        <v>6451.0245177003844</v>
      </c>
      <c r="AE7" s="3">
        <f ca="1">FORECAST(AC$6,OFFSET($A7,0,OffsetLast-TrendDuration+1,1,TrendDuration),OFFSET($A$6,0,OffsetLast-TrendDuration+1,1,TrendDuration))</f>
        <v>6807.707699999999</v>
      </c>
      <c r="AF7" s="3">
        <f ca="1">IF(ISNUMBER(AF42),$AA7*(1+AF42),"")</f>
        <v>5596.183481278722</v>
      </c>
      <c r="AI7">
        <f>IFERROR(IF(ABS(AG42)&gt;$AH$3,0,IF(ABS(AB42)&lt;ABS(AC42),2,3)),IF(ISNUMBER(AB42),2,IF(ISNUMBER(AC42),3,0)))</f>
        <v>3</v>
      </c>
      <c r="AK7" s="7">
        <f ca="1">IFERROR(RSQ(OFFSET($A7,0,OffsetLast-TrendDuration+1,1,TrendDuration),OFFSET($A$6,0,OffsetLast-TrendDuration+1,1,TrendDuration)),0)</f>
        <v>0.19885898637250979</v>
      </c>
      <c r="AL7" s="18">
        <f t="shared" ref="AL7:AL34" ca="1" si="3">_xlfn.STDEV.S(OFFSET($A42,0,OffsetLast-TrendDuration+1,1,TrendDuration))</f>
        <v>6.8379853426961498E-2</v>
      </c>
      <c r="AN7" s="7" t="str">
        <f>IFERROR(INDEX('MS Stats list'!P:P, MATCH(B7,'MS Stats list'!B:B,0)),"")</f>
        <v>Statistics Austria - Preliminary energy balance 2022</v>
      </c>
    </row>
    <row r="8" spans="1:40">
      <c r="A8">
        <v>3</v>
      </c>
      <c r="B8" t="s">
        <v>177</v>
      </c>
      <c r="C8" t="s">
        <v>177</v>
      </c>
      <c r="D8" s="3">
        <v>13858.376</v>
      </c>
      <c r="E8" s="3">
        <v>14221.838</v>
      </c>
      <c r="F8" s="3">
        <v>14022.933999999999</v>
      </c>
      <c r="G8" s="3">
        <v>13944.130999999999</v>
      </c>
      <c r="H8" s="3">
        <v>14313.339</v>
      </c>
      <c r="I8" s="3">
        <v>15818.228999999999</v>
      </c>
      <c r="J8" s="3">
        <v>13460.516</v>
      </c>
      <c r="K8" s="3">
        <v>13529.237999999999</v>
      </c>
      <c r="L8" s="3">
        <v>13592.322</v>
      </c>
      <c r="M8" s="3">
        <v>11819.824000000001</v>
      </c>
      <c r="N8" s="3">
        <v>13002.466</v>
      </c>
      <c r="O8" s="3">
        <v>13335.358</v>
      </c>
      <c r="P8" s="3">
        <v>13503.15</v>
      </c>
      <c r="Q8" s="3">
        <v>14006.696</v>
      </c>
      <c r="R8" s="3">
        <v>14227.029</v>
      </c>
      <c r="S8" s="3">
        <v>14029.834000000001</v>
      </c>
      <c r="T8" s="3">
        <v>14208.162</v>
      </c>
      <c r="U8" s="3">
        <v>12143.852000000001</v>
      </c>
      <c r="V8" s="3">
        <f t="shared" ref="V8:V34" ca="1" si="4">INDEX($AA8:$AH8,1,W8)</f>
        <v>11436.832080282495</v>
      </c>
      <c r="W8" s="16">
        <f t="shared" ref="W8:W34" si="5">IF(ISNUMBER(AF8),6,IF(ISNUMBER(AG8),AG8,IF(AI8&gt;0,AI8,IF(AND(AK8&gt;$AK$5,AE8&gt;0),5,IF(AND(AL8&gt;0,AL8&lt;$AL$5),4,1)))))</f>
        <v>3</v>
      </c>
      <c r="X8" t="str">
        <f t="shared" ref="X8:X34" si="6">INDEX($AA$5:$AI$5,W8)</f>
        <v>BP</v>
      </c>
      <c r="Y8" s="3"/>
      <c r="Z8" s="3"/>
      <c r="AA8" s="13">
        <f t="shared" ca="1" si="1"/>
        <v>12143.852000000001</v>
      </c>
      <c r="AB8" s="3">
        <f t="shared" ca="1" si="2"/>
        <v>9548.0831028992798</v>
      </c>
      <c r="AC8" s="3">
        <f t="shared" ca="1" si="2"/>
        <v>11436.832080282495</v>
      </c>
      <c r="AD8" s="3">
        <f t="shared" ca="1" si="2"/>
        <v>11916.959079071241</v>
      </c>
      <c r="AE8" s="3">
        <f t="shared" ref="AE8:AE34" ca="1" si="7">FORECAST(AC$6,OFFSET($A8,0,OffsetLast-TrendDuration+1,1,TrendDuration),OFFSET($A$6,0,OffsetLast-TrendDuration+1,1,TrendDuration))</f>
        <v>12599.748099999968</v>
      </c>
      <c r="AF8" s="3" t="str">
        <f t="shared" ref="AF8:AF34" si="8">IF(ISNUMBER(AF43),$AA8*(1+AF43),"")</f>
        <v/>
      </c>
      <c r="AH8" s="3"/>
      <c r="AI8">
        <f t="shared" ref="AI8:AI34" si="9">IFERROR(IF(ABS(AG43)&gt;$AH$3,0,IF(ABS(AB43)&lt;ABS(AC43),2,3)),IF(ISNUMBER(AB43),2,IF(ISNUMBER(AC43),3,0)))</f>
        <v>3</v>
      </c>
      <c r="AK8" s="7">
        <f t="shared" ref="AK8:AK34" ca="1" si="10">IFERROR(RSQ(OFFSET($A8,0,OffsetLast-TrendDuration+1,1,TrendDuration),OFFSET($A$6,0,OffsetLast-TrendDuration+1,1,TrendDuration)),0)</f>
        <v>0.44403831629365242</v>
      </c>
      <c r="AL8" s="18">
        <f t="shared" ca="1" si="3"/>
        <v>7.3067842909072228E-2</v>
      </c>
      <c r="AN8" s="7" t="str">
        <f>IFERROR(INDEX('MS Stats list'!P:P, MATCH(B8,'MS Stats list'!B:B,0)),"")</f>
        <v/>
      </c>
    </row>
    <row r="9" spans="1:40">
      <c r="A9">
        <v>4</v>
      </c>
      <c r="B9" t="s">
        <v>178</v>
      </c>
      <c r="C9" t="s">
        <v>178</v>
      </c>
      <c r="D9" s="3">
        <v>2493.5859999999998</v>
      </c>
      <c r="E9" s="3">
        <v>2655.9340000000002</v>
      </c>
      <c r="F9" s="3">
        <v>2766.279</v>
      </c>
      <c r="G9" s="3">
        <v>2643.2049999999999</v>
      </c>
      <c r="H9" s="3">
        <v>2004.481</v>
      </c>
      <c r="I9" s="3">
        <v>2108.1060000000002</v>
      </c>
      <c r="J9" s="3">
        <v>2380.9789999999998</v>
      </c>
      <c r="K9" s="3">
        <v>2266.991</v>
      </c>
      <c r="L9" s="3">
        <v>2190.5650000000001</v>
      </c>
      <c r="M9" s="3">
        <v>2142.3290000000002</v>
      </c>
      <c r="N9" s="3">
        <v>2322.54</v>
      </c>
      <c r="O9" s="3">
        <v>2398.5770000000002</v>
      </c>
      <c r="P9" s="3">
        <v>2484.2640000000001</v>
      </c>
      <c r="Q9" s="3">
        <v>2404.2350000000001</v>
      </c>
      <c r="R9" s="3">
        <v>2290.9499999999998</v>
      </c>
      <c r="S9" s="3">
        <v>2365.6089999999999</v>
      </c>
      <c r="T9" s="3">
        <v>2680.0050000000001</v>
      </c>
      <c r="U9" s="3">
        <v>2196.9589999999998</v>
      </c>
      <c r="V9" s="3">
        <f ca="1">INDEX($AA9:$AH9,1,W9)</f>
        <v>2052.7541818603486</v>
      </c>
      <c r="W9" s="16">
        <f t="shared" si="5"/>
        <v>3</v>
      </c>
      <c r="X9" t="str">
        <f t="shared" si="6"/>
        <v>BP</v>
      </c>
      <c r="Y9" s="3"/>
      <c r="Z9" s="3"/>
      <c r="AA9" s="13">
        <f t="shared" ca="1" si="1"/>
        <v>2196.9589999999998</v>
      </c>
      <c r="AB9" s="3">
        <f t="shared" ca="1" si="2"/>
        <v>1572.416262190631</v>
      </c>
      <c r="AC9" s="3">
        <f t="shared" ca="1" si="2"/>
        <v>2052.7541818603486</v>
      </c>
      <c r="AD9" s="3">
        <f t="shared" ca="1" si="2"/>
        <v>2155.6198867619992</v>
      </c>
      <c r="AE9" s="3">
        <f t="shared" ca="1" si="7"/>
        <v>2379.9024999999992</v>
      </c>
      <c r="AF9" s="3" t="str">
        <f t="shared" si="8"/>
        <v/>
      </c>
      <c r="AI9">
        <f t="shared" si="9"/>
        <v>3</v>
      </c>
      <c r="AK9" s="7">
        <f t="shared" ca="1" si="10"/>
        <v>4.9269849753395801E-4</v>
      </c>
      <c r="AL9" s="18">
        <f t="shared" ca="1" si="3"/>
        <v>0.11478189669043459</v>
      </c>
      <c r="AN9" s="7" t="str">
        <f>IFERROR(INDEX('MS Stats list'!P:P, MATCH(B9,'MS Stats list'!B:B,0)),"")</f>
        <v/>
      </c>
    </row>
    <row r="10" spans="1:40">
      <c r="A10">
        <v>5</v>
      </c>
      <c r="B10" t="s">
        <v>179</v>
      </c>
      <c r="C10" t="s">
        <v>179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f ca="1">INDEX($AA10:$AH10,1,W10)</f>
        <v>0</v>
      </c>
      <c r="W10" s="16">
        <f t="shared" ca="1" si="5"/>
        <v>1</v>
      </c>
      <c r="X10" t="str">
        <f t="shared" ca="1" si="6"/>
        <v>No Change</v>
      </c>
      <c r="Y10" s="3"/>
      <c r="Z10" s="3"/>
      <c r="AA10" s="13">
        <f t="shared" ca="1" si="1"/>
        <v>0</v>
      </c>
      <c r="AB10" s="3" t="e">
        <f t="shared" ca="1" si="2"/>
        <v>#VALUE!</v>
      </c>
      <c r="AC10" s="3" t="e">
        <f t="shared" ca="1" si="2"/>
        <v>#N/A</v>
      </c>
      <c r="AD10" s="3">
        <f t="shared" ca="1" si="2"/>
        <v>0</v>
      </c>
      <c r="AE10" s="3">
        <f t="shared" ca="1" si="7"/>
        <v>0</v>
      </c>
      <c r="AF10" s="3" t="str">
        <f t="shared" si="8"/>
        <v/>
      </c>
      <c r="AI10">
        <f t="shared" si="9"/>
        <v>0</v>
      </c>
      <c r="AK10" s="7">
        <f t="shared" ca="1" si="10"/>
        <v>0</v>
      </c>
      <c r="AL10" s="18">
        <f t="shared" ca="1" si="3"/>
        <v>0</v>
      </c>
      <c r="AN10" s="7" t="str">
        <f>IFERROR(INDEX('MS Stats list'!P:P, MATCH(B10,'MS Stats list'!B:B,0)),"")</f>
        <v/>
      </c>
    </row>
    <row r="11" spans="1:40">
      <c r="A11">
        <v>6</v>
      </c>
      <c r="B11" t="s">
        <v>180</v>
      </c>
      <c r="C11" t="s">
        <v>180</v>
      </c>
      <c r="D11" s="3">
        <v>7703.4390000000003</v>
      </c>
      <c r="E11" s="3">
        <v>7593.53</v>
      </c>
      <c r="F11" s="3">
        <v>7238.65</v>
      </c>
      <c r="G11" s="3">
        <v>7077.2349999999997</v>
      </c>
      <c r="H11" s="3">
        <v>6745.2920000000004</v>
      </c>
      <c r="I11" s="3">
        <v>7978.9340000000002</v>
      </c>
      <c r="J11" s="3">
        <v>6714.1660000000002</v>
      </c>
      <c r="K11" s="3">
        <v>6759.1360000000004</v>
      </c>
      <c r="L11" s="3">
        <v>6853.848</v>
      </c>
      <c r="M11" s="3">
        <v>6087.5969999999998</v>
      </c>
      <c r="N11" s="3">
        <v>6386.8440000000001</v>
      </c>
      <c r="O11" s="3">
        <v>6915.9769999999999</v>
      </c>
      <c r="P11" s="3">
        <v>7112.2529999999997</v>
      </c>
      <c r="Q11" s="3">
        <v>6729.9750000000004</v>
      </c>
      <c r="R11" s="3">
        <v>7060.95</v>
      </c>
      <c r="S11" s="3">
        <v>7180.8980000000001</v>
      </c>
      <c r="T11" s="3">
        <v>7714.3609999999999</v>
      </c>
      <c r="U11" s="3">
        <v>6279.9759999999997</v>
      </c>
      <c r="V11" s="3">
        <f t="shared" ca="1" si="4"/>
        <v>5701.9487508192906</v>
      </c>
      <c r="W11" s="16">
        <f t="shared" si="5"/>
        <v>3</v>
      </c>
      <c r="X11" t="str">
        <f t="shared" si="6"/>
        <v>BP</v>
      </c>
      <c r="Y11" s="3"/>
      <c r="Z11" s="3"/>
      <c r="AA11" s="13">
        <f t="shared" ca="1" si="1"/>
        <v>6279.9759999999997</v>
      </c>
      <c r="AB11" s="3">
        <f t="shared" ca="1" si="2"/>
        <v>4262.190921332488</v>
      </c>
      <c r="AC11" s="3">
        <f t="shared" ca="1" si="2"/>
        <v>5701.9487508192906</v>
      </c>
      <c r="AD11" s="3">
        <f t="shared" ca="1" si="2"/>
        <v>6155.3432568334101</v>
      </c>
      <c r="AE11" s="3">
        <f t="shared" ca="1" si="7"/>
        <v>6919.2559000000037</v>
      </c>
      <c r="AF11" s="3" t="str">
        <f t="shared" si="8"/>
        <v/>
      </c>
      <c r="AI11">
        <f t="shared" si="9"/>
        <v>3</v>
      </c>
      <c r="AK11" s="7">
        <f t="shared" ca="1" si="10"/>
        <v>5.343770973389555E-3</v>
      </c>
      <c r="AL11" s="18">
        <f t="shared" ca="1" si="3"/>
        <v>0.10454456468713769</v>
      </c>
      <c r="AN11" s="7" t="str">
        <f>IFERROR(INDEX('MS Stats list'!P:P, MATCH(B11,'MS Stats list'!B:B,0)),"")</f>
        <v/>
      </c>
    </row>
    <row r="12" spans="1:40">
      <c r="A12">
        <v>7</v>
      </c>
      <c r="B12" t="s">
        <v>91</v>
      </c>
      <c r="C12" t="s">
        <v>91</v>
      </c>
      <c r="D12" s="3">
        <v>75309.751000000004</v>
      </c>
      <c r="E12" s="3">
        <v>76931.313999999998</v>
      </c>
      <c r="F12" s="3">
        <v>74194.948000000004</v>
      </c>
      <c r="G12" s="3">
        <v>74985.209000000003</v>
      </c>
      <c r="H12" s="3">
        <v>70793.573000000004</v>
      </c>
      <c r="I12" s="3">
        <v>73512.323999999993</v>
      </c>
      <c r="J12" s="3">
        <v>67279.656000000003</v>
      </c>
      <c r="K12" s="3">
        <v>67762.425000000003</v>
      </c>
      <c r="L12" s="3">
        <v>70691.436000000002</v>
      </c>
      <c r="M12" s="3">
        <v>60846.313000000002</v>
      </c>
      <c r="N12" s="3">
        <v>62781.951999999997</v>
      </c>
      <c r="O12" s="3">
        <v>67706.938999999998</v>
      </c>
      <c r="P12" s="3">
        <v>72759.745999999999</v>
      </c>
      <c r="Q12" s="3">
        <v>70544.786999999997</v>
      </c>
      <c r="R12" s="3">
        <v>72189.164999999994</v>
      </c>
      <c r="S12" s="3">
        <v>71752.308999999994</v>
      </c>
      <c r="T12" s="3">
        <v>74296.981</v>
      </c>
      <c r="U12" s="3">
        <v>64557.114999999998</v>
      </c>
      <c r="V12" s="3">
        <f t="shared" ref="V12" ca="1" si="11">INDEX($AA12:$AH12,1,W12)</f>
        <v>62991.231284454239</v>
      </c>
      <c r="W12" s="16">
        <f t="shared" ca="1" si="5"/>
        <v>6</v>
      </c>
      <c r="X12" t="str">
        <f t="shared" ref="X12" ca="1" si="12">INDEX($AA$5:$AI$5,W12)</f>
        <v>Based on MS Stats</v>
      </c>
      <c r="Y12" s="3"/>
      <c r="Z12" s="3"/>
      <c r="AA12" s="13">
        <f t="shared" ca="1" si="1"/>
        <v>64557.114999999998</v>
      </c>
      <c r="AB12" s="3">
        <f t="shared" ca="1" si="2"/>
        <v>50353.056996046638</v>
      </c>
      <c r="AC12" s="3">
        <f t="shared" ca="1" si="2"/>
        <v>62991.229375692048</v>
      </c>
      <c r="AD12" s="3">
        <f t="shared" ca="1" si="2"/>
        <v>63152.184794474648</v>
      </c>
      <c r="AE12" s="3">
        <f t="shared" ca="1" si="7"/>
        <v>67707.813000000082</v>
      </c>
      <c r="AF12" s="3">
        <f t="shared" ca="1" si="8"/>
        <v>62991.231284454239</v>
      </c>
      <c r="AH12" s="3"/>
      <c r="AI12">
        <f t="shared" si="9"/>
        <v>3</v>
      </c>
      <c r="AK12" s="7">
        <f t="shared" ca="1" si="10"/>
        <v>0.18025366831367678</v>
      </c>
      <c r="AL12" s="18">
        <f t="shared" ca="1" si="3"/>
        <v>6.6298440443920373E-2</v>
      </c>
      <c r="AN12" s="7" t="str">
        <f>IFERROR(INDEX('MS Stats list'!P:P, MATCH(B12,'MS Stats list'!B:B,0)),"")</f>
        <v>BMWi - Gesamtausgabe der Energiedaten - Datensammlung des BMWi, AGEB - Primärenergieverbrauch Jahr 2021</v>
      </c>
    </row>
    <row r="13" spans="1:40">
      <c r="A13">
        <v>8</v>
      </c>
      <c r="B13" t="s">
        <v>115</v>
      </c>
      <c r="C13" t="s">
        <v>115</v>
      </c>
      <c r="D13" s="3">
        <v>4399.4660000000003</v>
      </c>
      <c r="E13" s="3">
        <v>4536.5290000000005</v>
      </c>
      <c r="F13" s="3">
        <v>4061.6289999999999</v>
      </c>
      <c r="G13" s="3">
        <v>4075.9459999999999</v>
      </c>
      <c r="H13" s="3">
        <v>3897.4520000000002</v>
      </c>
      <c r="I13" s="3">
        <v>4422.0259999999998</v>
      </c>
      <c r="J13" s="3">
        <v>3708.54</v>
      </c>
      <c r="K13" s="3">
        <v>3484.462</v>
      </c>
      <c r="L13" s="3">
        <v>3315.9360000000001</v>
      </c>
      <c r="M13" s="3">
        <v>2804.0250000000001</v>
      </c>
      <c r="N13" s="3">
        <v>2854.0219999999999</v>
      </c>
      <c r="O13" s="3">
        <v>2879.1149999999998</v>
      </c>
      <c r="P13" s="3">
        <v>2748.8470000000002</v>
      </c>
      <c r="Q13" s="3">
        <v>2674.4720000000002</v>
      </c>
      <c r="R13" s="3">
        <v>2529.2469999999998</v>
      </c>
      <c r="S13" s="3">
        <v>2112.2359999999999</v>
      </c>
      <c r="T13" s="3">
        <v>1933.425</v>
      </c>
      <c r="U13" s="3">
        <v>1439.123</v>
      </c>
      <c r="V13" s="3">
        <f t="shared" ca="1" si="4"/>
        <v>1392.9499543721238</v>
      </c>
      <c r="W13" s="16">
        <f t="shared" ca="1" si="5"/>
        <v>6</v>
      </c>
      <c r="X13" t="str">
        <f t="shared" ca="1" si="6"/>
        <v>Based on MS Stats</v>
      </c>
      <c r="Y13" s="3"/>
      <c r="Z13" s="3"/>
      <c r="AA13" s="13">
        <f t="shared" ca="1" si="1"/>
        <v>1439.123</v>
      </c>
      <c r="AB13" s="3">
        <f t="shared" ca="1" si="2"/>
        <v>1010.8159631485655</v>
      </c>
      <c r="AC13" s="3">
        <f t="shared" ca="1" si="2"/>
        <v>1385.7808513699069</v>
      </c>
      <c r="AD13" s="3">
        <f t="shared" ca="1" si="2"/>
        <v>1270.299781266561</v>
      </c>
      <c r="AE13" s="3">
        <f t="shared" ca="1" si="7"/>
        <v>1217.7445999999763</v>
      </c>
      <c r="AF13" s="3">
        <f t="shared" ca="1" si="8"/>
        <v>1392.9499543721238</v>
      </c>
      <c r="AH13" s="3"/>
      <c r="AI13">
        <f t="shared" si="9"/>
        <v>3</v>
      </c>
      <c r="AK13" s="7">
        <f t="shared" ca="1" si="10"/>
        <v>0.96762233116558527</v>
      </c>
      <c r="AL13" s="18">
        <f t="shared" ca="1" si="3"/>
        <v>9.2986257342343295E-2</v>
      </c>
      <c r="AN13" s="7" t="str">
        <f>IFERROR(INDEX('MS Stats list'!P:P, MATCH(B13,'MS Stats list'!B:B,0)),"")</f>
        <v>Danish Energy Agency - Preliminary Energy Statsticis 2022</v>
      </c>
    </row>
    <row r="14" spans="1:40">
      <c r="A14">
        <v>9</v>
      </c>
      <c r="B14" t="s">
        <v>120</v>
      </c>
      <c r="C14" t="s">
        <v>120</v>
      </c>
      <c r="D14" s="3">
        <v>682.46</v>
      </c>
      <c r="E14" s="3">
        <v>691.20799999999997</v>
      </c>
      <c r="F14" s="3">
        <v>691.22900000000004</v>
      </c>
      <c r="G14" s="3">
        <v>654.44899999999996</v>
      </c>
      <c r="H14" s="3">
        <v>512.25300000000004</v>
      </c>
      <c r="I14" s="3">
        <v>562.51099999999997</v>
      </c>
      <c r="J14" s="3">
        <v>503.28899999999999</v>
      </c>
      <c r="K14" s="3">
        <v>534.82399999999996</v>
      </c>
      <c r="L14" s="3">
        <v>486.28500000000003</v>
      </c>
      <c r="M14" s="3">
        <v>435.55500000000001</v>
      </c>
      <c r="N14" s="3">
        <v>390.45600000000002</v>
      </c>
      <c r="O14" s="3">
        <v>428.267</v>
      </c>
      <c r="P14" s="3">
        <v>405.95800000000003</v>
      </c>
      <c r="Q14" s="3">
        <v>413.613</v>
      </c>
      <c r="R14" s="3">
        <v>380.173</v>
      </c>
      <c r="S14" s="3">
        <v>348.00200000000001</v>
      </c>
      <c r="T14" s="3">
        <v>394.22300000000001</v>
      </c>
      <c r="U14" s="3">
        <v>292.09300000000002</v>
      </c>
      <c r="V14" s="3">
        <f t="shared" ca="1" si="4"/>
        <v>267.64816032360704</v>
      </c>
      <c r="W14" s="16">
        <f t="shared" si="5"/>
        <v>3</v>
      </c>
      <c r="X14" t="str">
        <f t="shared" si="6"/>
        <v>BP</v>
      </c>
      <c r="Y14" s="3"/>
      <c r="Z14" s="3"/>
      <c r="AA14" s="13">
        <f t="shared" ca="1" si="1"/>
        <v>292.09300000000002</v>
      </c>
      <c r="AB14" s="3">
        <f t="shared" ca="1" si="2"/>
        <v>167.47844950753353</v>
      </c>
      <c r="AC14" s="3">
        <f t="shared" ca="1" si="2"/>
        <v>267.64816032360704</v>
      </c>
      <c r="AD14" s="3">
        <f t="shared" ca="1" si="2"/>
        <v>276.15276878218589</v>
      </c>
      <c r="AE14" s="3">
        <f t="shared" ca="1" si="7"/>
        <v>296.92379999999685</v>
      </c>
      <c r="AF14" s="3" t="str">
        <f t="shared" si="8"/>
        <v/>
      </c>
      <c r="AI14">
        <f t="shared" si="9"/>
        <v>3</v>
      </c>
      <c r="AK14" s="7">
        <f t="shared" ca="1" si="10"/>
        <v>0.57941672070882455</v>
      </c>
      <c r="AL14" s="18">
        <f t="shared" ca="1" si="3"/>
        <v>0.14484331066389405</v>
      </c>
      <c r="AN14" s="7">
        <f>IFERROR(INDEX('MS Stats list'!P:P, MATCH(B14,'MS Stats list'!B:B,0)),"")</f>
        <v>0</v>
      </c>
    </row>
    <row r="15" spans="1:40">
      <c r="A15">
        <v>11</v>
      </c>
      <c r="B15" t="s">
        <v>85</v>
      </c>
      <c r="C15" t="s">
        <v>85</v>
      </c>
      <c r="D15" s="3">
        <v>29364.008999999998</v>
      </c>
      <c r="E15" s="3">
        <v>31169.347000000002</v>
      </c>
      <c r="F15" s="3">
        <v>31306.834999999999</v>
      </c>
      <c r="G15" s="3">
        <v>34517.796000000002</v>
      </c>
      <c r="H15" s="3">
        <v>30846.419000000002</v>
      </c>
      <c r="I15" s="3">
        <v>30659.276999999998</v>
      </c>
      <c r="J15" s="3">
        <v>28450.743999999999</v>
      </c>
      <c r="K15" s="3">
        <v>28220.100999999999</v>
      </c>
      <c r="L15" s="3">
        <v>25692.868999999999</v>
      </c>
      <c r="M15" s="3">
        <v>23181.642</v>
      </c>
      <c r="N15" s="3">
        <v>24102.152999999998</v>
      </c>
      <c r="O15" s="3">
        <v>24595.004000000001</v>
      </c>
      <c r="P15" s="3">
        <v>26829.651000000002</v>
      </c>
      <c r="Q15" s="3">
        <v>26617.239000000001</v>
      </c>
      <c r="R15" s="3">
        <v>30430.632000000001</v>
      </c>
      <c r="S15" s="3">
        <v>27470.656999999999</v>
      </c>
      <c r="T15" s="3">
        <v>29024.848000000002</v>
      </c>
      <c r="U15" s="3">
        <v>27711.064999999999</v>
      </c>
      <c r="V15" s="3">
        <f t="shared" ca="1" si="4"/>
        <v>24670.917401376093</v>
      </c>
      <c r="W15" s="16">
        <f t="shared" ca="1" si="5"/>
        <v>6</v>
      </c>
      <c r="X15" t="str">
        <f t="shared" ca="1" si="6"/>
        <v>Based on MS Stats</v>
      </c>
      <c r="Y15" s="3"/>
      <c r="Z15" s="3"/>
      <c r="AA15" s="13">
        <f t="shared" ca="1" si="1"/>
        <v>27711.064999999999</v>
      </c>
      <c r="AB15" s="3">
        <f t="shared" ca="1" si="2"/>
        <v>23616.163844602048</v>
      </c>
      <c r="AC15" s="3">
        <f t="shared" ca="1" si="2"/>
        <v>24621.925792753504</v>
      </c>
      <c r="AD15" s="3">
        <f t="shared" ca="1" si="2"/>
        <v>27984.814115974019</v>
      </c>
      <c r="AE15" s="3">
        <f t="shared" ca="1" si="7"/>
        <v>28485.448600000018</v>
      </c>
      <c r="AF15" s="3">
        <f t="shared" ca="1" si="8"/>
        <v>24670.917401376093</v>
      </c>
      <c r="AI15">
        <f t="shared" si="9"/>
        <v>3</v>
      </c>
      <c r="AK15" s="7">
        <f t="shared" ca="1" si="10"/>
        <v>6.8538920312582298E-3</v>
      </c>
      <c r="AL15" s="18">
        <f t="shared" ca="1" si="3"/>
        <v>9.3289194674280804E-2</v>
      </c>
      <c r="AN15" s="7" t="str">
        <f>IFERROR(INDEX('MS Stats list'!P:P, MATCH(B15,'MS Stats list'!B:B,0)),"")</f>
        <v>Ministry of Ecological Transition</v>
      </c>
    </row>
    <row r="16" spans="1:40">
      <c r="A16">
        <v>12</v>
      </c>
      <c r="B16" t="s">
        <v>2</v>
      </c>
      <c r="C16" t="s">
        <v>2</v>
      </c>
      <c r="D16" s="3">
        <v>3588.8649999999998</v>
      </c>
      <c r="E16" s="3">
        <v>3873.9259999999999</v>
      </c>
      <c r="F16" s="3">
        <v>3712.962</v>
      </c>
      <c r="G16" s="3">
        <v>3842.0219999999999</v>
      </c>
      <c r="H16" s="3">
        <v>3465.4229999999998</v>
      </c>
      <c r="I16" s="3">
        <v>3804.127</v>
      </c>
      <c r="J16" s="3">
        <v>3334.7570000000001</v>
      </c>
      <c r="K16" s="3">
        <v>2980.0990000000002</v>
      </c>
      <c r="L16" s="3">
        <v>2835.328</v>
      </c>
      <c r="M16" s="3">
        <v>2490.241</v>
      </c>
      <c r="N16" s="3">
        <v>2215.6489999999999</v>
      </c>
      <c r="O16" s="3">
        <v>2044.989</v>
      </c>
      <c r="P16" s="3">
        <v>1917.5350000000001</v>
      </c>
      <c r="Q16" s="3">
        <v>2158.8249999999998</v>
      </c>
      <c r="R16" s="3">
        <v>2114.761</v>
      </c>
      <c r="S16" s="3">
        <v>2099.8719999999998</v>
      </c>
      <c r="T16" s="3">
        <v>2082.0340000000001</v>
      </c>
      <c r="U16" s="3">
        <v>1049.402</v>
      </c>
      <c r="V16" s="3">
        <f t="shared" ca="1" si="4"/>
        <v>1114.8697088995402</v>
      </c>
      <c r="W16" s="16">
        <f t="shared" ca="1" si="5"/>
        <v>6</v>
      </c>
      <c r="X16" t="str">
        <f t="shared" ca="1" si="6"/>
        <v>Based on MS Stats</v>
      </c>
      <c r="Y16" s="3"/>
      <c r="Z16" s="3"/>
      <c r="AA16" s="13">
        <f t="shared" ca="1" si="1"/>
        <v>1049.402</v>
      </c>
      <c r="AB16" s="3">
        <f t="shared" ca="1" si="2"/>
        <v>380.75102622853495</v>
      </c>
      <c r="AC16" s="3">
        <f t="shared" ca="1" si="2"/>
        <v>1114.8696559230541</v>
      </c>
      <c r="AD16" s="3">
        <f t="shared" ca="1" si="2"/>
        <v>964.17257501826725</v>
      </c>
      <c r="AE16" s="3">
        <f t="shared" ca="1" si="7"/>
        <v>1225.5068999999785</v>
      </c>
      <c r="AF16" s="3">
        <f t="shared" ca="1" si="8"/>
        <v>1114.8697088995402</v>
      </c>
      <c r="AI16">
        <f t="shared" si="9"/>
        <v>3</v>
      </c>
      <c r="AK16" s="7">
        <f t="shared" ca="1" si="10"/>
        <v>0.55727438576139765</v>
      </c>
      <c r="AL16" s="18">
        <f t="shared" ca="1" si="3"/>
        <v>0.23946825806702787</v>
      </c>
      <c r="AN16" s="7" t="str">
        <f>IFERROR(INDEX('MS Stats list'!P:P, MATCH(B16,'MS Stats list'!B:B,0)),"")</f>
        <v>Statistics Finland - Energy supply and consumption</v>
      </c>
    </row>
    <row r="17" spans="1:40">
      <c r="A17">
        <v>13</v>
      </c>
      <c r="B17" t="s">
        <v>82</v>
      </c>
      <c r="C17" t="s">
        <v>82</v>
      </c>
      <c r="D17" s="3">
        <v>39814.438999999998</v>
      </c>
      <c r="E17" s="3">
        <v>38673.031000000003</v>
      </c>
      <c r="F17" s="3">
        <v>37358.014000000003</v>
      </c>
      <c r="G17" s="3">
        <v>38713.642999999996</v>
      </c>
      <c r="H17" s="3">
        <v>37408.828000000001</v>
      </c>
      <c r="I17" s="3">
        <v>41625.896000000001</v>
      </c>
      <c r="J17" s="3">
        <v>35964.951999999997</v>
      </c>
      <c r="K17" s="3">
        <v>37193.673999999999</v>
      </c>
      <c r="L17" s="3">
        <v>37741.381999999998</v>
      </c>
      <c r="M17" s="3">
        <v>31515.780999999999</v>
      </c>
      <c r="N17" s="3">
        <v>33903.082999999999</v>
      </c>
      <c r="O17" s="3">
        <v>37114.19</v>
      </c>
      <c r="P17" s="3">
        <v>37315.758999999998</v>
      </c>
      <c r="Q17" s="3">
        <v>35703.303999999996</v>
      </c>
      <c r="R17" s="3">
        <v>36434.080000000002</v>
      </c>
      <c r="S17" s="3">
        <v>33894.065999999999</v>
      </c>
      <c r="T17" s="3">
        <v>35987.618999999999</v>
      </c>
      <c r="U17" s="3">
        <v>32355.530999999999</v>
      </c>
      <c r="V17" s="3">
        <f t="shared" ca="1" si="4"/>
        <v>28650.415670905197</v>
      </c>
      <c r="W17" s="16">
        <f t="shared" ca="1" si="5"/>
        <v>6</v>
      </c>
      <c r="X17" t="str">
        <f t="shared" ca="1" si="6"/>
        <v>Based on MS Stats</v>
      </c>
      <c r="Y17" s="3"/>
      <c r="Z17" s="3"/>
      <c r="AA17" s="13">
        <f t="shared" ca="1" si="1"/>
        <v>32355.530999999999</v>
      </c>
      <c r="AB17" s="3">
        <f t="shared" ca="1" si="2"/>
        <v>25013.609975308529</v>
      </c>
      <c r="AC17" s="3">
        <f t="shared" ca="1" si="2"/>
        <v>28554.665257164677</v>
      </c>
      <c r="AD17" s="3">
        <f t="shared" ca="1" si="2"/>
        <v>31503.823954182044</v>
      </c>
      <c r="AE17" s="3">
        <f t="shared" ca="1" si="7"/>
        <v>32732.317899999907</v>
      </c>
      <c r="AF17" s="3">
        <f ca="1">IF(ISNUMBER(AF52),$AA17*(1+AF52),"")</f>
        <v>28650.415670905197</v>
      </c>
      <c r="AI17">
        <f t="shared" si="9"/>
        <v>3</v>
      </c>
      <c r="AK17" s="7">
        <f t="shared" ca="1" si="10"/>
        <v>0.43728761076266753</v>
      </c>
      <c r="AL17" s="18">
        <f t="shared" ca="1" si="3"/>
        <v>6.6488831926006062E-2</v>
      </c>
      <c r="AN17" s="7" t="str">
        <f>IFERROR(INDEX('MS Stats list'!P:P, MATCH(B17,'MS Stats list'!B:B,0)),"")</f>
        <v>Ministère de la Transition écologique et solidaire - Données et études statistiques</v>
      </c>
    </row>
    <row r="18" spans="1:40">
      <c r="A18">
        <v>10</v>
      </c>
      <c r="B18" t="s">
        <v>181</v>
      </c>
      <c r="C18" t="s">
        <v>182</v>
      </c>
      <c r="D18" s="3">
        <v>2225.4699999999998</v>
      </c>
      <c r="E18" s="3">
        <v>2617.665</v>
      </c>
      <c r="F18" s="3">
        <v>3227.06</v>
      </c>
      <c r="G18" s="3">
        <v>3316.5369999999998</v>
      </c>
      <c r="H18" s="3">
        <v>2723.5479999999998</v>
      </c>
      <c r="I18" s="3">
        <v>2880.6</v>
      </c>
      <c r="J18" s="3">
        <v>3586.7260000000001</v>
      </c>
      <c r="K18" s="3">
        <v>3297.8649999999998</v>
      </c>
      <c r="L18" s="3">
        <v>2914.8150000000001</v>
      </c>
      <c r="M18" s="3">
        <v>2136.1489999999999</v>
      </c>
      <c r="N18" s="3">
        <v>2329.1669999999999</v>
      </c>
      <c r="O18" s="3">
        <v>3343.4059999999999</v>
      </c>
      <c r="P18" s="3">
        <v>3796.9920000000002</v>
      </c>
      <c r="Q18" s="3">
        <v>3632.1120000000001</v>
      </c>
      <c r="R18" s="3">
        <v>4061.3380000000002</v>
      </c>
      <c r="S18" s="3">
        <v>4553.4790000000003</v>
      </c>
      <c r="T18" s="3">
        <v>5144.183</v>
      </c>
      <c r="U18" s="3">
        <v>4382.4040000000005</v>
      </c>
      <c r="V18" s="3">
        <f t="shared" ca="1" si="4"/>
        <v>3806.3767859915415</v>
      </c>
      <c r="W18" s="16">
        <f t="shared" si="5"/>
        <v>3</v>
      </c>
      <c r="X18" t="str">
        <f t="shared" si="6"/>
        <v>BP</v>
      </c>
      <c r="Y18" s="3"/>
      <c r="Z18" s="3"/>
      <c r="AA18" s="13">
        <f t="shared" ca="1" si="1"/>
        <v>4382.4040000000005</v>
      </c>
      <c r="AB18" s="3">
        <f t="shared" ca="1" si="2"/>
        <v>2918.4725792422842</v>
      </c>
      <c r="AC18" s="3">
        <f t="shared" ca="1" si="2"/>
        <v>3806.3767859915415</v>
      </c>
      <c r="AD18" s="3">
        <f t="shared" ca="1" si="2"/>
        <v>4538.0397150870185</v>
      </c>
      <c r="AE18" s="3">
        <f t="shared" ca="1" si="7"/>
        <v>5129.7318999999552</v>
      </c>
      <c r="AF18" s="3" t="str">
        <f t="shared" si="8"/>
        <v/>
      </c>
      <c r="AI18">
        <f t="shared" si="9"/>
        <v>3</v>
      </c>
      <c r="AK18" s="7">
        <f t="shared" ca="1" si="10"/>
        <v>0.52479337849126861</v>
      </c>
      <c r="AL18" s="18">
        <f t="shared" ca="1" si="3"/>
        <v>0.12548595107081459</v>
      </c>
      <c r="AN18" s="7" t="str">
        <f>IFERROR(INDEX('MS Stats list'!P:P, MATCH(B18,'MS Stats list'!B:B,0)),"")</f>
        <v/>
      </c>
    </row>
    <row r="19" spans="1:40">
      <c r="A19">
        <v>14</v>
      </c>
      <c r="B19" t="s">
        <v>183</v>
      </c>
      <c r="C19" t="s">
        <v>183</v>
      </c>
      <c r="D19" s="3">
        <v>1986.433</v>
      </c>
      <c r="E19" s="3">
        <v>1972.614</v>
      </c>
      <c r="F19" s="3">
        <v>2286.3069999999998</v>
      </c>
      <c r="G19" s="3">
        <v>2170.1210000000001</v>
      </c>
      <c r="H19" s="3">
        <v>2062.5100000000002</v>
      </c>
      <c r="I19" s="3">
        <v>2223.152</v>
      </c>
      <c r="J19" s="3">
        <v>2155.826</v>
      </c>
      <c r="K19" s="3">
        <v>2015.65</v>
      </c>
      <c r="L19" s="3">
        <v>1885.963</v>
      </c>
      <c r="M19" s="3">
        <v>1605.6320000000001</v>
      </c>
      <c r="N19" s="3">
        <v>1672.3340000000001</v>
      </c>
      <c r="O19" s="3">
        <v>1791.3520000000001</v>
      </c>
      <c r="P19" s="3">
        <v>2084.172</v>
      </c>
      <c r="Q19" s="3">
        <v>1938.3440000000001</v>
      </c>
      <c r="R19" s="3">
        <v>1991.7909999999999</v>
      </c>
      <c r="S19" s="3">
        <v>2130.1489999999999</v>
      </c>
      <c r="T19" s="3">
        <v>2165.0540000000001</v>
      </c>
      <c r="U19" s="3">
        <v>2081.0039999999999</v>
      </c>
      <c r="V19" s="3">
        <f t="shared" ca="1" si="4"/>
        <v>2097.4743343509576</v>
      </c>
      <c r="W19" s="16">
        <f t="shared" si="5"/>
        <v>3</v>
      </c>
      <c r="X19" t="str">
        <f t="shared" si="6"/>
        <v>BP</v>
      </c>
      <c r="Y19" s="3"/>
      <c r="Z19" s="3"/>
      <c r="AA19" s="13">
        <f t="shared" ca="1" si="1"/>
        <v>2081.0039999999999</v>
      </c>
      <c r="AB19" s="3">
        <f t="shared" ca="1" si="2"/>
        <v>1765.9694493401182</v>
      </c>
      <c r="AC19" s="3">
        <f t="shared" ca="1" si="2"/>
        <v>2097.4743343509576</v>
      </c>
      <c r="AD19" s="3">
        <f t="shared" ca="1" si="2"/>
        <v>2082.9324057911508</v>
      </c>
      <c r="AE19" s="3">
        <f t="shared" ca="1" si="7"/>
        <v>2198.8432999999932</v>
      </c>
      <c r="AF19" s="3" t="str">
        <f t="shared" si="8"/>
        <v/>
      </c>
      <c r="AI19">
        <f t="shared" si="9"/>
        <v>3</v>
      </c>
      <c r="AK19" s="7">
        <f t="shared" ca="1" si="10"/>
        <v>0.58672090507860819</v>
      </c>
      <c r="AL19" s="18">
        <f t="shared" ca="1" si="3"/>
        <v>5.5345644508105203E-2</v>
      </c>
      <c r="AN19" s="7" t="str">
        <f>IFERROR(INDEX('MS Stats list'!P:P, MATCH(B19,'MS Stats list'!B:B,0)),"")</f>
        <v/>
      </c>
    </row>
    <row r="20" spans="1:40">
      <c r="A20">
        <v>15</v>
      </c>
      <c r="B20" t="s">
        <v>88</v>
      </c>
      <c r="C20" t="s">
        <v>88</v>
      </c>
      <c r="D20" s="3">
        <v>11734.351000000001</v>
      </c>
      <c r="E20" s="3">
        <v>11117.799000000001</v>
      </c>
      <c r="F20" s="3">
        <v>10312.92</v>
      </c>
      <c r="G20" s="3">
        <v>10209.286</v>
      </c>
      <c r="H20" s="3">
        <v>8828.6329999999998</v>
      </c>
      <c r="I20" s="3">
        <v>9453.6759999999995</v>
      </c>
      <c r="J20" s="3">
        <v>8944.6910000000007</v>
      </c>
      <c r="K20" s="3">
        <v>7923.1509999999998</v>
      </c>
      <c r="L20" s="3">
        <v>7310.6409999999996</v>
      </c>
      <c r="M20" s="3">
        <v>6486.9089999999997</v>
      </c>
      <c r="N20" s="3">
        <v>7045.701</v>
      </c>
      <c r="O20" s="3">
        <v>7540.3459999999995</v>
      </c>
      <c r="P20" s="3">
        <v>7984.6940000000004</v>
      </c>
      <c r="Q20" s="3">
        <v>7786.2209999999995</v>
      </c>
      <c r="R20" s="3">
        <v>7968.4</v>
      </c>
      <c r="S20" s="3">
        <v>8215.1329999999998</v>
      </c>
      <c r="T20" s="3">
        <v>8759.9310000000005</v>
      </c>
      <c r="U20" s="3">
        <v>7578.848</v>
      </c>
      <c r="V20" s="3">
        <f t="shared" ca="1" si="4"/>
        <v>6772.9512840101897</v>
      </c>
      <c r="W20" s="16">
        <f t="shared" ca="1" si="5"/>
        <v>6</v>
      </c>
      <c r="X20" t="str">
        <f t="shared" ca="1" si="6"/>
        <v>Based on MS Stats</v>
      </c>
      <c r="Y20" s="3"/>
      <c r="Z20" s="3"/>
      <c r="AA20" s="13">
        <f t="shared" ca="1" si="1"/>
        <v>7578.848</v>
      </c>
      <c r="AB20" s="3">
        <f t="shared" ca="1" si="2"/>
        <v>5434.0193055535901</v>
      </c>
      <c r="AC20" s="3">
        <f t="shared" ca="1" si="2"/>
        <v>6749.1871591506142</v>
      </c>
      <c r="AD20" s="3">
        <f t="shared" ca="1" si="2"/>
        <v>7519.7229379128066</v>
      </c>
      <c r="AE20" s="3">
        <f t="shared" ca="1" si="7"/>
        <v>8174.7421000000031</v>
      </c>
      <c r="AF20" s="3">
        <f ca="1">IF(ISNUMBER(AF55),$AA20*(1+AF55),"")</f>
        <v>6772.9512840101897</v>
      </c>
      <c r="AI20">
        <f t="shared" si="9"/>
        <v>3</v>
      </c>
      <c r="AK20" s="7">
        <f t="shared" ca="1" si="10"/>
        <v>1.7129053288333702E-2</v>
      </c>
      <c r="AL20" s="18">
        <f t="shared" ca="1" si="3"/>
        <v>7.8096396205269619E-2</v>
      </c>
      <c r="AN20" s="7" t="str">
        <f>IFERROR(INDEX('MS Stats list'!P:P, MATCH(B20,'MS Stats list'!B:B,0)),"")</f>
        <v>MEKH - Official Statistics - 7.2 National simplified Energy Balance - IEA format</v>
      </c>
    </row>
    <row r="21" spans="1:40">
      <c r="A21">
        <v>16</v>
      </c>
      <c r="B21" t="s">
        <v>133</v>
      </c>
      <c r="C21" t="s">
        <v>133</v>
      </c>
      <c r="D21" s="3">
        <v>3495.4450000000002</v>
      </c>
      <c r="E21" s="3">
        <v>3958.18</v>
      </c>
      <c r="F21" s="3">
        <v>4249.7539999999999</v>
      </c>
      <c r="G21" s="3">
        <v>4517.902</v>
      </c>
      <c r="H21" s="3">
        <v>4269.0749999999998</v>
      </c>
      <c r="I21" s="3">
        <v>4701.8140000000003</v>
      </c>
      <c r="J21" s="3">
        <v>4137.3140000000003</v>
      </c>
      <c r="K21" s="3">
        <v>4031.3670000000002</v>
      </c>
      <c r="L21" s="3">
        <v>3852.828</v>
      </c>
      <c r="M21" s="3">
        <v>3732.2289999999998</v>
      </c>
      <c r="N21" s="3">
        <v>3758.9650000000001</v>
      </c>
      <c r="O21" s="3">
        <v>4246.6710000000003</v>
      </c>
      <c r="P21" s="3">
        <v>4312.57</v>
      </c>
      <c r="Q21" s="3">
        <v>4487.6019999999999</v>
      </c>
      <c r="R21" s="3">
        <v>4560.1019999999999</v>
      </c>
      <c r="S21" s="3">
        <v>4554.6639999999998</v>
      </c>
      <c r="T21" s="3">
        <v>4376.8519999999999</v>
      </c>
      <c r="U21" s="3">
        <v>4459.2669999999998</v>
      </c>
      <c r="V21" s="3">
        <f t="shared" ca="1" si="4"/>
        <v>4136.366845369932</v>
      </c>
      <c r="W21" s="16">
        <f t="shared" ca="1" si="5"/>
        <v>6</v>
      </c>
      <c r="X21" t="str">
        <f t="shared" ca="1" si="6"/>
        <v>Based on MS Stats</v>
      </c>
      <c r="Y21" s="3"/>
      <c r="Z21" s="3"/>
      <c r="AA21" s="13">
        <f t="shared" ca="1" si="1"/>
        <v>4459.2669999999998</v>
      </c>
      <c r="AB21" s="3">
        <f t="shared" ca="1" si="2"/>
        <v>4229.6207953744288</v>
      </c>
      <c r="AC21" s="3">
        <f t="shared" ca="1" si="2"/>
        <v>4136.3667763863668</v>
      </c>
      <c r="AD21" s="3">
        <f t="shared" ca="1" si="2"/>
        <v>4490.784900024677</v>
      </c>
      <c r="AE21" s="3">
        <f t="shared" ca="1" si="7"/>
        <v>4415.7214000000022</v>
      </c>
      <c r="AF21" s="3">
        <f ca="1">IF(ISNUMBER(AF56),$AA21*(1+AF56),"")</f>
        <v>4136.366845369932</v>
      </c>
      <c r="AI21">
        <f t="shared" si="9"/>
        <v>2</v>
      </c>
      <c r="AK21" s="7">
        <f t="shared" ca="1" si="10"/>
        <v>0.25222035679857868</v>
      </c>
      <c r="AL21" s="18">
        <f t="shared" ca="1" si="3"/>
        <v>2.9742869143347932E-2</v>
      </c>
      <c r="AN21" s="7" t="str">
        <f>IFERROR(INDEX('MS Stats list'!P:P, MATCH(B21,'MS Stats list'!B:B,0)),"")</f>
        <v>SEAI - 2022 Provisional Energy Balance</v>
      </c>
    </row>
    <row r="22" spans="1:40">
      <c r="A22">
        <v>17</v>
      </c>
      <c r="B22" t="s">
        <v>157</v>
      </c>
      <c r="C22" t="s">
        <v>157</v>
      </c>
      <c r="D22" s="3">
        <v>69658.62</v>
      </c>
      <c r="E22" s="3">
        <v>68245.83</v>
      </c>
      <c r="F22" s="3">
        <v>68761.801000000007</v>
      </c>
      <c r="G22" s="3">
        <v>68824.096999999994</v>
      </c>
      <c r="H22" s="3">
        <v>63335.211000000003</v>
      </c>
      <c r="I22" s="3">
        <v>67490.756999999998</v>
      </c>
      <c r="J22" s="3">
        <v>63387.446000000004</v>
      </c>
      <c r="K22" s="3">
        <v>60984.802000000003</v>
      </c>
      <c r="L22" s="3">
        <v>56937.08</v>
      </c>
      <c r="M22" s="3">
        <v>50196.667999999998</v>
      </c>
      <c r="N22" s="3">
        <v>54728.999000000003</v>
      </c>
      <c r="O22" s="3">
        <v>57426.999000000003</v>
      </c>
      <c r="P22" s="3">
        <v>60893.502999999997</v>
      </c>
      <c r="Q22" s="3">
        <v>58897.313999999998</v>
      </c>
      <c r="R22" s="3">
        <v>60306.144</v>
      </c>
      <c r="S22" s="3">
        <v>57632.523999999998</v>
      </c>
      <c r="T22" s="3">
        <v>61766.6</v>
      </c>
      <c r="U22" s="3">
        <v>55553.911999999997</v>
      </c>
      <c r="V22" s="3">
        <f t="shared" ca="1" si="4"/>
        <v>49929.095917453429</v>
      </c>
      <c r="W22" s="16">
        <f t="shared" si="5"/>
        <v>3</v>
      </c>
      <c r="X22" t="str">
        <f t="shared" si="6"/>
        <v>BP</v>
      </c>
      <c r="Y22" s="3"/>
      <c r="Z22" s="3"/>
      <c r="AA22" s="13">
        <f t="shared" ca="1" si="1"/>
        <v>55553.911999999997</v>
      </c>
      <c r="AB22" s="3">
        <f t="shared" ca="1" si="2"/>
        <v>43888.37030912198</v>
      </c>
      <c r="AC22" s="3">
        <f t="shared" ca="1" si="2"/>
        <v>49929.095917453429</v>
      </c>
      <c r="AD22" s="3">
        <f t="shared" ca="1" si="2"/>
        <v>54642.302282810888</v>
      </c>
      <c r="AE22" s="3">
        <f t="shared" ca="1" si="7"/>
        <v>57263.394400000107</v>
      </c>
      <c r="AF22" s="3" t="str">
        <f t="shared" si="8"/>
        <v/>
      </c>
      <c r="AI22">
        <f t="shared" si="9"/>
        <v>3</v>
      </c>
      <c r="AK22" s="7">
        <f t="shared" ca="1" si="10"/>
        <v>0.11889482887428601</v>
      </c>
      <c r="AL22" s="18">
        <f t="shared" ca="1" si="3"/>
        <v>6.6197428721200768E-2</v>
      </c>
      <c r="AN22" s="7" t="str">
        <f>IFERROR(INDEX('MS Stats list'!P:P, MATCH(B22,'MS Stats list'!B:B,0)),"")</f>
        <v>Ministry of Ecological Transition</v>
      </c>
    </row>
    <row r="23" spans="1:40">
      <c r="A23">
        <v>18</v>
      </c>
      <c r="B23" t="s">
        <v>137</v>
      </c>
      <c r="C23" t="s">
        <v>137</v>
      </c>
      <c r="D23" s="3">
        <v>1966.875</v>
      </c>
      <c r="E23" s="3">
        <v>1900.2149999999999</v>
      </c>
      <c r="F23" s="3">
        <v>1846.26</v>
      </c>
      <c r="G23" s="3">
        <v>1721.41</v>
      </c>
      <c r="H23" s="3">
        <v>1657.6089999999999</v>
      </c>
      <c r="I23" s="3">
        <v>2010.769</v>
      </c>
      <c r="J23" s="3">
        <v>1754.8579999999999</v>
      </c>
      <c r="K23" s="3">
        <v>1654.664</v>
      </c>
      <c r="L23" s="3">
        <v>1401.6980000000001</v>
      </c>
      <c r="M23" s="3">
        <v>1190.9929999999999</v>
      </c>
      <c r="N23" s="3">
        <v>1125.6659999999999</v>
      </c>
      <c r="O23" s="3">
        <v>1000.86</v>
      </c>
      <c r="P23" s="3">
        <v>925.99699999999996</v>
      </c>
      <c r="Q23" s="3">
        <v>917.97699999999998</v>
      </c>
      <c r="R23" s="3">
        <v>905.76099999999997</v>
      </c>
      <c r="S23" s="3">
        <v>1066.24</v>
      </c>
      <c r="T23" s="3">
        <v>1086.684</v>
      </c>
      <c r="U23" s="3">
        <v>803.44200000000001</v>
      </c>
      <c r="V23" s="3">
        <f t="shared" ca="1" si="4"/>
        <v>775.14756421105028</v>
      </c>
      <c r="W23" s="16">
        <f t="shared" ca="1" si="5"/>
        <v>6</v>
      </c>
      <c r="X23" t="str">
        <f t="shared" ca="1" si="6"/>
        <v>Based on MS Stats</v>
      </c>
      <c r="Y23" s="3"/>
      <c r="Z23" s="3"/>
      <c r="AA23" s="13">
        <f t="shared" ca="1" si="1"/>
        <v>803.44200000000001</v>
      </c>
      <c r="AB23" s="3">
        <f t="shared" ca="1" si="2"/>
        <v>466.29066475947678</v>
      </c>
      <c r="AC23" s="3">
        <f t="shared" ca="1" si="2"/>
        <v>782.5189762931318</v>
      </c>
      <c r="AD23" s="3">
        <f t="shared" ca="1" si="2"/>
        <v>789.57994992303088</v>
      </c>
      <c r="AE23" s="3">
        <f t="shared" ca="1" si="7"/>
        <v>941.57670000000144</v>
      </c>
      <c r="AF23" s="3">
        <f t="shared" ca="1" si="8"/>
        <v>775.14756421105028</v>
      </c>
      <c r="AI23">
        <f t="shared" si="9"/>
        <v>3</v>
      </c>
      <c r="AK23" s="7">
        <f t="shared" ca="1" si="10"/>
        <v>4.1047212275920602E-3</v>
      </c>
      <c r="AL23" s="18">
        <f t="shared" ca="1" si="3"/>
        <v>0.15689169850841669</v>
      </c>
      <c r="AN23" s="7" t="str">
        <f>IFERROR(INDEX('MS Stats list'!P:P, MATCH(B23,'MS Stats list'!B:B,0)),"")</f>
        <v>Statistics Lithuania - Energy balances</v>
      </c>
    </row>
    <row r="24" spans="1:40">
      <c r="A24">
        <v>19</v>
      </c>
      <c r="B24" t="s">
        <v>184</v>
      </c>
      <c r="C24" t="s">
        <v>184</v>
      </c>
      <c r="D24" s="3">
        <v>1176.2719999999999</v>
      </c>
      <c r="E24" s="3">
        <v>1230.3889999999999</v>
      </c>
      <c r="F24" s="3">
        <v>1148.4549999999999</v>
      </c>
      <c r="G24" s="3">
        <v>1093.2370000000001</v>
      </c>
      <c r="H24" s="3">
        <v>1112.4649999999999</v>
      </c>
      <c r="I24" s="3">
        <v>1196.587</v>
      </c>
      <c r="J24" s="3">
        <v>1032.2760000000001</v>
      </c>
      <c r="K24" s="3">
        <v>1051.0619999999999</v>
      </c>
      <c r="L24" s="3">
        <v>889.90300000000002</v>
      </c>
      <c r="M24" s="3">
        <v>843.16099999999994</v>
      </c>
      <c r="N24" s="3">
        <v>768.94299999999998</v>
      </c>
      <c r="O24" s="3">
        <v>709.10799999999995</v>
      </c>
      <c r="P24" s="3">
        <v>693.13400000000001</v>
      </c>
      <c r="Q24" s="3">
        <v>683.63099999999997</v>
      </c>
      <c r="R24" s="3">
        <v>684.05700000000002</v>
      </c>
      <c r="S24" s="3">
        <v>621.26900000000001</v>
      </c>
      <c r="T24" s="3">
        <v>669.803</v>
      </c>
      <c r="U24" s="3">
        <v>526.00099999999998</v>
      </c>
      <c r="V24" s="3">
        <f t="shared" ca="1" si="4"/>
        <v>493.08392925287916</v>
      </c>
      <c r="W24" s="16">
        <f t="shared" si="5"/>
        <v>3</v>
      </c>
      <c r="X24" t="str">
        <f t="shared" si="6"/>
        <v>BP</v>
      </c>
      <c r="Y24" s="3"/>
      <c r="Z24" s="3"/>
      <c r="AA24" s="13">
        <f t="shared" ca="1" si="1"/>
        <v>526.00099999999998</v>
      </c>
      <c r="AB24" s="3">
        <f t="shared" ca="1" si="2"/>
        <v>349.82593185890272</v>
      </c>
      <c r="AC24" s="3">
        <f t="shared" ca="1" si="2"/>
        <v>493.08392925287916</v>
      </c>
      <c r="AD24" s="3">
        <f t="shared" ca="1" si="2"/>
        <v>500.60073273670372</v>
      </c>
      <c r="AE24" s="3">
        <f t="shared" ca="1" si="7"/>
        <v>538.09799999999814</v>
      </c>
      <c r="AF24" s="3" t="str">
        <f t="shared" si="8"/>
        <v/>
      </c>
      <c r="AI24">
        <f t="shared" si="9"/>
        <v>3</v>
      </c>
      <c r="AK24" s="7">
        <f t="shared" ca="1" si="10"/>
        <v>0.60211279089880942</v>
      </c>
      <c r="AL24" s="18">
        <f t="shared" ca="1" si="3"/>
        <v>0.11084892262041376</v>
      </c>
      <c r="AN24" s="7" t="str">
        <f>IFERROR(INDEX('MS Stats list'!P:P, MATCH(B24,'MS Stats list'!B:B,0)),"")</f>
        <v/>
      </c>
    </row>
    <row r="25" spans="1:40">
      <c r="A25">
        <v>20</v>
      </c>
      <c r="B25" t="s">
        <v>93</v>
      </c>
      <c r="C25" t="s">
        <v>93</v>
      </c>
      <c r="D25" s="3">
        <v>1357.8889999999999</v>
      </c>
      <c r="E25" s="3">
        <v>1406.6210000000001</v>
      </c>
      <c r="F25" s="3">
        <v>1359.566</v>
      </c>
      <c r="G25" s="3">
        <v>1333.0830000000001</v>
      </c>
      <c r="H25" s="3">
        <v>1227.193</v>
      </c>
      <c r="I25" s="3">
        <v>1461.8869999999999</v>
      </c>
      <c r="J25" s="3">
        <v>1288.414</v>
      </c>
      <c r="K25" s="3">
        <v>1211.1559999999999</v>
      </c>
      <c r="L25" s="3">
        <v>1204.6859999999999</v>
      </c>
      <c r="M25" s="3">
        <v>1081.6420000000001</v>
      </c>
      <c r="N25" s="3">
        <v>1098.3879999999999</v>
      </c>
      <c r="O25" s="3">
        <v>1113.298</v>
      </c>
      <c r="P25" s="3">
        <v>992.95500000000004</v>
      </c>
      <c r="Q25" s="3">
        <v>1169.0429999999999</v>
      </c>
      <c r="R25" s="3">
        <v>1103.325</v>
      </c>
      <c r="S25" s="3">
        <v>910.26</v>
      </c>
      <c r="T25" s="3">
        <v>964.09900000000005</v>
      </c>
      <c r="U25" s="3">
        <v>691.798</v>
      </c>
      <c r="V25" s="3">
        <f t="shared" ca="1" si="4"/>
        <v>664.8836685878963</v>
      </c>
      <c r="W25" s="16">
        <f t="shared" ca="1" si="5"/>
        <v>6</v>
      </c>
      <c r="X25" t="str">
        <f t="shared" ca="1" si="6"/>
        <v>Based on MS Stats</v>
      </c>
      <c r="Y25" s="3"/>
      <c r="Z25" s="3"/>
      <c r="AA25" s="13">
        <f t="shared" ca="1" si="1"/>
        <v>691.798</v>
      </c>
      <c r="AB25" s="3">
        <f t="shared" ca="1" si="2"/>
        <v>362.25458769827355</v>
      </c>
      <c r="AC25" s="3">
        <f t="shared" ca="1" si="2"/>
        <v>654.82542164885342</v>
      </c>
      <c r="AD25" s="3">
        <f t="shared" ca="1" si="2"/>
        <v>653.4507168150418</v>
      </c>
      <c r="AE25" s="3">
        <f t="shared" ca="1" si="7"/>
        <v>639.59020000000601</v>
      </c>
      <c r="AF25" s="3">
        <f t="shared" ca="1" si="8"/>
        <v>664.8836685878963</v>
      </c>
      <c r="AI25">
        <f t="shared" si="9"/>
        <v>3</v>
      </c>
      <c r="AK25" s="7">
        <f t="shared" ca="1" si="10"/>
        <v>0.8645207426468362</v>
      </c>
      <c r="AL25" s="18">
        <f t="shared" ca="1" si="3"/>
        <v>0.18243929457006874</v>
      </c>
      <c r="AN25" s="7" t="str">
        <f>IFERROR(INDEX('MS Stats list'!P:P, MATCH(B25,'MS Stats list'!B:B,0)),"")</f>
        <v/>
      </c>
    </row>
    <row r="26" spans="1:40">
      <c r="A26">
        <v>21</v>
      </c>
      <c r="B26" t="s">
        <v>141</v>
      </c>
      <c r="C26" t="s">
        <v>141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241.721</v>
      </c>
      <c r="Q26" s="3">
        <v>292.92500000000001</v>
      </c>
      <c r="R26" s="3">
        <v>306.20400000000001</v>
      </c>
      <c r="S26" s="3">
        <v>318.24299999999999</v>
      </c>
      <c r="T26" s="3">
        <v>319.11700000000002</v>
      </c>
      <c r="U26" s="3">
        <v>322.79199999999997</v>
      </c>
      <c r="V26" s="3">
        <f t="shared" ca="1" si="4"/>
        <v>340.83809819214372</v>
      </c>
      <c r="W26" s="16">
        <f t="shared" si="5"/>
        <v>2</v>
      </c>
      <c r="X26" t="str">
        <f t="shared" si="6"/>
        <v>Eurostat</v>
      </c>
      <c r="Y26" s="3"/>
      <c r="Z26" s="3"/>
      <c r="AA26" s="13">
        <f t="shared" ca="1" si="1"/>
        <v>322.79199999999997</v>
      </c>
      <c r="AB26" s="3">
        <f t="shared" ca="1" si="2"/>
        <v>340.83809819214372</v>
      </c>
      <c r="AC26" s="3" t="e">
        <f t="shared" ca="1" si="2"/>
        <v>#N/A</v>
      </c>
      <c r="AD26" s="3">
        <f t="shared" ca="1" si="2"/>
        <v>342.85305963417704</v>
      </c>
      <c r="AE26" s="3">
        <f t="shared" ca="1" si="7"/>
        <v>333.65029999999933</v>
      </c>
      <c r="AF26" s="3" t="str">
        <f t="shared" si="8"/>
        <v/>
      </c>
      <c r="AI26">
        <f t="shared" si="9"/>
        <v>2</v>
      </c>
      <c r="AK26" s="7">
        <f t="shared" ca="1" si="10"/>
        <v>0.87458370573360844</v>
      </c>
      <c r="AL26" s="18">
        <f t="shared" ca="1" si="3"/>
        <v>8.5587912606182801E-2</v>
      </c>
      <c r="AN26" s="7" t="str">
        <f>IFERROR(INDEX('MS Stats list'!P:P, MATCH(B26,'MS Stats list'!B:B,0)),"")</f>
        <v>Msdata from consultations</v>
      </c>
    </row>
    <row r="27" spans="1:40">
      <c r="A27">
        <v>22</v>
      </c>
      <c r="B27" t="s">
        <v>145</v>
      </c>
      <c r="C27" t="s">
        <v>145</v>
      </c>
      <c r="D27" s="3">
        <v>33071.665000000001</v>
      </c>
      <c r="E27" s="3">
        <v>32190.821</v>
      </c>
      <c r="F27" s="3">
        <v>31097.918000000001</v>
      </c>
      <c r="G27" s="3">
        <v>32668.077000000001</v>
      </c>
      <c r="H27" s="3">
        <v>33036.197</v>
      </c>
      <c r="I27" s="3">
        <v>36941.879999999997</v>
      </c>
      <c r="J27" s="3">
        <v>32033.749</v>
      </c>
      <c r="K27" s="3">
        <v>30420.256000000001</v>
      </c>
      <c r="L27" s="3">
        <v>30807.613000000001</v>
      </c>
      <c r="M27" s="3">
        <v>26348.715</v>
      </c>
      <c r="N27" s="3">
        <v>26255.66</v>
      </c>
      <c r="O27" s="3">
        <v>27755.042000000001</v>
      </c>
      <c r="P27" s="3">
        <v>28473.705999999998</v>
      </c>
      <c r="Q27" s="3">
        <v>28351.97</v>
      </c>
      <c r="R27" s="3">
        <v>29416.184000000001</v>
      </c>
      <c r="S27" s="3">
        <v>28965.692999999999</v>
      </c>
      <c r="T27" s="3">
        <v>27498.613000000001</v>
      </c>
      <c r="U27" s="3">
        <v>21731.447</v>
      </c>
      <c r="V27" s="3">
        <f t="shared" ca="1" si="4"/>
        <v>20339.389476508928</v>
      </c>
      <c r="W27" s="16">
        <f t="shared" si="5"/>
        <v>3</v>
      </c>
      <c r="X27" t="str">
        <f t="shared" si="6"/>
        <v>BP</v>
      </c>
      <c r="Y27" s="3"/>
      <c r="Z27" s="3"/>
      <c r="AA27" s="13">
        <f t="shared" ca="1" si="1"/>
        <v>21731.447</v>
      </c>
      <c r="AB27" s="3">
        <f t="shared" ca="1" si="2"/>
        <v>14543.746421168205</v>
      </c>
      <c r="AC27" s="3">
        <f t="shared" ca="1" si="2"/>
        <v>20339.389476508928</v>
      </c>
      <c r="AD27" s="3">
        <f t="shared" ca="1" si="2"/>
        <v>20677.782320280465</v>
      </c>
      <c r="AE27" s="3">
        <f t="shared" ca="1" si="7"/>
        <v>22645.196300000418</v>
      </c>
      <c r="AF27" s="3" t="str">
        <f t="shared" si="8"/>
        <v/>
      </c>
      <c r="AI27">
        <f t="shared" si="9"/>
        <v>3</v>
      </c>
      <c r="AK27" s="7">
        <f t="shared" ca="1" si="10"/>
        <v>0.58394597027691808</v>
      </c>
      <c r="AL27" s="18">
        <f t="shared" ca="1" si="3"/>
        <v>9.5469374086084885E-2</v>
      </c>
      <c r="AN27" s="7" t="str">
        <f>IFERROR(INDEX('MS Stats list'!P:P, MATCH(B27,'MS Stats list'!B:B,0)),"")</f>
        <v>CBS - Energy balance sheet; supply, transformation and consumption</v>
      </c>
    </row>
    <row r="28" spans="1:40">
      <c r="A28">
        <v>23</v>
      </c>
      <c r="B28" t="s">
        <v>185</v>
      </c>
      <c r="C28" t="s">
        <v>185</v>
      </c>
      <c r="D28" s="3">
        <v>10217.218000000001</v>
      </c>
      <c r="E28" s="3">
        <v>10639.016</v>
      </c>
      <c r="F28" s="3">
        <v>10568.099</v>
      </c>
      <c r="G28" s="3">
        <v>10585.598</v>
      </c>
      <c r="H28" s="3">
        <v>10488.22</v>
      </c>
      <c r="I28" s="3">
        <v>11143.293</v>
      </c>
      <c r="J28" s="3">
        <v>11017.24</v>
      </c>
      <c r="K28" s="3">
        <v>11673.861000000001</v>
      </c>
      <c r="L28" s="3">
        <v>11796.066000000001</v>
      </c>
      <c r="M28" s="3">
        <v>11343.207</v>
      </c>
      <c r="N28" s="3">
        <v>11656.255999999999</v>
      </c>
      <c r="O28" s="3">
        <v>12525.065000000001</v>
      </c>
      <c r="P28" s="3">
        <v>13265.44</v>
      </c>
      <c r="Q28" s="3">
        <v>14124.726000000001</v>
      </c>
      <c r="R28" s="3">
        <v>14356.888000000001</v>
      </c>
      <c r="S28" s="3">
        <v>15388.624</v>
      </c>
      <c r="T28" s="3">
        <v>16273.352999999999</v>
      </c>
      <c r="U28" s="3">
        <v>13344.42</v>
      </c>
      <c r="V28" s="3">
        <f t="shared" ca="1" si="4"/>
        <v>14045.956415847324</v>
      </c>
      <c r="W28" s="16">
        <f t="shared" si="5"/>
        <v>3</v>
      </c>
      <c r="X28" t="str">
        <f t="shared" si="6"/>
        <v>BP</v>
      </c>
      <c r="Y28" s="3"/>
      <c r="Z28" s="3"/>
      <c r="AA28" s="13">
        <f t="shared" ca="1" si="1"/>
        <v>13344.42</v>
      </c>
      <c r="AB28" s="3">
        <f t="shared" ca="1" si="2"/>
        <v>11194.808678765949</v>
      </c>
      <c r="AC28" s="3">
        <f t="shared" ca="1" si="2"/>
        <v>14045.956415847324</v>
      </c>
      <c r="AD28" s="3">
        <f t="shared" ca="1" si="2"/>
        <v>13426.048808965013</v>
      </c>
      <c r="AE28" s="3">
        <f t="shared" ca="1" si="7"/>
        <v>14804.358100000005</v>
      </c>
      <c r="AF28" s="3" t="str">
        <f t="shared" si="8"/>
        <v/>
      </c>
      <c r="AI28">
        <f t="shared" si="9"/>
        <v>3</v>
      </c>
      <c r="AK28" s="7">
        <f t="shared" ca="1" si="10"/>
        <v>2.4185319013137153E-3</v>
      </c>
      <c r="AL28" s="18">
        <f t="shared" ca="1" si="3"/>
        <v>0.10623416116685699</v>
      </c>
      <c r="AN28" s="7" t="str">
        <f>IFERROR(INDEX('MS Stats list'!P:P, MATCH(B28,'MS Stats list'!B:B,0)),"")</f>
        <v/>
      </c>
    </row>
    <row r="29" spans="1:40">
      <c r="A29">
        <v>24</v>
      </c>
      <c r="B29" t="s">
        <v>149</v>
      </c>
      <c r="C29" t="s">
        <v>149</v>
      </c>
      <c r="D29" s="3">
        <v>3750.6880000000001</v>
      </c>
      <c r="E29" s="3">
        <v>3639.596</v>
      </c>
      <c r="F29" s="3">
        <v>3808.3620000000001</v>
      </c>
      <c r="G29" s="3">
        <v>4138.5209999999997</v>
      </c>
      <c r="H29" s="3">
        <v>4217.2179999999998</v>
      </c>
      <c r="I29" s="3">
        <v>4488.5209999999997</v>
      </c>
      <c r="J29" s="3">
        <v>4463.6499999999996</v>
      </c>
      <c r="K29" s="3">
        <v>3932.6309999999999</v>
      </c>
      <c r="L29" s="3">
        <v>3755.8679999999999</v>
      </c>
      <c r="M29" s="3">
        <v>3473.3449999999998</v>
      </c>
      <c r="N29" s="3">
        <v>4050.8820000000001</v>
      </c>
      <c r="O29" s="3">
        <v>4322.8429999999998</v>
      </c>
      <c r="P29" s="3">
        <v>5415.3959999999997</v>
      </c>
      <c r="Q29" s="3">
        <v>5043.47</v>
      </c>
      <c r="R29" s="3">
        <v>5302.6679999999997</v>
      </c>
      <c r="S29" s="3">
        <v>5147.9229999999998</v>
      </c>
      <c r="T29" s="3">
        <v>4916.6189999999997</v>
      </c>
      <c r="U29" s="3">
        <v>4768.625</v>
      </c>
      <c r="V29" s="3">
        <f t="shared" ca="1" si="4"/>
        <v>3822.9096540799292</v>
      </c>
      <c r="W29" s="16">
        <f t="shared" si="5"/>
        <v>3</v>
      </c>
      <c r="X29" t="str">
        <f t="shared" si="6"/>
        <v>BP</v>
      </c>
      <c r="Y29" s="3"/>
      <c r="Z29" s="3"/>
      <c r="AA29" s="13">
        <f t="shared" ca="1" si="1"/>
        <v>4768.625</v>
      </c>
      <c r="AB29" s="3">
        <f t="shared" ca="1" si="2"/>
        <v>3624.468867269773</v>
      </c>
      <c r="AC29" s="3">
        <f t="shared" ca="1" si="2"/>
        <v>3822.9096540799292</v>
      </c>
      <c r="AD29" s="3">
        <f t="shared" ca="1" si="2"/>
        <v>4652.7461283725215</v>
      </c>
      <c r="AE29" s="3">
        <f t="shared" ca="1" si="7"/>
        <v>4755.1393000000098</v>
      </c>
      <c r="AF29" s="3" t="str">
        <f t="shared" si="8"/>
        <v/>
      </c>
      <c r="AI29">
        <f t="shared" si="9"/>
        <v>3</v>
      </c>
      <c r="AK29" s="7">
        <f t="shared" ca="1" si="10"/>
        <v>0.51677923767293321</v>
      </c>
      <c r="AL29" s="18">
        <f t="shared" ca="1" si="3"/>
        <v>4.5227409859215334E-2</v>
      </c>
      <c r="AN29" s="7" t="str">
        <f>IFERROR(INDEX('MS Stats list'!P:P, MATCH(B29,'MS Stats list'!B:B,0)),"")</f>
        <v>DGEG - Balanço Energético Sintético 2022</v>
      </c>
    </row>
    <row r="30" spans="1:40">
      <c r="A30">
        <v>25</v>
      </c>
      <c r="B30" t="s">
        <v>186</v>
      </c>
      <c r="C30" t="s">
        <v>186</v>
      </c>
      <c r="D30" s="3">
        <v>12850.322</v>
      </c>
      <c r="E30" s="3">
        <v>13472.807000000001</v>
      </c>
      <c r="F30" s="3">
        <v>11914.295</v>
      </c>
      <c r="G30" s="3">
        <v>11215.004000000001</v>
      </c>
      <c r="H30" s="3">
        <v>9813.6929999999993</v>
      </c>
      <c r="I30" s="3">
        <v>10025.967000000001</v>
      </c>
      <c r="J30" s="3">
        <v>10188.865</v>
      </c>
      <c r="K30" s="3">
        <v>9857.6530000000002</v>
      </c>
      <c r="L30" s="3">
        <v>9066.8739999999998</v>
      </c>
      <c r="M30" s="3">
        <v>8525.86</v>
      </c>
      <c r="N30" s="3">
        <v>8583.6200000000008</v>
      </c>
      <c r="O30" s="3">
        <v>8748.2250000000004</v>
      </c>
      <c r="P30" s="3">
        <v>9357.82</v>
      </c>
      <c r="Q30" s="3">
        <v>9570.1020000000008</v>
      </c>
      <c r="R30" s="3">
        <v>8877.5069999999996</v>
      </c>
      <c r="S30" s="3">
        <v>9226.3359999999993</v>
      </c>
      <c r="T30" s="3">
        <v>9547.9009999999998</v>
      </c>
      <c r="U30" s="3">
        <v>8321.2980000000007</v>
      </c>
      <c r="V30" s="3">
        <f t="shared" ca="1" si="4"/>
        <v>7785.4571552792722</v>
      </c>
      <c r="W30" s="16">
        <f t="shared" si="5"/>
        <v>3</v>
      </c>
      <c r="X30" t="str">
        <f t="shared" si="6"/>
        <v>BP</v>
      </c>
      <c r="Y30" s="3"/>
      <c r="Z30" s="3"/>
      <c r="AA30" s="13">
        <f t="shared" ca="1" si="1"/>
        <v>8321.2980000000007</v>
      </c>
      <c r="AB30" s="3">
        <f t="shared" ca="1" si="2"/>
        <v>6252.5398532100153</v>
      </c>
      <c r="AC30" s="3">
        <f t="shared" ca="1" si="2"/>
        <v>7785.4571552792722</v>
      </c>
      <c r="AD30" s="3">
        <f t="shared" ca="1" si="2"/>
        <v>8148.2024613518588</v>
      </c>
      <c r="AE30" s="3">
        <f t="shared" ca="1" si="7"/>
        <v>8560.4646000000066</v>
      </c>
      <c r="AF30" s="3" t="str">
        <f t="shared" si="8"/>
        <v/>
      </c>
      <c r="AI30">
        <f t="shared" si="9"/>
        <v>3</v>
      </c>
      <c r="AK30" s="7">
        <f t="shared" ca="1" si="10"/>
        <v>0.30544078213507214</v>
      </c>
      <c r="AL30" s="18">
        <f t="shared" ca="1" si="3"/>
        <v>7.558346581842143E-2</v>
      </c>
      <c r="AN30" s="7" t="str">
        <f>IFERROR(INDEX('MS Stats list'!P:P, MATCH(B30,'MS Stats list'!B:B,0)),"")</f>
        <v/>
      </c>
    </row>
    <row r="31" spans="1:40">
      <c r="A31">
        <v>26</v>
      </c>
      <c r="B31" t="s">
        <v>187</v>
      </c>
      <c r="C31" t="s">
        <v>187</v>
      </c>
      <c r="D31" s="3">
        <v>842.62699999999995</v>
      </c>
      <c r="E31" s="3">
        <v>881.85699999999997</v>
      </c>
      <c r="F31" s="3">
        <v>910.53300000000002</v>
      </c>
      <c r="G31" s="3">
        <v>826.52599999999995</v>
      </c>
      <c r="H31" s="3">
        <v>984.60900000000004</v>
      </c>
      <c r="I31" s="3">
        <v>1358.6420000000001</v>
      </c>
      <c r="J31" s="3">
        <v>1061.951</v>
      </c>
      <c r="K31" s="3">
        <v>910.79100000000005</v>
      </c>
      <c r="L31" s="3">
        <v>861.39300000000003</v>
      </c>
      <c r="M31" s="3">
        <v>703.07399999999996</v>
      </c>
      <c r="N31" s="3">
        <v>625.66700000000003</v>
      </c>
      <c r="O31" s="3">
        <v>722.70799999999997</v>
      </c>
      <c r="P31" s="3">
        <v>673.43399999999997</v>
      </c>
      <c r="Q31" s="3">
        <v>655.41700000000003</v>
      </c>
      <c r="R31" s="3">
        <v>603.87199999999996</v>
      </c>
      <c r="S31" s="3">
        <v>878.25900000000001</v>
      </c>
      <c r="T31" s="3">
        <v>648.37</v>
      </c>
      <c r="U31" s="3">
        <v>463.05099999999999</v>
      </c>
      <c r="V31" s="3">
        <f t="shared" ca="1" si="4"/>
        <v>414.66253905273635</v>
      </c>
      <c r="W31" s="16">
        <f t="shared" si="5"/>
        <v>3</v>
      </c>
      <c r="X31" t="str">
        <f t="shared" si="6"/>
        <v>BP</v>
      </c>
      <c r="Y31" s="3"/>
      <c r="Z31" s="3"/>
      <c r="AA31" s="13">
        <f t="shared" ca="1" si="1"/>
        <v>463.05099999999999</v>
      </c>
      <c r="AB31" s="3">
        <f t="shared" ca="1" si="2"/>
        <v>165.69685053077259</v>
      </c>
      <c r="AC31" s="3">
        <f t="shared" ca="1" si="2"/>
        <v>414.66253905273635</v>
      </c>
      <c r="AD31" s="3">
        <f t="shared" ca="1" si="2"/>
        <v>444.65885755922585</v>
      </c>
      <c r="AE31" s="3">
        <f t="shared" ca="1" si="7"/>
        <v>547.72360000001208</v>
      </c>
      <c r="AF31" s="3" t="str">
        <f t="shared" si="8"/>
        <v/>
      </c>
      <c r="AI31">
        <f t="shared" si="9"/>
        <v>3</v>
      </c>
      <c r="AK31" s="7">
        <f t="shared" ca="1" si="10"/>
        <v>0.12975786849322457</v>
      </c>
      <c r="AL31" s="18">
        <f t="shared" ca="1" si="3"/>
        <v>0.29819616346107902</v>
      </c>
      <c r="AN31" s="7" t="str">
        <f>IFERROR(INDEX('MS Stats list'!P:P, MATCH(B31,'MS Stats list'!B:B,0)),"")</f>
        <v/>
      </c>
    </row>
    <row r="32" spans="1:40">
      <c r="A32">
        <v>27</v>
      </c>
      <c r="B32" t="s">
        <v>79</v>
      </c>
      <c r="C32" t="s">
        <v>79</v>
      </c>
      <c r="D32" s="3">
        <v>802.66499999999996</v>
      </c>
      <c r="E32" s="3">
        <v>786.178</v>
      </c>
      <c r="F32" s="3">
        <v>783.49099999999999</v>
      </c>
      <c r="G32" s="3">
        <v>782.54499999999996</v>
      </c>
      <c r="H32" s="3">
        <v>741.101</v>
      </c>
      <c r="I32" s="3">
        <v>783.87800000000004</v>
      </c>
      <c r="J32" s="3">
        <v>732.60900000000004</v>
      </c>
      <c r="K32" s="3">
        <v>705.76099999999997</v>
      </c>
      <c r="L32" s="3">
        <v>687.55399999999997</v>
      </c>
      <c r="M32" s="3">
        <v>621.53899999999999</v>
      </c>
      <c r="N32" s="3">
        <v>659.28599999999994</v>
      </c>
      <c r="O32" s="3">
        <v>699.59199999999998</v>
      </c>
      <c r="P32" s="3">
        <v>733.23099999999999</v>
      </c>
      <c r="Q32" s="3">
        <v>719.02700000000004</v>
      </c>
      <c r="R32" s="3">
        <v>729.96500000000003</v>
      </c>
      <c r="S32" s="3">
        <v>730.23400000000004</v>
      </c>
      <c r="T32" s="3">
        <v>769.35</v>
      </c>
      <c r="U32" s="3">
        <v>678.27599999999995</v>
      </c>
      <c r="V32" s="3">
        <f t="shared" ca="1" si="4"/>
        <v>654.32517116038832</v>
      </c>
      <c r="W32" s="16">
        <f t="shared" ca="1" si="5"/>
        <v>6</v>
      </c>
      <c r="X32" t="str">
        <f t="shared" ca="1" si="6"/>
        <v>Based on MS Stats</v>
      </c>
      <c r="Y32" s="3"/>
      <c r="Z32" s="3"/>
      <c r="AA32" s="13">
        <f t="shared" ca="1" si="1"/>
        <v>678.27599999999995</v>
      </c>
      <c r="AB32" s="3">
        <f t="shared" ca="1" si="2"/>
        <v>575.46320792344693</v>
      </c>
      <c r="AC32" s="3">
        <f t="shared" ca="1" si="2"/>
        <v>654.52690424294087</v>
      </c>
      <c r="AD32" s="3">
        <f t="shared" ca="1" si="2"/>
        <v>668.96971150701745</v>
      </c>
      <c r="AE32" s="3">
        <f t="shared" ca="1" si="7"/>
        <v>712.73530000000028</v>
      </c>
      <c r="AF32" s="3">
        <f t="shared" ca="1" si="8"/>
        <v>654.32517116038832</v>
      </c>
      <c r="AI32">
        <f t="shared" si="9"/>
        <v>3</v>
      </c>
      <c r="AK32" s="7">
        <f t="shared" ca="1" si="10"/>
        <v>4.1864607566007503E-2</v>
      </c>
      <c r="AL32" s="18">
        <f t="shared" ca="1" si="3"/>
        <v>6.4319955695225764E-2</v>
      </c>
      <c r="AN32" s="7" t="str">
        <f>IFERROR(INDEX('MS Stats list'!P:P, MATCH(B32,'MS Stats list'!B:B,0)),"")</f>
        <v>Statistical Office of Slovenia - Energy balance</v>
      </c>
    </row>
    <row r="33" spans="1:40">
      <c r="A33">
        <v>28</v>
      </c>
      <c r="B33" t="s">
        <v>188</v>
      </c>
      <c r="C33" t="s">
        <v>188</v>
      </c>
      <c r="D33" s="3">
        <v>5498.2150000000001</v>
      </c>
      <c r="E33" s="3">
        <v>5056.9210000000003</v>
      </c>
      <c r="F33" s="3">
        <v>4762.2529999999997</v>
      </c>
      <c r="G33" s="3">
        <v>4874.8069999999998</v>
      </c>
      <c r="H33" s="3">
        <v>4160.6840000000002</v>
      </c>
      <c r="I33" s="3">
        <v>4796.2809999999999</v>
      </c>
      <c r="J33" s="3">
        <v>4254.0839999999998</v>
      </c>
      <c r="K33" s="3">
        <v>4045.4430000000002</v>
      </c>
      <c r="L33" s="3">
        <v>4167.3689999999997</v>
      </c>
      <c r="M33" s="3">
        <v>3485.3389999999999</v>
      </c>
      <c r="N33" s="3">
        <v>3493.4870000000001</v>
      </c>
      <c r="O33" s="3">
        <v>3552.9450000000002</v>
      </c>
      <c r="P33" s="3">
        <v>3751.4140000000002</v>
      </c>
      <c r="Q33" s="3">
        <v>3625.9090000000001</v>
      </c>
      <c r="R33" s="3">
        <v>3723.4940000000001</v>
      </c>
      <c r="S33" s="3">
        <v>3699.9639999999999</v>
      </c>
      <c r="T33" s="3">
        <v>4144.8019999999997</v>
      </c>
      <c r="U33" s="3">
        <v>3466.55</v>
      </c>
      <c r="V33" s="3">
        <f t="shared" ca="1" si="4"/>
        <v>3300.0432844635557</v>
      </c>
      <c r="W33" s="16">
        <f t="shared" si="5"/>
        <v>3</v>
      </c>
      <c r="X33" t="str">
        <f t="shared" si="6"/>
        <v>BP</v>
      </c>
      <c r="Y33" s="3"/>
      <c r="Z33" s="3"/>
      <c r="AA33" s="13">
        <f t="shared" ca="1" si="1"/>
        <v>3466.55</v>
      </c>
      <c r="AB33" s="3">
        <f t="shared" ca="1" si="2"/>
        <v>2509.6122045142642</v>
      </c>
      <c r="AC33" s="3">
        <f t="shared" ca="1" si="2"/>
        <v>3300.0432844635557</v>
      </c>
      <c r="AD33" s="3">
        <f t="shared" ca="1" si="2"/>
        <v>3427.5353727348747</v>
      </c>
      <c r="AE33" s="3">
        <f t="shared" ca="1" si="7"/>
        <v>3762.9208000000035</v>
      </c>
      <c r="AF33" s="3" t="str">
        <f t="shared" si="8"/>
        <v/>
      </c>
      <c r="AI33">
        <f t="shared" si="9"/>
        <v>3</v>
      </c>
      <c r="AK33" s="7">
        <f t="shared" ca="1" si="10"/>
        <v>4.1562994309765552E-3</v>
      </c>
      <c r="AL33" s="18">
        <f t="shared" ca="1" si="3"/>
        <v>0.10305661124000226</v>
      </c>
      <c r="AN33" s="7" t="str">
        <f>IFERROR(INDEX('MS Stats list'!P:P, MATCH(B33,'MS Stats list'!B:B,0)),"")</f>
        <v/>
      </c>
    </row>
    <row r="34" spans="1:40">
      <c r="A34">
        <v>29</v>
      </c>
      <c r="B34" t="s">
        <v>163</v>
      </c>
      <c r="C34" t="s">
        <v>163</v>
      </c>
      <c r="D34" s="3">
        <v>84860.467999999993</v>
      </c>
      <c r="E34" s="3">
        <v>80450.020999999993</v>
      </c>
      <c r="F34" s="3">
        <v>81172.356</v>
      </c>
      <c r="G34" s="3">
        <v>84264.338000000003</v>
      </c>
      <c r="H34" s="3">
        <v>77568.831000000006</v>
      </c>
      <c r="I34" s="3">
        <v>84191.486999999994</v>
      </c>
      <c r="J34" s="3">
        <v>69882.759999999995</v>
      </c>
      <c r="K34" s="3">
        <v>65938.778999999995</v>
      </c>
      <c r="L34" s="3">
        <v>65350.623</v>
      </c>
      <c r="M34" s="3">
        <v>59519.603999999999</v>
      </c>
      <c r="N34" s="3">
        <v>60838.798000000003</v>
      </c>
      <c r="O34" s="3">
        <v>68560.426000000007</v>
      </c>
      <c r="P34" s="3">
        <v>66894.127999999997</v>
      </c>
      <c r="Q34" s="3">
        <v>67704.877999999997</v>
      </c>
      <c r="R34" s="3">
        <v>66472.956000000006</v>
      </c>
      <c r="S34" s="3">
        <v>0</v>
      </c>
      <c r="T34" s="3">
        <v>0</v>
      </c>
      <c r="U34" s="3">
        <v>0</v>
      </c>
      <c r="V34" s="3">
        <f t="shared" ca="1" si="4"/>
        <v>0</v>
      </c>
      <c r="W34" s="16">
        <f t="shared" si="5"/>
        <v>3</v>
      </c>
      <c r="X34" t="str">
        <f t="shared" si="6"/>
        <v>BP</v>
      </c>
      <c r="Y34" s="3"/>
      <c r="Z34" s="3"/>
      <c r="AA34" s="13">
        <f t="shared" ca="1" si="1"/>
        <v>0</v>
      </c>
      <c r="AB34" s="3">
        <f t="shared" ca="1" si="2"/>
        <v>0</v>
      </c>
      <c r="AC34" s="3">
        <f t="shared" ca="1" si="2"/>
        <v>0</v>
      </c>
      <c r="AD34" s="3">
        <f t="shared" ca="1" si="2"/>
        <v>0</v>
      </c>
      <c r="AE34" s="3">
        <f t="shared" ca="1" si="7"/>
        <v>-33729.246799997985</v>
      </c>
      <c r="AF34" s="3" t="str">
        <f t="shared" si="8"/>
        <v/>
      </c>
      <c r="AI34">
        <f t="shared" si="9"/>
        <v>3</v>
      </c>
      <c r="AK34" s="7">
        <f t="shared" ca="1" si="10"/>
        <v>0.75449165566166987</v>
      </c>
      <c r="AL34" s="18">
        <f t="shared" ca="1" si="3"/>
        <v>0.44666552253968222</v>
      </c>
      <c r="AN34" s="7" t="str">
        <f>IFERROR(INDEX('MS Stats list'!P:P, MATCH(B34,'MS Stats list'!B:B,0)),"")</f>
        <v>BEIS - Digest of UK Energy Statistics (DUKES)</v>
      </c>
    </row>
    <row r="35" spans="1:40">
      <c r="B35" s="40" t="s">
        <v>189</v>
      </c>
      <c r="C35" s="40" t="s">
        <v>189</v>
      </c>
      <c r="D35" s="41">
        <f>SUM(D7:D34)</f>
        <v>430479.27899999998</v>
      </c>
      <c r="E35" s="41">
        <f t="shared" ref="E35:V35" si="13">SUM(E7:E34)</f>
        <v>427162.46</v>
      </c>
      <c r="F35" s="41">
        <f t="shared" si="13"/>
        <v>420408.62100000004</v>
      </c>
      <c r="G35" s="41">
        <f t="shared" si="13"/>
        <v>430215.81699999998</v>
      </c>
      <c r="H35" s="41">
        <f t="shared" si="13"/>
        <v>403244.1160000001</v>
      </c>
      <c r="I35" s="41">
        <f t="shared" si="13"/>
        <v>433386.69200000004</v>
      </c>
      <c r="J35" s="41">
        <f t="shared" si="13"/>
        <v>389055.30499999999</v>
      </c>
      <c r="K35" s="41">
        <f t="shared" si="13"/>
        <v>379397.02099999995</v>
      </c>
      <c r="L35" s="41">
        <f t="shared" si="13"/>
        <v>373054.79099999997</v>
      </c>
      <c r="M35" s="41">
        <f t="shared" si="13"/>
        <v>328740.13499999995</v>
      </c>
      <c r="N35" s="41">
        <f t="shared" si="13"/>
        <v>343227.0990000001</v>
      </c>
      <c r="O35" s="41">
        <f t="shared" si="13"/>
        <v>368379.51399999997</v>
      </c>
      <c r="P35" s="41">
        <f t="shared" si="13"/>
        <v>383013.11300000001</v>
      </c>
      <c r="Q35" s="41">
        <f t="shared" si="13"/>
        <v>377940.04599999997</v>
      </c>
      <c r="R35" s="41">
        <f t="shared" ref="R35:S35" si="14">SUM(R7:R34)</f>
        <v>386349.15399999998</v>
      </c>
      <c r="S35" s="41">
        <f t="shared" si="14"/>
        <v>312272.75900000002</v>
      </c>
      <c r="T35" s="41">
        <f t="shared" ref="T35:U35" si="15">SUM(T7:T34)</f>
        <v>324775.54100000008</v>
      </c>
      <c r="U35" s="41">
        <f t="shared" si="15"/>
        <v>283794.52499999991</v>
      </c>
      <c r="V35" s="41">
        <f t="shared" ca="1" si="13"/>
        <v>263254.71279838379</v>
      </c>
      <c r="AA35" s="11"/>
    </row>
    <row r="36" spans="1:40">
      <c r="B36" s="40" t="s">
        <v>190</v>
      </c>
      <c r="C36" s="40" t="s">
        <v>190</v>
      </c>
      <c r="D36" s="41">
        <f>SUM(D7:D33)</f>
        <v>345618.81099999999</v>
      </c>
      <c r="E36" s="41">
        <f t="shared" ref="E36:V36" si="16">SUM(E7:E33)</f>
        <v>346712.43900000001</v>
      </c>
      <c r="F36" s="41">
        <f t="shared" si="16"/>
        <v>339236.26500000001</v>
      </c>
      <c r="G36" s="41">
        <f t="shared" si="16"/>
        <v>345951.47899999999</v>
      </c>
      <c r="H36" s="41">
        <f t="shared" si="16"/>
        <v>325675.28500000009</v>
      </c>
      <c r="I36" s="41">
        <f t="shared" si="16"/>
        <v>349195.20500000002</v>
      </c>
      <c r="J36" s="41">
        <f t="shared" si="16"/>
        <v>319172.54499999998</v>
      </c>
      <c r="K36" s="41">
        <f t="shared" si="16"/>
        <v>313458.24199999997</v>
      </c>
      <c r="L36" s="41">
        <f t="shared" si="16"/>
        <v>307704.16799999995</v>
      </c>
      <c r="M36" s="41">
        <f t="shared" si="16"/>
        <v>269220.53099999996</v>
      </c>
      <c r="N36" s="41">
        <f t="shared" si="16"/>
        <v>282388.30100000009</v>
      </c>
      <c r="O36" s="41">
        <f t="shared" si="16"/>
        <v>299819.08799999999</v>
      </c>
      <c r="P36" s="41">
        <f t="shared" si="16"/>
        <v>316118.98499999999</v>
      </c>
      <c r="Q36" s="41">
        <f t="shared" si="16"/>
        <v>310235.16800000001</v>
      </c>
      <c r="R36" s="41">
        <f t="shared" ref="R36:S36" si="17">SUM(R7:R33)</f>
        <v>319876.19799999997</v>
      </c>
      <c r="S36" s="41">
        <f t="shared" si="17"/>
        <v>312272.75900000002</v>
      </c>
      <c r="T36" s="41">
        <f t="shared" ref="T36:U36" si="18">SUM(T7:T33)</f>
        <v>324775.54100000008</v>
      </c>
      <c r="U36" s="41">
        <f t="shared" si="18"/>
        <v>283794.52499999991</v>
      </c>
      <c r="V36" s="41">
        <f t="shared" ca="1" si="16"/>
        <v>263254.71279838379</v>
      </c>
      <c r="AA36" s="11"/>
    </row>
    <row r="37" spans="1:40">
      <c r="AA37" s="11"/>
    </row>
    <row r="38" spans="1:40">
      <c r="AA38" s="11"/>
    </row>
    <row r="39" spans="1:40">
      <c r="A39" s="5"/>
      <c r="AA39" s="11"/>
    </row>
    <row r="40" spans="1:40">
      <c r="A40" s="5" t="s">
        <v>191</v>
      </c>
      <c r="D40" t="s">
        <v>173</v>
      </c>
      <c r="AA40" s="11" t="s">
        <v>207</v>
      </c>
      <c r="AB40" t="s">
        <v>197</v>
      </c>
      <c r="AC40" t="s">
        <v>198</v>
      </c>
      <c r="AD40" t="str">
        <f>TrendDuration&amp;"yr mean chg"</f>
        <v>5yr mean chg</v>
      </c>
      <c r="AE40" t="str">
        <f>AE5</f>
        <v>5yr lin trend</v>
      </c>
      <c r="AF40" t="str">
        <f>AF5</f>
        <v>Based on MS Stats</v>
      </c>
      <c r="AG40" s="147" t="s">
        <v>208</v>
      </c>
    </row>
    <row r="41" spans="1:40">
      <c r="A41">
        <f t="shared" ref="A41:P56" si="19">A6</f>
        <v>0</v>
      </c>
      <c r="B41" t="str">
        <f t="shared" si="19"/>
        <v>MS Code 1</v>
      </c>
      <c r="C41" t="str">
        <f t="shared" si="19"/>
        <v>MS Code 2</v>
      </c>
      <c r="D41" s="1">
        <f t="shared" si="19"/>
        <v>2005</v>
      </c>
      <c r="E41" s="1">
        <f t="shared" si="19"/>
        <v>2006</v>
      </c>
      <c r="F41" s="1">
        <f t="shared" si="19"/>
        <v>2007</v>
      </c>
      <c r="G41" s="1">
        <f t="shared" si="19"/>
        <v>2008</v>
      </c>
      <c r="H41" s="1">
        <f t="shared" si="19"/>
        <v>2009</v>
      </c>
      <c r="I41" s="1">
        <f t="shared" si="19"/>
        <v>2010</v>
      </c>
      <c r="J41" s="1">
        <f t="shared" si="19"/>
        <v>2011</v>
      </c>
      <c r="K41" s="1">
        <f t="shared" si="19"/>
        <v>2012</v>
      </c>
      <c r="L41" s="1">
        <f t="shared" si="19"/>
        <v>2013</v>
      </c>
      <c r="M41" s="1">
        <f t="shared" si="19"/>
        <v>2014</v>
      </c>
      <c r="N41" s="1">
        <f t="shared" si="19"/>
        <v>2015</v>
      </c>
      <c r="O41" s="1">
        <f t="shared" si="19"/>
        <v>2016</v>
      </c>
      <c r="P41" s="1">
        <f t="shared" si="19"/>
        <v>2017</v>
      </c>
      <c r="Q41" s="1">
        <f t="shared" ref="Q41:S41" si="20">Q6</f>
        <v>2018</v>
      </c>
      <c r="R41" s="1">
        <f t="shared" si="20"/>
        <v>2019</v>
      </c>
      <c r="S41" s="1">
        <f t="shared" si="20"/>
        <v>2020</v>
      </c>
      <c r="T41" s="1">
        <f t="shared" ref="T41:U41" si="21">T6</f>
        <v>2021</v>
      </c>
      <c r="U41" s="1">
        <f t="shared" si="21"/>
        <v>2022</v>
      </c>
      <c r="V41" s="2">
        <f>YearProxy</f>
        <v>2023</v>
      </c>
      <c r="W41" s="1"/>
      <c r="X41" s="1"/>
      <c r="Y41" s="1"/>
      <c r="Z41" s="1"/>
      <c r="AA41" s="2">
        <f>YearProxy</f>
        <v>2023</v>
      </c>
      <c r="AB41" s="2">
        <f>AA41</f>
        <v>2023</v>
      </c>
      <c r="AC41" s="2">
        <f t="shared" ref="AC41:AD41" si="22">AB41</f>
        <v>2023</v>
      </c>
      <c r="AD41" s="2">
        <f t="shared" si="22"/>
        <v>2023</v>
      </c>
      <c r="AE41" s="2">
        <f>AD41</f>
        <v>2023</v>
      </c>
      <c r="AF41" s="2">
        <f>AE41</f>
        <v>2023</v>
      </c>
      <c r="AG41" s="147"/>
    </row>
    <row r="42" spans="1:40">
      <c r="A42">
        <f t="shared" si="19"/>
        <v>2</v>
      </c>
      <c r="B42" t="str">
        <f t="shared" si="19"/>
        <v>AT</v>
      </c>
      <c r="C42" t="str">
        <f t="shared" si="19"/>
        <v>AT</v>
      </c>
      <c r="D42" s="8"/>
      <c r="E42" s="8">
        <f t="shared" ref="E42:R57" si="23">IFERROR(E7/D7-1,0)</f>
        <v>-6.6977405074736152E-2</v>
      </c>
      <c r="F42" s="8">
        <f t="shared" si="23"/>
        <v>-5.5669306425623621E-2</v>
      </c>
      <c r="G42" s="8">
        <f t="shared" si="23"/>
        <v>5.483447957414489E-2</v>
      </c>
      <c r="H42" s="8">
        <f t="shared" si="23"/>
        <v>-2.6427166417489212E-2</v>
      </c>
      <c r="I42" s="8">
        <f t="shared" si="23"/>
        <v>0.10181872389054236</v>
      </c>
      <c r="J42" s="8">
        <f t="shared" si="23"/>
        <v>-5.3036436149371702E-2</v>
      </c>
      <c r="K42" s="8">
        <f t="shared" si="23"/>
        <v>-4.4179562051557375E-2</v>
      </c>
      <c r="L42" s="8">
        <f t="shared" si="23"/>
        <v>-3.5276948427646837E-2</v>
      </c>
      <c r="M42" s="8">
        <f t="shared" si="23"/>
        <v>-9.4780987030160024E-2</v>
      </c>
      <c r="N42" s="8">
        <f t="shared" si="23"/>
        <v>7.4043871050352816E-2</v>
      </c>
      <c r="O42" s="8">
        <f t="shared" si="23"/>
        <v>4.9588092665654449E-2</v>
      </c>
      <c r="P42" s="8">
        <f t="shared" si="23"/>
        <v>7.8732875779532696E-2</v>
      </c>
      <c r="Q42" s="8">
        <f>IFERROR(Q7/P7-1,0)</f>
        <v>-4.8271317870061781E-2</v>
      </c>
      <c r="R42" s="8">
        <f>IFERROR(R7/Q7-1,0)</f>
        <v>3.3202271672731154E-2</v>
      </c>
      <c r="S42" s="8">
        <f t="shared" ref="S42:S57" si="24">IFERROR(S7/R7-1,0)</f>
        <v>-4.6606363085434199E-2</v>
      </c>
      <c r="T42" s="8">
        <f t="shared" ref="T42:T71" si="25">IFERROR(T7/S7-1,0)</f>
        <v>6.0494690615651381E-2</v>
      </c>
      <c r="U42" s="8">
        <f t="shared" ref="U42:V71" si="26">IFERROR(U7/T7-1,0)</f>
        <v>-0.10891892417641913</v>
      </c>
      <c r="V42" s="8">
        <f t="shared" ca="1" si="26"/>
        <v>-0.15161445972700316</v>
      </c>
      <c r="W42" s="8"/>
      <c r="X42" s="8"/>
      <c r="Y42" s="8"/>
      <c r="Z42" s="8"/>
      <c r="AA42" s="14">
        <v>0</v>
      </c>
      <c r="AB42" s="8">
        <v>-0.25578208420040621</v>
      </c>
      <c r="AC42" s="8">
        <v>-0.13036392281406042</v>
      </c>
      <c r="AD42" s="8">
        <f t="shared" ref="AD42:AD69" ca="1" si="27">AVERAGE(OFFSET($A42,0,OffsetLast-TrendDuration+1,1,TrendDuration))</f>
        <v>-2.2019928568706514E-2</v>
      </c>
      <c r="AE42" s="8">
        <f ca="1">AE7/AA7-1</f>
        <v>3.2053504751318407E-2</v>
      </c>
      <c r="AF42" s="8">
        <v>-0.15161445972700327</v>
      </c>
      <c r="AG42" s="17">
        <f t="shared" ref="AG42:AG69" si="28">AC42-AB42</f>
        <v>0.12541816138634579</v>
      </c>
    </row>
    <row r="43" spans="1:40">
      <c r="A43">
        <f t="shared" si="19"/>
        <v>3</v>
      </c>
      <c r="B43" t="str">
        <f t="shared" si="19"/>
        <v>BE</v>
      </c>
      <c r="C43" t="str">
        <f t="shared" si="19"/>
        <v>BE</v>
      </c>
      <c r="D43" s="8"/>
      <c r="E43" s="8">
        <f t="shared" si="23"/>
        <v>2.622688257267658E-2</v>
      </c>
      <c r="F43" s="8">
        <f t="shared" si="23"/>
        <v>-1.398581533554244E-2</v>
      </c>
      <c r="G43" s="8">
        <f t="shared" si="23"/>
        <v>-5.619580039384009E-3</v>
      </c>
      <c r="H43" s="8">
        <f t="shared" si="23"/>
        <v>2.6477662896311038E-2</v>
      </c>
      <c r="I43" s="8">
        <f t="shared" si="23"/>
        <v>0.10513898958167611</v>
      </c>
      <c r="J43" s="8">
        <f t="shared" si="23"/>
        <v>-0.14905037725778281</v>
      </c>
      <c r="K43" s="8">
        <f t="shared" si="23"/>
        <v>5.1054506379992759E-3</v>
      </c>
      <c r="L43" s="8">
        <f t="shared" si="23"/>
        <v>4.6627903212288491E-3</v>
      </c>
      <c r="M43" s="8">
        <f t="shared" si="23"/>
        <v>-0.13040435622405055</v>
      </c>
      <c r="N43" s="8">
        <f t="shared" si="23"/>
        <v>0.10005580455343499</v>
      </c>
      <c r="O43" s="8">
        <f t="shared" si="23"/>
        <v>2.5602220378811102E-2</v>
      </c>
      <c r="P43" s="8">
        <f t="shared" si="23"/>
        <v>1.258248934899231E-2</v>
      </c>
      <c r="Q43" s="8">
        <f t="shared" si="23"/>
        <v>3.729100246979411E-2</v>
      </c>
      <c r="R43" s="8">
        <f t="shared" si="23"/>
        <v>1.5730547732313305E-2</v>
      </c>
      <c r="S43" s="8">
        <f t="shared" si="24"/>
        <v>-1.3860588883314984E-2</v>
      </c>
      <c r="T43" s="8">
        <f t="shared" si="25"/>
        <v>1.2710627937579266E-2</v>
      </c>
      <c r="U43" s="8">
        <f t="shared" si="26"/>
        <v>-0.14529043235852745</v>
      </c>
      <c r="V43" s="8">
        <f t="shared" ca="1" si="26"/>
        <v>-5.8220399895972608E-2</v>
      </c>
      <c r="W43" s="8"/>
      <c r="X43" s="8"/>
      <c r="Y43" s="8"/>
      <c r="Z43" s="8"/>
      <c r="AA43" s="14">
        <v>0</v>
      </c>
      <c r="AB43" s="8">
        <v>-0.21375169074036152</v>
      </c>
      <c r="AC43" s="8">
        <v>-5.8220399895972511E-2</v>
      </c>
      <c r="AD43" s="8">
        <f t="shared" ca="1" si="27"/>
        <v>-1.8683768620431151E-2</v>
      </c>
      <c r="AE43" s="8">
        <f t="shared" ref="AE43:AE69" ca="1" si="29">AE8/AA8-1</f>
        <v>3.7541308968519038E-2</v>
      </c>
      <c r="AF43" s="8"/>
      <c r="AG43" s="17">
        <f t="shared" si="28"/>
        <v>0.15553129084438899</v>
      </c>
    </row>
    <row r="44" spans="1:40">
      <c r="A44">
        <f t="shared" si="19"/>
        <v>4</v>
      </c>
      <c r="B44" t="str">
        <f t="shared" si="19"/>
        <v>BG</v>
      </c>
      <c r="C44" t="str">
        <f t="shared" si="19"/>
        <v>BG</v>
      </c>
      <c r="D44" s="8"/>
      <c r="E44" s="8">
        <f t="shared" si="23"/>
        <v>6.5106236560519948E-2</v>
      </c>
      <c r="F44" s="8">
        <f t="shared" si="23"/>
        <v>4.1546589636640041E-2</v>
      </c>
      <c r="G44" s="8">
        <f t="shared" si="23"/>
        <v>-4.4490812387326106E-2</v>
      </c>
      <c r="H44" s="8">
        <f t="shared" si="23"/>
        <v>-0.24164754530957677</v>
      </c>
      <c r="I44" s="8">
        <f t="shared" si="23"/>
        <v>5.1696673602793064E-2</v>
      </c>
      <c r="J44" s="8">
        <f t="shared" si="23"/>
        <v>0.12943988585014199</v>
      </c>
      <c r="K44" s="8">
        <f t="shared" si="23"/>
        <v>-4.7874424763931112E-2</v>
      </c>
      <c r="L44" s="8">
        <f t="shared" si="23"/>
        <v>-3.3712529074883868E-2</v>
      </c>
      <c r="M44" s="8">
        <f t="shared" si="23"/>
        <v>-2.2019889845770302E-2</v>
      </c>
      <c r="N44" s="8">
        <f t="shared" si="23"/>
        <v>8.4119199245307197E-2</v>
      </c>
      <c r="O44" s="8">
        <f t="shared" si="23"/>
        <v>3.2738725705477645E-2</v>
      </c>
      <c r="P44" s="8">
        <f t="shared" si="23"/>
        <v>3.5724098079819688E-2</v>
      </c>
      <c r="Q44" s="8">
        <f t="shared" si="23"/>
        <v>-3.2214370131354753E-2</v>
      </c>
      <c r="R44" s="8">
        <f t="shared" si="23"/>
        <v>-4.7118938040582647E-2</v>
      </c>
      <c r="S44" s="8">
        <f t="shared" si="24"/>
        <v>3.2588664091315778E-2</v>
      </c>
      <c r="T44" s="8">
        <f t="shared" si="25"/>
        <v>0.13290277471889911</v>
      </c>
      <c r="U44" s="8">
        <f t="shared" si="26"/>
        <v>-0.18024070850614093</v>
      </c>
      <c r="V44" s="8">
        <f ca="1">IFERROR(V9/U9-1,0)</f>
        <v>-6.5638374744203865E-2</v>
      </c>
      <c r="W44" s="8"/>
      <c r="X44" s="8"/>
      <c r="Y44" s="8"/>
      <c r="Z44" s="8"/>
      <c r="AA44" s="14">
        <v>0</v>
      </c>
      <c r="AB44" s="8">
        <v>-0.28427600961573202</v>
      </c>
      <c r="AC44" s="8">
        <v>-6.5638374744203712E-2</v>
      </c>
      <c r="AD44" s="8">
        <f t="shared" ca="1" si="27"/>
        <v>-1.8816515573572688E-2</v>
      </c>
      <c r="AE44" s="8">
        <f t="shared" ca="1" si="29"/>
        <v>8.3271239927554142E-2</v>
      </c>
      <c r="AF44" s="8"/>
      <c r="AG44" s="17">
        <f t="shared" si="28"/>
        <v>0.21863763487152832</v>
      </c>
    </row>
    <row r="45" spans="1:40">
      <c r="A45">
        <f t="shared" si="19"/>
        <v>5</v>
      </c>
      <c r="B45" t="str">
        <f t="shared" si="19"/>
        <v>CY</v>
      </c>
      <c r="C45" t="str">
        <f t="shared" si="19"/>
        <v>CY</v>
      </c>
      <c r="D45" s="8"/>
      <c r="E45" s="8">
        <f t="shared" si="23"/>
        <v>0</v>
      </c>
      <c r="F45" s="8">
        <f t="shared" si="23"/>
        <v>0</v>
      </c>
      <c r="G45" s="8">
        <f t="shared" si="23"/>
        <v>0</v>
      </c>
      <c r="H45" s="8">
        <f t="shared" si="23"/>
        <v>0</v>
      </c>
      <c r="I45" s="8">
        <f t="shared" si="23"/>
        <v>0</v>
      </c>
      <c r="J45" s="8">
        <f t="shared" si="23"/>
        <v>0</v>
      </c>
      <c r="K45" s="8">
        <f t="shared" si="23"/>
        <v>0</v>
      </c>
      <c r="L45" s="8">
        <f t="shared" si="23"/>
        <v>0</v>
      </c>
      <c r="M45" s="8">
        <f t="shared" si="23"/>
        <v>0</v>
      </c>
      <c r="N45" s="8">
        <f t="shared" si="23"/>
        <v>0</v>
      </c>
      <c r="O45" s="8">
        <f t="shared" si="23"/>
        <v>0</v>
      </c>
      <c r="P45" s="8">
        <f t="shared" si="23"/>
        <v>0</v>
      </c>
      <c r="Q45" s="8">
        <f t="shared" si="23"/>
        <v>0</v>
      </c>
      <c r="R45" s="8">
        <f t="shared" si="23"/>
        <v>0</v>
      </c>
      <c r="S45" s="8">
        <f t="shared" si="24"/>
        <v>0</v>
      </c>
      <c r="T45" s="8">
        <f t="shared" si="25"/>
        <v>0</v>
      </c>
      <c r="U45" s="8">
        <f t="shared" si="26"/>
        <v>0</v>
      </c>
      <c r="V45" s="8">
        <f t="shared" ca="1" si="26"/>
        <v>0</v>
      </c>
      <c r="W45" s="8"/>
      <c r="X45" s="8"/>
      <c r="Y45" s="8"/>
      <c r="Z45" s="8"/>
      <c r="AA45" s="14">
        <v>0</v>
      </c>
      <c r="AB45" s="8" t="s">
        <v>209</v>
      </c>
      <c r="AC45" s="8" t="e">
        <v>#N/A</v>
      </c>
      <c r="AD45" s="8">
        <f t="shared" ca="1" si="27"/>
        <v>0</v>
      </c>
      <c r="AE45" s="8" t="e">
        <f t="shared" ca="1" si="29"/>
        <v>#DIV/0!</v>
      </c>
      <c r="AF45" s="8"/>
      <c r="AG45" s="17" t="e">
        <f t="shared" si="28"/>
        <v>#N/A</v>
      </c>
    </row>
    <row r="46" spans="1:40">
      <c r="A46">
        <f t="shared" si="19"/>
        <v>6</v>
      </c>
      <c r="B46" t="str">
        <f t="shared" si="19"/>
        <v>CZ</v>
      </c>
      <c r="C46" t="str">
        <f t="shared" si="19"/>
        <v>CZ</v>
      </c>
      <c r="D46" s="8"/>
      <c r="E46" s="8">
        <f t="shared" si="23"/>
        <v>-1.4267523894198497E-2</v>
      </c>
      <c r="F46" s="8">
        <f t="shared" si="23"/>
        <v>-4.673452267917555E-2</v>
      </c>
      <c r="G46" s="8">
        <f t="shared" si="23"/>
        <v>-2.2299047474321876E-2</v>
      </c>
      <c r="H46" s="8">
        <f t="shared" si="23"/>
        <v>-4.6902921833173461E-2</v>
      </c>
      <c r="I46" s="8">
        <f t="shared" si="23"/>
        <v>0.18288933970538257</v>
      </c>
      <c r="J46" s="8">
        <f t="shared" si="23"/>
        <v>-0.15851340542483494</v>
      </c>
      <c r="K46" s="8">
        <f t="shared" si="23"/>
        <v>6.6977789944424604E-3</v>
      </c>
      <c r="L46" s="8">
        <f t="shared" si="23"/>
        <v>1.4012441826884325E-2</v>
      </c>
      <c r="M46" s="8">
        <f t="shared" si="23"/>
        <v>-0.11179865675457057</v>
      </c>
      <c r="N46" s="8">
        <f t="shared" si="23"/>
        <v>4.91568347904765E-2</v>
      </c>
      <c r="O46" s="8">
        <f t="shared" si="23"/>
        <v>8.284733430157365E-2</v>
      </c>
      <c r="P46" s="8">
        <f t="shared" si="23"/>
        <v>2.8380082814040586E-2</v>
      </c>
      <c r="Q46" s="8">
        <f t="shared" si="23"/>
        <v>-5.3749212802187918E-2</v>
      </c>
      <c r="R46" s="8">
        <f t="shared" si="23"/>
        <v>4.9179231720771543E-2</v>
      </c>
      <c r="S46" s="8">
        <f t="shared" si="24"/>
        <v>1.698751584418523E-2</v>
      </c>
      <c r="T46" s="8">
        <f t="shared" si="25"/>
        <v>7.4289176646151978E-2</v>
      </c>
      <c r="U46" s="8">
        <f t="shared" si="26"/>
        <v>-0.18593698168908612</v>
      </c>
      <c r="V46" s="8">
        <f t="shared" ca="1" si="26"/>
        <v>-9.2042907358357628E-2</v>
      </c>
      <c r="W46" s="8"/>
      <c r="X46" s="8"/>
      <c r="Y46" s="8"/>
      <c r="Z46" s="8"/>
      <c r="AA46" s="14">
        <v>0</v>
      </c>
      <c r="AB46" s="8">
        <v>-0.32130458439132753</v>
      </c>
      <c r="AC46" s="8">
        <v>-9.2042907358357601E-2</v>
      </c>
      <c r="AD46" s="8">
        <f t="shared" ca="1" si="27"/>
        <v>-1.9846054056033059E-2</v>
      </c>
      <c r="AE46" s="8">
        <f t="shared" ca="1" si="29"/>
        <v>0.10179655145178956</v>
      </c>
      <c r="AF46" s="8"/>
      <c r="AG46" s="17">
        <f t="shared" si="28"/>
        <v>0.22926167703296993</v>
      </c>
    </row>
    <row r="47" spans="1:40">
      <c r="A47">
        <f t="shared" si="19"/>
        <v>7</v>
      </c>
      <c r="B47" t="str">
        <f t="shared" si="19"/>
        <v>DE</v>
      </c>
      <c r="C47" t="str">
        <f t="shared" si="19"/>
        <v>DE</v>
      </c>
      <c r="D47" s="8"/>
      <c r="E47" s="8">
        <f t="shared" si="23"/>
        <v>2.1531912912578832E-2</v>
      </c>
      <c r="F47" s="8">
        <f t="shared" si="23"/>
        <v>-3.5568949205781131E-2</v>
      </c>
      <c r="G47" s="8">
        <f t="shared" si="23"/>
        <v>1.0651142986177531E-2</v>
      </c>
      <c r="H47" s="8">
        <f t="shared" si="23"/>
        <v>-5.5899504127540633E-2</v>
      </c>
      <c r="I47" s="8">
        <f t="shared" si="23"/>
        <v>3.8403924039827508E-2</v>
      </c>
      <c r="J47" s="8">
        <f t="shared" si="23"/>
        <v>-8.4783988056206572E-2</v>
      </c>
      <c r="K47" s="8">
        <f t="shared" si="23"/>
        <v>7.1755569023717047E-3</v>
      </c>
      <c r="L47" s="8">
        <f t="shared" si="23"/>
        <v>4.3224707498292769E-2</v>
      </c>
      <c r="M47" s="8">
        <f t="shared" si="23"/>
        <v>-0.13926896321642124</v>
      </c>
      <c r="N47" s="8">
        <f t="shared" si="23"/>
        <v>3.1811935753609077E-2</v>
      </c>
      <c r="O47" s="8">
        <f t="shared" si="23"/>
        <v>7.8445904326134963E-2</v>
      </c>
      <c r="P47" s="8">
        <f t="shared" si="23"/>
        <v>7.4627609438967513E-2</v>
      </c>
      <c r="Q47" s="8">
        <f t="shared" si="23"/>
        <v>-3.0442093626879885E-2</v>
      </c>
      <c r="R47" s="8">
        <f t="shared" si="23"/>
        <v>2.3309702529826781E-2</v>
      </c>
      <c r="S47" s="8">
        <f t="shared" si="24"/>
        <v>-6.0515452699861916E-3</v>
      </c>
      <c r="T47" s="8">
        <f t="shared" si="25"/>
        <v>3.5464670551577759E-2</v>
      </c>
      <c r="U47" s="8">
        <f t="shared" si="26"/>
        <v>-0.13109369814097838</v>
      </c>
      <c r="V47" s="8">
        <f t="shared" ca="1" si="26"/>
        <v>-2.4255788313120252E-2</v>
      </c>
      <c r="W47" s="8"/>
      <c r="X47" s="8"/>
      <c r="Y47" s="8"/>
      <c r="Z47" s="8"/>
      <c r="AA47" s="14">
        <v>0</v>
      </c>
      <c r="AB47" s="8">
        <v>-0.22002312222213405</v>
      </c>
      <c r="AC47" s="8">
        <v>-2.4255817880150736E-2</v>
      </c>
      <c r="AD47" s="8">
        <f t="shared" ca="1" si="27"/>
        <v>-2.1762592791287984E-2</v>
      </c>
      <c r="AE47" s="8">
        <f t="shared" ca="1" si="29"/>
        <v>4.8804814155652521E-2</v>
      </c>
      <c r="AF47" s="8">
        <v>-2.4255788313120252E-2</v>
      </c>
      <c r="AG47" s="17">
        <f t="shared" si="28"/>
        <v>0.19576730434198331</v>
      </c>
      <c r="AH47" s="8"/>
    </row>
    <row r="48" spans="1:40">
      <c r="A48">
        <f t="shared" si="19"/>
        <v>8</v>
      </c>
      <c r="B48" t="str">
        <f t="shared" si="19"/>
        <v>DK</v>
      </c>
      <c r="C48" t="str">
        <f t="shared" si="19"/>
        <v>DK</v>
      </c>
      <c r="D48" s="8"/>
      <c r="E48" s="8">
        <f t="shared" si="23"/>
        <v>3.1154462837080787E-2</v>
      </c>
      <c r="F48" s="8">
        <f t="shared" si="23"/>
        <v>-0.10468355872959267</v>
      </c>
      <c r="G48" s="8">
        <f t="shared" si="23"/>
        <v>3.5249403625983167E-3</v>
      </c>
      <c r="H48" s="8">
        <f t="shared" si="23"/>
        <v>-4.3792042387215013E-2</v>
      </c>
      <c r="I48" s="8">
        <f t="shared" si="23"/>
        <v>0.13459408865073885</v>
      </c>
      <c r="J48" s="8">
        <f t="shared" si="23"/>
        <v>-0.16134821459665771</v>
      </c>
      <c r="K48" s="8">
        <f t="shared" si="23"/>
        <v>-6.0422160742502395E-2</v>
      </c>
      <c r="L48" s="8">
        <f t="shared" si="23"/>
        <v>-4.8364998671243886E-2</v>
      </c>
      <c r="M48" s="8">
        <f t="shared" si="23"/>
        <v>-0.15437903505978401</v>
      </c>
      <c r="N48" s="8">
        <f t="shared" si="23"/>
        <v>1.7830440170825801E-2</v>
      </c>
      <c r="O48" s="8">
        <f t="shared" si="23"/>
        <v>8.7921536694530733E-3</v>
      </c>
      <c r="P48" s="8">
        <f t="shared" si="23"/>
        <v>-4.524584811652177E-2</v>
      </c>
      <c r="Q48" s="8">
        <f t="shared" si="23"/>
        <v>-2.7056798723246511E-2</v>
      </c>
      <c r="R48" s="8">
        <f t="shared" si="23"/>
        <v>-5.4300437619089093E-2</v>
      </c>
      <c r="S48" s="8">
        <f t="shared" si="24"/>
        <v>-0.16487555387038122</v>
      </c>
      <c r="T48" s="8">
        <f t="shared" si="25"/>
        <v>-8.4654839705411655E-2</v>
      </c>
      <c r="U48" s="8">
        <f t="shared" si="26"/>
        <v>-0.2556613264026274</v>
      </c>
      <c r="V48" s="8">
        <f t="shared" ca="1" si="26"/>
        <v>-3.2084155161078098E-2</v>
      </c>
      <c r="W48" s="8"/>
      <c r="X48" s="8"/>
      <c r="Y48" s="8"/>
      <c r="Z48" s="8"/>
      <c r="AA48" s="14">
        <v>0</v>
      </c>
      <c r="AB48" s="8">
        <v>-0.29761669909481986</v>
      </c>
      <c r="AC48" s="8">
        <v>-3.7065732831796212E-2</v>
      </c>
      <c r="AD48" s="8">
        <f t="shared" ca="1" si="27"/>
        <v>-0.11730979126415117</v>
      </c>
      <c r="AE48" s="8">
        <f t="shared" ca="1" si="29"/>
        <v>-0.15382868594277466</v>
      </c>
      <c r="AF48" s="8">
        <v>-3.2084155161078209E-2</v>
      </c>
      <c r="AG48" s="17">
        <f t="shared" si="28"/>
        <v>0.26055096626302365</v>
      </c>
    </row>
    <row r="49" spans="1:34">
      <c r="A49">
        <f t="shared" si="19"/>
        <v>9</v>
      </c>
      <c r="B49" t="str">
        <f t="shared" si="19"/>
        <v>EE</v>
      </c>
      <c r="C49" t="str">
        <f t="shared" si="19"/>
        <v>EE</v>
      </c>
      <c r="D49" s="8"/>
      <c r="E49" s="8">
        <f t="shared" si="23"/>
        <v>1.2818333675233662E-2</v>
      </c>
      <c r="F49" s="8">
        <f t="shared" si="23"/>
        <v>3.0381592805772684E-5</v>
      </c>
      <c r="G49" s="8">
        <f t="shared" si="23"/>
        <v>-5.3209573093721541E-2</v>
      </c>
      <c r="H49" s="8">
        <f t="shared" si="23"/>
        <v>-0.2172759069079484</v>
      </c>
      <c r="I49" s="8">
        <f t="shared" si="23"/>
        <v>9.8111675285454503E-2</v>
      </c>
      <c r="J49" s="8">
        <f t="shared" si="23"/>
        <v>-0.1052814967173975</v>
      </c>
      <c r="K49" s="8">
        <f t="shared" si="23"/>
        <v>6.2657836749859364E-2</v>
      </c>
      <c r="L49" s="8">
        <f t="shared" si="23"/>
        <v>-9.0756959298759821E-2</v>
      </c>
      <c r="M49" s="8">
        <f t="shared" si="23"/>
        <v>-0.1043215398377495</v>
      </c>
      <c r="N49" s="8">
        <f t="shared" si="23"/>
        <v>-0.10354375452009501</v>
      </c>
      <c r="O49" s="8">
        <f t="shared" si="23"/>
        <v>9.683805601655493E-2</v>
      </c>
      <c r="P49" s="8">
        <f t="shared" si="23"/>
        <v>-5.2091335545348949E-2</v>
      </c>
      <c r="Q49" s="8">
        <f t="shared" si="23"/>
        <v>1.8856630488868209E-2</v>
      </c>
      <c r="R49" s="8">
        <f t="shared" si="23"/>
        <v>-8.0848522652817945E-2</v>
      </c>
      <c r="S49" s="8">
        <f t="shared" si="24"/>
        <v>-8.4622001036370298E-2</v>
      </c>
      <c r="T49" s="8">
        <f t="shared" si="25"/>
        <v>0.13281820219424034</v>
      </c>
      <c r="U49" s="8">
        <f t="shared" si="26"/>
        <v>-0.25906656892165092</v>
      </c>
      <c r="V49" s="8">
        <f t="shared" ca="1" si="26"/>
        <v>-8.3688550141198137E-2</v>
      </c>
      <c r="W49" s="8"/>
      <c r="X49" s="8"/>
      <c r="Y49" s="8"/>
      <c r="Z49" s="8"/>
      <c r="AA49" s="14">
        <v>0</v>
      </c>
      <c r="AB49" s="8">
        <v>-0.42662628167216082</v>
      </c>
      <c r="AC49" s="8">
        <v>-8.3688550141197984E-2</v>
      </c>
      <c r="AD49" s="8">
        <f t="shared" ca="1" si="27"/>
        <v>-5.4572451985546125E-2</v>
      </c>
      <c r="AE49" s="8">
        <f t="shared" ca="1" si="29"/>
        <v>1.6538568195735071E-2</v>
      </c>
      <c r="AF49" s="8"/>
      <c r="AG49" s="17">
        <f t="shared" si="28"/>
        <v>0.34293773153096285</v>
      </c>
    </row>
    <row r="50" spans="1:34">
      <c r="A50">
        <f t="shared" si="19"/>
        <v>11</v>
      </c>
      <c r="B50" t="str">
        <f t="shared" si="19"/>
        <v>ES</v>
      </c>
      <c r="C50" t="str">
        <f t="shared" si="19"/>
        <v>ES</v>
      </c>
      <c r="D50" s="8"/>
      <c r="E50" s="8">
        <f t="shared" si="23"/>
        <v>6.1481318848526589E-2</v>
      </c>
      <c r="F50" s="8">
        <f t="shared" si="23"/>
        <v>4.4110003331156999E-3</v>
      </c>
      <c r="G50" s="8">
        <f t="shared" si="23"/>
        <v>0.10256421640833402</v>
      </c>
      <c r="H50" s="8">
        <f t="shared" si="23"/>
        <v>-0.10636186041542162</v>
      </c>
      <c r="I50" s="8">
        <f t="shared" si="23"/>
        <v>-6.0668954798287489E-3</v>
      </c>
      <c r="J50" s="8">
        <f t="shared" si="23"/>
        <v>-7.2034738457792069E-2</v>
      </c>
      <c r="K50" s="8">
        <f t="shared" si="23"/>
        <v>-8.1067475774974085E-3</v>
      </c>
      <c r="L50" s="8">
        <f t="shared" si="23"/>
        <v>-8.9554321580918472E-2</v>
      </c>
      <c r="M50" s="8">
        <f t="shared" si="23"/>
        <v>-9.7740232902756019E-2</v>
      </c>
      <c r="N50" s="8">
        <f t="shared" si="23"/>
        <v>3.9708619432566428E-2</v>
      </c>
      <c r="O50" s="8">
        <f t="shared" si="23"/>
        <v>2.0448422180375347E-2</v>
      </c>
      <c r="P50" s="8">
        <f t="shared" si="23"/>
        <v>9.0857761194102604E-2</v>
      </c>
      <c r="Q50" s="8">
        <f t="shared" si="23"/>
        <v>-7.9170616121693183E-3</v>
      </c>
      <c r="R50" s="8">
        <f t="shared" si="23"/>
        <v>0.14326778972078968</v>
      </c>
      <c r="S50" s="8">
        <f t="shared" si="24"/>
        <v>-9.7269586776903005E-2</v>
      </c>
      <c r="T50" s="8">
        <f t="shared" si="25"/>
        <v>5.6576404415810133E-2</v>
      </c>
      <c r="U50" s="8">
        <f t="shared" si="26"/>
        <v>-4.5264078557793019E-2</v>
      </c>
      <c r="V50" s="8">
        <f t="shared" ca="1" si="26"/>
        <v>-0.10970879677933365</v>
      </c>
      <c r="W50" s="8"/>
      <c r="X50" s="8"/>
      <c r="Y50" s="8"/>
      <c r="Z50" s="8"/>
      <c r="AA50" s="14">
        <v>0</v>
      </c>
      <c r="AB50" s="8">
        <v>-0.14777133810620238</v>
      </c>
      <c r="AC50" s="8">
        <v>-0.11147674068991918</v>
      </c>
      <c r="AD50" s="8">
        <f t="shared" ca="1" si="27"/>
        <v>9.8786934379468949E-3</v>
      </c>
      <c r="AE50" s="8">
        <f t="shared" ca="1" si="29"/>
        <v>2.79449238057079E-2</v>
      </c>
      <c r="AF50" s="8">
        <v>-0.10970879677933365</v>
      </c>
      <c r="AG50" s="17">
        <f t="shared" si="28"/>
        <v>3.62945974162832E-2</v>
      </c>
    </row>
    <row r="51" spans="1:34">
      <c r="A51">
        <f t="shared" si="19"/>
        <v>12</v>
      </c>
      <c r="B51" t="str">
        <f t="shared" si="19"/>
        <v>FI</v>
      </c>
      <c r="C51" t="str">
        <f t="shared" si="19"/>
        <v>FI</v>
      </c>
      <c r="D51" s="8"/>
      <c r="E51" s="8">
        <f t="shared" si="23"/>
        <v>7.9429290318805634E-2</v>
      </c>
      <c r="F51" s="8">
        <f t="shared" si="23"/>
        <v>-4.1550612995705172E-2</v>
      </c>
      <c r="G51" s="8">
        <f t="shared" si="23"/>
        <v>3.4759310760519524E-2</v>
      </c>
      <c r="H51" s="8">
        <f t="shared" si="23"/>
        <v>-9.8021042045048246E-2</v>
      </c>
      <c r="I51" s="8">
        <f t="shared" si="23"/>
        <v>9.7738140480974511E-2</v>
      </c>
      <c r="J51" s="8">
        <f t="shared" si="23"/>
        <v>-0.1233844190795943</v>
      </c>
      <c r="K51" s="8">
        <f t="shared" si="23"/>
        <v>-0.10635197707059307</v>
      </c>
      <c r="L51" s="8">
        <f t="shared" si="23"/>
        <v>-4.8579258608522746E-2</v>
      </c>
      <c r="M51" s="8">
        <f t="shared" si="23"/>
        <v>-0.12170972811611214</v>
      </c>
      <c r="N51" s="8">
        <f t="shared" si="23"/>
        <v>-0.11026723919492132</v>
      </c>
      <c r="O51" s="8">
        <f t="shared" si="23"/>
        <v>-7.7024835612499953E-2</v>
      </c>
      <c r="P51" s="8">
        <f t="shared" si="23"/>
        <v>-6.2325029621186245E-2</v>
      </c>
      <c r="Q51" s="8">
        <f t="shared" si="23"/>
        <v>0.12583342676926357</v>
      </c>
      <c r="R51" s="8">
        <f t="shared" si="23"/>
        <v>-2.0411103262191199E-2</v>
      </c>
      <c r="S51" s="8">
        <f t="shared" si="24"/>
        <v>-7.0405119065464206E-3</v>
      </c>
      <c r="T51" s="8">
        <f t="shared" si="25"/>
        <v>-8.4948034927841976E-3</v>
      </c>
      <c r="U51" s="8">
        <f t="shared" si="26"/>
        <v>-0.49597268824620544</v>
      </c>
      <c r="V51" s="8">
        <f t="shared" ca="1" si="26"/>
        <v>6.2385729110045807E-2</v>
      </c>
      <c r="W51" s="8"/>
      <c r="X51" s="8"/>
      <c r="Y51" s="8"/>
      <c r="Z51" s="8"/>
      <c r="AA51" s="14">
        <v>0</v>
      </c>
      <c r="AB51" s="8">
        <v>-0.63717333659690478</v>
      </c>
      <c r="AC51" s="8">
        <v>6.2385678627498352E-2</v>
      </c>
      <c r="AD51" s="8">
        <f t="shared" ca="1" si="27"/>
        <v>-8.1217136027692732E-2</v>
      </c>
      <c r="AE51" s="8">
        <f t="shared" ca="1" si="29"/>
        <v>0.1678145267494997</v>
      </c>
      <c r="AF51" s="8">
        <v>6.2385729110045807E-2</v>
      </c>
      <c r="AG51" s="17">
        <f t="shared" si="28"/>
        <v>0.69955901522440311</v>
      </c>
    </row>
    <row r="52" spans="1:34">
      <c r="A52">
        <f t="shared" si="19"/>
        <v>13</v>
      </c>
      <c r="B52" t="str">
        <f t="shared" si="19"/>
        <v>FR</v>
      </c>
      <c r="C52" t="str">
        <f t="shared" si="19"/>
        <v>FR</v>
      </c>
      <c r="D52" s="8"/>
      <c r="E52" s="8">
        <f t="shared" si="23"/>
        <v>-2.8668192461533737E-2</v>
      </c>
      <c r="F52" s="8">
        <f t="shared" si="23"/>
        <v>-3.4003463550607127E-2</v>
      </c>
      <c r="G52" s="8">
        <f t="shared" si="23"/>
        <v>3.6287501792787946E-2</v>
      </c>
      <c r="H52" s="8">
        <f t="shared" si="23"/>
        <v>-3.3704268027682005E-2</v>
      </c>
      <c r="I52" s="8">
        <f t="shared" si="23"/>
        <v>0.11272921995845464</v>
      </c>
      <c r="J52" s="8">
        <f t="shared" si="23"/>
        <v>-0.13599572727515585</v>
      </c>
      <c r="K52" s="8">
        <f t="shared" si="23"/>
        <v>3.4164427634993055E-2</v>
      </c>
      <c r="L52" s="8">
        <f t="shared" si="23"/>
        <v>1.4725837517422846E-2</v>
      </c>
      <c r="M52" s="8">
        <f t="shared" si="23"/>
        <v>-0.16495424041440765</v>
      </c>
      <c r="N52" s="8">
        <f t="shared" si="23"/>
        <v>7.574941582440875E-2</v>
      </c>
      <c r="O52" s="8">
        <f t="shared" si="23"/>
        <v>9.4714306660547809E-2</v>
      </c>
      <c r="P52" s="8">
        <f t="shared" si="23"/>
        <v>5.4310494180256352E-3</v>
      </c>
      <c r="Q52" s="8">
        <f t="shared" si="23"/>
        <v>-4.3211100168162209E-2</v>
      </c>
      <c r="R52" s="8">
        <f t="shared" si="23"/>
        <v>2.0468021671047776E-2</v>
      </c>
      <c r="S52" s="8">
        <f t="shared" si="24"/>
        <v>-6.9715332457962464E-2</v>
      </c>
      <c r="T52" s="8">
        <f t="shared" si="25"/>
        <v>6.1767537715893939E-2</v>
      </c>
      <c r="U52" s="8">
        <f t="shared" si="26"/>
        <v>-0.10092604348178746</v>
      </c>
      <c r="V52" s="8">
        <f t="shared" ca="1" si="26"/>
        <v>-0.11451257990773822</v>
      </c>
      <c r="W52" s="8"/>
      <c r="X52" s="8"/>
      <c r="Y52" s="8"/>
      <c r="Z52" s="8"/>
      <c r="AA52" s="14">
        <v>0</v>
      </c>
      <c r="AB52" s="8">
        <v>-0.22691394014493135</v>
      </c>
      <c r="AC52" s="8">
        <v>-0.1174719012596431</v>
      </c>
      <c r="AD52" s="8">
        <f t="shared" ca="1" si="27"/>
        <v>-2.6323383344194085E-2</v>
      </c>
      <c r="AE52" s="8">
        <f t="shared" ca="1" si="29"/>
        <v>1.1645208357109249E-2</v>
      </c>
      <c r="AF52" s="8">
        <v>-0.11451257990773822</v>
      </c>
      <c r="AG52" s="17">
        <f t="shared" si="28"/>
        <v>0.10944203888528825</v>
      </c>
    </row>
    <row r="53" spans="1:34">
      <c r="A53">
        <f t="shared" si="19"/>
        <v>10</v>
      </c>
      <c r="B53" t="str">
        <f t="shared" si="19"/>
        <v>EL</v>
      </c>
      <c r="C53" t="str">
        <f t="shared" si="19"/>
        <v>GR</v>
      </c>
      <c r="D53" s="8"/>
      <c r="E53" s="8">
        <f t="shared" si="23"/>
        <v>0.17623018957793191</v>
      </c>
      <c r="F53" s="8">
        <f t="shared" si="23"/>
        <v>0.23280098866738097</v>
      </c>
      <c r="G53" s="8">
        <f t="shared" si="23"/>
        <v>2.7727095250785538E-2</v>
      </c>
      <c r="H53" s="8">
        <f t="shared" si="23"/>
        <v>-0.17879764344555782</v>
      </c>
      <c r="I53" s="8">
        <f t="shared" si="23"/>
        <v>5.7664487646261531E-2</v>
      </c>
      <c r="J53" s="8">
        <f t="shared" si="23"/>
        <v>0.24513156981184481</v>
      </c>
      <c r="K53" s="8">
        <f t="shared" si="23"/>
        <v>-8.053612124260412E-2</v>
      </c>
      <c r="L53" s="8">
        <f t="shared" si="23"/>
        <v>-0.11615090369072101</v>
      </c>
      <c r="M53" s="8">
        <f t="shared" si="23"/>
        <v>-0.2671407962426432</v>
      </c>
      <c r="N53" s="8">
        <f t="shared" si="23"/>
        <v>9.0357929151945848E-2</v>
      </c>
      <c r="O53" s="8">
        <f t="shared" si="23"/>
        <v>0.43545138669747607</v>
      </c>
      <c r="P53" s="8">
        <f t="shared" si="23"/>
        <v>0.135665844949731</v>
      </c>
      <c r="Q53" s="8">
        <f t="shared" si="23"/>
        <v>-4.3423847087378675E-2</v>
      </c>
      <c r="R53" s="8">
        <f t="shared" si="23"/>
        <v>0.11817532058482771</v>
      </c>
      <c r="S53" s="8">
        <f t="shared" si="24"/>
        <v>0.12117706036779019</v>
      </c>
      <c r="T53" s="8">
        <f t="shared" si="25"/>
        <v>0.12972586455323487</v>
      </c>
      <c r="U53" s="8">
        <f t="shared" si="26"/>
        <v>-0.14808551717541918</v>
      </c>
      <c r="V53" s="8">
        <f t="shared" ca="1" si="26"/>
        <v>-0.13144092009966646</v>
      </c>
      <c r="W53" s="8"/>
      <c r="X53" s="8"/>
      <c r="Y53" s="8"/>
      <c r="Z53" s="8"/>
      <c r="AA53" s="14">
        <v>0</v>
      </c>
      <c r="AB53" s="8">
        <v>-0.33404757314882794</v>
      </c>
      <c r="AC53" s="8">
        <v>-0.13144092009966651</v>
      </c>
      <c r="AD53" s="8">
        <f t="shared" ca="1" si="27"/>
        <v>3.5513776248610983E-2</v>
      </c>
      <c r="AE53" s="8">
        <f t="shared" ca="1" si="29"/>
        <v>0.17052921182071645</v>
      </c>
      <c r="AF53" s="8"/>
      <c r="AG53" s="17">
        <f t="shared" si="28"/>
        <v>0.20260665304916142</v>
      </c>
    </row>
    <row r="54" spans="1:34">
      <c r="A54">
        <f t="shared" si="19"/>
        <v>14</v>
      </c>
      <c r="B54" t="str">
        <f t="shared" si="19"/>
        <v>HR</v>
      </c>
      <c r="C54" t="str">
        <f t="shared" si="19"/>
        <v>HR</v>
      </c>
      <c r="D54" s="8"/>
      <c r="E54" s="8">
        <f t="shared" si="23"/>
        <v>-6.9566907114410048E-3</v>
      </c>
      <c r="F54" s="8">
        <f t="shared" si="23"/>
        <v>0.15902401584902059</v>
      </c>
      <c r="G54" s="8">
        <f t="shared" si="23"/>
        <v>-5.0818197206236815E-2</v>
      </c>
      <c r="H54" s="8">
        <f t="shared" si="23"/>
        <v>-4.9587557560154427E-2</v>
      </c>
      <c r="I54" s="8">
        <f t="shared" si="23"/>
        <v>7.7886652670774881E-2</v>
      </c>
      <c r="J54" s="8">
        <f t="shared" si="23"/>
        <v>-3.0284029162198522E-2</v>
      </c>
      <c r="K54" s="8">
        <f t="shared" si="23"/>
        <v>-6.5021945184815411E-2</v>
      </c>
      <c r="L54" s="8">
        <f t="shared" si="23"/>
        <v>-6.4340039193312437E-2</v>
      </c>
      <c r="M54" s="8">
        <f t="shared" si="23"/>
        <v>-0.14864077397064523</v>
      </c>
      <c r="N54" s="8">
        <f t="shared" si="23"/>
        <v>4.1542520328443855E-2</v>
      </c>
      <c r="O54" s="8">
        <f t="shared" si="23"/>
        <v>7.1168797620571045E-2</v>
      </c>
      <c r="P54" s="8">
        <f t="shared" si="23"/>
        <v>0.1634631272915652</v>
      </c>
      <c r="Q54" s="8">
        <f t="shared" si="23"/>
        <v>-6.9969273169392943E-2</v>
      </c>
      <c r="R54" s="8">
        <f t="shared" si="23"/>
        <v>2.7573536998592552E-2</v>
      </c>
      <c r="S54" s="8">
        <f t="shared" si="24"/>
        <v>6.9464115461913334E-2</v>
      </c>
      <c r="T54" s="8">
        <f t="shared" si="25"/>
        <v>1.6386177680528524E-2</v>
      </c>
      <c r="U54" s="8">
        <f t="shared" si="26"/>
        <v>-3.8821202612036587E-2</v>
      </c>
      <c r="V54" s="8">
        <f t="shared" ca="1" si="26"/>
        <v>7.9146096552229483E-3</v>
      </c>
      <c r="W54" s="8"/>
      <c r="X54" s="8"/>
      <c r="Y54" s="8"/>
      <c r="Z54" s="8"/>
      <c r="AA54" s="14">
        <v>0</v>
      </c>
      <c r="AB54" s="8">
        <v>-0.1513858458032189</v>
      </c>
      <c r="AC54" s="8">
        <v>7.9146096552229865E-3</v>
      </c>
      <c r="AD54" s="8">
        <f t="shared" ca="1" si="27"/>
        <v>9.2667087192097595E-4</v>
      </c>
      <c r="AE54" s="8">
        <f t="shared" ca="1" si="29"/>
        <v>5.6626176595524713E-2</v>
      </c>
      <c r="AF54" s="8"/>
      <c r="AG54" s="17">
        <f t="shared" si="28"/>
        <v>0.15930045545844188</v>
      </c>
    </row>
    <row r="55" spans="1:34">
      <c r="A55">
        <f t="shared" si="19"/>
        <v>15</v>
      </c>
      <c r="B55" t="str">
        <f t="shared" si="19"/>
        <v>HU</v>
      </c>
      <c r="C55" t="str">
        <f t="shared" si="19"/>
        <v>HU</v>
      </c>
      <c r="D55" s="8"/>
      <c r="E55" s="8">
        <f t="shared" si="23"/>
        <v>-5.2542488289296974E-2</v>
      </c>
      <c r="F55" s="8">
        <f t="shared" si="23"/>
        <v>-7.2395534403887019E-2</v>
      </c>
      <c r="G55" s="8">
        <f t="shared" si="23"/>
        <v>-1.0048948309499206E-2</v>
      </c>
      <c r="H55" s="8">
        <f t="shared" si="23"/>
        <v>-0.13523502035303936</v>
      </c>
      <c r="I55" s="8">
        <f t="shared" si="23"/>
        <v>7.0797257061200769E-2</v>
      </c>
      <c r="J55" s="8">
        <f t="shared" si="23"/>
        <v>-5.3839903123398591E-2</v>
      </c>
      <c r="K55" s="8">
        <f t="shared" si="23"/>
        <v>-0.11420629287249839</v>
      </c>
      <c r="L55" s="8">
        <f t="shared" si="23"/>
        <v>-7.7306364601659183E-2</v>
      </c>
      <c r="M55" s="8">
        <f t="shared" si="23"/>
        <v>-0.11267575579213918</v>
      </c>
      <c r="N55" s="8">
        <f t="shared" si="23"/>
        <v>8.6141488958763057E-2</v>
      </c>
      <c r="O55" s="8">
        <f t="shared" si="23"/>
        <v>7.020522159540965E-2</v>
      </c>
      <c r="P55" s="8">
        <f t="shared" si="23"/>
        <v>5.8929391303794487E-2</v>
      </c>
      <c r="Q55" s="8">
        <f t="shared" si="23"/>
        <v>-2.4856682046926371E-2</v>
      </c>
      <c r="R55" s="8">
        <f t="shared" si="23"/>
        <v>2.3397614837801228E-2</v>
      </c>
      <c r="S55" s="8">
        <f t="shared" si="24"/>
        <v>3.0963932533507377E-2</v>
      </c>
      <c r="T55" s="8">
        <f t="shared" si="25"/>
        <v>6.6316394390693478E-2</v>
      </c>
      <c r="U55" s="8">
        <f t="shared" si="26"/>
        <v>-0.13482788848450977</v>
      </c>
      <c r="V55" s="8">
        <f t="shared" ca="1" si="26"/>
        <v>-0.10633498864072877</v>
      </c>
      <c r="W55" s="8"/>
      <c r="X55" s="8"/>
      <c r="Y55" s="8"/>
      <c r="Z55" s="8"/>
      <c r="AA55" s="14">
        <v>0</v>
      </c>
      <c r="AB55" s="8">
        <v>-0.28300194098712755</v>
      </c>
      <c r="AC55" s="8">
        <v>-0.10947057400404199</v>
      </c>
      <c r="AD55" s="8">
        <f t="shared" ca="1" si="27"/>
        <v>-7.8013257538868119E-3</v>
      </c>
      <c r="AE55" s="8">
        <f t="shared" ca="1" si="29"/>
        <v>7.8625946845747974E-2</v>
      </c>
      <c r="AF55" s="8">
        <v>-0.10633498864072877</v>
      </c>
      <c r="AG55" s="17">
        <f t="shared" si="28"/>
        <v>0.17353136698308558</v>
      </c>
    </row>
    <row r="56" spans="1:34">
      <c r="A56">
        <f t="shared" si="19"/>
        <v>16</v>
      </c>
      <c r="B56" t="str">
        <f t="shared" si="19"/>
        <v>IE</v>
      </c>
      <c r="C56" t="str">
        <f t="shared" si="19"/>
        <v>IE</v>
      </c>
      <c r="D56" s="8"/>
      <c r="E56" s="8">
        <f t="shared" si="23"/>
        <v>0.13238228608946767</v>
      </c>
      <c r="F56" s="8">
        <f t="shared" si="23"/>
        <v>7.3663653497314519E-2</v>
      </c>
      <c r="G56" s="8">
        <f t="shared" si="23"/>
        <v>6.3097299278970009E-2</v>
      </c>
      <c r="H56" s="8">
        <f t="shared" si="23"/>
        <v>-5.5075785176393888E-2</v>
      </c>
      <c r="I56" s="8">
        <f t="shared" si="23"/>
        <v>0.10136598677699515</v>
      </c>
      <c r="J56" s="8">
        <f t="shared" si="23"/>
        <v>-0.12006004491032607</v>
      </c>
      <c r="K56" s="8">
        <f t="shared" si="23"/>
        <v>-2.5607676864748519E-2</v>
      </c>
      <c r="L56" s="8">
        <f t="shared" si="23"/>
        <v>-4.4287458819799896E-2</v>
      </c>
      <c r="M56" s="8">
        <f t="shared" si="23"/>
        <v>-3.130142326623464E-2</v>
      </c>
      <c r="N56" s="8">
        <f t="shared" si="23"/>
        <v>7.1635475743851984E-3</v>
      </c>
      <c r="O56" s="8">
        <f t="shared" si="23"/>
        <v>0.12974475686791442</v>
      </c>
      <c r="P56" s="8">
        <f t="shared" si="23"/>
        <v>1.5517802061897346E-2</v>
      </c>
      <c r="Q56" s="8">
        <f t="shared" si="23"/>
        <v>4.0586471639880717E-2</v>
      </c>
      <c r="R56" s="8">
        <f t="shared" si="23"/>
        <v>1.6155621643808793E-2</v>
      </c>
      <c r="S56" s="8">
        <f t="shared" si="24"/>
        <v>-1.1925171849226368E-3</v>
      </c>
      <c r="T56" s="8">
        <f t="shared" si="25"/>
        <v>-3.9039542763198321E-2</v>
      </c>
      <c r="U56" s="8">
        <f t="shared" si="26"/>
        <v>1.8829743386342468E-2</v>
      </c>
      <c r="V56" s="8">
        <f t="shared" ca="1" si="26"/>
        <v>-7.2411038547381845E-2</v>
      </c>
      <c r="W56" s="8"/>
      <c r="X56" s="8"/>
      <c r="Y56" s="8"/>
      <c r="Z56" s="8"/>
      <c r="AA56" s="14">
        <v>0</v>
      </c>
      <c r="AB56" s="8">
        <v>-5.1498644199948443E-2</v>
      </c>
      <c r="AC56" s="8">
        <v>-7.2411054017091317E-2</v>
      </c>
      <c r="AD56" s="8">
        <f t="shared" ca="1" si="27"/>
        <v>7.0679553443822041E-3</v>
      </c>
      <c r="AE56" s="8">
        <f t="shared" ca="1" si="29"/>
        <v>-9.7651923511190564E-3</v>
      </c>
      <c r="AF56" s="8">
        <v>-7.2411038547381845E-2</v>
      </c>
      <c r="AG56" s="17">
        <f t="shared" si="28"/>
        <v>-2.0912409817142874E-2</v>
      </c>
    </row>
    <row r="57" spans="1:34">
      <c r="A57">
        <f t="shared" ref="A57:C69" si="30">A22</f>
        <v>17</v>
      </c>
      <c r="B57" t="str">
        <f t="shared" si="30"/>
        <v>IT</v>
      </c>
      <c r="C57" t="str">
        <f t="shared" si="30"/>
        <v>IT</v>
      </c>
      <c r="D57" s="8"/>
      <c r="E57" s="8">
        <f t="shared" si="23"/>
        <v>-2.0281624872844128E-2</v>
      </c>
      <c r="F57" s="8">
        <f t="shared" si="23"/>
        <v>7.5604765888261927E-3</v>
      </c>
      <c r="G57" s="8">
        <f t="shared" si="23"/>
        <v>9.0596812611098976E-4</v>
      </c>
      <c r="H57" s="8">
        <f t="shared" si="23"/>
        <v>-7.9752386725829405E-2</v>
      </c>
      <c r="I57" s="8">
        <f t="shared" si="23"/>
        <v>6.561193898919826E-2</v>
      </c>
      <c r="J57" s="8">
        <f t="shared" si="23"/>
        <v>-6.0798117881534441E-2</v>
      </c>
      <c r="K57" s="8">
        <f t="shared" si="23"/>
        <v>-3.7904098549734866E-2</v>
      </c>
      <c r="L57" s="8">
        <f t="shared" si="23"/>
        <v>-6.6372634939439568E-2</v>
      </c>
      <c r="M57" s="8">
        <f t="shared" si="23"/>
        <v>-0.11838352089710258</v>
      </c>
      <c r="N57" s="8">
        <f t="shared" si="23"/>
        <v>9.0291471139080537E-2</v>
      </c>
      <c r="O57" s="8">
        <f t="shared" si="23"/>
        <v>4.929744832351135E-2</v>
      </c>
      <c r="P57" s="8">
        <f t="shared" si="23"/>
        <v>6.036366274337257E-2</v>
      </c>
      <c r="Q57" s="8">
        <f t="shared" si="23"/>
        <v>-3.2781641745918244E-2</v>
      </c>
      <c r="R57" s="8">
        <f t="shared" si="23"/>
        <v>2.3920106101952276E-2</v>
      </c>
      <c r="S57" s="8">
        <f t="shared" si="24"/>
        <v>-4.4334122904624795E-2</v>
      </c>
      <c r="T57" s="8">
        <f t="shared" si="25"/>
        <v>7.1731649302744449E-2</v>
      </c>
      <c r="U57" s="8">
        <f t="shared" si="26"/>
        <v>-0.10058329258855114</v>
      </c>
      <c r="V57" s="8">
        <f t="shared" ca="1" si="26"/>
        <v>-0.10124968485651498</v>
      </c>
      <c r="W57" s="8"/>
      <c r="X57" s="8"/>
      <c r="Y57" s="8"/>
      <c r="Z57" s="8"/>
      <c r="AA57" s="14">
        <v>0</v>
      </c>
      <c r="AB57" s="8">
        <v>-0.20998596266052375</v>
      </c>
      <c r="AC57" s="8">
        <v>-0.10124968485651493</v>
      </c>
      <c r="AD57" s="8">
        <f t="shared" ca="1" si="27"/>
        <v>-1.6409460366879493E-2</v>
      </c>
      <c r="AE57" s="8">
        <f t="shared" ca="1" si="29"/>
        <v>3.0771593546825571E-2</v>
      </c>
      <c r="AF57" s="8"/>
      <c r="AG57" s="17">
        <f t="shared" si="28"/>
        <v>0.10873627780400881</v>
      </c>
    </row>
    <row r="58" spans="1:34">
      <c r="A58">
        <f t="shared" si="30"/>
        <v>18</v>
      </c>
      <c r="B58" t="str">
        <f t="shared" si="30"/>
        <v>LT</v>
      </c>
      <c r="C58" t="str">
        <f t="shared" si="30"/>
        <v>LT</v>
      </c>
      <c r="D58" s="8"/>
      <c r="E58" s="8">
        <f t="shared" ref="E58:R71" si="31">IFERROR(E23/D23-1,0)</f>
        <v>-3.3891325071496725E-2</v>
      </c>
      <c r="F58" s="8">
        <f t="shared" si="31"/>
        <v>-2.839415539820489E-2</v>
      </c>
      <c r="G58" s="8">
        <f t="shared" si="31"/>
        <v>-6.7623194999620773E-2</v>
      </c>
      <c r="H58" s="8">
        <f t="shared" si="31"/>
        <v>-3.7063221428944915E-2</v>
      </c>
      <c r="I58" s="8">
        <f t="shared" si="31"/>
        <v>0.21305386252125813</v>
      </c>
      <c r="J58" s="8">
        <f t="shared" si="31"/>
        <v>-0.12727021353521961</v>
      </c>
      <c r="K58" s="8">
        <f t="shared" si="31"/>
        <v>-5.7095217960655531E-2</v>
      </c>
      <c r="L58" s="8">
        <f t="shared" si="31"/>
        <v>-0.15288058481963707</v>
      </c>
      <c r="M58" s="8">
        <f t="shared" si="31"/>
        <v>-0.15032125322287693</v>
      </c>
      <c r="N58" s="8">
        <f t="shared" si="31"/>
        <v>-5.4850868141122611E-2</v>
      </c>
      <c r="O58" s="8">
        <f t="shared" si="31"/>
        <v>-0.11087302983300551</v>
      </c>
      <c r="P58" s="8">
        <f t="shared" si="31"/>
        <v>-7.479867314109867E-2</v>
      </c>
      <c r="Q58" s="8">
        <f t="shared" si="31"/>
        <v>-8.6609351866150375E-3</v>
      </c>
      <c r="R58" s="8">
        <f t="shared" si="31"/>
        <v>-1.330752295536819E-2</v>
      </c>
      <c r="S58" s="8">
        <f t="shared" ref="S58:S71" si="32">IFERROR(S23/R23-1,0)</f>
        <v>0.17717587752177466</v>
      </c>
      <c r="T58" s="8">
        <f t="shared" si="25"/>
        <v>1.9173919567827102E-2</v>
      </c>
      <c r="U58" s="8">
        <f t="shared" si="26"/>
        <v>-0.26064798966396852</v>
      </c>
      <c r="V58" s="8">
        <f t="shared" ca="1" si="26"/>
        <v>-3.5216525634644058E-2</v>
      </c>
      <c r="W58" s="8"/>
      <c r="X58" s="8"/>
      <c r="Y58" s="8"/>
      <c r="Z58" s="8"/>
      <c r="AA58" s="14">
        <v>0</v>
      </c>
      <c r="AB58" s="8">
        <v>-0.41963369507758275</v>
      </c>
      <c r="AC58" s="8">
        <v>-2.6041735068453281E-2</v>
      </c>
      <c r="AD58" s="8">
        <f t="shared" ca="1" si="27"/>
        <v>-1.7253330143269997E-2</v>
      </c>
      <c r="AE58" s="8">
        <f t="shared" ca="1" si="29"/>
        <v>0.17192865197487994</v>
      </c>
      <c r="AF58" s="8">
        <v>-3.5216525634644169E-2</v>
      </c>
      <c r="AG58" s="17">
        <f t="shared" si="28"/>
        <v>0.39359196000912944</v>
      </c>
    </row>
    <row r="59" spans="1:34">
      <c r="A59">
        <f t="shared" si="30"/>
        <v>19</v>
      </c>
      <c r="B59" t="str">
        <f t="shared" si="30"/>
        <v>LU</v>
      </c>
      <c r="C59" t="str">
        <f t="shared" si="30"/>
        <v>LU</v>
      </c>
      <c r="D59" s="8"/>
      <c r="E59" s="8">
        <f t="shared" si="31"/>
        <v>4.600721601806379E-2</v>
      </c>
      <c r="F59" s="8">
        <f t="shared" si="31"/>
        <v>-6.6591947749857994E-2</v>
      </c>
      <c r="G59" s="8">
        <f t="shared" si="31"/>
        <v>-4.8080246940454652E-2</v>
      </c>
      <c r="H59" s="8">
        <f t="shared" si="31"/>
        <v>1.7588135052143183E-2</v>
      </c>
      <c r="I59" s="8">
        <f t="shared" si="31"/>
        <v>7.5617659881434651E-2</v>
      </c>
      <c r="J59" s="8">
        <f t="shared" si="31"/>
        <v>-0.13731638401553747</v>
      </c>
      <c r="K59" s="8">
        <f t="shared" si="31"/>
        <v>1.8198621298954665E-2</v>
      </c>
      <c r="L59" s="8">
        <f t="shared" si="31"/>
        <v>-0.15332967988567747</v>
      </c>
      <c r="M59" s="8">
        <f t="shared" si="31"/>
        <v>-5.2524825739434622E-2</v>
      </c>
      <c r="N59" s="8">
        <f t="shared" si="31"/>
        <v>-8.8023521012001171E-2</v>
      </c>
      <c r="O59" s="8">
        <f t="shared" si="31"/>
        <v>-7.7814610445767762E-2</v>
      </c>
      <c r="P59" s="8">
        <f t="shared" si="31"/>
        <v>-2.2526892941554633E-2</v>
      </c>
      <c r="Q59" s="8">
        <f t="shared" si="31"/>
        <v>-1.3710191680108119E-2</v>
      </c>
      <c r="R59" s="8">
        <f t="shared" si="31"/>
        <v>6.2314318689482562E-4</v>
      </c>
      <c r="S59" s="8">
        <f t="shared" si="32"/>
        <v>-9.1787672664704889E-2</v>
      </c>
      <c r="T59" s="8">
        <f t="shared" si="25"/>
        <v>7.8120749626973129E-2</v>
      </c>
      <c r="U59" s="8">
        <f t="shared" si="26"/>
        <v>-0.21469297689022004</v>
      </c>
      <c r="V59" s="8">
        <f t="shared" ca="1" si="26"/>
        <v>-6.2579863435850536E-2</v>
      </c>
      <c r="W59" s="8"/>
      <c r="X59" s="8"/>
      <c r="Y59" s="8"/>
      <c r="Z59" s="8"/>
      <c r="AA59" s="14">
        <v>0</v>
      </c>
      <c r="AB59" s="8">
        <v>-0.33493295286719471</v>
      </c>
      <c r="AC59" s="8">
        <v>-6.2579863435850577E-2</v>
      </c>
      <c r="AD59" s="8">
        <f t="shared" ca="1" si="27"/>
        <v>-4.8289389684233019E-2</v>
      </c>
      <c r="AE59" s="8">
        <f t="shared" ca="1" si="29"/>
        <v>2.2998055136773887E-2</v>
      </c>
      <c r="AF59" s="8"/>
      <c r="AG59" s="17">
        <f t="shared" si="28"/>
        <v>0.27235308943134412</v>
      </c>
    </row>
    <row r="60" spans="1:34">
      <c r="A60">
        <f t="shared" si="30"/>
        <v>20</v>
      </c>
      <c r="B60" t="str">
        <f t="shared" si="30"/>
        <v>LV</v>
      </c>
      <c r="C60" t="str">
        <f t="shared" si="30"/>
        <v>LV</v>
      </c>
      <c r="D60" s="8"/>
      <c r="E60" s="8">
        <f t="shared" si="31"/>
        <v>3.5888058596836858E-2</v>
      </c>
      <c r="F60" s="8">
        <f t="shared" si="31"/>
        <v>-3.3452507818381827E-2</v>
      </c>
      <c r="G60" s="8">
        <f t="shared" si="31"/>
        <v>-1.947901021355336E-2</v>
      </c>
      <c r="H60" s="8">
        <f t="shared" si="31"/>
        <v>-7.9432413435622573E-2</v>
      </c>
      <c r="I60" s="8">
        <f t="shared" si="31"/>
        <v>0.19124457196219335</v>
      </c>
      <c r="J60" s="8">
        <f t="shared" si="31"/>
        <v>-0.11866375444887323</v>
      </c>
      <c r="K60" s="8">
        <f t="shared" si="31"/>
        <v>-5.996364522583586E-2</v>
      </c>
      <c r="L60" s="8">
        <f t="shared" si="31"/>
        <v>-5.3420038376559287E-3</v>
      </c>
      <c r="M60" s="8">
        <f t="shared" si="31"/>
        <v>-0.10213781848548076</v>
      </c>
      <c r="N60" s="8">
        <f t="shared" si="31"/>
        <v>1.5482017155398875E-2</v>
      </c>
      <c r="O60" s="8">
        <f t="shared" si="31"/>
        <v>1.3574438176673587E-2</v>
      </c>
      <c r="P60" s="8">
        <f t="shared" si="31"/>
        <v>-0.10809594555994884</v>
      </c>
      <c r="Q60" s="8">
        <f t="shared" si="31"/>
        <v>0.17733734157137016</v>
      </c>
      <c r="R60" s="8">
        <f t="shared" si="31"/>
        <v>-5.6215211929757758E-2</v>
      </c>
      <c r="S60" s="8">
        <f t="shared" si="32"/>
        <v>-0.17498470532254784</v>
      </c>
      <c r="T60" s="8">
        <f t="shared" si="25"/>
        <v>5.9146837167402877E-2</v>
      </c>
      <c r="U60" s="8">
        <f t="shared" si="26"/>
        <v>-0.2824409111512407</v>
      </c>
      <c r="V60" s="8">
        <f t="shared" ca="1" si="26"/>
        <v>-3.8904899135446591E-2</v>
      </c>
      <c r="W60" s="8"/>
      <c r="X60" s="8"/>
      <c r="Y60" s="8"/>
      <c r="Z60" s="8"/>
      <c r="AA60" s="14">
        <v>0</v>
      </c>
      <c r="AB60" s="8">
        <v>-0.47635785634206301</v>
      </c>
      <c r="AC60" s="8">
        <v>-5.3444182190677966E-2</v>
      </c>
      <c r="AD60" s="8">
        <f t="shared" ca="1" si="27"/>
        <v>-5.5431329932954652E-2</v>
      </c>
      <c r="AE60" s="8">
        <f t="shared" ca="1" si="29"/>
        <v>-7.5466827021752003E-2</v>
      </c>
      <c r="AF60" s="8">
        <v>-3.8904899135446702E-2</v>
      </c>
      <c r="AG60" s="17">
        <f t="shared" si="28"/>
        <v>0.42291367415138503</v>
      </c>
    </row>
    <row r="61" spans="1:34">
      <c r="A61">
        <f t="shared" si="30"/>
        <v>21</v>
      </c>
      <c r="B61" t="str">
        <f t="shared" si="30"/>
        <v>MT</v>
      </c>
      <c r="C61" t="str">
        <f t="shared" si="30"/>
        <v>MT</v>
      </c>
      <c r="D61" s="8"/>
      <c r="E61" s="8">
        <f t="shared" si="31"/>
        <v>0</v>
      </c>
      <c r="F61" s="8">
        <f t="shared" si="31"/>
        <v>0</v>
      </c>
      <c r="G61" s="8">
        <f t="shared" si="31"/>
        <v>0</v>
      </c>
      <c r="H61" s="8">
        <f t="shared" si="31"/>
        <v>0</v>
      </c>
      <c r="I61" s="8">
        <f t="shared" si="31"/>
        <v>0</v>
      </c>
      <c r="J61" s="8">
        <f t="shared" si="31"/>
        <v>0</v>
      </c>
      <c r="K61" s="8">
        <f t="shared" si="31"/>
        <v>0</v>
      </c>
      <c r="L61" s="8">
        <f t="shared" si="31"/>
        <v>0</v>
      </c>
      <c r="M61" s="8">
        <f t="shared" si="31"/>
        <v>0</v>
      </c>
      <c r="N61" s="8">
        <f t="shared" si="31"/>
        <v>0</v>
      </c>
      <c r="O61" s="8">
        <f t="shared" si="31"/>
        <v>0</v>
      </c>
      <c r="P61" s="8">
        <f t="shared" si="31"/>
        <v>0</v>
      </c>
      <c r="Q61" s="8">
        <f t="shared" si="31"/>
        <v>0.21183099523831195</v>
      </c>
      <c r="R61" s="8">
        <f t="shared" si="31"/>
        <v>4.5332422975164377E-2</v>
      </c>
      <c r="S61" s="8">
        <f t="shared" si="32"/>
        <v>3.9316925970921401E-2</v>
      </c>
      <c r="T61" s="8">
        <f t="shared" si="25"/>
        <v>2.7463290630116433E-3</v>
      </c>
      <c r="U61" s="8">
        <f t="shared" si="26"/>
        <v>1.1516152382981648E-2</v>
      </c>
      <c r="V61" s="8">
        <f t="shared" ca="1" si="26"/>
        <v>5.5906274604524686E-2</v>
      </c>
      <c r="W61" s="8"/>
      <c r="X61" s="8"/>
      <c r="Y61" s="8"/>
      <c r="Z61" s="8"/>
      <c r="AA61" s="14">
        <v>0</v>
      </c>
      <c r="AB61" s="8">
        <v>5.5906274604524631E-2</v>
      </c>
      <c r="AC61" s="8" t="e">
        <v>#N/A</v>
      </c>
      <c r="AD61" s="8">
        <f t="shared" ca="1" si="27"/>
        <v>6.2148565126078206E-2</v>
      </c>
      <c r="AE61" s="8">
        <f t="shared" ca="1" si="29"/>
        <v>3.363868993035557E-2</v>
      </c>
      <c r="AF61" s="8"/>
      <c r="AG61" s="17" t="e">
        <f t="shared" si="28"/>
        <v>#N/A</v>
      </c>
      <c r="AH61" s="8"/>
    </row>
    <row r="62" spans="1:34">
      <c r="A62">
        <f t="shared" si="30"/>
        <v>22</v>
      </c>
      <c r="B62" t="str">
        <f t="shared" si="30"/>
        <v>NL</v>
      </c>
      <c r="C62" t="str">
        <f t="shared" si="30"/>
        <v>NL</v>
      </c>
      <c r="D62" s="8"/>
      <c r="E62" s="8">
        <f t="shared" si="31"/>
        <v>-2.6634401382573336E-2</v>
      </c>
      <c r="F62" s="8">
        <f t="shared" si="31"/>
        <v>-3.3950765033299302E-2</v>
      </c>
      <c r="G62" s="8">
        <f t="shared" si="31"/>
        <v>5.0490807776906399E-2</v>
      </c>
      <c r="H62" s="8">
        <f t="shared" si="31"/>
        <v>1.1268493091895149E-2</v>
      </c>
      <c r="I62" s="8">
        <f t="shared" si="31"/>
        <v>0.11822435251854202</v>
      </c>
      <c r="J62" s="8">
        <f t="shared" si="31"/>
        <v>-0.13286088850919331</v>
      </c>
      <c r="K62" s="8">
        <f t="shared" si="31"/>
        <v>-5.0368534760012018E-2</v>
      </c>
      <c r="L62" s="8">
        <f t="shared" si="31"/>
        <v>1.2733522032161826E-2</v>
      </c>
      <c r="M62" s="8">
        <f t="shared" si="31"/>
        <v>-0.14473364099971009</v>
      </c>
      <c r="N62" s="8">
        <f t="shared" si="31"/>
        <v>-3.5316712788460158E-3</v>
      </c>
      <c r="O62" s="8">
        <f t="shared" si="31"/>
        <v>5.7107000928561691E-2</v>
      </c>
      <c r="P62" s="8">
        <f t="shared" si="31"/>
        <v>2.5893097189332304E-2</v>
      </c>
      <c r="Q62" s="8">
        <f t="shared" si="31"/>
        <v>-4.2753830498916123E-3</v>
      </c>
      <c r="R62" s="8">
        <f t="shared" si="31"/>
        <v>3.7535804390312233E-2</v>
      </c>
      <c r="S62" s="8">
        <f t="shared" si="32"/>
        <v>-1.5314392920577347E-2</v>
      </c>
      <c r="T62" s="8">
        <f t="shared" si="25"/>
        <v>-5.0648883146003021E-2</v>
      </c>
      <c r="U62" s="8">
        <f t="shared" si="26"/>
        <v>-0.20972570507465238</v>
      </c>
      <c r="V62" s="8">
        <f t="shared" ca="1" si="26"/>
        <v>-6.4057286359765708E-2</v>
      </c>
      <c r="W62" s="8"/>
      <c r="X62" s="8"/>
      <c r="Y62" s="8"/>
      <c r="Z62" s="8"/>
      <c r="AA62" s="14">
        <v>0</v>
      </c>
      <c r="AB62" s="8">
        <v>-0.33075112664296097</v>
      </c>
      <c r="AC62" s="8">
        <v>-6.4057286359765861E-2</v>
      </c>
      <c r="AD62" s="8">
        <f t="shared" ca="1" si="27"/>
        <v>-4.8485711960162423E-2</v>
      </c>
      <c r="AE62" s="8">
        <f t="shared" ca="1" si="29"/>
        <v>4.2047328923859428E-2</v>
      </c>
      <c r="AF62" s="8"/>
      <c r="AG62" s="17">
        <f t="shared" si="28"/>
        <v>0.26669384028319509</v>
      </c>
    </row>
    <row r="63" spans="1:34">
      <c r="A63">
        <f t="shared" si="30"/>
        <v>23</v>
      </c>
      <c r="B63" t="str">
        <f t="shared" si="30"/>
        <v>PL</v>
      </c>
      <c r="C63" t="str">
        <f t="shared" si="30"/>
        <v>PL</v>
      </c>
      <c r="D63" s="8"/>
      <c r="E63" s="8">
        <f t="shared" si="31"/>
        <v>4.1283057677735657E-2</v>
      </c>
      <c r="F63" s="8">
        <f t="shared" si="31"/>
        <v>-6.6657480353445875E-3</v>
      </c>
      <c r="G63" s="8">
        <f t="shared" si="31"/>
        <v>1.6558323308666356E-3</v>
      </c>
      <c r="H63" s="8">
        <f t="shared" si="31"/>
        <v>-9.1991024030952939E-3</v>
      </c>
      <c r="I63" s="8">
        <f t="shared" si="31"/>
        <v>6.2457976663342407E-2</v>
      </c>
      <c r="J63" s="8">
        <f t="shared" si="31"/>
        <v>-1.1312006244473705E-2</v>
      </c>
      <c r="K63" s="8">
        <f t="shared" si="31"/>
        <v>5.9599409652508317E-2</v>
      </c>
      <c r="L63" s="8">
        <f t="shared" si="31"/>
        <v>1.04682589590539E-2</v>
      </c>
      <c r="M63" s="8">
        <f t="shared" si="31"/>
        <v>-3.8390680418370016E-2</v>
      </c>
      <c r="N63" s="8">
        <f t="shared" si="31"/>
        <v>2.7597927111794762E-2</v>
      </c>
      <c r="O63" s="8">
        <f t="shared" si="31"/>
        <v>7.4535854394412793E-2</v>
      </c>
      <c r="P63" s="8">
        <f t="shared" si="31"/>
        <v>5.9111469680995565E-2</v>
      </c>
      <c r="Q63" s="8">
        <f t="shared" si="31"/>
        <v>6.4776290873125975E-2</v>
      </c>
      <c r="R63" s="8">
        <f t="shared" si="31"/>
        <v>1.6436566627912041E-2</v>
      </c>
      <c r="S63" s="8">
        <f t="shared" si="32"/>
        <v>7.1863484621458307E-2</v>
      </c>
      <c r="T63" s="8">
        <f t="shared" si="25"/>
        <v>5.7492404779010631E-2</v>
      </c>
      <c r="U63" s="8">
        <f t="shared" si="26"/>
        <v>-0.17998337527613384</v>
      </c>
      <c r="V63" s="8">
        <f t="shared" ca="1" si="26"/>
        <v>5.2571517971356174E-2</v>
      </c>
      <c r="W63" s="8"/>
      <c r="X63" s="8"/>
      <c r="Y63" s="8"/>
      <c r="Z63" s="8"/>
      <c r="AA63" s="14">
        <v>0</v>
      </c>
      <c r="AB63" s="8">
        <v>-0.16108690533077136</v>
      </c>
      <c r="AC63" s="8">
        <v>5.257151797135607E-2</v>
      </c>
      <c r="AD63" s="8">
        <f t="shared" ca="1" si="27"/>
        <v>6.1170743250746227E-3</v>
      </c>
      <c r="AE63" s="8">
        <f t="shared" ca="1" si="29"/>
        <v>0.1094043877515849</v>
      </c>
      <c r="AF63" s="8"/>
      <c r="AG63" s="17">
        <f t="shared" si="28"/>
        <v>0.21365842330212742</v>
      </c>
    </row>
    <row r="64" spans="1:34">
      <c r="A64">
        <f t="shared" si="30"/>
        <v>24</v>
      </c>
      <c r="B64" t="str">
        <f t="shared" si="30"/>
        <v>PT</v>
      </c>
      <c r="C64" t="str">
        <f t="shared" si="30"/>
        <v>PT</v>
      </c>
      <c r="D64" s="8"/>
      <c r="E64" s="8">
        <f t="shared" si="31"/>
        <v>-2.9619099215930533E-2</v>
      </c>
      <c r="F64" s="8">
        <f t="shared" si="31"/>
        <v>4.6369432211706973E-2</v>
      </c>
      <c r="G64" s="8">
        <f t="shared" si="31"/>
        <v>8.6693176751579726E-2</v>
      </c>
      <c r="H64" s="8">
        <f t="shared" si="31"/>
        <v>1.9015730498890715E-2</v>
      </c>
      <c r="I64" s="8">
        <f t="shared" si="31"/>
        <v>6.4332220909613769E-2</v>
      </c>
      <c r="J64" s="8">
        <f t="shared" si="31"/>
        <v>-5.5410234239742229E-3</v>
      </c>
      <c r="K64" s="8">
        <f t="shared" si="31"/>
        <v>-0.11896519664400207</v>
      </c>
      <c r="L64" s="8">
        <f t="shared" si="31"/>
        <v>-4.4947771606336784E-2</v>
      </c>
      <c r="M64" s="8">
        <f t="shared" si="31"/>
        <v>-7.5221759657155163E-2</v>
      </c>
      <c r="N64" s="8">
        <f t="shared" si="31"/>
        <v>0.16627688870526836</v>
      </c>
      <c r="O64" s="8">
        <f t="shared" si="31"/>
        <v>6.7136243415631514E-2</v>
      </c>
      <c r="P64" s="8">
        <f t="shared" si="31"/>
        <v>0.25273945873120995</v>
      </c>
      <c r="Q64" s="8">
        <f t="shared" si="31"/>
        <v>-6.8679372662682425E-2</v>
      </c>
      <c r="R64" s="8">
        <f t="shared" si="31"/>
        <v>5.139279107439898E-2</v>
      </c>
      <c r="S64" s="8">
        <f t="shared" si="32"/>
        <v>-2.9182479461282496E-2</v>
      </c>
      <c r="T64" s="8">
        <f t="shared" si="25"/>
        <v>-4.4931518983481356E-2</v>
      </c>
      <c r="U64" s="8">
        <f t="shared" si="26"/>
        <v>-3.0100766400650514E-2</v>
      </c>
      <c r="V64" s="8">
        <f t="shared" ca="1" si="26"/>
        <v>-0.19832034305907276</v>
      </c>
      <c r="W64" s="8"/>
      <c r="X64" s="8"/>
      <c r="Y64" s="8"/>
      <c r="Z64" s="8"/>
      <c r="AA64" s="14">
        <v>0</v>
      </c>
      <c r="AB64" s="8">
        <v>-0.23993418076074902</v>
      </c>
      <c r="AC64" s="8">
        <v>-0.19832034305907281</v>
      </c>
      <c r="AD64" s="8">
        <f t="shared" ca="1" si="27"/>
        <v>-2.4300269286739562E-2</v>
      </c>
      <c r="AE64" s="8">
        <f t="shared" ca="1" si="29"/>
        <v>-2.828005976563519E-3</v>
      </c>
      <c r="AF64" s="8"/>
      <c r="AG64" s="17">
        <f t="shared" si="28"/>
        <v>4.1613837701676204E-2</v>
      </c>
    </row>
    <row r="65" spans="1:33">
      <c r="A65">
        <f t="shared" si="30"/>
        <v>25</v>
      </c>
      <c r="B65" t="str">
        <f t="shared" si="30"/>
        <v>RO</v>
      </c>
      <c r="C65" t="str">
        <f t="shared" si="30"/>
        <v>RO</v>
      </c>
      <c r="D65" s="8"/>
      <c r="E65" s="8">
        <f t="shared" si="31"/>
        <v>4.8441198594089796E-2</v>
      </c>
      <c r="F65" s="8">
        <f t="shared" si="31"/>
        <v>-0.11567834379279684</v>
      </c>
      <c r="G65" s="8">
        <f t="shared" si="31"/>
        <v>-5.8693443464342576E-2</v>
      </c>
      <c r="H65" s="8">
        <f t="shared" si="31"/>
        <v>-0.12494966564434584</v>
      </c>
      <c r="I65" s="8">
        <f t="shared" si="31"/>
        <v>2.1630389293816332E-2</v>
      </c>
      <c r="J65" s="8">
        <f t="shared" si="31"/>
        <v>1.6247609831550269E-2</v>
      </c>
      <c r="K65" s="8">
        <f t="shared" si="31"/>
        <v>-3.2507251789085423E-2</v>
      </c>
      <c r="L65" s="8">
        <f t="shared" si="31"/>
        <v>-8.0219804856186405E-2</v>
      </c>
      <c r="M65" s="8">
        <f t="shared" si="31"/>
        <v>-5.9669297268275634E-2</v>
      </c>
      <c r="N65" s="8">
        <f t="shared" si="31"/>
        <v>6.7746831404691399E-3</v>
      </c>
      <c r="O65" s="8">
        <f t="shared" si="31"/>
        <v>1.9176641090821844E-2</v>
      </c>
      <c r="P65" s="8">
        <f t="shared" si="31"/>
        <v>6.9682135518919441E-2</v>
      </c>
      <c r="Q65" s="8">
        <f t="shared" si="31"/>
        <v>2.2684984323271928E-2</v>
      </c>
      <c r="R65" s="8">
        <f t="shared" si="31"/>
        <v>-7.237070200505713E-2</v>
      </c>
      <c r="S65" s="8">
        <f t="shared" si="32"/>
        <v>3.9293576451136625E-2</v>
      </c>
      <c r="T65" s="8">
        <f t="shared" si="25"/>
        <v>3.4852947042032678E-2</v>
      </c>
      <c r="U65" s="8">
        <f t="shared" si="26"/>
        <v>-0.12846834084266257</v>
      </c>
      <c r="V65" s="8">
        <f t="shared" ca="1" si="26"/>
        <v>-6.439390161495584E-2</v>
      </c>
      <c r="W65" s="8"/>
      <c r="X65" s="8"/>
      <c r="Y65" s="8"/>
      <c r="Z65" s="8"/>
      <c r="AA65" s="14">
        <v>0</v>
      </c>
      <c r="AB65" s="8">
        <v>-0.24861003016476338</v>
      </c>
      <c r="AC65" s="8">
        <v>-6.4393901614955881E-2</v>
      </c>
      <c r="AD65" s="8">
        <f t="shared" ca="1" si="27"/>
        <v>-2.0801507006255694E-2</v>
      </c>
      <c r="AE65" s="8">
        <f t="shared" ca="1" si="29"/>
        <v>2.8741501626309507E-2</v>
      </c>
      <c r="AF65" s="8"/>
      <c r="AG65" s="17">
        <f t="shared" si="28"/>
        <v>0.18421612854980751</v>
      </c>
    </row>
    <row r="66" spans="1:33">
      <c r="A66">
        <f t="shared" si="30"/>
        <v>26</v>
      </c>
      <c r="B66" t="str">
        <f t="shared" si="30"/>
        <v>SE</v>
      </c>
      <c r="C66" t="str">
        <f t="shared" si="30"/>
        <v>SE</v>
      </c>
      <c r="D66" s="8"/>
      <c r="E66" s="8">
        <f t="shared" si="31"/>
        <v>4.6556780164889178E-2</v>
      </c>
      <c r="F66" s="8">
        <f t="shared" si="31"/>
        <v>3.2517743806535604E-2</v>
      </c>
      <c r="G66" s="8">
        <f t="shared" si="31"/>
        <v>-9.2261345827114538E-2</v>
      </c>
      <c r="H66" s="8">
        <f t="shared" si="31"/>
        <v>0.19126198086932544</v>
      </c>
      <c r="I66" s="8">
        <f t="shared" si="31"/>
        <v>0.37987972890761723</v>
      </c>
      <c r="J66" s="8">
        <f t="shared" si="31"/>
        <v>-0.21837319912088693</v>
      </c>
      <c r="K66" s="8">
        <f t="shared" si="31"/>
        <v>-0.14234178413128284</v>
      </c>
      <c r="L66" s="8">
        <f t="shared" si="31"/>
        <v>-5.4236372559676171E-2</v>
      </c>
      <c r="M66" s="8">
        <f t="shared" si="31"/>
        <v>-0.18379415667413135</v>
      </c>
      <c r="N66" s="8">
        <f t="shared" si="31"/>
        <v>-0.11009794132623296</v>
      </c>
      <c r="O66" s="8">
        <f t="shared" si="31"/>
        <v>0.15510007719761454</v>
      </c>
      <c r="P66" s="8">
        <f t="shared" si="31"/>
        <v>-6.8179679760013712E-2</v>
      </c>
      <c r="Q66" s="8">
        <f t="shared" si="31"/>
        <v>-2.6753920948452192E-2</v>
      </c>
      <c r="R66" s="8">
        <f t="shared" si="31"/>
        <v>-7.8644588101926094E-2</v>
      </c>
      <c r="S66" s="8">
        <f t="shared" si="32"/>
        <v>0.45437940490700024</v>
      </c>
      <c r="T66" s="8">
        <f t="shared" si="25"/>
        <v>-0.26175535918220028</v>
      </c>
      <c r="U66" s="8">
        <f t="shared" si="26"/>
        <v>-0.28582290975831703</v>
      </c>
      <c r="V66" s="8">
        <f t="shared" ca="1" si="26"/>
        <v>-0.10449920407744206</v>
      </c>
      <c r="W66" s="8"/>
      <c r="X66" s="8"/>
      <c r="Y66" s="8"/>
      <c r="Z66" s="8"/>
      <c r="AA66" s="14">
        <v>0</v>
      </c>
      <c r="AB66" s="8">
        <v>-0.64216284916613375</v>
      </c>
      <c r="AC66" s="8">
        <v>-0.10449920407744205</v>
      </c>
      <c r="AD66" s="8">
        <f t="shared" ca="1" si="27"/>
        <v>-3.971947461677907E-2</v>
      </c>
      <c r="AE66" s="8">
        <f t="shared" ca="1" si="29"/>
        <v>0.18285804371443337</v>
      </c>
      <c r="AF66" s="8"/>
      <c r="AG66" s="17">
        <f t="shared" si="28"/>
        <v>0.53766364508869169</v>
      </c>
    </row>
    <row r="67" spans="1:33">
      <c r="A67">
        <f t="shared" si="30"/>
        <v>27</v>
      </c>
      <c r="B67" t="str">
        <f t="shared" si="30"/>
        <v>SI</v>
      </c>
      <c r="C67" t="str">
        <f t="shared" si="30"/>
        <v>SI</v>
      </c>
      <c r="D67" s="8"/>
      <c r="E67" s="8">
        <f t="shared" si="31"/>
        <v>-2.0540325042203156E-2</v>
      </c>
      <c r="F67" s="8">
        <f t="shared" si="31"/>
        <v>-3.4178010577757822E-3</v>
      </c>
      <c r="G67" s="8">
        <f t="shared" si="31"/>
        <v>-1.2074165497752976E-3</v>
      </c>
      <c r="H67" s="8">
        <f t="shared" si="31"/>
        <v>-5.296053262112721E-2</v>
      </c>
      <c r="I67" s="8">
        <f t="shared" si="31"/>
        <v>5.7720877451251651E-2</v>
      </c>
      <c r="J67" s="8">
        <f t="shared" si="31"/>
        <v>-6.540431036462302E-2</v>
      </c>
      <c r="K67" s="8">
        <f t="shared" si="31"/>
        <v>-3.6647106437403987E-2</v>
      </c>
      <c r="L67" s="8">
        <f t="shared" si="31"/>
        <v>-2.5797685052021846E-2</v>
      </c>
      <c r="M67" s="8">
        <f t="shared" si="31"/>
        <v>-9.6014276696812173E-2</v>
      </c>
      <c r="N67" s="8">
        <f t="shared" si="31"/>
        <v>6.0731506792011336E-2</v>
      </c>
      <c r="O67" s="8">
        <f t="shared" si="31"/>
        <v>6.1135834827373836E-2</v>
      </c>
      <c r="P67" s="8">
        <f t="shared" si="31"/>
        <v>4.8083740237166772E-2</v>
      </c>
      <c r="Q67" s="8">
        <f t="shared" si="31"/>
        <v>-1.9371794154911526E-2</v>
      </c>
      <c r="R67" s="8">
        <f t="shared" si="31"/>
        <v>1.5212224297557642E-2</v>
      </c>
      <c r="S67" s="8">
        <f t="shared" si="32"/>
        <v>3.6851081901190241E-4</v>
      </c>
      <c r="T67" s="8">
        <f t="shared" si="25"/>
        <v>5.3566391047253248E-2</v>
      </c>
      <c r="U67" s="8">
        <f t="shared" si="26"/>
        <v>-0.11837785143302793</v>
      </c>
      <c r="V67" s="8">
        <f t="shared" ca="1" si="26"/>
        <v>-3.531133172869394E-2</v>
      </c>
      <c r="W67" s="8"/>
      <c r="X67" s="8"/>
      <c r="Y67" s="8"/>
      <c r="Z67" s="8"/>
      <c r="AA67" s="14">
        <v>0</v>
      </c>
      <c r="AB67" s="8">
        <v>-0.1515795812863098</v>
      </c>
      <c r="AC67" s="8">
        <v>-3.5013911382769096E-2</v>
      </c>
      <c r="AD67" s="8">
        <f t="shared" ca="1" si="27"/>
        <v>-1.3720503884823331E-2</v>
      </c>
      <c r="AE67" s="8">
        <f t="shared" ca="1" si="29"/>
        <v>5.080424487966595E-2</v>
      </c>
      <c r="AF67" s="8">
        <v>-3.531133172869394E-2</v>
      </c>
      <c r="AG67" s="17">
        <f t="shared" si="28"/>
        <v>0.1165656699035407</v>
      </c>
    </row>
    <row r="68" spans="1:33">
      <c r="A68">
        <f t="shared" si="30"/>
        <v>28</v>
      </c>
      <c r="B68" t="str">
        <f t="shared" si="30"/>
        <v>SK</v>
      </c>
      <c r="C68" t="str">
        <f t="shared" si="30"/>
        <v>SK</v>
      </c>
      <c r="D68" s="8"/>
      <c r="E68" s="8">
        <f t="shared" si="31"/>
        <v>-8.0261321174235567E-2</v>
      </c>
      <c r="F68" s="8">
        <f t="shared" si="31"/>
        <v>-5.8270239934537393E-2</v>
      </c>
      <c r="G68" s="8">
        <f t="shared" si="31"/>
        <v>2.3634611600853672E-2</v>
      </c>
      <c r="H68" s="8">
        <f t="shared" si="31"/>
        <v>-0.14649256883400708</v>
      </c>
      <c r="I68" s="8">
        <f t="shared" si="31"/>
        <v>0.15276262268415475</v>
      </c>
      <c r="J68" s="8">
        <f t="shared" si="31"/>
        <v>-0.11304529488576676</v>
      </c>
      <c r="K68" s="8">
        <f t="shared" si="31"/>
        <v>-4.9044870764187953E-2</v>
      </c>
      <c r="L68" s="8">
        <f t="shared" si="31"/>
        <v>3.0139097250906577E-2</v>
      </c>
      <c r="M68" s="8">
        <f t="shared" si="31"/>
        <v>-0.16365961353554237</v>
      </c>
      <c r="N68" s="8">
        <f t="shared" si="31"/>
        <v>2.3377926795642434E-3</v>
      </c>
      <c r="O68" s="8">
        <f t="shared" si="31"/>
        <v>1.7019671176678131E-2</v>
      </c>
      <c r="P68" s="8">
        <f t="shared" si="31"/>
        <v>5.5860420017759926E-2</v>
      </c>
      <c r="Q68" s="8">
        <f t="shared" si="31"/>
        <v>-3.3455385089462331E-2</v>
      </c>
      <c r="R68" s="8">
        <f t="shared" si="31"/>
        <v>2.6913251270233252E-2</v>
      </c>
      <c r="S68" s="8">
        <f t="shared" si="32"/>
        <v>-6.319333400295557E-3</v>
      </c>
      <c r="T68" s="8">
        <f t="shared" si="25"/>
        <v>0.12022765626908805</v>
      </c>
      <c r="U68" s="8">
        <f t="shared" si="26"/>
        <v>-0.16363917986914689</v>
      </c>
      <c r="V68" s="8">
        <f t="shared" ca="1" si="26"/>
        <v>-4.803239980281393E-2</v>
      </c>
      <c r="W68" s="8"/>
      <c r="X68" s="8"/>
      <c r="Y68" s="8"/>
      <c r="Z68" s="8"/>
      <c r="AA68" s="14">
        <v>0</v>
      </c>
      <c r="AB68" s="8">
        <v>-0.27604903880969145</v>
      </c>
      <c r="AC68" s="8">
        <v>-4.8032399802813909E-2</v>
      </c>
      <c r="AD68" s="8">
        <f t="shared" ca="1" si="27"/>
        <v>-1.1254598163916696E-2</v>
      </c>
      <c r="AE68" s="8">
        <f t="shared" ca="1" si="29"/>
        <v>8.5494454140284448E-2</v>
      </c>
      <c r="AF68" s="8"/>
      <c r="AG68" s="17">
        <f t="shared" si="28"/>
        <v>0.22801663900687755</v>
      </c>
    </row>
    <row r="69" spans="1:33">
      <c r="A69">
        <f t="shared" si="30"/>
        <v>29</v>
      </c>
      <c r="B69" t="str">
        <f t="shared" si="30"/>
        <v>UK</v>
      </c>
      <c r="C69" t="str">
        <f t="shared" si="30"/>
        <v>UK</v>
      </c>
      <c r="D69" s="8"/>
      <c r="E69" s="8">
        <f t="shared" si="31"/>
        <v>-5.1972928077653302E-2</v>
      </c>
      <c r="F69" s="8">
        <f t="shared" si="31"/>
        <v>8.9786800677156275E-3</v>
      </c>
      <c r="G69" s="8">
        <f t="shared" si="31"/>
        <v>3.8091564078785778E-2</v>
      </c>
      <c r="H69" s="8">
        <f t="shared" si="31"/>
        <v>-7.9458370633612496E-2</v>
      </c>
      <c r="I69" s="8">
        <f t="shared" si="31"/>
        <v>8.5377798203507549E-2</v>
      </c>
      <c r="J69" s="8">
        <f t="shared" si="31"/>
        <v>-0.16995455846978924</v>
      </c>
      <c r="K69" s="8">
        <f t="shared" si="31"/>
        <v>-5.6437109810774544E-2</v>
      </c>
      <c r="L69" s="8">
        <f t="shared" si="31"/>
        <v>-8.9197284044340019E-3</v>
      </c>
      <c r="M69" s="8">
        <f t="shared" si="31"/>
        <v>-8.9226678068547227E-2</v>
      </c>
      <c r="N69" s="8">
        <f t="shared" si="31"/>
        <v>2.2164025150436251E-2</v>
      </c>
      <c r="O69" s="8">
        <f t="shared" si="31"/>
        <v>0.12691947003949688</v>
      </c>
      <c r="P69" s="8">
        <f t="shared" si="31"/>
        <v>-2.4304078857386502E-2</v>
      </c>
      <c r="Q69" s="8">
        <f t="shared" si="31"/>
        <v>1.2119897878031916E-2</v>
      </c>
      <c r="R69" s="8">
        <f t="shared" si="31"/>
        <v>-1.8195468870056741E-2</v>
      </c>
      <c r="S69" s="8">
        <f t="shared" si="32"/>
        <v>-1</v>
      </c>
      <c r="T69" s="8">
        <f t="shared" si="25"/>
        <v>0</v>
      </c>
      <c r="U69" s="8">
        <f t="shared" si="26"/>
        <v>0</v>
      </c>
      <c r="V69" s="8">
        <f t="shared" ca="1" si="26"/>
        <v>0</v>
      </c>
      <c r="W69" s="8"/>
      <c r="X69" s="8"/>
      <c r="Y69" s="8"/>
      <c r="Z69" s="8"/>
      <c r="AA69" s="14">
        <v>0</v>
      </c>
      <c r="AB69" s="8">
        <v>0</v>
      </c>
      <c r="AC69" s="8">
        <v>0</v>
      </c>
      <c r="AD69" s="8">
        <f t="shared" ca="1" si="27"/>
        <v>-0.20121511419840496</v>
      </c>
      <c r="AE69" s="8" t="e">
        <f t="shared" ca="1" si="29"/>
        <v>#DIV/0!</v>
      </c>
      <c r="AF69" s="8"/>
      <c r="AG69" s="17">
        <f t="shared" si="28"/>
        <v>0</v>
      </c>
    </row>
    <row r="70" spans="1:33">
      <c r="B70" s="40" t="s">
        <v>189</v>
      </c>
      <c r="C70" s="40" t="s">
        <v>189</v>
      </c>
      <c r="D70" s="41"/>
      <c r="E70" s="49">
        <f t="shared" si="31"/>
        <v>-7.7049446089598739E-3</v>
      </c>
      <c r="F70" s="49">
        <f t="shared" ref="F70:F71" si="33">IFERROR(F35/E35-1,0)</f>
        <v>-1.5810937599713193E-2</v>
      </c>
      <c r="G70" s="49">
        <f t="shared" ref="G70:G71" si="34">IFERROR(G35/F35-1,0)</f>
        <v>2.332777091171967E-2</v>
      </c>
      <c r="H70" s="49">
        <f t="shared" ref="H70:H71" si="35">IFERROR(H35/G35-1,0)</f>
        <v>-6.2693420218903451E-2</v>
      </c>
      <c r="I70" s="49">
        <f t="shared" ref="I70:I71" si="36">IFERROR(I35/H35-1,0)</f>
        <v>7.4750194247099611E-2</v>
      </c>
      <c r="J70" s="49">
        <f t="shared" ref="J70:J71" si="37">IFERROR(J35/I35-1,0)</f>
        <v>-0.10229060517621991</v>
      </c>
      <c r="K70" s="49">
        <f t="shared" ref="K70:K71" si="38">IFERROR(K35/J35-1,0)</f>
        <v>-2.4824964152590168E-2</v>
      </c>
      <c r="L70" s="49">
        <f t="shared" ref="L70:L71" si="39">IFERROR(L35/K35-1,0)</f>
        <v>-1.6716604635648946E-2</v>
      </c>
      <c r="M70" s="49">
        <f t="shared" ref="M70:M71" si="40">IFERROR(M35/L35-1,0)</f>
        <v>-0.11878859907203287</v>
      </c>
      <c r="N70" s="49">
        <f t="shared" ref="N70:N71" si="41">IFERROR(N35/M35-1,0)</f>
        <v>4.4068133025497946E-2</v>
      </c>
      <c r="O70" s="49">
        <f t="shared" ref="O70:O71" si="42">IFERROR(O35/N35-1,0)</f>
        <v>7.3282136152075461E-2</v>
      </c>
      <c r="P70" s="49">
        <f t="shared" ref="P70:P71" si="43">IFERROR(P35/O35-1,0)</f>
        <v>3.9724247532396895E-2</v>
      </c>
      <c r="Q70" s="49">
        <f t="shared" ref="Q70:R71" si="44">IFERROR(Q35/P35-1,0)</f>
        <v>-1.3245152261928017E-2</v>
      </c>
      <c r="R70" s="49">
        <f t="shared" si="44"/>
        <v>2.2249846474326818E-2</v>
      </c>
      <c r="S70" s="49">
        <f t="shared" si="32"/>
        <v>-0.1917343269243964</v>
      </c>
      <c r="T70" s="49">
        <f t="shared" si="25"/>
        <v>4.0038016892789852E-2</v>
      </c>
      <c r="U70" s="49">
        <f t="shared" si="26"/>
        <v>-0.12618258097213109</v>
      </c>
      <c r="V70" s="49">
        <f t="shared" ca="1" si="26"/>
        <v>-7.2375646435096419E-2</v>
      </c>
      <c r="AA70" s="11"/>
    </row>
    <row r="71" spans="1:33">
      <c r="B71" s="40" t="s">
        <v>190</v>
      </c>
      <c r="C71" s="40" t="s">
        <v>190</v>
      </c>
      <c r="D71" s="41"/>
      <c r="E71" s="49">
        <f t="shared" si="31"/>
        <v>3.1642606397370709E-3</v>
      </c>
      <c r="F71" s="49">
        <f t="shared" si="33"/>
        <v>-2.1563039450107513E-2</v>
      </c>
      <c r="G71" s="49">
        <f t="shared" si="34"/>
        <v>1.9795094725500562E-2</v>
      </c>
      <c r="H71" s="49">
        <f t="shared" si="35"/>
        <v>-5.8609935874851082E-2</v>
      </c>
      <c r="I71" s="49">
        <f t="shared" si="36"/>
        <v>7.2218928126523085E-2</v>
      </c>
      <c r="J71" s="49">
        <f t="shared" si="37"/>
        <v>-8.5976724680397743E-2</v>
      </c>
      <c r="K71" s="49">
        <f t="shared" si="38"/>
        <v>-1.7903491667806248E-2</v>
      </c>
      <c r="L71" s="49">
        <f t="shared" si="39"/>
        <v>-1.8356748137444145E-2</v>
      </c>
      <c r="M71" s="49">
        <f t="shared" si="40"/>
        <v>-0.12506699941744048</v>
      </c>
      <c r="N71" s="49">
        <f t="shared" si="41"/>
        <v>4.8910719962884874E-2</v>
      </c>
      <c r="O71" s="49">
        <f t="shared" si="42"/>
        <v>6.172630713904792E-2</v>
      </c>
      <c r="P71" s="49">
        <f t="shared" si="43"/>
        <v>5.4365774736797379E-2</v>
      </c>
      <c r="Q71" s="49">
        <f t="shared" si="44"/>
        <v>-1.8612665734074718E-2</v>
      </c>
      <c r="R71" s="49">
        <f t="shared" si="44"/>
        <v>3.1076521924167988E-2</v>
      </c>
      <c r="S71" s="49">
        <f t="shared" si="32"/>
        <v>-2.3769943020268025E-2</v>
      </c>
      <c r="T71" s="49">
        <f t="shared" si="25"/>
        <v>4.0038016892789852E-2</v>
      </c>
      <c r="U71" s="49">
        <f t="shared" si="26"/>
        <v>-0.12618258097213109</v>
      </c>
      <c r="V71" s="49">
        <f t="shared" ca="1" si="26"/>
        <v>-7.2375646435096419E-2</v>
      </c>
      <c r="AA71" s="11"/>
    </row>
    <row r="72" spans="1:33">
      <c r="AA72" s="11"/>
    </row>
    <row r="73" spans="1:33">
      <c r="AA73" s="11"/>
    </row>
    <row r="74" spans="1:33">
      <c r="AA74" s="11"/>
    </row>
    <row r="75" spans="1:33">
      <c r="AA75" s="11"/>
    </row>
    <row r="76" spans="1:33">
      <c r="AA76" s="11"/>
    </row>
    <row r="77" spans="1:33">
      <c r="AA77" s="11"/>
    </row>
    <row r="78" spans="1:33">
      <c r="AA78" s="11"/>
    </row>
  </sheetData>
  <mergeCells count="2">
    <mergeCell ref="AI5:AI6"/>
    <mergeCell ref="AG40:AG41"/>
  </mergeCells>
  <conditionalFormatting sqref="AK7:AK34">
    <cfRule type="cellIs" dxfId="11" priority="3" operator="greaterThan">
      <formula>$AK$5</formula>
    </cfRule>
  </conditionalFormatting>
  <conditionalFormatting sqref="AL7:AL34">
    <cfRule type="cellIs" dxfId="10" priority="2" operator="lessThan">
      <formula>$AL$5</formula>
    </cfRule>
  </conditionalFormatting>
  <pageMargins left="0.7" right="0.7" top="0.78740157499999996" bottom="0.78740157499999996" header="0.3" footer="0.3"/>
  <pageSetup paperSize="9" fitToWidth="0" fitToHeight="0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AN128"/>
  <sheetViews>
    <sheetView zoomScale="80" zoomScaleNormal="80" workbookViewId="0">
      <pane xSplit="3" ySplit="6" topLeftCell="D7" activePane="bottomRight" state="frozen"/>
      <selection pane="topRight" activeCell="AI47" sqref="AI47"/>
      <selection pane="bottomLeft" activeCell="AI47" sqref="AI47"/>
      <selection pane="bottomRight" activeCell="V6" sqref="V6:V36"/>
    </sheetView>
  </sheetViews>
  <sheetFormatPr baseColWidth="10" defaultColWidth="11.5" defaultRowHeight="13"/>
  <cols>
    <col min="1" max="1" width="13.5" customWidth="1"/>
    <col min="27" max="27" width="11.5" style="11"/>
    <col min="28" max="28" width="18.1640625" customWidth="1"/>
    <col min="29" max="29" width="11.83203125" customWidth="1"/>
    <col min="30" max="30" width="12" customWidth="1"/>
  </cols>
  <sheetData>
    <row r="1" spans="1:40">
      <c r="A1" t="s">
        <v>52</v>
      </c>
    </row>
    <row r="4" spans="1:40">
      <c r="AA4" s="11">
        <v>1</v>
      </c>
      <c r="AB4">
        <v>2</v>
      </c>
      <c r="AC4">
        <v>3</v>
      </c>
      <c r="AD4">
        <v>4</v>
      </c>
      <c r="AG4" s="42">
        <v>1</v>
      </c>
    </row>
    <row r="5" spans="1:40">
      <c r="D5" t="s">
        <v>173</v>
      </c>
      <c r="AA5" s="11" t="s">
        <v>196</v>
      </c>
      <c r="AB5" t="s">
        <v>197</v>
      </c>
      <c r="AC5" t="s">
        <v>198</v>
      </c>
      <c r="AD5" t="s">
        <v>200</v>
      </c>
      <c r="AE5" t="s">
        <v>201</v>
      </c>
      <c r="AG5" s="146" t="s">
        <v>202</v>
      </c>
      <c r="AN5" t="s">
        <v>204</v>
      </c>
    </row>
    <row r="6" spans="1:40">
      <c r="A6" t="s">
        <v>212</v>
      </c>
      <c r="B6" t="s">
        <v>175</v>
      </c>
      <c r="C6" t="s">
        <v>176</v>
      </c>
      <c r="D6" s="1">
        <f>'PEC Total'!D6</f>
        <v>2005</v>
      </c>
      <c r="E6" s="1">
        <f>'PEC Total'!E6</f>
        <v>2006</v>
      </c>
      <c r="F6" s="1">
        <f>'PEC Total'!F6</f>
        <v>2007</v>
      </c>
      <c r="G6" s="1">
        <f>'PEC Total'!G6</f>
        <v>2008</v>
      </c>
      <c r="H6" s="1">
        <f>'PEC Total'!H6</f>
        <v>2009</v>
      </c>
      <c r="I6" s="1">
        <f>'PEC Total'!I6</f>
        <v>2010</v>
      </c>
      <c r="J6" s="1">
        <f>'PEC Total'!J6</f>
        <v>2011</v>
      </c>
      <c r="K6" s="1">
        <f>'PEC Total'!K6</f>
        <v>2012</v>
      </c>
      <c r="L6" s="1">
        <f>'PEC Total'!L6</f>
        <v>2013</v>
      </c>
      <c r="M6" s="1">
        <f>'PEC Total'!M6</f>
        <v>2014</v>
      </c>
      <c r="N6" s="1">
        <f>'PEC Total'!N6</f>
        <v>2015</v>
      </c>
      <c r="O6" s="1">
        <f>'PEC Total'!O6</f>
        <v>2016</v>
      </c>
      <c r="P6" s="1">
        <f>'PEC Total'!P6</f>
        <v>2017</v>
      </c>
      <c r="Q6" s="1">
        <f>'PEC Total'!Q6</f>
        <v>2018</v>
      </c>
      <c r="R6" s="1">
        <f>'PEC Total'!R6</f>
        <v>2019</v>
      </c>
      <c r="S6" s="1">
        <f>'PEC Total'!S6</f>
        <v>2020</v>
      </c>
      <c r="T6" s="1">
        <f>'PEC Total'!T6</f>
        <v>2021</v>
      </c>
      <c r="U6" s="1">
        <v>2022</v>
      </c>
      <c r="V6" s="2">
        <f>YearProxy</f>
        <v>2023</v>
      </c>
      <c r="W6" s="21" t="s">
        <v>205</v>
      </c>
      <c r="Y6" s="1"/>
      <c r="Z6" s="1"/>
      <c r="AA6" s="12">
        <f>YearProxy</f>
        <v>2023</v>
      </c>
      <c r="AB6" s="2">
        <f>AA6</f>
        <v>2023</v>
      </c>
      <c r="AC6" s="2">
        <f>YearProxy</f>
        <v>2023</v>
      </c>
      <c r="AD6" s="2">
        <f>AA6</f>
        <v>2023</v>
      </c>
      <c r="AE6" s="6"/>
      <c r="AG6" s="146"/>
    </row>
    <row r="7" spans="1:40">
      <c r="A7">
        <v>2</v>
      </c>
      <c r="B7" t="s">
        <v>106</v>
      </c>
      <c r="C7" t="s">
        <v>106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f t="shared" ref="V7:V34" ca="1" si="0">INDEX($AA7:$AI7,1,W7)</f>
        <v>0</v>
      </c>
      <c r="W7" s="16">
        <f>IF(ISNUMBER(AD7),4,IF(ISNUMBER(AE7),AE7,IF(AG7&lt;&gt;0,AG7,1)))</f>
        <v>1</v>
      </c>
      <c r="X7" t="str">
        <f t="shared" ref="X7:X34" si="1">INDEX($AA$5:$AJ$5,W7)</f>
        <v>No Change</v>
      </c>
      <c r="Y7" s="3"/>
      <c r="Z7" s="3"/>
      <c r="AA7" s="13">
        <f t="shared" ref="AA7:AA34" ca="1" si="2">OFFSET($A7,0,OffsetLast)</f>
        <v>0</v>
      </c>
      <c r="AB7" s="3" t="e">
        <f t="shared" ref="AB7:AB34" ca="1" si="3">AA7*(1+AB42)</f>
        <v>#VALUE!</v>
      </c>
      <c r="AC7" s="3" t="e">
        <f ca="1">AA7*(1+AC42)</f>
        <v>#N/A</v>
      </c>
      <c r="AD7" s="3" t="str">
        <f t="shared" ref="AD7:AD33" si="4">IF(ISNUMBER(AD42),$AA7*(1+AD42),"")</f>
        <v/>
      </c>
      <c r="AG7">
        <f t="shared" ref="AG7:AG34" si="5">IFERROR(IF(ABS(AE42)&gt;$AG$4,0,IF(ABS(AB42)&lt;ABS(AC42),2,3)),IF(ISNUMBER(AB42),2,IF(ISNUMBER(AC42),3,0)))</f>
        <v>0</v>
      </c>
      <c r="AN7" s="7" t="str">
        <f>IFERROR(INDEX('MS Stats list'!P:P, MATCH(B7,'MS Stats list'!B:B,0)),"")</f>
        <v>Statistics Austria - Preliminary energy balance 2022</v>
      </c>
    </row>
    <row r="8" spans="1:40">
      <c r="A8">
        <v>3</v>
      </c>
      <c r="B8" t="s">
        <v>177</v>
      </c>
      <c r="C8" t="s">
        <v>177</v>
      </c>
      <c r="D8" s="3">
        <v>12277.3</v>
      </c>
      <c r="E8" s="3">
        <v>12032.244000000001</v>
      </c>
      <c r="F8" s="3">
        <v>12440.326999999999</v>
      </c>
      <c r="G8" s="3">
        <v>11754.428</v>
      </c>
      <c r="H8" s="3">
        <v>11853.287</v>
      </c>
      <c r="I8" s="3">
        <v>11608.852999999999</v>
      </c>
      <c r="J8" s="3">
        <v>11700.611000000001</v>
      </c>
      <c r="K8" s="3">
        <v>9765.3130000000001</v>
      </c>
      <c r="L8" s="3">
        <v>10336.494000000001</v>
      </c>
      <c r="M8" s="3">
        <v>8176.2370000000001</v>
      </c>
      <c r="N8" s="3">
        <v>6283.1779999999999</v>
      </c>
      <c r="O8" s="3">
        <v>10588.967000000001</v>
      </c>
      <c r="P8" s="3">
        <v>10299.709999999999</v>
      </c>
      <c r="Q8" s="3">
        <v>6960.8620000000001</v>
      </c>
      <c r="R8" s="3">
        <v>10593.545</v>
      </c>
      <c r="S8" s="3">
        <v>8371.0149999999994</v>
      </c>
      <c r="T8" s="3">
        <v>12223.218000000001</v>
      </c>
      <c r="U8" s="3">
        <v>10697.550999999999</v>
      </c>
      <c r="V8" s="3">
        <f t="shared" ca="1" si="0"/>
        <v>8027.6917615197217</v>
      </c>
      <c r="W8" s="16">
        <f t="shared" ref="W8:W34" si="6">IF(ISNUMBER(AD8),4,IF(ISNUMBER(AE8),AE8,IF(AG8&lt;&gt;0,AG8,1)))</f>
        <v>2</v>
      </c>
      <c r="X8" t="str">
        <f t="shared" si="1"/>
        <v>Eurostat</v>
      </c>
      <c r="Y8" s="3"/>
      <c r="Z8" s="3"/>
      <c r="AA8" s="13">
        <f t="shared" ca="1" si="2"/>
        <v>10697.550999999999</v>
      </c>
      <c r="AB8" s="3">
        <f t="shared" ca="1" si="3"/>
        <v>8027.6917615197217</v>
      </c>
      <c r="AC8" s="3">
        <f t="shared" ref="AC8:AC34" ca="1" si="7">AA8*(1+AC43)</f>
        <v>7998.5542821419958</v>
      </c>
      <c r="AD8" s="3" t="str">
        <f t="shared" si="4"/>
        <v/>
      </c>
      <c r="AG8">
        <f t="shared" si="5"/>
        <v>2</v>
      </c>
      <c r="AN8" s="7" t="str">
        <f>IFERROR(INDEX('MS Stats list'!P:P, MATCH(B8,'MS Stats list'!B:B,0)),"")</f>
        <v/>
      </c>
    </row>
    <row r="9" spans="1:40">
      <c r="A9">
        <v>4</v>
      </c>
      <c r="B9" t="s">
        <v>178</v>
      </c>
      <c r="C9" t="s">
        <v>178</v>
      </c>
      <c r="D9" s="3">
        <v>4854.7430000000004</v>
      </c>
      <c r="E9" s="3">
        <v>5070.2060000000001</v>
      </c>
      <c r="F9" s="3">
        <v>3838.4059999999999</v>
      </c>
      <c r="G9" s="3">
        <v>4131.5559999999996</v>
      </c>
      <c r="H9" s="3">
        <v>3877.91</v>
      </c>
      <c r="I9" s="3">
        <v>3849.12</v>
      </c>
      <c r="J9" s="3">
        <v>4105.07</v>
      </c>
      <c r="K9" s="3">
        <v>4020.24</v>
      </c>
      <c r="L9" s="3">
        <v>3667.58</v>
      </c>
      <c r="M9" s="3">
        <v>4046.7</v>
      </c>
      <c r="N9" s="3">
        <v>3912</v>
      </c>
      <c r="O9" s="3">
        <v>4010.9</v>
      </c>
      <c r="P9" s="3">
        <v>3940.7</v>
      </c>
      <c r="Q9" s="3">
        <v>4168.3</v>
      </c>
      <c r="R9" s="3">
        <v>4301.7619999999997</v>
      </c>
      <c r="S9" s="3">
        <v>4334.6769999999997</v>
      </c>
      <c r="T9" s="3">
        <v>4294.9440000000004</v>
      </c>
      <c r="U9" s="3">
        <v>4289.7290000000003</v>
      </c>
      <c r="V9" s="3">
        <f t="shared" ca="1" si="0"/>
        <v>4211.8817870448211</v>
      </c>
      <c r="W9" s="16">
        <f t="shared" si="6"/>
        <v>2</v>
      </c>
      <c r="X9" t="str">
        <f t="shared" si="1"/>
        <v>Eurostat</v>
      </c>
      <c r="Y9" s="3"/>
      <c r="Z9" s="3"/>
      <c r="AA9" s="13">
        <f t="shared" ca="1" si="2"/>
        <v>4289.7290000000003</v>
      </c>
      <c r="AB9" s="3">
        <f t="shared" ca="1" si="3"/>
        <v>4211.8817870448211</v>
      </c>
      <c r="AC9" s="3">
        <f t="shared" ca="1" si="7"/>
        <v>4199.6745466135289</v>
      </c>
      <c r="AD9" s="3" t="str">
        <f t="shared" si="4"/>
        <v/>
      </c>
      <c r="AG9">
        <f t="shared" si="5"/>
        <v>2</v>
      </c>
      <c r="AN9" s="7" t="str">
        <f>IFERROR(INDEX('MS Stats list'!P:P, MATCH(B9,'MS Stats list'!B:B,0)),"")</f>
        <v/>
      </c>
    </row>
    <row r="10" spans="1:40">
      <c r="A10">
        <v>5</v>
      </c>
      <c r="B10" t="s">
        <v>179</v>
      </c>
      <c r="C10" t="s">
        <v>179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f t="shared" ca="1" si="0"/>
        <v>0</v>
      </c>
      <c r="W10" s="16">
        <f t="shared" si="6"/>
        <v>1</v>
      </c>
      <c r="X10" t="str">
        <f t="shared" si="1"/>
        <v>No Change</v>
      </c>
      <c r="Y10" s="3"/>
      <c r="Z10" s="3"/>
      <c r="AA10" s="13">
        <f t="shared" ca="1" si="2"/>
        <v>0</v>
      </c>
      <c r="AB10" s="3" t="e">
        <f ca="1">AA10*(1+AB45)</f>
        <v>#VALUE!</v>
      </c>
      <c r="AC10" s="3" t="e">
        <f t="shared" ca="1" si="7"/>
        <v>#N/A</v>
      </c>
      <c r="AD10" s="3" t="str">
        <f t="shared" si="4"/>
        <v/>
      </c>
      <c r="AG10">
        <f t="shared" si="5"/>
        <v>0</v>
      </c>
      <c r="AN10" s="7" t="str">
        <f>IFERROR(INDEX('MS Stats list'!P:P, MATCH(B10,'MS Stats list'!B:B,0)),"")</f>
        <v/>
      </c>
    </row>
    <row r="11" spans="1:40">
      <c r="A11">
        <v>6</v>
      </c>
      <c r="B11" t="s">
        <v>180</v>
      </c>
      <c r="C11" t="s">
        <v>180</v>
      </c>
      <c r="D11" s="3">
        <v>6457.2079999999996</v>
      </c>
      <c r="E11" s="3">
        <v>6795.3280000000004</v>
      </c>
      <c r="F11" s="3">
        <v>6823.03</v>
      </c>
      <c r="G11" s="3">
        <v>6918.4290000000001</v>
      </c>
      <c r="H11" s="3">
        <v>6975.3509999999997</v>
      </c>
      <c r="I11" s="3">
        <v>7160.3950000000004</v>
      </c>
      <c r="J11" s="3">
        <v>7199.85</v>
      </c>
      <c r="K11" s="3">
        <v>7673.9849999999997</v>
      </c>
      <c r="L11" s="3">
        <v>7758.5209999999997</v>
      </c>
      <c r="M11" s="3">
        <v>7630.7659999999996</v>
      </c>
      <c r="N11" s="3">
        <v>6680.3519999999999</v>
      </c>
      <c r="O11" s="3">
        <v>5977.4979999999996</v>
      </c>
      <c r="P11" s="3">
        <v>7016.777</v>
      </c>
      <c r="Q11" s="3">
        <v>7449</v>
      </c>
      <c r="R11" s="3">
        <v>7548.2039999999997</v>
      </c>
      <c r="S11" s="3">
        <v>7496.2950000000001</v>
      </c>
      <c r="T11" s="3">
        <v>7641.6319999999996</v>
      </c>
      <c r="U11" s="3">
        <v>7714.5510000000004</v>
      </c>
      <c r="V11" s="3">
        <f t="shared" ca="1" si="0"/>
        <v>7562.5205447929702</v>
      </c>
      <c r="W11" s="16">
        <f t="shared" si="6"/>
        <v>2</v>
      </c>
      <c r="X11" t="str">
        <f t="shared" si="1"/>
        <v>Eurostat</v>
      </c>
      <c r="Y11" s="3"/>
      <c r="Z11" s="3"/>
      <c r="AA11" s="13">
        <f t="shared" ca="1" si="2"/>
        <v>7714.5510000000004</v>
      </c>
      <c r="AB11" s="3">
        <f t="shared" ca="1" si="3"/>
        <v>7562.5205447929702</v>
      </c>
      <c r="AC11" s="3">
        <f t="shared" ca="1" si="7"/>
        <v>7535.042713133852</v>
      </c>
      <c r="AD11" s="3" t="str">
        <f t="shared" si="4"/>
        <v/>
      </c>
      <c r="AG11">
        <f t="shared" si="5"/>
        <v>2</v>
      </c>
      <c r="AN11" s="7" t="str">
        <f>IFERROR(INDEX('MS Stats list'!P:P, MATCH(B11,'MS Stats list'!B:B,0)),"")</f>
        <v/>
      </c>
    </row>
    <row r="12" spans="1:40">
      <c r="A12">
        <v>7</v>
      </c>
      <c r="B12" t="s">
        <v>91</v>
      </c>
      <c r="C12" t="s">
        <v>91</v>
      </c>
      <c r="D12" s="3">
        <v>42060.618999999999</v>
      </c>
      <c r="E12" s="3">
        <v>43147.635000000002</v>
      </c>
      <c r="F12" s="3">
        <v>36251.247000000003</v>
      </c>
      <c r="G12" s="3">
        <v>38304.815000000002</v>
      </c>
      <c r="H12" s="3">
        <v>34733.199999999997</v>
      </c>
      <c r="I12" s="3">
        <v>36200.800000000003</v>
      </c>
      <c r="J12" s="3">
        <v>27807.200000000001</v>
      </c>
      <c r="K12" s="3">
        <v>25618.6</v>
      </c>
      <c r="L12" s="3">
        <v>25052.2</v>
      </c>
      <c r="M12" s="3">
        <v>25010.7</v>
      </c>
      <c r="N12" s="3">
        <v>23636.344000000001</v>
      </c>
      <c r="O12" s="3">
        <v>21794.7</v>
      </c>
      <c r="P12" s="3">
        <v>19654.7</v>
      </c>
      <c r="Q12" s="3">
        <v>19571</v>
      </c>
      <c r="R12" s="3">
        <v>19332</v>
      </c>
      <c r="S12" s="3">
        <v>16576.8</v>
      </c>
      <c r="T12" s="3">
        <v>17768.59</v>
      </c>
      <c r="U12" s="3">
        <v>8938</v>
      </c>
      <c r="V12" s="3">
        <f t="shared" ca="1" si="0"/>
        <v>1863.0659630606856</v>
      </c>
      <c r="W12" s="16">
        <f t="shared" ca="1" si="6"/>
        <v>4</v>
      </c>
      <c r="X12" t="str">
        <f t="shared" ca="1" si="1"/>
        <v>Based on MS Stats</v>
      </c>
      <c r="Y12" s="3"/>
      <c r="Z12" s="3"/>
      <c r="AA12" s="13">
        <f t="shared" ca="1" si="2"/>
        <v>8938</v>
      </c>
      <c r="AB12" s="3">
        <f t="shared" ca="1" si="3"/>
        <v>1858.2099167362933</v>
      </c>
      <c r="AC12" s="3">
        <f t="shared" ca="1" si="7"/>
        <v>1851.4442935404361</v>
      </c>
      <c r="AD12" s="3">
        <f t="shared" ca="1" si="4"/>
        <v>1863.0659630606856</v>
      </c>
      <c r="AE12" s="25"/>
      <c r="AG12">
        <f t="shared" si="5"/>
        <v>2</v>
      </c>
      <c r="AN12" s="7" t="str">
        <f>IFERROR(INDEX('MS Stats list'!P:P, MATCH(B12,'MS Stats list'!B:B,0)),"")</f>
        <v>BMWi - Gesamtausgabe der Energiedaten - Datensammlung des BMWi, AGEB - Primärenergieverbrauch Jahr 2021</v>
      </c>
    </row>
    <row r="13" spans="1:40">
      <c r="A13">
        <v>8</v>
      </c>
      <c r="B13" t="s">
        <v>115</v>
      </c>
      <c r="C13" t="s">
        <v>115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f t="shared" ca="1" si="0"/>
        <v>0</v>
      </c>
      <c r="W13" s="16">
        <f t="shared" si="6"/>
        <v>1</v>
      </c>
      <c r="X13" t="str">
        <f t="shared" si="1"/>
        <v>No Change</v>
      </c>
      <c r="Y13" s="3"/>
      <c r="Z13" s="3"/>
      <c r="AA13" s="13">
        <f t="shared" ca="1" si="2"/>
        <v>0</v>
      </c>
      <c r="AB13" s="3" t="e">
        <f t="shared" ca="1" si="3"/>
        <v>#VALUE!</v>
      </c>
      <c r="AC13" s="3" t="e">
        <f t="shared" ca="1" si="7"/>
        <v>#N/A</v>
      </c>
      <c r="AD13" s="3" t="str">
        <f t="shared" si="4"/>
        <v/>
      </c>
      <c r="AG13">
        <f t="shared" si="5"/>
        <v>0</v>
      </c>
      <c r="AN13" s="7" t="str">
        <f>IFERROR(INDEX('MS Stats list'!P:P, MATCH(B13,'MS Stats list'!B:B,0)),"")</f>
        <v>Danish Energy Agency - Preliminary Energy Statsticis 2022</v>
      </c>
    </row>
    <row r="14" spans="1:40">
      <c r="A14">
        <v>9</v>
      </c>
      <c r="B14" t="s">
        <v>120</v>
      </c>
      <c r="C14" t="s">
        <v>120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f t="shared" ca="1" si="0"/>
        <v>0</v>
      </c>
      <c r="W14" s="16">
        <f t="shared" si="6"/>
        <v>1</v>
      </c>
      <c r="X14" t="str">
        <f t="shared" si="1"/>
        <v>No Change</v>
      </c>
      <c r="Y14" s="3"/>
      <c r="Z14" s="3"/>
      <c r="AA14" s="13">
        <f t="shared" ca="1" si="2"/>
        <v>0</v>
      </c>
      <c r="AB14" s="3" t="e">
        <f t="shared" ca="1" si="3"/>
        <v>#VALUE!</v>
      </c>
      <c r="AC14" s="3" t="e">
        <f t="shared" ca="1" si="7"/>
        <v>#N/A</v>
      </c>
      <c r="AD14" s="3" t="str">
        <f t="shared" si="4"/>
        <v/>
      </c>
      <c r="AG14">
        <f t="shared" si="5"/>
        <v>0</v>
      </c>
      <c r="AN14" s="7">
        <f>IFERROR(INDEX('MS Stats list'!P:P, MATCH(B14,'MS Stats list'!B:B,0)),"")</f>
        <v>0</v>
      </c>
    </row>
    <row r="15" spans="1:40">
      <c r="A15">
        <v>11</v>
      </c>
      <c r="B15" t="s">
        <v>85</v>
      </c>
      <c r="C15" t="s">
        <v>85</v>
      </c>
      <c r="D15" s="3">
        <v>14842.39</v>
      </c>
      <c r="E15" s="3">
        <v>15509.716</v>
      </c>
      <c r="F15" s="3">
        <v>14214.014999999999</v>
      </c>
      <c r="G15" s="3">
        <v>15212.296</v>
      </c>
      <c r="H15" s="3">
        <v>13783</v>
      </c>
      <c r="I15" s="3">
        <v>16134.8</v>
      </c>
      <c r="J15" s="3">
        <v>15044.7</v>
      </c>
      <c r="K15" s="3">
        <v>15990.5</v>
      </c>
      <c r="L15" s="3">
        <v>14785</v>
      </c>
      <c r="M15" s="3">
        <v>14931.1</v>
      </c>
      <c r="N15" s="3">
        <v>14903.2</v>
      </c>
      <c r="O15" s="3">
        <v>15272.9</v>
      </c>
      <c r="P15" s="3">
        <v>15131.49</v>
      </c>
      <c r="Q15" s="3">
        <v>14478.8</v>
      </c>
      <c r="R15" s="3">
        <v>15218</v>
      </c>
      <c r="S15" s="3">
        <v>15174</v>
      </c>
      <c r="T15" s="3">
        <v>14725</v>
      </c>
      <c r="U15" s="3">
        <v>15295</v>
      </c>
      <c r="V15" s="3">
        <f t="shared" ca="1" si="0"/>
        <v>14827.992124509077</v>
      </c>
      <c r="W15" s="16">
        <f t="shared" ca="1" si="6"/>
        <v>4</v>
      </c>
      <c r="X15" t="str">
        <f t="shared" ca="1" si="1"/>
        <v>Based on MS Stats</v>
      </c>
      <c r="Y15" s="3"/>
      <c r="Z15" s="3"/>
      <c r="AA15" s="13">
        <f t="shared" ca="1" si="2"/>
        <v>15295</v>
      </c>
      <c r="AB15" s="3">
        <f t="shared" ca="1" si="3"/>
        <v>14846.774790919952</v>
      </c>
      <c r="AC15" s="3">
        <f t="shared" ca="1" si="7"/>
        <v>14774.873366527547</v>
      </c>
      <c r="AD15" s="3">
        <f t="shared" ca="1" si="4"/>
        <v>14827.992124509077</v>
      </c>
      <c r="AG15">
        <f t="shared" si="5"/>
        <v>2</v>
      </c>
      <c r="AN15" s="7" t="str">
        <f>IFERROR(INDEX('MS Stats list'!P:P, MATCH(B15,'MS Stats list'!B:B,0)),"")</f>
        <v>Ministry of Ecological Transition</v>
      </c>
    </row>
    <row r="16" spans="1:40">
      <c r="A16">
        <v>12</v>
      </c>
      <c r="B16" t="s">
        <v>2</v>
      </c>
      <c r="C16" t="s">
        <v>2</v>
      </c>
      <c r="D16" s="3">
        <v>6002.8370000000004</v>
      </c>
      <c r="E16" s="3">
        <v>5908.6840000000002</v>
      </c>
      <c r="F16" s="3">
        <v>6042.0460000000003</v>
      </c>
      <c r="G16" s="3">
        <v>5922.098</v>
      </c>
      <c r="H16" s="3">
        <v>5762</v>
      </c>
      <c r="I16" s="3">
        <v>5565</v>
      </c>
      <c r="J16" s="3">
        <v>5627</v>
      </c>
      <c r="K16" s="3">
        <v>5536</v>
      </c>
      <c r="L16" s="3">
        <v>5694</v>
      </c>
      <c r="M16" s="3">
        <v>5688.5</v>
      </c>
      <c r="N16" s="3">
        <v>5606.2</v>
      </c>
      <c r="O16" s="3">
        <v>5589.8</v>
      </c>
      <c r="P16" s="3">
        <v>5390.1</v>
      </c>
      <c r="Q16" s="3">
        <v>5444.1</v>
      </c>
      <c r="R16" s="3">
        <v>5675.9</v>
      </c>
      <c r="S16" s="3">
        <v>5547.6</v>
      </c>
      <c r="T16" s="3">
        <v>5609.2</v>
      </c>
      <c r="U16" s="3">
        <v>6115.2</v>
      </c>
      <c r="V16" s="3">
        <f t="shared" ca="1" si="0"/>
        <v>8258.0797737258836</v>
      </c>
      <c r="W16" s="16">
        <f t="shared" ca="1" si="6"/>
        <v>4</v>
      </c>
      <c r="X16" t="str">
        <f t="shared" ca="1" si="1"/>
        <v>Based on MS Stats</v>
      </c>
      <c r="Y16" s="3"/>
      <c r="Z16" s="3"/>
      <c r="AA16" s="13">
        <f t="shared" ca="1" si="2"/>
        <v>6115.2</v>
      </c>
      <c r="AB16" s="3">
        <f t="shared" ca="1" si="3"/>
        <v>8280.7184085885692</v>
      </c>
      <c r="AC16" s="3">
        <f t="shared" ca="1" si="7"/>
        <v>8235.586850204967</v>
      </c>
      <c r="AD16" s="3">
        <f t="shared" ca="1" si="4"/>
        <v>8258.0797737258836</v>
      </c>
      <c r="AG16">
        <f>IFERROR(IF(ABS(AD51)&gt;$AG$4,0,IF(ABS(AB51)&lt;ABS(AC51),2,3)),IF(ISNUMBER(AB51),2,IF(ISNUMBER(AC51),3,0)))</f>
        <v>3</v>
      </c>
      <c r="AN16" s="7" t="str">
        <f>IFERROR(INDEX('MS Stats list'!P:P, MATCH(B16,'MS Stats list'!B:B,0)),"")</f>
        <v>Statistics Finland - Energy supply and consumption</v>
      </c>
    </row>
    <row r="17" spans="1:40">
      <c r="A17">
        <v>13</v>
      </c>
      <c r="B17" t="s">
        <v>82</v>
      </c>
      <c r="C17" t="s">
        <v>82</v>
      </c>
      <c r="D17" s="3">
        <v>116473.51700000001</v>
      </c>
      <c r="E17" s="3">
        <v>116128.375</v>
      </c>
      <c r="F17" s="3">
        <v>113429.923</v>
      </c>
      <c r="G17" s="3">
        <v>113356.92200000001</v>
      </c>
      <c r="H17" s="3">
        <v>106857</v>
      </c>
      <c r="I17" s="3">
        <v>111612</v>
      </c>
      <c r="J17" s="3">
        <v>115209</v>
      </c>
      <c r="K17" s="3">
        <v>110863</v>
      </c>
      <c r="L17" s="3">
        <v>110414.916</v>
      </c>
      <c r="M17" s="3">
        <v>113747.77</v>
      </c>
      <c r="N17" s="3">
        <v>113996.44500000001</v>
      </c>
      <c r="O17" s="3">
        <v>105078.837</v>
      </c>
      <c r="P17" s="3">
        <v>103860.74</v>
      </c>
      <c r="Q17" s="3">
        <v>107628.69</v>
      </c>
      <c r="R17" s="3">
        <v>103987</v>
      </c>
      <c r="S17" s="3">
        <v>92211</v>
      </c>
      <c r="T17" s="3">
        <v>98864</v>
      </c>
      <c r="U17" s="3">
        <v>76809</v>
      </c>
      <c r="V17" s="3">
        <f t="shared" ca="1" si="0"/>
        <v>88123.569696100647</v>
      </c>
      <c r="W17" s="16">
        <f t="shared" ca="1" si="6"/>
        <v>4</v>
      </c>
      <c r="X17" t="str">
        <f t="shared" ca="1" si="1"/>
        <v>Based on MS Stats</v>
      </c>
      <c r="Y17" s="3"/>
      <c r="Z17" s="3"/>
      <c r="AA17" s="13">
        <f t="shared" ca="1" si="2"/>
        <v>76809</v>
      </c>
      <c r="AB17" s="3">
        <f t="shared" ca="1" si="3"/>
        <v>88137.914931602834</v>
      </c>
      <c r="AC17" s="3">
        <f t="shared" ca="1" si="7"/>
        <v>87817.670697036752</v>
      </c>
      <c r="AD17" s="3">
        <f t="shared" ca="1" si="4"/>
        <v>88123.569696100647</v>
      </c>
      <c r="AG17">
        <f t="shared" si="5"/>
        <v>3</v>
      </c>
      <c r="AN17" s="7" t="str">
        <f>IFERROR(INDEX('MS Stats list'!P:P, MATCH(B17,'MS Stats list'!B:B,0)),"")</f>
        <v>Ministère de la Transition écologique et solidaire - Données et études statistiques</v>
      </c>
    </row>
    <row r="18" spans="1:40">
      <c r="A18">
        <v>10</v>
      </c>
      <c r="B18" t="s">
        <v>181</v>
      </c>
      <c r="C18" t="s">
        <v>182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f t="shared" ca="1" si="0"/>
        <v>0</v>
      </c>
      <c r="W18" s="16">
        <f t="shared" si="6"/>
        <v>1</v>
      </c>
      <c r="X18" t="str">
        <f t="shared" si="1"/>
        <v>No Change</v>
      </c>
      <c r="Y18" s="3"/>
      <c r="Z18" s="3"/>
      <c r="AA18" s="13">
        <f t="shared" ca="1" si="2"/>
        <v>0</v>
      </c>
      <c r="AB18" s="3" t="e">
        <f t="shared" ca="1" si="3"/>
        <v>#VALUE!</v>
      </c>
      <c r="AC18" s="3" t="e">
        <f t="shared" ca="1" si="7"/>
        <v>#N/A</v>
      </c>
      <c r="AD18" s="3" t="str">
        <f t="shared" si="4"/>
        <v/>
      </c>
      <c r="AG18">
        <f t="shared" si="5"/>
        <v>0</v>
      </c>
      <c r="AN18" s="7" t="str">
        <f>IFERROR(INDEX('MS Stats list'!P:P, MATCH(B18,'MS Stats list'!B:B,0)),"")</f>
        <v/>
      </c>
    </row>
    <row r="19" spans="1:40">
      <c r="A19">
        <v>14</v>
      </c>
      <c r="B19" t="s">
        <v>183</v>
      </c>
      <c r="C19" t="s">
        <v>183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f t="shared" ca="1" si="0"/>
        <v>0</v>
      </c>
      <c r="W19" s="16">
        <f t="shared" si="6"/>
        <v>1</v>
      </c>
      <c r="X19" t="str">
        <f t="shared" si="1"/>
        <v>No Change</v>
      </c>
      <c r="Y19" s="3"/>
      <c r="Z19" s="3"/>
      <c r="AA19" s="13">
        <f t="shared" ca="1" si="2"/>
        <v>0</v>
      </c>
      <c r="AB19" s="3" t="e">
        <f t="shared" ca="1" si="3"/>
        <v>#VALUE!</v>
      </c>
      <c r="AC19" s="3" t="e">
        <f t="shared" ca="1" si="7"/>
        <v>#N/A</v>
      </c>
      <c r="AD19" s="3" t="str">
        <f t="shared" si="4"/>
        <v/>
      </c>
      <c r="AG19">
        <f t="shared" si="5"/>
        <v>0</v>
      </c>
      <c r="AN19" s="7" t="str">
        <f>IFERROR(INDEX('MS Stats list'!P:P, MATCH(B19,'MS Stats list'!B:B,0)),"")</f>
        <v/>
      </c>
    </row>
    <row r="20" spans="1:40">
      <c r="A20">
        <v>15</v>
      </c>
      <c r="B20" t="s">
        <v>88</v>
      </c>
      <c r="C20" t="s">
        <v>88</v>
      </c>
      <c r="D20" s="3">
        <v>3616.4659999999999</v>
      </c>
      <c r="E20" s="3">
        <v>3514.875</v>
      </c>
      <c r="F20" s="3">
        <v>3824.6779999999999</v>
      </c>
      <c r="G20" s="3">
        <v>3862.0520000000001</v>
      </c>
      <c r="H20" s="3">
        <v>3878</v>
      </c>
      <c r="I20" s="3">
        <v>3963</v>
      </c>
      <c r="J20" s="3">
        <v>3964.9</v>
      </c>
      <c r="K20" s="3">
        <v>3986.1350000000002</v>
      </c>
      <c r="L20" s="3">
        <v>3869.5259999999998</v>
      </c>
      <c r="M20" s="3">
        <v>3937.4140000000002</v>
      </c>
      <c r="N20" s="3">
        <v>3994.2820000000002</v>
      </c>
      <c r="O20" s="3">
        <v>4070.7040000000002</v>
      </c>
      <c r="P20" s="3">
        <v>4084</v>
      </c>
      <c r="Q20" s="3">
        <v>4006</v>
      </c>
      <c r="R20" s="3">
        <v>4106</v>
      </c>
      <c r="S20" s="3">
        <v>4053</v>
      </c>
      <c r="T20" s="3">
        <v>4034</v>
      </c>
      <c r="U20" s="3">
        <v>3992</v>
      </c>
      <c r="V20" s="3">
        <f t="shared" ca="1" si="0"/>
        <v>4018.3565485449599</v>
      </c>
      <c r="W20" s="16">
        <f t="shared" ca="1" si="6"/>
        <v>4</v>
      </c>
      <c r="X20" t="str">
        <f t="shared" ca="1" si="1"/>
        <v>Based on MS Stats</v>
      </c>
      <c r="Y20" s="3"/>
      <c r="Z20" s="3"/>
      <c r="AA20" s="13">
        <f t="shared" ca="1" si="2"/>
        <v>3992</v>
      </c>
      <c r="AB20" s="3">
        <f t="shared" ca="1" si="3"/>
        <v>4018.7614470022763</v>
      </c>
      <c r="AC20" s="3">
        <f t="shared" ca="1" si="7"/>
        <v>4004.1159448859885</v>
      </c>
      <c r="AD20" s="3">
        <f t="shared" ca="1" si="4"/>
        <v>4018.3565485449599</v>
      </c>
      <c r="AG20">
        <f t="shared" si="5"/>
        <v>3</v>
      </c>
      <c r="AN20" s="7" t="str">
        <f>IFERROR(INDEX('MS Stats list'!P:P, MATCH(B20,'MS Stats list'!B:B,0)),"")</f>
        <v>MEKH - Official Statistics - 7.2 National simplified Energy Balance - IEA format</v>
      </c>
    </row>
    <row r="21" spans="1:40">
      <c r="A21">
        <v>16</v>
      </c>
      <c r="B21" t="s">
        <v>133</v>
      </c>
      <c r="C21" t="s">
        <v>133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f t="shared" ca="1" si="0"/>
        <v>0</v>
      </c>
      <c r="W21" s="16">
        <f t="shared" si="6"/>
        <v>1</v>
      </c>
      <c r="X21" t="str">
        <f t="shared" si="1"/>
        <v>No Change</v>
      </c>
      <c r="Y21" s="3"/>
      <c r="Z21" s="3"/>
      <c r="AA21" s="13">
        <f t="shared" ca="1" si="2"/>
        <v>0</v>
      </c>
      <c r="AB21" s="3" t="e">
        <f t="shared" ca="1" si="3"/>
        <v>#VALUE!</v>
      </c>
      <c r="AC21" s="3" t="e">
        <f t="shared" ca="1" si="7"/>
        <v>#N/A</v>
      </c>
      <c r="AD21" s="3" t="str">
        <f t="shared" si="4"/>
        <v/>
      </c>
      <c r="AG21">
        <f t="shared" si="5"/>
        <v>0</v>
      </c>
      <c r="AN21" s="7" t="str">
        <f>IFERROR(INDEX('MS Stats list'!P:P, MATCH(B21,'MS Stats list'!B:B,0)),"")</f>
        <v>SEAI - 2022 Provisional Energy Balance</v>
      </c>
    </row>
    <row r="22" spans="1:40">
      <c r="A22">
        <v>17</v>
      </c>
      <c r="B22" t="s">
        <v>157</v>
      </c>
      <c r="C22" t="s">
        <v>157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f t="shared" ca="1" si="0"/>
        <v>0</v>
      </c>
      <c r="W22" s="16">
        <f t="shared" si="6"/>
        <v>1</v>
      </c>
      <c r="X22" t="str">
        <f t="shared" si="1"/>
        <v>No Change</v>
      </c>
      <c r="Y22" s="3"/>
      <c r="Z22" s="3"/>
      <c r="AA22" s="13">
        <f t="shared" ca="1" si="2"/>
        <v>0</v>
      </c>
      <c r="AB22" s="3" t="e">
        <f t="shared" ca="1" si="3"/>
        <v>#VALUE!</v>
      </c>
      <c r="AC22" s="3" t="e">
        <f t="shared" ca="1" si="7"/>
        <v>#N/A</v>
      </c>
      <c r="AD22" s="3" t="str">
        <f t="shared" si="4"/>
        <v/>
      </c>
      <c r="AG22">
        <f t="shared" si="5"/>
        <v>0</v>
      </c>
      <c r="AN22" s="7" t="str">
        <f>IFERROR(INDEX('MS Stats list'!P:P, MATCH(B22,'MS Stats list'!B:B,0)),"")</f>
        <v>Ministry of Ecological Transition</v>
      </c>
    </row>
    <row r="23" spans="1:40">
      <c r="A23">
        <v>18</v>
      </c>
      <c r="B23" t="s">
        <v>137</v>
      </c>
      <c r="C23" t="s">
        <v>137</v>
      </c>
      <c r="D23" s="3">
        <v>2804.7579999999998</v>
      </c>
      <c r="E23" s="3">
        <v>2374.3620000000001</v>
      </c>
      <c r="F23" s="3">
        <v>2674.5340000000001</v>
      </c>
      <c r="G23" s="3">
        <v>2686.6869999999999</v>
      </c>
      <c r="H23" s="3">
        <v>2938.6790000000001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f t="shared" ca="1" si="0"/>
        <v>0</v>
      </c>
      <c r="W23" s="16">
        <f t="shared" si="6"/>
        <v>1</v>
      </c>
      <c r="X23" t="str">
        <f t="shared" si="1"/>
        <v>No Change</v>
      </c>
      <c r="Y23" s="3"/>
      <c r="Z23" s="3"/>
      <c r="AA23" s="13">
        <f t="shared" ca="1" si="2"/>
        <v>0</v>
      </c>
      <c r="AB23" s="3" t="e">
        <f t="shared" ca="1" si="3"/>
        <v>#VALUE!</v>
      </c>
      <c r="AC23" s="3" t="e">
        <f t="shared" ca="1" si="7"/>
        <v>#N/A</v>
      </c>
      <c r="AD23" s="3" t="str">
        <f t="shared" si="4"/>
        <v/>
      </c>
      <c r="AG23">
        <f t="shared" si="5"/>
        <v>0</v>
      </c>
      <c r="AN23" s="7" t="str">
        <f>IFERROR(INDEX('MS Stats list'!P:P, MATCH(B23,'MS Stats list'!B:B,0)),"")</f>
        <v>Statistics Lithuania - Energy balances</v>
      </c>
    </row>
    <row r="24" spans="1:40">
      <c r="A24">
        <v>19</v>
      </c>
      <c r="B24" t="s">
        <v>184</v>
      </c>
      <c r="C24" t="s">
        <v>184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f t="shared" ca="1" si="0"/>
        <v>0</v>
      </c>
      <c r="W24" s="16">
        <f t="shared" si="6"/>
        <v>1</v>
      </c>
      <c r="X24" t="str">
        <f t="shared" si="1"/>
        <v>No Change</v>
      </c>
      <c r="Y24" s="3"/>
      <c r="Z24" s="3"/>
      <c r="AA24" s="13">
        <f t="shared" ca="1" si="2"/>
        <v>0</v>
      </c>
      <c r="AB24" s="3" t="e">
        <f t="shared" ca="1" si="3"/>
        <v>#VALUE!</v>
      </c>
      <c r="AC24" s="3" t="e">
        <f t="shared" ca="1" si="7"/>
        <v>#N/A</v>
      </c>
      <c r="AD24" s="3" t="str">
        <f t="shared" si="4"/>
        <v/>
      </c>
      <c r="AG24">
        <f t="shared" si="5"/>
        <v>0</v>
      </c>
      <c r="AN24" s="7" t="str">
        <f>IFERROR(INDEX('MS Stats list'!P:P, MATCH(B24,'MS Stats list'!B:B,0)),"")</f>
        <v/>
      </c>
    </row>
    <row r="25" spans="1:40">
      <c r="A25">
        <v>20</v>
      </c>
      <c r="B25" t="s">
        <v>93</v>
      </c>
      <c r="C25" t="s">
        <v>93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f t="shared" ca="1" si="0"/>
        <v>0</v>
      </c>
      <c r="W25" s="16">
        <f t="shared" si="6"/>
        <v>1</v>
      </c>
      <c r="X25" t="str">
        <f t="shared" si="1"/>
        <v>No Change</v>
      </c>
      <c r="Y25" s="3"/>
      <c r="Z25" s="3"/>
      <c r="AA25" s="13">
        <f t="shared" ca="1" si="2"/>
        <v>0</v>
      </c>
      <c r="AB25" s="3" t="e">
        <f t="shared" ca="1" si="3"/>
        <v>#VALUE!</v>
      </c>
      <c r="AC25" s="3" t="e">
        <f t="shared" ca="1" si="7"/>
        <v>#N/A</v>
      </c>
      <c r="AD25" s="3" t="str">
        <f t="shared" si="4"/>
        <v/>
      </c>
      <c r="AG25">
        <f t="shared" si="5"/>
        <v>0</v>
      </c>
      <c r="AN25" s="7" t="str">
        <f>IFERROR(INDEX('MS Stats list'!P:P, MATCH(B25,'MS Stats list'!B:B,0)),"")</f>
        <v/>
      </c>
    </row>
    <row r="26" spans="1:40">
      <c r="A26">
        <v>21</v>
      </c>
      <c r="B26" t="s">
        <v>141</v>
      </c>
      <c r="C26" t="s">
        <v>141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f t="shared" ca="1" si="0"/>
        <v>0</v>
      </c>
      <c r="W26" s="16">
        <f t="shared" si="6"/>
        <v>1</v>
      </c>
      <c r="X26" t="str">
        <f t="shared" si="1"/>
        <v>No Change</v>
      </c>
      <c r="Y26" s="3"/>
      <c r="Z26" s="3"/>
      <c r="AA26" s="13">
        <f t="shared" ca="1" si="2"/>
        <v>0</v>
      </c>
      <c r="AB26" s="3" t="e">
        <f t="shared" ca="1" si="3"/>
        <v>#VALUE!</v>
      </c>
      <c r="AC26" s="3" t="e">
        <f t="shared" ca="1" si="7"/>
        <v>#N/A</v>
      </c>
      <c r="AD26" s="3" t="str">
        <f t="shared" si="4"/>
        <v/>
      </c>
      <c r="AG26">
        <f t="shared" si="5"/>
        <v>0</v>
      </c>
      <c r="AN26" s="7" t="str">
        <f>IFERROR(INDEX('MS Stats list'!P:P, MATCH(B26,'MS Stats list'!B:B,0)),"")</f>
        <v>Msdata from consultations</v>
      </c>
    </row>
    <row r="27" spans="1:40">
      <c r="A27">
        <v>22</v>
      </c>
      <c r="B27" t="s">
        <v>145</v>
      </c>
      <c r="C27" t="s">
        <v>145</v>
      </c>
      <c r="D27" s="3">
        <v>1031.04</v>
      </c>
      <c r="E27" s="3">
        <v>894.84100000000001</v>
      </c>
      <c r="F27" s="3">
        <v>1083.405</v>
      </c>
      <c r="G27" s="3">
        <v>1075.4079999999999</v>
      </c>
      <c r="H27" s="3">
        <v>980</v>
      </c>
      <c r="I27" s="3">
        <v>917.4</v>
      </c>
      <c r="J27" s="3">
        <v>959.2</v>
      </c>
      <c r="K27" s="3">
        <v>920</v>
      </c>
      <c r="L27" s="3">
        <v>656.2</v>
      </c>
      <c r="M27" s="3">
        <v>941.3</v>
      </c>
      <c r="N27" s="3">
        <v>937.35</v>
      </c>
      <c r="O27" s="3">
        <v>916.14</v>
      </c>
      <c r="P27" s="3">
        <v>789.54</v>
      </c>
      <c r="Q27" s="3">
        <v>812.26</v>
      </c>
      <c r="R27" s="3">
        <v>910.31</v>
      </c>
      <c r="S27" s="3">
        <v>955.89</v>
      </c>
      <c r="T27" s="3">
        <v>890.43</v>
      </c>
      <c r="U27" s="3">
        <v>965.85799999999995</v>
      </c>
      <c r="V27" s="3">
        <f t="shared" ca="1" si="0"/>
        <v>926.11579695610033</v>
      </c>
      <c r="W27" s="16">
        <f t="shared" si="6"/>
        <v>2</v>
      </c>
      <c r="X27" t="str">
        <f t="shared" si="1"/>
        <v>Eurostat</v>
      </c>
      <c r="Y27" s="3"/>
      <c r="Z27" s="3"/>
      <c r="AA27" s="13">
        <f t="shared" ca="1" si="2"/>
        <v>965.85799999999995</v>
      </c>
      <c r="AB27" s="3">
        <f t="shared" ca="1" si="3"/>
        <v>926.11579695610033</v>
      </c>
      <c r="AC27" s="3">
        <f t="shared" ca="1" si="7"/>
        <v>922.43436122457717</v>
      </c>
      <c r="AD27" s="3" t="str">
        <f t="shared" si="4"/>
        <v/>
      </c>
      <c r="AG27">
        <f t="shared" si="5"/>
        <v>2</v>
      </c>
      <c r="AN27" s="7" t="str">
        <f>IFERROR(INDEX('MS Stats list'!P:P, MATCH(B27,'MS Stats list'!B:B,0)),"")</f>
        <v>CBS - Energy balance sheet; supply, transformation and consumption</v>
      </c>
    </row>
    <row r="28" spans="1:40">
      <c r="A28">
        <v>23</v>
      </c>
      <c r="B28" t="s">
        <v>185</v>
      </c>
      <c r="C28" t="s">
        <v>185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f t="shared" ca="1" si="0"/>
        <v>0</v>
      </c>
      <c r="W28" s="16">
        <f t="shared" si="6"/>
        <v>1</v>
      </c>
      <c r="X28" t="str">
        <f t="shared" si="1"/>
        <v>No Change</v>
      </c>
      <c r="Y28" s="3"/>
      <c r="Z28" s="3"/>
      <c r="AA28" s="13">
        <f t="shared" ca="1" si="2"/>
        <v>0</v>
      </c>
      <c r="AB28" s="3" t="e">
        <f t="shared" ca="1" si="3"/>
        <v>#VALUE!</v>
      </c>
      <c r="AC28" s="3" t="e">
        <f t="shared" ca="1" si="7"/>
        <v>#N/A</v>
      </c>
      <c r="AD28" s="3" t="str">
        <f t="shared" si="4"/>
        <v/>
      </c>
      <c r="AG28">
        <f t="shared" si="5"/>
        <v>0</v>
      </c>
      <c r="AN28" s="7" t="str">
        <f>IFERROR(INDEX('MS Stats list'!P:P, MATCH(B28,'MS Stats list'!B:B,0)),"")</f>
        <v/>
      </c>
    </row>
    <row r="29" spans="1:40">
      <c r="A29">
        <v>24</v>
      </c>
      <c r="B29" t="s">
        <v>149</v>
      </c>
      <c r="C29" t="s">
        <v>149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f t="shared" ca="1" si="0"/>
        <v>0</v>
      </c>
      <c r="W29" s="16">
        <f t="shared" si="6"/>
        <v>1</v>
      </c>
      <c r="X29" t="str">
        <f t="shared" si="1"/>
        <v>No Change</v>
      </c>
      <c r="Y29" s="3"/>
      <c r="Z29" s="3"/>
      <c r="AA29" s="13">
        <f t="shared" ca="1" si="2"/>
        <v>0</v>
      </c>
      <c r="AB29" s="3" t="e">
        <f t="shared" ca="1" si="3"/>
        <v>#VALUE!</v>
      </c>
      <c r="AC29" s="3" t="e">
        <f t="shared" ca="1" si="7"/>
        <v>#N/A</v>
      </c>
      <c r="AD29" s="3" t="str">
        <f t="shared" si="4"/>
        <v/>
      </c>
      <c r="AG29">
        <f t="shared" si="5"/>
        <v>0</v>
      </c>
      <c r="AN29" s="7" t="str">
        <f>IFERROR(INDEX('MS Stats list'!P:P, MATCH(B29,'MS Stats list'!B:B,0)),"")</f>
        <v>DGEG - Balanço Energético Sintético 2022</v>
      </c>
    </row>
    <row r="30" spans="1:40">
      <c r="A30">
        <v>25</v>
      </c>
      <c r="B30" t="s">
        <v>186</v>
      </c>
      <c r="C30" t="s">
        <v>186</v>
      </c>
      <c r="D30" s="3">
        <v>1432.932</v>
      </c>
      <c r="E30" s="3">
        <v>1452.7940000000001</v>
      </c>
      <c r="F30" s="3">
        <v>1988.5640000000001</v>
      </c>
      <c r="G30" s="3">
        <v>2895.7869999999998</v>
      </c>
      <c r="H30" s="3">
        <v>2979.6</v>
      </c>
      <c r="I30" s="3">
        <v>2922.83</v>
      </c>
      <c r="J30" s="3">
        <v>2978.9</v>
      </c>
      <c r="K30" s="3">
        <v>3008.49</v>
      </c>
      <c r="L30" s="3">
        <v>2922.2</v>
      </c>
      <c r="M30" s="3">
        <v>2941.2</v>
      </c>
      <c r="N30" s="3">
        <v>2940.1</v>
      </c>
      <c r="O30" s="3">
        <v>2810.7</v>
      </c>
      <c r="P30" s="3">
        <v>2907</v>
      </c>
      <c r="Q30" s="3">
        <v>2877</v>
      </c>
      <c r="R30" s="3">
        <v>2846</v>
      </c>
      <c r="S30" s="3">
        <v>2887</v>
      </c>
      <c r="T30" s="3">
        <v>2866</v>
      </c>
      <c r="U30" s="3">
        <v>2822</v>
      </c>
      <c r="V30" s="3">
        <f t="shared" ca="1" si="0"/>
        <v>2837.6098886613231</v>
      </c>
      <c r="W30" s="16">
        <f t="shared" si="6"/>
        <v>3</v>
      </c>
      <c r="X30" t="str">
        <f t="shared" si="1"/>
        <v>BP</v>
      </c>
      <c r="Y30" s="3"/>
      <c r="Z30" s="3"/>
      <c r="AA30" s="13">
        <f t="shared" ca="1" si="2"/>
        <v>2822</v>
      </c>
      <c r="AB30" s="3">
        <f t="shared" ca="1" si="3"/>
        <v>2848.2868474589782</v>
      </c>
      <c r="AC30" s="3">
        <f t="shared" ca="1" si="7"/>
        <v>2837.6098886613231</v>
      </c>
      <c r="AD30" s="3" t="str">
        <f t="shared" si="4"/>
        <v/>
      </c>
      <c r="AG30">
        <f t="shared" si="5"/>
        <v>3</v>
      </c>
      <c r="AN30" s="7" t="str">
        <f>IFERROR(INDEX('MS Stats list'!P:P, MATCH(B30,'MS Stats list'!B:B,0)),"")</f>
        <v/>
      </c>
    </row>
    <row r="31" spans="1:40">
      <c r="A31">
        <v>26</v>
      </c>
      <c r="B31" t="s">
        <v>187</v>
      </c>
      <c r="C31" t="s">
        <v>187</v>
      </c>
      <c r="D31" s="3">
        <v>18669.904999999999</v>
      </c>
      <c r="E31" s="3">
        <v>17276.955999999998</v>
      </c>
      <c r="F31" s="3">
        <v>17274.893</v>
      </c>
      <c r="G31" s="3">
        <v>16480.396000000001</v>
      </c>
      <c r="H31" s="3">
        <v>12881</v>
      </c>
      <c r="I31" s="3">
        <v>14498</v>
      </c>
      <c r="J31" s="3">
        <v>15252</v>
      </c>
      <c r="K31" s="3">
        <v>15632</v>
      </c>
      <c r="L31" s="3">
        <v>15996</v>
      </c>
      <c r="M31" s="3">
        <v>16362</v>
      </c>
      <c r="N31" s="3">
        <v>15532</v>
      </c>
      <c r="O31" s="3">
        <v>15699</v>
      </c>
      <c r="P31" s="3">
        <v>16351</v>
      </c>
      <c r="Q31" s="3">
        <v>16727</v>
      </c>
      <c r="R31" s="3">
        <v>16239</v>
      </c>
      <c r="S31" s="3">
        <v>12028</v>
      </c>
      <c r="T31" s="3">
        <v>12342</v>
      </c>
      <c r="U31" s="3">
        <v>12409</v>
      </c>
      <c r="V31" s="3">
        <f t="shared" ca="1" si="0"/>
        <v>11535.850165562913</v>
      </c>
      <c r="W31" s="16">
        <f t="shared" si="6"/>
        <v>2</v>
      </c>
      <c r="X31" t="str">
        <f t="shared" si="1"/>
        <v>Eurostat</v>
      </c>
      <c r="Y31" s="3"/>
      <c r="Z31" s="3"/>
      <c r="AA31" s="13">
        <f t="shared" ca="1" si="2"/>
        <v>12409</v>
      </c>
      <c r="AB31" s="3">
        <f t="shared" ca="1" si="3"/>
        <v>11535.850165562913</v>
      </c>
      <c r="AC31" s="3">
        <f t="shared" ca="1" si="7"/>
        <v>11528.176077319029</v>
      </c>
      <c r="AD31" s="3" t="str">
        <f t="shared" si="4"/>
        <v/>
      </c>
      <c r="AG31">
        <f t="shared" si="5"/>
        <v>2</v>
      </c>
      <c r="AN31" s="7" t="str">
        <f>IFERROR(INDEX('MS Stats list'!P:P, MATCH(B31,'MS Stats list'!B:B,0)),"")</f>
        <v/>
      </c>
    </row>
    <row r="32" spans="1:40">
      <c r="A32">
        <v>27</v>
      </c>
      <c r="B32" t="s">
        <v>79</v>
      </c>
      <c r="C32" t="s">
        <v>79</v>
      </c>
      <c r="D32" s="3">
        <v>1517.799</v>
      </c>
      <c r="E32" s="3">
        <v>1431.126</v>
      </c>
      <c r="F32" s="3">
        <v>1469.046</v>
      </c>
      <c r="G32" s="3">
        <v>1618.143</v>
      </c>
      <c r="H32" s="3">
        <v>1354.6859999999999</v>
      </c>
      <c r="I32" s="3">
        <v>1335.24</v>
      </c>
      <c r="J32" s="3">
        <v>1470.482</v>
      </c>
      <c r="K32" s="3">
        <v>1308.1320000000001</v>
      </c>
      <c r="L32" s="3">
        <v>1250.9000000000001</v>
      </c>
      <c r="M32" s="3">
        <v>1499.4590000000001</v>
      </c>
      <c r="N32" s="3">
        <v>1332.2</v>
      </c>
      <c r="O32" s="3">
        <v>1348.646</v>
      </c>
      <c r="P32" s="3">
        <v>1488.1</v>
      </c>
      <c r="Q32" s="3">
        <v>1364.6</v>
      </c>
      <c r="R32" s="3">
        <v>1375.2</v>
      </c>
      <c r="S32" s="3">
        <v>1496.8520000000001</v>
      </c>
      <c r="T32" s="3">
        <v>1352.443</v>
      </c>
      <c r="U32" s="3">
        <v>1336.549</v>
      </c>
      <c r="V32" s="3">
        <f t="shared" ca="1" si="0"/>
        <v>1335.9532765619629</v>
      </c>
      <c r="W32" s="16">
        <f t="shared" ca="1" si="6"/>
        <v>4</v>
      </c>
      <c r="X32" t="str">
        <f t="shared" ca="1" si="1"/>
        <v>Based on MS Stats</v>
      </c>
      <c r="Y32" s="3"/>
      <c r="Z32" s="3"/>
      <c r="AA32" s="13">
        <f t="shared" ca="1" si="2"/>
        <v>1336.549</v>
      </c>
      <c r="AB32" s="3" t="e">
        <f t="shared" ca="1" si="3"/>
        <v>#VALUE!</v>
      </c>
      <c r="AC32" s="3">
        <f t="shared" ca="1" si="7"/>
        <v>1331.098336432957</v>
      </c>
      <c r="AD32" s="3">
        <f t="shared" ca="1" si="4"/>
        <v>1335.9532765619629</v>
      </c>
      <c r="AG32">
        <f t="shared" si="5"/>
        <v>3</v>
      </c>
      <c r="AN32" s="7" t="str">
        <f>IFERROR(INDEX('MS Stats list'!P:P, MATCH(B32,'MS Stats list'!B:B,0)),"")</f>
        <v>Statistical Office of Slovenia - Energy balance</v>
      </c>
    </row>
    <row r="33" spans="1:40">
      <c r="A33">
        <v>28</v>
      </c>
      <c r="B33" t="s">
        <v>188</v>
      </c>
      <c r="C33" t="s">
        <v>188</v>
      </c>
      <c r="D33" s="3">
        <v>4732.7460000000001</v>
      </c>
      <c r="E33" s="3">
        <v>4812.2809999999999</v>
      </c>
      <c r="F33" s="3">
        <v>4101.2749999999996</v>
      </c>
      <c r="G33" s="3">
        <v>4452.1930000000002</v>
      </c>
      <c r="H33" s="3">
        <v>3783</v>
      </c>
      <c r="I33" s="3">
        <v>3853.28</v>
      </c>
      <c r="J33" s="3">
        <v>4027</v>
      </c>
      <c r="K33" s="3">
        <v>4050</v>
      </c>
      <c r="L33" s="3">
        <v>4110.51</v>
      </c>
      <c r="M33" s="3">
        <v>4053</v>
      </c>
      <c r="N33" s="3">
        <v>4028</v>
      </c>
      <c r="O33" s="3">
        <v>3894</v>
      </c>
      <c r="P33" s="3">
        <v>3985</v>
      </c>
      <c r="Q33" s="3">
        <v>3760</v>
      </c>
      <c r="R33" s="3">
        <v>4048</v>
      </c>
      <c r="S33" s="3">
        <v>4044</v>
      </c>
      <c r="T33" s="3">
        <v>4051.05</v>
      </c>
      <c r="U33" s="3">
        <v>4096.99</v>
      </c>
      <c r="V33" s="3">
        <f t="shared" ca="1" si="0"/>
        <v>4701.1158190523938</v>
      </c>
      <c r="W33" s="16">
        <f t="shared" si="6"/>
        <v>3</v>
      </c>
      <c r="X33" t="str">
        <f t="shared" si="1"/>
        <v>BP</v>
      </c>
      <c r="Y33" s="3"/>
      <c r="Z33" s="3"/>
      <c r="AA33" s="13">
        <f t="shared" ca="1" si="2"/>
        <v>4096.99</v>
      </c>
      <c r="AB33" s="3">
        <f t="shared" ca="1" si="3"/>
        <v>4720.5457016331657</v>
      </c>
      <c r="AC33" s="3">
        <f t="shared" ca="1" si="7"/>
        <v>4701.1158190523938</v>
      </c>
      <c r="AD33" s="3" t="str">
        <f t="shared" si="4"/>
        <v/>
      </c>
      <c r="AG33">
        <f t="shared" si="5"/>
        <v>3</v>
      </c>
      <c r="AN33" s="7" t="str">
        <f>IFERROR(INDEX('MS Stats list'!P:P, MATCH(B33,'MS Stats list'!B:B,0)),"")</f>
        <v/>
      </c>
    </row>
    <row r="34" spans="1:40">
      <c r="A34">
        <v>29</v>
      </c>
      <c r="B34" t="s">
        <v>163</v>
      </c>
      <c r="C34" t="s">
        <v>163</v>
      </c>
      <c r="D34" s="3">
        <v>21053.653999999999</v>
      </c>
      <c r="E34" s="3">
        <v>19462.855</v>
      </c>
      <c r="F34" s="3">
        <v>16258.298000000001</v>
      </c>
      <c r="G34" s="3">
        <v>13538.950999999999</v>
      </c>
      <c r="H34" s="3">
        <v>15229</v>
      </c>
      <c r="I34" s="3">
        <v>13947</v>
      </c>
      <c r="J34" s="3">
        <v>15626</v>
      </c>
      <c r="K34" s="3">
        <v>15206</v>
      </c>
      <c r="L34" s="3">
        <v>15443</v>
      </c>
      <c r="M34" s="3">
        <v>13850</v>
      </c>
      <c r="N34" s="3">
        <v>15479.333000000001</v>
      </c>
      <c r="O34" s="3">
        <v>15413.826999999999</v>
      </c>
      <c r="P34" s="3">
        <v>15123.808000000001</v>
      </c>
      <c r="Q34" s="3">
        <v>14060.727000000001</v>
      </c>
      <c r="R34" s="3">
        <v>13252.5</v>
      </c>
      <c r="S34" s="3">
        <v>0</v>
      </c>
      <c r="T34" s="3">
        <v>0</v>
      </c>
      <c r="U34" s="3">
        <v>0</v>
      </c>
      <c r="V34" s="3">
        <f t="shared" ca="1" si="0"/>
        <v>0</v>
      </c>
      <c r="W34" s="16">
        <f t="shared" si="6"/>
        <v>3</v>
      </c>
      <c r="X34" t="str">
        <f t="shared" si="1"/>
        <v>BP</v>
      </c>
      <c r="Y34" s="3"/>
      <c r="Z34" s="3"/>
      <c r="AA34" s="13">
        <f t="shared" ca="1" si="2"/>
        <v>0</v>
      </c>
      <c r="AB34" s="3">
        <f t="shared" ca="1" si="3"/>
        <v>0</v>
      </c>
      <c r="AC34" s="3">
        <f t="shared" ca="1" si="7"/>
        <v>0</v>
      </c>
      <c r="AD34" s="3" t="str">
        <f>IF(ISNUMBER(AD69),$AA34*(1+AD69),"")</f>
        <v/>
      </c>
      <c r="AG34">
        <f t="shared" si="5"/>
        <v>3</v>
      </c>
      <c r="AN34" s="7" t="str">
        <f>IFERROR(INDEX('MS Stats list'!P:P, MATCH(B34,'MS Stats list'!B:B,0)),"")</f>
        <v>BEIS - Digest of UK Energy Statistics (DUKES)</v>
      </c>
    </row>
    <row r="35" spans="1:40">
      <c r="B35" s="40" t="s">
        <v>189</v>
      </c>
      <c r="C35" s="40" t="s">
        <v>189</v>
      </c>
      <c r="D35" s="41">
        <f>SUM(D7:D34)</f>
        <v>257827.91400000002</v>
      </c>
      <c r="E35" s="41">
        <f t="shared" ref="E35:V35" si="8">SUM(E7:E34)</f>
        <v>255812.27799999996</v>
      </c>
      <c r="F35" s="41">
        <f t="shared" si="8"/>
        <v>241713.68700000006</v>
      </c>
      <c r="G35" s="41">
        <f t="shared" si="8"/>
        <v>242210.16100000002</v>
      </c>
      <c r="H35" s="41">
        <f t="shared" si="8"/>
        <v>227865.71299999999</v>
      </c>
      <c r="I35" s="41">
        <f t="shared" si="8"/>
        <v>233567.71799999996</v>
      </c>
      <c r="J35" s="41">
        <f t="shared" si="8"/>
        <v>230971.91299999997</v>
      </c>
      <c r="K35" s="41">
        <f t="shared" si="8"/>
        <v>223578.39500000002</v>
      </c>
      <c r="L35" s="41">
        <f t="shared" si="8"/>
        <v>221957.04700000005</v>
      </c>
      <c r="M35" s="41">
        <f t="shared" si="8"/>
        <v>222816.14600000001</v>
      </c>
      <c r="N35" s="41">
        <f t="shared" si="8"/>
        <v>219260.98400000003</v>
      </c>
      <c r="O35" s="41">
        <f t="shared" si="8"/>
        <v>212466.61900000004</v>
      </c>
      <c r="P35" s="41">
        <f t="shared" si="8"/>
        <v>210022.66500000001</v>
      </c>
      <c r="Q35" s="41">
        <f t="shared" si="8"/>
        <v>209308.33900000004</v>
      </c>
      <c r="R35" s="41">
        <f t="shared" ref="R35:S35" si="9">SUM(R7:R34)</f>
        <v>209433.421</v>
      </c>
      <c r="S35" s="41">
        <f t="shared" si="9"/>
        <v>175176.12900000002</v>
      </c>
      <c r="T35" s="41">
        <f t="shared" ref="T35:U35" si="10">SUM(T7:T34)</f>
        <v>186662.50699999998</v>
      </c>
      <c r="U35" s="41">
        <f t="shared" si="10"/>
        <v>155481.42799999999</v>
      </c>
      <c r="V35" s="41">
        <f t="shared" ca="1" si="8"/>
        <v>158229.80314609341</v>
      </c>
    </row>
    <row r="36" spans="1:40">
      <c r="B36" s="40" t="s">
        <v>190</v>
      </c>
      <c r="C36" s="40" t="s">
        <v>190</v>
      </c>
      <c r="D36" s="41">
        <f>SUM(D7:D33)</f>
        <v>236774.26</v>
      </c>
      <c r="E36" s="41">
        <f t="shared" ref="E36:V36" si="11">SUM(E7:E33)</f>
        <v>236349.42299999995</v>
      </c>
      <c r="F36" s="41">
        <f t="shared" si="11"/>
        <v>225455.38900000005</v>
      </c>
      <c r="G36" s="41">
        <f t="shared" si="11"/>
        <v>228671.21000000002</v>
      </c>
      <c r="H36" s="41">
        <f t="shared" si="11"/>
        <v>212636.71299999999</v>
      </c>
      <c r="I36" s="41">
        <f t="shared" si="11"/>
        <v>219620.71799999996</v>
      </c>
      <c r="J36" s="41">
        <f t="shared" si="11"/>
        <v>215345.91299999997</v>
      </c>
      <c r="K36" s="41">
        <f t="shared" si="11"/>
        <v>208372.39500000002</v>
      </c>
      <c r="L36" s="41">
        <f t="shared" si="11"/>
        <v>206514.04700000005</v>
      </c>
      <c r="M36" s="41">
        <f t="shared" si="11"/>
        <v>208966.14600000001</v>
      </c>
      <c r="N36" s="41">
        <f t="shared" si="11"/>
        <v>203781.65100000001</v>
      </c>
      <c r="O36" s="41">
        <f t="shared" si="11"/>
        <v>197052.79200000004</v>
      </c>
      <c r="P36" s="41">
        <f t="shared" si="11"/>
        <v>194898.85700000002</v>
      </c>
      <c r="Q36" s="41">
        <f t="shared" si="11"/>
        <v>195247.61200000002</v>
      </c>
      <c r="R36" s="41">
        <f t="shared" ref="R36:S36" si="12">SUM(R7:R33)</f>
        <v>196180.921</v>
      </c>
      <c r="S36" s="41">
        <f t="shared" si="12"/>
        <v>175176.12900000002</v>
      </c>
      <c r="T36" s="41">
        <f t="shared" ref="T36:U36" si="13">SUM(T7:T33)</f>
        <v>186662.50699999998</v>
      </c>
      <c r="U36" s="41">
        <f t="shared" si="13"/>
        <v>155481.42799999999</v>
      </c>
      <c r="V36" s="41">
        <f t="shared" ca="1" si="11"/>
        <v>158229.80314609341</v>
      </c>
    </row>
    <row r="40" spans="1:40">
      <c r="A40" s="5" t="s">
        <v>191</v>
      </c>
      <c r="D40" t="s">
        <v>173</v>
      </c>
      <c r="AA40" s="11" t="s">
        <v>207</v>
      </c>
      <c r="AB40" t="str">
        <f>AB5</f>
        <v>Eurostat</v>
      </c>
      <c r="AC40" t="str">
        <f>AC5</f>
        <v>BP</v>
      </c>
      <c r="AD40" t="str">
        <f>AD5</f>
        <v>Based on MS Stats</v>
      </c>
      <c r="AE40" s="147" t="s">
        <v>208</v>
      </c>
    </row>
    <row r="41" spans="1:40">
      <c r="A41" t="str">
        <f t="shared" ref="A41:M41" si="14">A6</f>
        <v>source row</v>
      </c>
      <c r="B41" t="str">
        <f t="shared" si="14"/>
        <v>MS Code 1</v>
      </c>
      <c r="C41" t="str">
        <f t="shared" si="14"/>
        <v>MS Code 2</v>
      </c>
      <c r="D41" s="1">
        <f t="shared" si="14"/>
        <v>2005</v>
      </c>
      <c r="E41" s="1">
        <f t="shared" si="14"/>
        <v>2006</v>
      </c>
      <c r="F41" s="1">
        <f t="shared" si="14"/>
        <v>2007</v>
      </c>
      <c r="G41" s="1">
        <f t="shared" si="14"/>
        <v>2008</v>
      </c>
      <c r="H41" s="1">
        <f t="shared" si="14"/>
        <v>2009</v>
      </c>
      <c r="I41" s="1">
        <f t="shared" si="14"/>
        <v>2010</v>
      </c>
      <c r="J41" s="1">
        <f t="shared" si="14"/>
        <v>2011</v>
      </c>
      <c r="K41" s="1">
        <f t="shared" si="14"/>
        <v>2012</v>
      </c>
      <c r="L41" s="1">
        <f t="shared" si="14"/>
        <v>2013</v>
      </c>
      <c r="M41" s="1">
        <f t="shared" si="14"/>
        <v>2014</v>
      </c>
      <c r="N41" s="1">
        <f t="shared" ref="N41:S41" si="15">N6</f>
        <v>2015</v>
      </c>
      <c r="O41" s="1">
        <f t="shared" si="15"/>
        <v>2016</v>
      </c>
      <c r="P41" s="1">
        <f t="shared" si="15"/>
        <v>2017</v>
      </c>
      <c r="Q41" s="1">
        <f t="shared" si="15"/>
        <v>2018</v>
      </c>
      <c r="R41" s="1">
        <f t="shared" ref="R41" si="16">R6</f>
        <v>2019</v>
      </c>
      <c r="S41" s="1">
        <f t="shared" si="15"/>
        <v>2020</v>
      </c>
      <c r="T41" s="1">
        <f t="shared" ref="T41:U41" si="17">T6</f>
        <v>2021</v>
      </c>
      <c r="U41" s="1">
        <f t="shared" si="17"/>
        <v>2022</v>
      </c>
      <c r="V41" s="2">
        <f>YearProxy</f>
        <v>2023</v>
      </c>
      <c r="W41" s="1"/>
      <c r="X41" s="1"/>
      <c r="Y41" s="1"/>
      <c r="Z41" s="1"/>
      <c r="AA41" s="12">
        <f>AA6</f>
        <v>2023</v>
      </c>
      <c r="AB41" s="2">
        <f>AB6</f>
        <v>2023</v>
      </c>
      <c r="AC41" s="2">
        <f>YearProxy</f>
        <v>2023</v>
      </c>
      <c r="AD41" s="2">
        <f>YearProxy</f>
        <v>2023</v>
      </c>
      <c r="AE41" s="147"/>
    </row>
    <row r="42" spans="1:40">
      <c r="A42">
        <f t="shared" ref="A42:C69" si="18">A7</f>
        <v>2</v>
      </c>
      <c r="B42" t="str">
        <f t="shared" si="18"/>
        <v>AT</v>
      </c>
      <c r="C42" t="str">
        <f t="shared" si="18"/>
        <v>AT</v>
      </c>
      <c r="D42" s="8"/>
      <c r="E42" s="8">
        <f t="shared" ref="E42:M42" si="19">IFERROR(E7/D7-1,0)</f>
        <v>0</v>
      </c>
      <c r="F42" s="8">
        <f t="shared" si="19"/>
        <v>0</v>
      </c>
      <c r="G42" s="8">
        <f t="shared" si="19"/>
        <v>0</v>
      </c>
      <c r="H42" s="8">
        <f t="shared" si="19"/>
        <v>0</v>
      </c>
      <c r="I42" s="8">
        <f t="shared" si="19"/>
        <v>0</v>
      </c>
      <c r="J42" s="8">
        <f t="shared" si="19"/>
        <v>0</v>
      </c>
      <c r="K42" s="8">
        <f t="shared" si="19"/>
        <v>0</v>
      </c>
      <c r="L42" s="8">
        <f t="shared" si="19"/>
        <v>0</v>
      </c>
      <c r="M42" s="8">
        <f t="shared" si="19"/>
        <v>0</v>
      </c>
      <c r="N42" s="8">
        <f t="shared" ref="N42:R69" si="20">IFERROR(N7/M7-1,0)</f>
        <v>0</v>
      </c>
      <c r="O42" s="8">
        <f t="shared" si="20"/>
        <v>0</v>
      </c>
      <c r="P42" s="8">
        <f t="shared" si="20"/>
        <v>0</v>
      </c>
      <c r="Q42" s="8">
        <f t="shared" si="20"/>
        <v>0</v>
      </c>
      <c r="R42" s="8">
        <f t="shared" si="20"/>
        <v>0</v>
      </c>
      <c r="S42" s="8">
        <f t="shared" ref="S42:S71" si="21">IFERROR(S7/R7-1,0)</f>
        <v>0</v>
      </c>
      <c r="T42" s="8">
        <f t="shared" ref="T42:T71" si="22">IFERROR(T7/S7-1,0)</f>
        <v>0</v>
      </c>
      <c r="U42" s="8">
        <f t="shared" ref="U42:V71" si="23">IFERROR(U7/T7-1,0)</f>
        <v>0</v>
      </c>
      <c r="V42" s="8">
        <f t="shared" ca="1" si="23"/>
        <v>0</v>
      </c>
      <c r="W42" s="8"/>
      <c r="X42" s="8"/>
      <c r="Y42" s="8"/>
      <c r="Z42" s="8"/>
      <c r="AA42" s="14">
        <v>0</v>
      </c>
      <c r="AB42" s="8" t="s">
        <v>209</v>
      </c>
      <c r="AC42" s="8" t="e">
        <v>#N/A</v>
      </c>
      <c r="AD42" s="24"/>
      <c r="AE42" s="17" t="e">
        <f t="shared" ref="AE42:AE69" si="24">AC42-AB42</f>
        <v>#N/A</v>
      </c>
      <c r="AF42" s="8"/>
    </row>
    <row r="43" spans="1:40">
      <c r="A43">
        <f t="shared" si="18"/>
        <v>3</v>
      </c>
      <c r="B43" t="str">
        <f t="shared" si="18"/>
        <v>BE</v>
      </c>
      <c r="C43" t="str">
        <f t="shared" si="18"/>
        <v>BE</v>
      </c>
      <c r="D43" s="8"/>
      <c r="E43" s="8">
        <f t="shared" ref="E43:M43" si="25">IFERROR(E8/D8-1,0)</f>
        <v>-1.9960088944637522E-2</v>
      </c>
      <c r="F43" s="8">
        <f t="shared" si="25"/>
        <v>3.3915784952499139E-2</v>
      </c>
      <c r="G43" s="8">
        <f t="shared" si="25"/>
        <v>-5.5135126271198431E-2</v>
      </c>
      <c r="H43" s="8">
        <f t="shared" si="25"/>
        <v>8.410362460853138E-3</v>
      </c>
      <c r="I43" s="8">
        <f t="shared" si="25"/>
        <v>-2.062162166494419E-2</v>
      </c>
      <c r="J43" s="8">
        <f t="shared" si="25"/>
        <v>7.9041400558694797E-3</v>
      </c>
      <c r="K43" s="8">
        <f t="shared" si="25"/>
        <v>-0.16540144783892063</v>
      </c>
      <c r="L43" s="8">
        <f t="shared" si="25"/>
        <v>5.8490803110970546E-2</v>
      </c>
      <c r="M43" s="8">
        <f t="shared" si="25"/>
        <v>-0.20899320407867505</v>
      </c>
      <c r="N43" s="8">
        <f t="shared" si="20"/>
        <v>-0.23153181591971961</v>
      </c>
      <c r="O43" s="8">
        <f t="shared" si="20"/>
        <v>0.68528840023313053</v>
      </c>
      <c r="P43" s="8">
        <f t="shared" si="20"/>
        <v>-2.7316828922028136E-2</v>
      </c>
      <c r="Q43" s="8">
        <f t="shared" si="20"/>
        <v>-0.3241691270919278</v>
      </c>
      <c r="R43" s="8">
        <f t="shared" si="20"/>
        <v>0.52187257842491341</v>
      </c>
      <c r="S43" s="8">
        <f t="shared" si="21"/>
        <v>-0.20980040203727846</v>
      </c>
      <c r="T43" s="8">
        <f t="shared" si="22"/>
        <v>0.46018350223957327</v>
      </c>
      <c r="U43" s="8">
        <f t="shared" si="23"/>
        <v>-0.12481713080794277</v>
      </c>
      <c r="V43" s="8">
        <f t="shared" ca="1" si="23"/>
        <v>-0.24957667773495806</v>
      </c>
      <c r="W43" s="8"/>
      <c r="X43" s="8"/>
      <c r="Y43" s="8"/>
      <c r="Z43" s="8"/>
      <c r="AA43" s="14">
        <v>0</v>
      </c>
      <c r="AB43" s="8">
        <v>-0.24957667773495804</v>
      </c>
      <c r="AC43" s="8">
        <v>-0.25230043005712283</v>
      </c>
      <c r="AD43" s="24"/>
      <c r="AE43" s="17">
        <f t="shared" si="24"/>
        <v>-2.7237523221647908E-3</v>
      </c>
      <c r="AF43" s="8"/>
    </row>
    <row r="44" spans="1:40">
      <c r="A44">
        <f t="shared" si="18"/>
        <v>4</v>
      </c>
      <c r="B44" t="str">
        <f t="shared" si="18"/>
        <v>BG</v>
      </c>
      <c r="C44" t="str">
        <f t="shared" si="18"/>
        <v>BG</v>
      </c>
      <c r="D44" s="8"/>
      <c r="E44" s="8">
        <f t="shared" ref="E44:M44" si="26">IFERROR(E9/D9-1,0)</f>
        <v>4.438195801507927E-2</v>
      </c>
      <c r="F44" s="8">
        <f t="shared" si="26"/>
        <v>-0.24294870859290529</v>
      </c>
      <c r="G44" s="8">
        <f t="shared" si="26"/>
        <v>7.6372848520974479E-2</v>
      </c>
      <c r="H44" s="8">
        <f t="shared" si="26"/>
        <v>-6.139236645951307E-2</v>
      </c>
      <c r="I44" s="8">
        <f t="shared" si="26"/>
        <v>-7.4241021581212818E-3</v>
      </c>
      <c r="J44" s="8">
        <f t="shared" si="26"/>
        <v>6.6495718501891288E-2</v>
      </c>
      <c r="K44" s="8">
        <f t="shared" si="26"/>
        <v>-2.0664690248887285E-2</v>
      </c>
      <c r="L44" s="8">
        <f t="shared" si="26"/>
        <v>-8.7721131076751613E-2</v>
      </c>
      <c r="M44" s="8">
        <f t="shared" si="26"/>
        <v>0.10337061495591104</v>
      </c>
      <c r="N44" s="8">
        <f t="shared" si="20"/>
        <v>-3.3286381496033801E-2</v>
      </c>
      <c r="O44" s="8">
        <f t="shared" si="20"/>
        <v>2.5281186094069596E-2</v>
      </c>
      <c r="P44" s="8">
        <f t="shared" si="20"/>
        <v>-1.7502306215562702E-2</v>
      </c>
      <c r="Q44" s="8">
        <f t="shared" si="20"/>
        <v>5.7756236201690125E-2</v>
      </c>
      <c r="R44" s="8">
        <f t="shared" si="20"/>
        <v>3.2018328815104358E-2</v>
      </c>
      <c r="S44" s="8">
        <f t="shared" si="21"/>
        <v>7.6515158207264289E-3</v>
      </c>
      <c r="T44" s="8">
        <f t="shared" si="22"/>
        <v>-9.1663115844615728E-3</v>
      </c>
      <c r="U44" s="8">
        <f t="shared" si="23"/>
        <v>-1.2142183926030503E-3</v>
      </c>
      <c r="V44" s="8">
        <f t="shared" ca="1" si="23"/>
        <v>-1.8147349857107309E-2</v>
      </c>
      <c r="W44" s="8"/>
      <c r="X44" s="8"/>
      <c r="Y44" s="8"/>
      <c r="Z44" s="8"/>
      <c r="AA44" s="14">
        <v>0</v>
      </c>
      <c r="AB44" s="8">
        <v>-1.8147349857107444E-2</v>
      </c>
      <c r="AC44" s="8">
        <v>-2.0993040209876138E-2</v>
      </c>
      <c r="AD44" s="24"/>
      <c r="AE44" s="17">
        <f t="shared" si="24"/>
        <v>-2.8456903527686941E-3</v>
      </c>
      <c r="AF44" s="8"/>
    </row>
    <row r="45" spans="1:40">
      <c r="A45">
        <f t="shared" si="18"/>
        <v>5</v>
      </c>
      <c r="B45" t="str">
        <f t="shared" si="18"/>
        <v>CY</v>
      </c>
      <c r="C45" t="str">
        <f t="shared" si="18"/>
        <v>CY</v>
      </c>
      <c r="D45" s="8"/>
      <c r="E45" s="8">
        <f t="shared" ref="E45:M45" si="27">IFERROR(E10/D10-1,0)</f>
        <v>0</v>
      </c>
      <c r="F45" s="8">
        <f t="shared" si="27"/>
        <v>0</v>
      </c>
      <c r="G45" s="8">
        <f t="shared" si="27"/>
        <v>0</v>
      </c>
      <c r="H45" s="8">
        <f t="shared" si="27"/>
        <v>0</v>
      </c>
      <c r="I45" s="8">
        <f t="shared" si="27"/>
        <v>0</v>
      </c>
      <c r="J45" s="8">
        <f t="shared" si="27"/>
        <v>0</v>
      </c>
      <c r="K45" s="8">
        <f t="shared" si="27"/>
        <v>0</v>
      </c>
      <c r="L45" s="8">
        <f t="shared" si="27"/>
        <v>0</v>
      </c>
      <c r="M45" s="8">
        <f t="shared" si="27"/>
        <v>0</v>
      </c>
      <c r="N45" s="8">
        <f t="shared" si="20"/>
        <v>0</v>
      </c>
      <c r="O45" s="8">
        <f t="shared" si="20"/>
        <v>0</v>
      </c>
      <c r="P45" s="8">
        <f t="shared" si="20"/>
        <v>0</v>
      </c>
      <c r="Q45" s="8">
        <f t="shared" si="20"/>
        <v>0</v>
      </c>
      <c r="R45" s="8">
        <f t="shared" si="20"/>
        <v>0</v>
      </c>
      <c r="S45" s="8">
        <f t="shared" si="21"/>
        <v>0</v>
      </c>
      <c r="T45" s="8">
        <f t="shared" si="22"/>
        <v>0</v>
      </c>
      <c r="U45" s="8">
        <f t="shared" si="23"/>
        <v>0</v>
      </c>
      <c r="V45" s="8">
        <f t="shared" ca="1" si="23"/>
        <v>0</v>
      </c>
      <c r="W45" s="8"/>
      <c r="X45" s="8"/>
      <c r="Y45" s="8"/>
      <c r="Z45" s="8"/>
      <c r="AA45" s="14">
        <v>0</v>
      </c>
      <c r="AB45" s="8" t="s">
        <v>209</v>
      </c>
      <c r="AC45" s="8" t="e">
        <v>#N/A</v>
      </c>
      <c r="AD45" s="24"/>
      <c r="AE45" s="17" t="e">
        <f t="shared" si="24"/>
        <v>#N/A</v>
      </c>
      <c r="AF45" s="8"/>
    </row>
    <row r="46" spans="1:40">
      <c r="A46">
        <f t="shared" si="18"/>
        <v>6</v>
      </c>
      <c r="B46" t="str">
        <f t="shared" si="18"/>
        <v>CZ</v>
      </c>
      <c r="C46" t="str">
        <f t="shared" si="18"/>
        <v>CZ</v>
      </c>
      <c r="D46" s="8"/>
      <c r="E46" s="8">
        <f t="shared" ref="E46:M46" si="28">IFERROR(E11/D11-1,0)</f>
        <v>5.2363188548363526E-2</v>
      </c>
      <c r="F46" s="8">
        <f t="shared" si="28"/>
        <v>4.0766244101828608E-3</v>
      </c>
      <c r="G46" s="8">
        <f t="shared" si="28"/>
        <v>1.398191126229853E-2</v>
      </c>
      <c r="H46" s="8">
        <f t="shared" si="28"/>
        <v>8.2275903966058106E-3</v>
      </c>
      <c r="I46" s="8">
        <f t="shared" si="28"/>
        <v>2.6528270763722217E-2</v>
      </c>
      <c r="J46" s="8">
        <f t="shared" si="28"/>
        <v>5.5101708774445424E-3</v>
      </c>
      <c r="K46" s="8">
        <f t="shared" si="28"/>
        <v>6.5853455280318274E-2</v>
      </c>
      <c r="L46" s="8">
        <f t="shared" si="28"/>
        <v>1.1015919369141258E-2</v>
      </c>
      <c r="M46" s="8">
        <f t="shared" si="28"/>
        <v>-1.6466411575092765E-2</v>
      </c>
      <c r="N46" s="8">
        <f t="shared" si="20"/>
        <v>-0.1245502745071726</v>
      </c>
      <c r="O46" s="8">
        <f t="shared" si="20"/>
        <v>-0.10521212055891671</v>
      </c>
      <c r="P46" s="8">
        <f t="shared" si="20"/>
        <v>0.17386521919371623</v>
      </c>
      <c r="Q46" s="8">
        <f t="shared" si="20"/>
        <v>6.1598508831048671E-2</v>
      </c>
      <c r="R46" s="8">
        <f t="shared" si="20"/>
        <v>1.3317760773258192E-2</v>
      </c>
      <c r="S46" s="8">
        <f t="shared" si="21"/>
        <v>-6.8770001446700757E-3</v>
      </c>
      <c r="T46" s="8">
        <f t="shared" si="22"/>
        <v>1.9387844261731901E-2</v>
      </c>
      <c r="U46" s="8">
        <f t="shared" si="23"/>
        <v>9.5423333654383047E-3</v>
      </c>
      <c r="V46" s="8">
        <f t="shared" ca="1" si="23"/>
        <v>-1.9706973899975555E-2</v>
      </c>
      <c r="W46" s="8"/>
      <c r="X46" s="8"/>
      <c r="Y46" s="8"/>
      <c r="Z46" s="8"/>
      <c r="AA46" s="14">
        <v>0</v>
      </c>
      <c r="AB46" s="8">
        <v>-1.9706973899975576E-2</v>
      </c>
      <c r="AC46" s="8">
        <v>-2.3268792553986346E-2</v>
      </c>
      <c r="AD46" s="24"/>
      <c r="AE46" s="17">
        <f t="shared" si="24"/>
        <v>-3.5618186540107705E-3</v>
      </c>
      <c r="AF46" s="8"/>
    </row>
    <row r="47" spans="1:40">
      <c r="A47">
        <f t="shared" si="18"/>
        <v>7</v>
      </c>
      <c r="B47" t="str">
        <f t="shared" si="18"/>
        <v>DE</v>
      </c>
      <c r="C47" t="str">
        <f t="shared" si="18"/>
        <v>DE</v>
      </c>
      <c r="D47" s="8"/>
      <c r="E47" s="8">
        <f t="shared" ref="E47:M47" si="29">IFERROR(E12/D12-1,0)</f>
        <v>2.5844032395243799E-2</v>
      </c>
      <c r="F47" s="8">
        <f t="shared" si="29"/>
        <v>-0.15983235234097992</v>
      </c>
      <c r="G47" s="8">
        <f t="shared" si="29"/>
        <v>5.6648203025953858E-2</v>
      </c>
      <c r="H47" s="8">
        <f t="shared" si="29"/>
        <v>-9.3241933161666624E-2</v>
      </c>
      <c r="I47" s="8">
        <f t="shared" si="29"/>
        <v>4.2253521126760729E-2</v>
      </c>
      <c r="J47" s="8">
        <f t="shared" si="29"/>
        <v>-0.2318622792866456</v>
      </c>
      <c r="K47" s="8">
        <f t="shared" si="29"/>
        <v>-7.8706234356569649E-2</v>
      </c>
      <c r="L47" s="8">
        <f t="shared" si="29"/>
        <v>-2.2108936475841667E-2</v>
      </c>
      <c r="M47" s="8">
        <f t="shared" si="29"/>
        <v>-1.6565411420953469E-3</v>
      </c>
      <c r="N47" s="8">
        <f t="shared" si="20"/>
        <v>-5.4950721091372889E-2</v>
      </c>
      <c r="O47" s="8">
        <f t="shared" si="20"/>
        <v>-7.7915772422334051E-2</v>
      </c>
      <c r="P47" s="8">
        <f t="shared" si="20"/>
        <v>-9.8189009254543547E-2</v>
      </c>
      <c r="Q47" s="8">
        <f t="shared" si="20"/>
        <v>-4.2585234066152555E-3</v>
      </c>
      <c r="R47" s="8">
        <f t="shared" si="20"/>
        <v>-1.2211946246998062E-2</v>
      </c>
      <c r="S47" s="8">
        <f t="shared" si="21"/>
        <v>-0.14252017380509008</v>
      </c>
      <c r="T47" s="8">
        <f t="shared" si="22"/>
        <v>7.1895058153564007E-2</v>
      </c>
      <c r="U47" s="8">
        <f t="shared" si="23"/>
        <v>-0.49697753170060199</v>
      </c>
      <c r="V47" s="8">
        <f t="shared" ca="1" si="23"/>
        <v>-0.79155672823219003</v>
      </c>
      <c r="W47" s="8"/>
      <c r="X47" s="8"/>
      <c r="Y47" s="8"/>
      <c r="Z47" s="8"/>
      <c r="AA47" s="14">
        <v>0</v>
      </c>
      <c r="AB47" s="8">
        <v>-0.79210003169206833</v>
      </c>
      <c r="AC47" s="8">
        <v>-0.79285698215032041</v>
      </c>
      <c r="AD47" s="24">
        <v>-0.79155672823219003</v>
      </c>
      <c r="AE47" s="17">
        <f t="shared" si="24"/>
        <v>-7.569504582520814E-4</v>
      </c>
      <c r="AF47" s="8"/>
    </row>
    <row r="48" spans="1:40">
      <c r="A48">
        <f t="shared" si="18"/>
        <v>8</v>
      </c>
      <c r="B48" t="str">
        <f t="shared" si="18"/>
        <v>DK</v>
      </c>
      <c r="C48" t="str">
        <f t="shared" si="18"/>
        <v>DK</v>
      </c>
      <c r="D48" s="8"/>
      <c r="E48" s="8">
        <f t="shared" ref="E48:M48" si="30">IFERROR(E13/D13-1,0)</f>
        <v>0</v>
      </c>
      <c r="F48" s="8">
        <f t="shared" si="30"/>
        <v>0</v>
      </c>
      <c r="G48" s="8">
        <f t="shared" si="30"/>
        <v>0</v>
      </c>
      <c r="H48" s="8">
        <f t="shared" si="30"/>
        <v>0</v>
      </c>
      <c r="I48" s="8">
        <f t="shared" si="30"/>
        <v>0</v>
      </c>
      <c r="J48" s="8">
        <f t="shared" si="30"/>
        <v>0</v>
      </c>
      <c r="K48" s="8">
        <f t="shared" si="30"/>
        <v>0</v>
      </c>
      <c r="L48" s="8">
        <f t="shared" si="30"/>
        <v>0</v>
      </c>
      <c r="M48" s="8">
        <f t="shared" si="30"/>
        <v>0</v>
      </c>
      <c r="N48" s="8">
        <f t="shared" si="20"/>
        <v>0</v>
      </c>
      <c r="O48" s="8">
        <f t="shared" si="20"/>
        <v>0</v>
      </c>
      <c r="P48" s="8">
        <f t="shared" si="20"/>
        <v>0</v>
      </c>
      <c r="Q48" s="8">
        <f t="shared" si="20"/>
        <v>0</v>
      </c>
      <c r="R48" s="8">
        <f t="shared" si="20"/>
        <v>0</v>
      </c>
      <c r="S48" s="8">
        <f t="shared" si="21"/>
        <v>0</v>
      </c>
      <c r="T48" s="8">
        <f t="shared" si="22"/>
        <v>0</v>
      </c>
      <c r="U48" s="8">
        <f t="shared" si="23"/>
        <v>0</v>
      </c>
      <c r="V48" s="8">
        <f t="shared" ca="1" si="23"/>
        <v>0</v>
      </c>
      <c r="W48" s="8"/>
      <c r="X48" s="8"/>
      <c r="Y48" s="8"/>
      <c r="Z48" s="8"/>
      <c r="AA48" s="14">
        <v>0</v>
      </c>
      <c r="AB48" s="8" t="s">
        <v>209</v>
      </c>
      <c r="AC48" s="8" t="e">
        <v>#N/A</v>
      </c>
      <c r="AD48" s="24"/>
      <c r="AE48" s="17" t="e">
        <f t="shared" si="24"/>
        <v>#N/A</v>
      </c>
      <c r="AF48" s="8"/>
    </row>
    <row r="49" spans="1:32">
      <c r="A49">
        <f t="shared" si="18"/>
        <v>9</v>
      </c>
      <c r="B49" t="str">
        <f t="shared" si="18"/>
        <v>EE</v>
      </c>
      <c r="C49" t="str">
        <f t="shared" si="18"/>
        <v>EE</v>
      </c>
      <c r="D49" s="8"/>
      <c r="E49" s="8">
        <f t="shared" ref="E49:M49" si="31">IFERROR(E14/D14-1,0)</f>
        <v>0</v>
      </c>
      <c r="F49" s="8">
        <f t="shared" si="31"/>
        <v>0</v>
      </c>
      <c r="G49" s="8">
        <f t="shared" si="31"/>
        <v>0</v>
      </c>
      <c r="H49" s="8">
        <f t="shared" si="31"/>
        <v>0</v>
      </c>
      <c r="I49" s="8">
        <f t="shared" si="31"/>
        <v>0</v>
      </c>
      <c r="J49" s="8">
        <f t="shared" si="31"/>
        <v>0</v>
      </c>
      <c r="K49" s="8">
        <f t="shared" si="31"/>
        <v>0</v>
      </c>
      <c r="L49" s="8">
        <f t="shared" si="31"/>
        <v>0</v>
      </c>
      <c r="M49" s="8">
        <f t="shared" si="31"/>
        <v>0</v>
      </c>
      <c r="N49" s="8">
        <f t="shared" si="20"/>
        <v>0</v>
      </c>
      <c r="O49" s="8">
        <f t="shared" si="20"/>
        <v>0</v>
      </c>
      <c r="P49" s="8">
        <f t="shared" si="20"/>
        <v>0</v>
      </c>
      <c r="Q49" s="8">
        <f t="shared" si="20"/>
        <v>0</v>
      </c>
      <c r="R49" s="8">
        <f t="shared" si="20"/>
        <v>0</v>
      </c>
      <c r="S49" s="8">
        <f t="shared" si="21"/>
        <v>0</v>
      </c>
      <c r="T49" s="8">
        <f t="shared" si="22"/>
        <v>0</v>
      </c>
      <c r="U49" s="8">
        <f t="shared" si="23"/>
        <v>0</v>
      </c>
      <c r="V49" s="8">
        <f t="shared" ca="1" si="23"/>
        <v>0</v>
      </c>
      <c r="W49" s="8"/>
      <c r="X49" s="8"/>
      <c r="Y49" s="8"/>
      <c r="Z49" s="8"/>
      <c r="AA49" s="14">
        <v>0</v>
      </c>
      <c r="AB49" s="8" t="s">
        <v>209</v>
      </c>
      <c r="AC49" s="8" t="e">
        <v>#N/A</v>
      </c>
      <c r="AD49" s="24"/>
      <c r="AE49" s="17" t="e">
        <f t="shared" si="24"/>
        <v>#N/A</v>
      </c>
      <c r="AF49" s="8"/>
    </row>
    <row r="50" spans="1:32">
      <c r="A50">
        <f t="shared" si="18"/>
        <v>11</v>
      </c>
      <c r="B50" t="str">
        <f t="shared" si="18"/>
        <v>ES</v>
      </c>
      <c r="C50" t="str">
        <f t="shared" si="18"/>
        <v>ES</v>
      </c>
      <c r="D50" s="8"/>
      <c r="E50" s="8">
        <f t="shared" ref="E50:M50" si="32">IFERROR(E15/D15-1,0)</f>
        <v>4.4960818304868644E-2</v>
      </c>
      <c r="F50" s="8">
        <f t="shared" si="32"/>
        <v>-8.3541246016368143E-2</v>
      </c>
      <c r="G50" s="8">
        <f t="shared" si="32"/>
        <v>7.0232161708004393E-2</v>
      </c>
      <c r="H50" s="8">
        <f t="shared" si="32"/>
        <v>-9.3956625613911271E-2</v>
      </c>
      <c r="I50" s="8">
        <f t="shared" si="32"/>
        <v>0.1706304868316042</v>
      </c>
      <c r="J50" s="8">
        <f t="shared" si="32"/>
        <v>-6.7562039814562214E-2</v>
      </c>
      <c r="K50" s="8">
        <f t="shared" si="32"/>
        <v>6.2865992675161353E-2</v>
      </c>
      <c r="L50" s="8">
        <f t="shared" si="32"/>
        <v>-7.5388511928957791E-2</v>
      </c>
      <c r="M50" s="8">
        <f t="shared" si="32"/>
        <v>9.8816367940479655E-3</v>
      </c>
      <c r="N50" s="8">
        <f t="shared" si="20"/>
        <v>-1.8685830246933932E-3</v>
      </c>
      <c r="O50" s="8">
        <f t="shared" si="20"/>
        <v>2.4806752912126084E-2</v>
      </c>
      <c r="P50" s="8">
        <f t="shared" si="20"/>
        <v>-9.2588833816760197E-3</v>
      </c>
      <c r="Q50" s="8">
        <f t="shared" si="20"/>
        <v>-4.3134549208306727E-2</v>
      </c>
      <c r="R50" s="8">
        <f t="shared" si="20"/>
        <v>5.105395474763097E-2</v>
      </c>
      <c r="S50" s="8">
        <f t="shared" si="21"/>
        <v>-2.8913129189118703E-3</v>
      </c>
      <c r="T50" s="8">
        <f t="shared" si="22"/>
        <v>-2.9590088308949491E-2</v>
      </c>
      <c r="U50" s="8">
        <f t="shared" si="23"/>
        <v>3.8709677419354938E-2</v>
      </c>
      <c r="V50" s="8">
        <f t="shared" ca="1" si="23"/>
        <v>-3.0533368780053749E-2</v>
      </c>
      <c r="W50" s="8"/>
      <c r="X50" s="8"/>
      <c r="Y50" s="8"/>
      <c r="Z50" s="8"/>
      <c r="AA50" s="14">
        <v>0</v>
      </c>
      <c r="AB50" s="8">
        <v>-2.9305342208568015E-2</v>
      </c>
      <c r="AC50" s="8">
        <v>-3.40063179779308E-2</v>
      </c>
      <c r="AD50" s="24">
        <v>-3.0533368780053749E-2</v>
      </c>
      <c r="AE50" s="17">
        <f t="shared" si="24"/>
        <v>-4.7009757693627849E-3</v>
      </c>
      <c r="AF50" s="8"/>
    </row>
    <row r="51" spans="1:32" ht="15">
      <c r="A51">
        <f t="shared" si="18"/>
        <v>12</v>
      </c>
      <c r="B51" t="str">
        <f t="shared" si="18"/>
        <v>FI</v>
      </c>
      <c r="C51" t="str">
        <f t="shared" si="18"/>
        <v>FI</v>
      </c>
      <c r="D51" s="8"/>
      <c r="E51" s="8">
        <f t="shared" ref="E51:M51" si="33">IFERROR(E16/D16-1,0)</f>
        <v>-1.5684750393855529E-2</v>
      </c>
      <c r="F51" s="8">
        <f t="shared" si="33"/>
        <v>2.2570508086064534E-2</v>
      </c>
      <c r="G51" s="8">
        <f t="shared" si="33"/>
        <v>-1.9852215623648028E-2</v>
      </c>
      <c r="H51" s="8">
        <f t="shared" si="33"/>
        <v>-2.703400045051596E-2</v>
      </c>
      <c r="I51" s="8">
        <f t="shared" si="33"/>
        <v>-3.418951752863586E-2</v>
      </c>
      <c r="J51" s="8">
        <f t="shared" si="33"/>
        <v>1.1141060197664032E-2</v>
      </c>
      <c r="K51" s="8">
        <f t="shared" si="33"/>
        <v>-1.6172027723476146E-2</v>
      </c>
      <c r="L51" s="8">
        <f t="shared" si="33"/>
        <v>2.8540462427745661E-2</v>
      </c>
      <c r="M51" s="8">
        <f t="shared" si="33"/>
        <v>-9.6592904812087266E-4</v>
      </c>
      <c r="N51" s="8">
        <f t="shared" si="20"/>
        <v>-1.446778588380071E-2</v>
      </c>
      <c r="O51" s="8">
        <f t="shared" si="20"/>
        <v>-2.9253326674039126E-3</v>
      </c>
      <c r="P51" s="8">
        <f t="shared" si="20"/>
        <v>-3.5725786253533176E-2</v>
      </c>
      <c r="Q51" s="8">
        <f t="shared" si="20"/>
        <v>1.0018367006177975E-2</v>
      </c>
      <c r="R51" s="8">
        <f t="shared" si="20"/>
        <v>4.2578203927187142E-2</v>
      </c>
      <c r="S51" s="8">
        <f t="shared" si="21"/>
        <v>-2.260434468542416E-2</v>
      </c>
      <c r="T51" s="8">
        <f t="shared" si="22"/>
        <v>1.1103900785925269E-2</v>
      </c>
      <c r="U51" s="8">
        <f t="shared" si="23"/>
        <v>9.0208942451686536E-2</v>
      </c>
      <c r="V51" s="8">
        <f t="shared" ca="1" si="23"/>
        <v>0.35041859198814174</v>
      </c>
      <c r="W51" s="8"/>
      <c r="X51" s="8"/>
      <c r="Y51" s="8"/>
      <c r="Z51" s="8"/>
      <c r="AA51" s="14">
        <v>0</v>
      </c>
      <c r="AB51" s="8">
        <v>0.3541206188822229</v>
      </c>
      <c r="AC51" s="8">
        <v>0.34674039282524971</v>
      </c>
      <c r="AD51" s="121">
        <v>0.35041859198814174</v>
      </c>
      <c r="AE51" s="17">
        <f t="shared" si="24"/>
        <v>-7.3802260569731937E-3</v>
      </c>
      <c r="AF51" s="8"/>
    </row>
    <row r="52" spans="1:32">
      <c r="A52">
        <f t="shared" si="18"/>
        <v>13</v>
      </c>
      <c r="B52" t="str">
        <f t="shared" si="18"/>
        <v>FR</v>
      </c>
      <c r="C52" t="str">
        <f t="shared" si="18"/>
        <v>FR</v>
      </c>
      <c r="D52" s="8"/>
      <c r="E52" s="8">
        <f t="shared" ref="E52:M52" si="34">IFERROR(E17/D17-1,0)</f>
        <v>-2.9632658898761655E-3</v>
      </c>
      <c r="F52" s="8">
        <f t="shared" si="34"/>
        <v>-2.3236801513841887E-2</v>
      </c>
      <c r="G52" s="8">
        <f t="shared" si="34"/>
        <v>-6.4357797368852498E-4</v>
      </c>
      <c r="H52" s="8">
        <f t="shared" si="34"/>
        <v>-5.7340318397142154E-2</v>
      </c>
      <c r="I52" s="8">
        <f t="shared" si="34"/>
        <v>4.4498722591875151E-2</v>
      </c>
      <c r="J52" s="8">
        <f t="shared" si="34"/>
        <v>3.2227717449736515E-2</v>
      </c>
      <c r="K52" s="8">
        <f t="shared" si="34"/>
        <v>-3.7722747354807296E-2</v>
      </c>
      <c r="L52" s="8">
        <f t="shared" si="34"/>
        <v>-4.0417812976376588E-3</v>
      </c>
      <c r="M52" s="8">
        <f t="shared" si="34"/>
        <v>3.0184816696323891E-2</v>
      </c>
      <c r="N52" s="8">
        <f t="shared" si="20"/>
        <v>2.1861967052190234E-3</v>
      </c>
      <c r="O52" s="8">
        <f t="shared" si="20"/>
        <v>-7.8227071028399209E-2</v>
      </c>
      <c r="P52" s="8">
        <f t="shared" si="20"/>
        <v>-1.1592220039511769E-2</v>
      </c>
      <c r="Q52" s="8">
        <f t="shared" si="20"/>
        <v>3.6278867260140846E-2</v>
      </c>
      <c r="R52" s="8">
        <f t="shared" si="20"/>
        <v>-3.3835680802209889E-2</v>
      </c>
      <c r="S52" s="8">
        <f t="shared" si="21"/>
        <v>-0.11324492484637505</v>
      </c>
      <c r="T52" s="8">
        <f t="shared" si="22"/>
        <v>7.2149743523006959E-2</v>
      </c>
      <c r="U52" s="8">
        <f t="shared" si="23"/>
        <v>-0.22308423693154233</v>
      </c>
      <c r="V52" s="8">
        <f t="shared" ca="1" si="23"/>
        <v>0.14730786361104364</v>
      </c>
      <c r="W52" s="8"/>
      <c r="X52" s="8"/>
      <c r="Y52" s="8"/>
      <c r="Z52" s="8"/>
      <c r="AA52" s="14">
        <v>0</v>
      </c>
      <c r="AB52" s="8">
        <v>0.14749462864511745</v>
      </c>
      <c r="AC52" s="8">
        <v>0.14332527043753676</v>
      </c>
      <c r="AD52" s="24">
        <v>0.14730786361104364</v>
      </c>
      <c r="AE52" s="17">
        <f t="shared" si="24"/>
        <v>-4.1693582075806868E-3</v>
      </c>
      <c r="AF52" s="8"/>
    </row>
    <row r="53" spans="1:32">
      <c r="A53">
        <f t="shared" si="18"/>
        <v>10</v>
      </c>
      <c r="B53" t="str">
        <f t="shared" si="18"/>
        <v>EL</v>
      </c>
      <c r="C53" t="str">
        <f t="shared" si="18"/>
        <v>GR</v>
      </c>
      <c r="D53" s="8"/>
      <c r="E53" s="8">
        <f t="shared" ref="E53:M53" si="35">IFERROR(E18/D18-1,0)</f>
        <v>0</v>
      </c>
      <c r="F53" s="8">
        <f t="shared" si="35"/>
        <v>0</v>
      </c>
      <c r="G53" s="8">
        <f t="shared" si="35"/>
        <v>0</v>
      </c>
      <c r="H53" s="8">
        <f t="shared" si="35"/>
        <v>0</v>
      </c>
      <c r="I53" s="8">
        <f t="shared" si="35"/>
        <v>0</v>
      </c>
      <c r="J53" s="8">
        <f t="shared" si="35"/>
        <v>0</v>
      </c>
      <c r="K53" s="8">
        <f t="shared" si="35"/>
        <v>0</v>
      </c>
      <c r="L53" s="8">
        <f t="shared" si="35"/>
        <v>0</v>
      </c>
      <c r="M53" s="8">
        <f t="shared" si="35"/>
        <v>0</v>
      </c>
      <c r="N53" s="8">
        <f t="shared" si="20"/>
        <v>0</v>
      </c>
      <c r="O53" s="8">
        <f t="shared" si="20"/>
        <v>0</v>
      </c>
      <c r="P53" s="8">
        <f t="shared" si="20"/>
        <v>0</v>
      </c>
      <c r="Q53" s="8">
        <f t="shared" si="20"/>
        <v>0</v>
      </c>
      <c r="R53" s="8">
        <f t="shared" si="20"/>
        <v>0</v>
      </c>
      <c r="S53" s="8">
        <f t="shared" si="21"/>
        <v>0</v>
      </c>
      <c r="T53" s="8">
        <f t="shared" si="22"/>
        <v>0</v>
      </c>
      <c r="U53" s="8">
        <f t="shared" si="23"/>
        <v>0</v>
      </c>
      <c r="V53" s="8">
        <f t="shared" ca="1" si="23"/>
        <v>0</v>
      </c>
      <c r="W53" s="8"/>
      <c r="X53" s="8"/>
      <c r="Y53" s="8"/>
      <c r="Z53" s="8"/>
      <c r="AA53" s="14">
        <v>0</v>
      </c>
      <c r="AB53" s="8" t="s">
        <v>209</v>
      </c>
      <c r="AC53" s="8" t="e">
        <v>#N/A</v>
      </c>
      <c r="AD53" s="24"/>
      <c r="AE53" s="17" t="e">
        <f t="shared" si="24"/>
        <v>#N/A</v>
      </c>
      <c r="AF53" s="8"/>
    </row>
    <row r="54" spans="1:32">
      <c r="A54">
        <f t="shared" si="18"/>
        <v>14</v>
      </c>
      <c r="B54" t="str">
        <f t="shared" si="18"/>
        <v>HR</v>
      </c>
      <c r="C54" t="str">
        <f t="shared" si="18"/>
        <v>HR</v>
      </c>
      <c r="D54" s="8"/>
      <c r="E54" s="8">
        <f t="shared" ref="E54:M54" si="36">IFERROR(E19/D19-1,0)</f>
        <v>0</v>
      </c>
      <c r="F54" s="8">
        <f t="shared" si="36"/>
        <v>0</v>
      </c>
      <c r="G54" s="8">
        <f t="shared" si="36"/>
        <v>0</v>
      </c>
      <c r="H54" s="8">
        <f t="shared" si="36"/>
        <v>0</v>
      </c>
      <c r="I54" s="8">
        <f t="shared" si="36"/>
        <v>0</v>
      </c>
      <c r="J54" s="8">
        <f t="shared" si="36"/>
        <v>0</v>
      </c>
      <c r="K54" s="8">
        <f t="shared" si="36"/>
        <v>0</v>
      </c>
      <c r="L54" s="8">
        <f t="shared" si="36"/>
        <v>0</v>
      </c>
      <c r="M54" s="8">
        <f t="shared" si="36"/>
        <v>0</v>
      </c>
      <c r="N54" s="8">
        <f t="shared" si="20"/>
        <v>0</v>
      </c>
      <c r="O54" s="8">
        <f t="shared" si="20"/>
        <v>0</v>
      </c>
      <c r="P54" s="8">
        <f t="shared" si="20"/>
        <v>0</v>
      </c>
      <c r="Q54" s="8">
        <f t="shared" si="20"/>
        <v>0</v>
      </c>
      <c r="R54" s="8">
        <f t="shared" si="20"/>
        <v>0</v>
      </c>
      <c r="S54" s="8">
        <f t="shared" si="21"/>
        <v>0</v>
      </c>
      <c r="T54" s="8">
        <f t="shared" si="22"/>
        <v>0</v>
      </c>
      <c r="U54" s="8">
        <f t="shared" si="23"/>
        <v>0</v>
      </c>
      <c r="V54" s="8">
        <f t="shared" ca="1" si="23"/>
        <v>0</v>
      </c>
      <c r="W54" s="8"/>
      <c r="X54" s="8"/>
      <c r="Y54" s="8"/>
      <c r="Z54" s="8"/>
      <c r="AA54" s="14">
        <v>0</v>
      </c>
      <c r="AB54" s="8" t="s">
        <v>209</v>
      </c>
      <c r="AC54" s="8" t="e">
        <v>#N/A</v>
      </c>
      <c r="AD54" s="24"/>
      <c r="AE54" s="17" t="e">
        <f t="shared" si="24"/>
        <v>#N/A</v>
      </c>
      <c r="AF54" s="8"/>
    </row>
    <row r="55" spans="1:32">
      <c r="A55">
        <f t="shared" si="18"/>
        <v>15</v>
      </c>
      <c r="B55" t="str">
        <f t="shared" si="18"/>
        <v>HU</v>
      </c>
      <c r="C55" t="str">
        <f t="shared" si="18"/>
        <v>HU</v>
      </c>
      <c r="D55" s="8"/>
      <c r="E55" s="8">
        <f t="shared" ref="E55:M55" si="37">IFERROR(E20/D20-1,0)</f>
        <v>-2.809123602987007E-2</v>
      </c>
      <c r="F55" s="8">
        <f t="shared" si="37"/>
        <v>8.8140545538603732E-2</v>
      </c>
      <c r="G55" s="8">
        <f t="shared" si="37"/>
        <v>9.7718030119138266E-3</v>
      </c>
      <c r="H55" s="8">
        <f t="shared" si="37"/>
        <v>4.1294109970553272E-3</v>
      </c>
      <c r="I55" s="8">
        <f t="shared" si="37"/>
        <v>2.1918514698298086E-2</v>
      </c>
      <c r="J55" s="8">
        <f t="shared" si="37"/>
        <v>4.7943477163769899E-4</v>
      </c>
      <c r="K55" s="8">
        <f t="shared" si="37"/>
        <v>5.3557466770914886E-3</v>
      </c>
      <c r="L55" s="8">
        <f t="shared" si="37"/>
        <v>-2.925365046592765E-2</v>
      </c>
      <c r="M55" s="8">
        <f t="shared" si="37"/>
        <v>1.7544267695836835E-2</v>
      </c>
      <c r="N55" s="8">
        <f t="shared" si="20"/>
        <v>1.4442982119736492E-2</v>
      </c>
      <c r="O55" s="8">
        <f t="shared" si="20"/>
        <v>1.9132850409660618E-2</v>
      </c>
      <c r="P55" s="8">
        <f t="shared" si="20"/>
        <v>3.2662654911779221E-3</v>
      </c>
      <c r="Q55" s="8">
        <f t="shared" si="20"/>
        <v>-1.9098922624877557E-2</v>
      </c>
      <c r="R55" s="8">
        <f t="shared" si="20"/>
        <v>2.4962556165751382E-2</v>
      </c>
      <c r="S55" s="8">
        <f t="shared" si="21"/>
        <v>-1.2907939600584561E-2</v>
      </c>
      <c r="T55" s="8">
        <f t="shared" si="22"/>
        <v>-4.6878855169010247E-3</v>
      </c>
      <c r="U55" s="8">
        <f t="shared" si="23"/>
        <v>-1.0411502231036152E-2</v>
      </c>
      <c r="V55" s="8">
        <f t="shared" ca="1" si="23"/>
        <v>6.6023418198797312E-3</v>
      </c>
      <c r="W55" s="8"/>
      <c r="X55" s="8"/>
      <c r="Y55" s="8"/>
      <c r="Z55" s="8"/>
      <c r="AA55" s="14">
        <v>0</v>
      </c>
      <c r="AB55" s="8">
        <v>6.7037692891474829E-3</v>
      </c>
      <c r="AC55" s="8">
        <v>3.0350563341654748E-3</v>
      </c>
      <c r="AD55" s="24">
        <v>6.6023418198797312E-3</v>
      </c>
      <c r="AE55" s="17">
        <f t="shared" si="24"/>
        <v>-3.6687129549820082E-3</v>
      </c>
      <c r="AF55" s="8"/>
    </row>
    <row r="56" spans="1:32">
      <c r="A56">
        <f t="shared" si="18"/>
        <v>16</v>
      </c>
      <c r="B56" t="str">
        <f t="shared" si="18"/>
        <v>IE</v>
      </c>
      <c r="C56" t="str">
        <f t="shared" si="18"/>
        <v>IE</v>
      </c>
      <c r="D56" s="8"/>
      <c r="E56" s="8">
        <f t="shared" ref="E56:M56" si="38">IFERROR(E21/D21-1,0)</f>
        <v>0</v>
      </c>
      <c r="F56" s="8">
        <f t="shared" si="38"/>
        <v>0</v>
      </c>
      <c r="G56" s="8">
        <f t="shared" si="38"/>
        <v>0</v>
      </c>
      <c r="H56" s="8">
        <f t="shared" si="38"/>
        <v>0</v>
      </c>
      <c r="I56" s="8">
        <f t="shared" si="38"/>
        <v>0</v>
      </c>
      <c r="J56" s="8">
        <f t="shared" si="38"/>
        <v>0</v>
      </c>
      <c r="K56" s="8">
        <f t="shared" si="38"/>
        <v>0</v>
      </c>
      <c r="L56" s="8">
        <f t="shared" si="38"/>
        <v>0</v>
      </c>
      <c r="M56" s="8">
        <f t="shared" si="38"/>
        <v>0</v>
      </c>
      <c r="N56" s="8">
        <f t="shared" si="20"/>
        <v>0</v>
      </c>
      <c r="O56" s="8">
        <f t="shared" si="20"/>
        <v>0</v>
      </c>
      <c r="P56" s="8">
        <f t="shared" si="20"/>
        <v>0</v>
      </c>
      <c r="Q56" s="8">
        <f t="shared" si="20"/>
        <v>0</v>
      </c>
      <c r="R56" s="8">
        <f t="shared" si="20"/>
        <v>0</v>
      </c>
      <c r="S56" s="8">
        <f t="shared" si="21"/>
        <v>0</v>
      </c>
      <c r="T56" s="8">
        <f t="shared" si="22"/>
        <v>0</v>
      </c>
      <c r="U56" s="8">
        <f t="shared" si="23"/>
        <v>0</v>
      </c>
      <c r="V56" s="8">
        <f t="shared" ca="1" si="23"/>
        <v>0</v>
      </c>
      <c r="W56" s="8"/>
      <c r="X56" s="8"/>
      <c r="Y56" s="8"/>
      <c r="Z56" s="8"/>
      <c r="AA56" s="14">
        <v>0</v>
      </c>
      <c r="AB56" s="8" t="s">
        <v>209</v>
      </c>
      <c r="AC56" s="8" t="e">
        <v>#N/A</v>
      </c>
      <c r="AD56" s="24"/>
      <c r="AE56" s="17" t="e">
        <f t="shared" si="24"/>
        <v>#N/A</v>
      </c>
      <c r="AF56" s="8"/>
    </row>
    <row r="57" spans="1:32">
      <c r="A57">
        <f t="shared" si="18"/>
        <v>17</v>
      </c>
      <c r="B57" t="str">
        <f t="shared" si="18"/>
        <v>IT</v>
      </c>
      <c r="C57" t="str">
        <f t="shared" si="18"/>
        <v>IT</v>
      </c>
      <c r="D57" s="8"/>
      <c r="E57" s="8">
        <f t="shared" ref="E57:M57" si="39">IFERROR(E22/D22-1,0)</f>
        <v>0</v>
      </c>
      <c r="F57" s="8">
        <f t="shared" si="39"/>
        <v>0</v>
      </c>
      <c r="G57" s="8">
        <f t="shared" si="39"/>
        <v>0</v>
      </c>
      <c r="H57" s="8">
        <f t="shared" si="39"/>
        <v>0</v>
      </c>
      <c r="I57" s="8">
        <f t="shared" si="39"/>
        <v>0</v>
      </c>
      <c r="J57" s="8">
        <f t="shared" si="39"/>
        <v>0</v>
      </c>
      <c r="K57" s="8">
        <f t="shared" si="39"/>
        <v>0</v>
      </c>
      <c r="L57" s="8">
        <f t="shared" si="39"/>
        <v>0</v>
      </c>
      <c r="M57" s="8">
        <f t="shared" si="39"/>
        <v>0</v>
      </c>
      <c r="N57" s="8">
        <f t="shared" si="20"/>
        <v>0</v>
      </c>
      <c r="O57" s="8">
        <f t="shared" si="20"/>
        <v>0</v>
      </c>
      <c r="P57" s="8">
        <f t="shared" si="20"/>
        <v>0</v>
      </c>
      <c r="Q57" s="8">
        <f t="shared" si="20"/>
        <v>0</v>
      </c>
      <c r="R57" s="8">
        <f t="shared" si="20"/>
        <v>0</v>
      </c>
      <c r="S57" s="8">
        <f t="shared" si="21"/>
        <v>0</v>
      </c>
      <c r="T57" s="8">
        <f t="shared" si="22"/>
        <v>0</v>
      </c>
      <c r="U57" s="8">
        <f t="shared" si="23"/>
        <v>0</v>
      </c>
      <c r="V57" s="8">
        <f t="shared" ca="1" si="23"/>
        <v>0</v>
      </c>
      <c r="W57" s="8"/>
      <c r="X57" s="8"/>
      <c r="Y57" s="8"/>
      <c r="Z57" s="8"/>
      <c r="AA57" s="14">
        <v>0</v>
      </c>
      <c r="AB57" s="8" t="s">
        <v>209</v>
      </c>
      <c r="AC57" s="8" t="e">
        <v>#N/A</v>
      </c>
      <c r="AD57" s="24"/>
      <c r="AE57" s="17" t="e">
        <f t="shared" si="24"/>
        <v>#N/A</v>
      </c>
      <c r="AF57" s="8"/>
    </row>
    <row r="58" spans="1:32">
      <c r="A58">
        <f t="shared" si="18"/>
        <v>18</v>
      </c>
      <c r="B58" t="str">
        <f t="shared" si="18"/>
        <v>LT</v>
      </c>
      <c r="C58" t="str">
        <f t="shared" si="18"/>
        <v>LT</v>
      </c>
      <c r="D58" s="8"/>
      <c r="E58" s="8">
        <f t="shared" ref="E58:M58" si="40">IFERROR(E23/D23-1,0)</f>
        <v>-0.15345209818458483</v>
      </c>
      <c r="F58" s="8">
        <f t="shared" si="40"/>
        <v>0.12642217151386359</v>
      </c>
      <c r="G58" s="8">
        <f t="shared" si="40"/>
        <v>4.543969155000438E-3</v>
      </c>
      <c r="H58" s="8">
        <f t="shared" si="40"/>
        <v>9.3792838540551982E-2</v>
      </c>
      <c r="I58" s="8">
        <f t="shared" si="40"/>
        <v>-1</v>
      </c>
      <c r="J58" s="8">
        <f t="shared" si="40"/>
        <v>0</v>
      </c>
      <c r="K58" s="8">
        <f t="shared" si="40"/>
        <v>0</v>
      </c>
      <c r="L58" s="8">
        <f t="shared" si="40"/>
        <v>0</v>
      </c>
      <c r="M58" s="8">
        <f t="shared" si="40"/>
        <v>0</v>
      </c>
      <c r="N58" s="8">
        <f t="shared" si="20"/>
        <v>0</v>
      </c>
      <c r="O58" s="8">
        <f t="shared" si="20"/>
        <v>0</v>
      </c>
      <c r="P58" s="8">
        <f t="shared" si="20"/>
        <v>0</v>
      </c>
      <c r="Q58" s="8">
        <f t="shared" si="20"/>
        <v>0</v>
      </c>
      <c r="R58" s="8">
        <f t="shared" si="20"/>
        <v>0</v>
      </c>
      <c r="S58" s="8">
        <f t="shared" si="21"/>
        <v>0</v>
      </c>
      <c r="T58" s="8">
        <f t="shared" si="22"/>
        <v>0</v>
      </c>
      <c r="U58" s="8">
        <f t="shared" si="23"/>
        <v>0</v>
      </c>
      <c r="V58" s="8">
        <f t="shared" ca="1" si="23"/>
        <v>0</v>
      </c>
      <c r="W58" s="8"/>
      <c r="X58" s="8"/>
      <c r="Y58" s="8"/>
      <c r="Z58" s="8"/>
      <c r="AA58" s="14">
        <v>0</v>
      </c>
      <c r="AB58" s="8" t="s">
        <v>209</v>
      </c>
      <c r="AC58" s="8" t="e">
        <v>#N/A</v>
      </c>
      <c r="AD58" s="24"/>
      <c r="AE58" s="17" t="e">
        <f t="shared" si="24"/>
        <v>#N/A</v>
      </c>
      <c r="AF58" s="8"/>
    </row>
    <row r="59" spans="1:32">
      <c r="A59">
        <f t="shared" si="18"/>
        <v>19</v>
      </c>
      <c r="B59" t="str">
        <f t="shared" si="18"/>
        <v>LU</v>
      </c>
      <c r="C59" t="str">
        <f t="shared" si="18"/>
        <v>LU</v>
      </c>
      <c r="D59" s="8"/>
      <c r="E59" s="8">
        <f t="shared" ref="E59:M59" si="41">IFERROR(E24/D24-1,0)</f>
        <v>0</v>
      </c>
      <c r="F59" s="8">
        <f t="shared" si="41"/>
        <v>0</v>
      </c>
      <c r="G59" s="8">
        <f t="shared" si="41"/>
        <v>0</v>
      </c>
      <c r="H59" s="8">
        <f t="shared" si="41"/>
        <v>0</v>
      </c>
      <c r="I59" s="8">
        <f t="shared" si="41"/>
        <v>0</v>
      </c>
      <c r="J59" s="8">
        <f t="shared" si="41"/>
        <v>0</v>
      </c>
      <c r="K59" s="8">
        <f t="shared" si="41"/>
        <v>0</v>
      </c>
      <c r="L59" s="8">
        <f t="shared" si="41"/>
        <v>0</v>
      </c>
      <c r="M59" s="8">
        <f t="shared" si="41"/>
        <v>0</v>
      </c>
      <c r="N59" s="8">
        <f t="shared" si="20"/>
        <v>0</v>
      </c>
      <c r="O59" s="8">
        <f t="shared" si="20"/>
        <v>0</v>
      </c>
      <c r="P59" s="8">
        <f t="shared" si="20"/>
        <v>0</v>
      </c>
      <c r="Q59" s="8">
        <f t="shared" si="20"/>
        <v>0</v>
      </c>
      <c r="R59" s="8">
        <f t="shared" si="20"/>
        <v>0</v>
      </c>
      <c r="S59" s="8">
        <f t="shared" si="21"/>
        <v>0</v>
      </c>
      <c r="T59" s="8">
        <f t="shared" si="22"/>
        <v>0</v>
      </c>
      <c r="U59" s="8">
        <f t="shared" si="23"/>
        <v>0</v>
      </c>
      <c r="V59" s="8">
        <f t="shared" ca="1" si="23"/>
        <v>0</v>
      </c>
      <c r="W59" s="8"/>
      <c r="X59" s="8"/>
      <c r="Y59" s="8"/>
      <c r="Z59" s="8"/>
      <c r="AA59" s="14">
        <v>0</v>
      </c>
      <c r="AB59" s="8" t="s">
        <v>209</v>
      </c>
      <c r="AC59" s="8" t="e">
        <v>#N/A</v>
      </c>
      <c r="AD59" s="24"/>
      <c r="AE59" s="17" t="e">
        <f t="shared" si="24"/>
        <v>#N/A</v>
      </c>
      <c r="AF59" s="8"/>
    </row>
    <row r="60" spans="1:32">
      <c r="A60">
        <f t="shared" si="18"/>
        <v>20</v>
      </c>
      <c r="B60" t="str">
        <f t="shared" si="18"/>
        <v>LV</v>
      </c>
      <c r="C60" t="str">
        <f t="shared" si="18"/>
        <v>LV</v>
      </c>
      <c r="D60" s="8"/>
      <c r="E60" s="8">
        <f t="shared" ref="E60:M60" si="42">IFERROR(E25/D25-1,0)</f>
        <v>0</v>
      </c>
      <c r="F60" s="8">
        <f t="shared" si="42"/>
        <v>0</v>
      </c>
      <c r="G60" s="8">
        <f t="shared" si="42"/>
        <v>0</v>
      </c>
      <c r="H60" s="8">
        <f t="shared" si="42"/>
        <v>0</v>
      </c>
      <c r="I60" s="8">
        <f t="shared" si="42"/>
        <v>0</v>
      </c>
      <c r="J60" s="8">
        <f t="shared" si="42"/>
        <v>0</v>
      </c>
      <c r="K60" s="8">
        <f t="shared" si="42"/>
        <v>0</v>
      </c>
      <c r="L60" s="8">
        <f t="shared" si="42"/>
        <v>0</v>
      </c>
      <c r="M60" s="8">
        <f t="shared" si="42"/>
        <v>0</v>
      </c>
      <c r="N60" s="8">
        <f t="shared" si="20"/>
        <v>0</v>
      </c>
      <c r="O60" s="8">
        <f t="shared" si="20"/>
        <v>0</v>
      </c>
      <c r="P60" s="8">
        <f t="shared" si="20"/>
        <v>0</v>
      </c>
      <c r="Q60" s="8">
        <f t="shared" si="20"/>
        <v>0</v>
      </c>
      <c r="R60" s="8">
        <f t="shared" si="20"/>
        <v>0</v>
      </c>
      <c r="S60" s="8">
        <f t="shared" si="21"/>
        <v>0</v>
      </c>
      <c r="T60" s="8">
        <f t="shared" si="22"/>
        <v>0</v>
      </c>
      <c r="U60" s="8">
        <f t="shared" si="23"/>
        <v>0</v>
      </c>
      <c r="V60" s="8">
        <f t="shared" ca="1" si="23"/>
        <v>0</v>
      </c>
      <c r="W60" s="8"/>
      <c r="X60" s="8"/>
      <c r="Y60" s="8"/>
      <c r="Z60" s="8"/>
      <c r="AA60" s="14">
        <v>0</v>
      </c>
      <c r="AB60" s="8" t="s">
        <v>209</v>
      </c>
      <c r="AC60" s="8" t="e">
        <v>#N/A</v>
      </c>
      <c r="AD60" s="24"/>
      <c r="AE60" s="17" t="e">
        <f t="shared" si="24"/>
        <v>#N/A</v>
      </c>
      <c r="AF60" s="8"/>
    </row>
    <row r="61" spans="1:32">
      <c r="A61">
        <f t="shared" si="18"/>
        <v>21</v>
      </c>
      <c r="B61" t="str">
        <f t="shared" si="18"/>
        <v>MT</v>
      </c>
      <c r="C61" t="str">
        <f t="shared" si="18"/>
        <v>MT</v>
      </c>
      <c r="D61" s="8"/>
      <c r="E61" s="8">
        <f t="shared" ref="E61:M61" si="43">IFERROR(E26/D26-1,0)</f>
        <v>0</v>
      </c>
      <c r="F61" s="8">
        <f t="shared" si="43"/>
        <v>0</v>
      </c>
      <c r="G61" s="8">
        <f t="shared" si="43"/>
        <v>0</v>
      </c>
      <c r="H61" s="8">
        <f t="shared" si="43"/>
        <v>0</v>
      </c>
      <c r="I61" s="8">
        <f t="shared" si="43"/>
        <v>0</v>
      </c>
      <c r="J61" s="8">
        <f t="shared" si="43"/>
        <v>0</v>
      </c>
      <c r="K61" s="8">
        <f t="shared" si="43"/>
        <v>0</v>
      </c>
      <c r="L61" s="8">
        <f t="shared" si="43"/>
        <v>0</v>
      </c>
      <c r="M61" s="8">
        <f t="shared" si="43"/>
        <v>0</v>
      </c>
      <c r="N61" s="8">
        <f t="shared" si="20"/>
        <v>0</v>
      </c>
      <c r="O61" s="8">
        <f t="shared" si="20"/>
        <v>0</v>
      </c>
      <c r="P61" s="8">
        <f t="shared" si="20"/>
        <v>0</v>
      </c>
      <c r="Q61" s="8">
        <f t="shared" si="20"/>
        <v>0</v>
      </c>
      <c r="R61" s="8">
        <f t="shared" si="20"/>
        <v>0</v>
      </c>
      <c r="S61" s="8">
        <f t="shared" si="21"/>
        <v>0</v>
      </c>
      <c r="T61" s="8">
        <f t="shared" si="22"/>
        <v>0</v>
      </c>
      <c r="U61" s="8">
        <f t="shared" si="23"/>
        <v>0</v>
      </c>
      <c r="V61" s="8">
        <f t="shared" ca="1" si="23"/>
        <v>0</v>
      </c>
      <c r="W61" s="8"/>
      <c r="X61" s="8"/>
      <c r="Y61" s="8"/>
      <c r="Z61" s="8"/>
      <c r="AA61" s="14">
        <v>0</v>
      </c>
      <c r="AB61" s="8" t="s">
        <v>209</v>
      </c>
      <c r="AC61" s="8" t="e">
        <v>#N/A</v>
      </c>
      <c r="AD61" s="24"/>
      <c r="AE61" s="17" t="e">
        <f t="shared" si="24"/>
        <v>#N/A</v>
      </c>
      <c r="AF61" s="8"/>
    </row>
    <row r="62" spans="1:32">
      <c r="A62">
        <f t="shared" si="18"/>
        <v>22</v>
      </c>
      <c r="B62" t="str">
        <f t="shared" si="18"/>
        <v>NL</v>
      </c>
      <c r="C62" t="str">
        <f t="shared" si="18"/>
        <v>NL</v>
      </c>
      <c r="D62" s="8"/>
      <c r="E62" s="8">
        <f t="shared" ref="E62:M62" si="44">IFERROR(E27/D27-1,0)</f>
        <v>-0.13209865766604589</v>
      </c>
      <c r="F62" s="8">
        <f t="shared" si="44"/>
        <v>0.21072346930907271</v>
      </c>
      <c r="G62" s="8">
        <f t="shared" si="44"/>
        <v>-7.3813578486346954E-3</v>
      </c>
      <c r="H62" s="8">
        <f t="shared" si="44"/>
        <v>-8.8717956347730276E-2</v>
      </c>
      <c r="I62" s="8">
        <f t="shared" si="44"/>
        <v>-6.3877551020408152E-2</v>
      </c>
      <c r="J62" s="8">
        <f t="shared" si="44"/>
        <v>4.5563549160671624E-2</v>
      </c>
      <c r="K62" s="8">
        <f t="shared" si="44"/>
        <v>-4.08673894912428E-2</v>
      </c>
      <c r="L62" s="8">
        <f t="shared" si="44"/>
        <v>-0.28673913043478261</v>
      </c>
      <c r="M62" s="8">
        <f t="shared" si="44"/>
        <v>0.43447119780554688</v>
      </c>
      <c r="N62" s="8">
        <f t="shared" si="20"/>
        <v>-4.1963242324444261E-3</v>
      </c>
      <c r="O62" s="8">
        <f t="shared" si="20"/>
        <v>-2.2627620419267136E-2</v>
      </c>
      <c r="P62" s="8">
        <f t="shared" si="20"/>
        <v>-0.13818848647586612</v>
      </c>
      <c r="Q62" s="8">
        <f t="shared" si="20"/>
        <v>2.8776249461711867E-2</v>
      </c>
      <c r="R62" s="8">
        <f t="shared" si="20"/>
        <v>0.12071257971585458</v>
      </c>
      <c r="S62" s="8">
        <f t="shared" si="21"/>
        <v>5.0070854983467195E-2</v>
      </c>
      <c r="T62" s="8">
        <f t="shared" si="22"/>
        <v>-6.8480682923767411E-2</v>
      </c>
      <c r="U62" s="8">
        <f t="shared" si="23"/>
        <v>8.4709634670889322E-2</v>
      </c>
      <c r="V62" s="8">
        <f t="shared" ca="1" si="23"/>
        <v>-4.1147045470348309E-2</v>
      </c>
      <c r="W62" s="8"/>
      <c r="X62" s="8"/>
      <c r="Y62" s="8"/>
      <c r="Z62" s="8"/>
      <c r="AA62" s="14">
        <v>0</v>
      </c>
      <c r="AB62" s="8">
        <v>-4.1147045470348351E-2</v>
      </c>
      <c r="AC62" s="8">
        <v>-4.4958615837341336E-2</v>
      </c>
      <c r="AD62" s="24"/>
      <c r="AE62" s="17">
        <f t="shared" si="24"/>
        <v>-3.8115703669929848E-3</v>
      </c>
      <c r="AF62" s="8"/>
    </row>
    <row r="63" spans="1:32">
      <c r="A63">
        <f t="shared" si="18"/>
        <v>23</v>
      </c>
      <c r="B63" t="str">
        <f t="shared" si="18"/>
        <v>PL</v>
      </c>
      <c r="C63" t="str">
        <f t="shared" si="18"/>
        <v>PL</v>
      </c>
      <c r="D63" s="8"/>
      <c r="E63" s="8">
        <f t="shared" ref="E63:M63" si="45">IFERROR(E28/D28-1,0)</f>
        <v>0</v>
      </c>
      <c r="F63" s="8">
        <f t="shared" si="45"/>
        <v>0</v>
      </c>
      <c r="G63" s="8">
        <f t="shared" si="45"/>
        <v>0</v>
      </c>
      <c r="H63" s="8">
        <f t="shared" si="45"/>
        <v>0</v>
      </c>
      <c r="I63" s="8">
        <f t="shared" si="45"/>
        <v>0</v>
      </c>
      <c r="J63" s="8">
        <f t="shared" si="45"/>
        <v>0</v>
      </c>
      <c r="K63" s="8">
        <f t="shared" si="45"/>
        <v>0</v>
      </c>
      <c r="L63" s="8">
        <f t="shared" si="45"/>
        <v>0</v>
      </c>
      <c r="M63" s="8">
        <f t="shared" si="45"/>
        <v>0</v>
      </c>
      <c r="N63" s="8">
        <f t="shared" si="20"/>
        <v>0</v>
      </c>
      <c r="O63" s="8">
        <f t="shared" si="20"/>
        <v>0</v>
      </c>
      <c r="P63" s="8">
        <f t="shared" si="20"/>
        <v>0</v>
      </c>
      <c r="Q63" s="8">
        <f t="shared" si="20"/>
        <v>0</v>
      </c>
      <c r="R63" s="8">
        <f t="shared" si="20"/>
        <v>0</v>
      </c>
      <c r="S63" s="8">
        <f t="shared" si="21"/>
        <v>0</v>
      </c>
      <c r="T63" s="8">
        <f t="shared" si="22"/>
        <v>0</v>
      </c>
      <c r="U63" s="8">
        <f t="shared" si="23"/>
        <v>0</v>
      </c>
      <c r="V63" s="8">
        <f t="shared" ca="1" si="23"/>
        <v>0</v>
      </c>
      <c r="W63" s="8"/>
      <c r="X63" s="8"/>
      <c r="Y63" s="8"/>
      <c r="Z63" s="8"/>
      <c r="AA63" s="14">
        <v>0</v>
      </c>
      <c r="AB63" s="8" t="s">
        <v>209</v>
      </c>
      <c r="AC63" s="8" t="e">
        <v>#N/A</v>
      </c>
      <c r="AD63" s="24"/>
      <c r="AE63" s="17" t="e">
        <f t="shared" si="24"/>
        <v>#N/A</v>
      </c>
      <c r="AF63" s="8"/>
    </row>
    <row r="64" spans="1:32">
      <c r="A64">
        <f t="shared" si="18"/>
        <v>24</v>
      </c>
      <c r="B64" t="str">
        <f t="shared" si="18"/>
        <v>PT</v>
      </c>
      <c r="C64" t="str">
        <f t="shared" si="18"/>
        <v>PT</v>
      </c>
      <c r="D64" s="8"/>
      <c r="E64" s="8">
        <f t="shared" ref="E64:M64" si="46">IFERROR(E29/D29-1,0)</f>
        <v>0</v>
      </c>
      <c r="F64" s="8">
        <f t="shared" si="46"/>
        <v>0</v>
      </c>
      <c r="G64" s="8">
        <f t="shared" si="46"/>
        <v>0</v>
      </c>
      <c r="H64" s="8">
        <f t="shared" si="46"/>
        <v>0</v>
      </c>
      <c r="I64" s="8">
        <f t="shared" si="46"/>
        <v>0</v>
      </c>
      <c r="J64" s="8">
        <f t="shared" si="46"/>
        <v>0</v>
      </c>
      <c r="K64" s="8">
        <f t="shared" si="46"/>
        <v>0</v>
      </c>
      <c r="L64" s="8">
        <f t="shared" si="46"/>
        <v>0</v>
      </c>
      <c r="M64" s="8">
        <f t="shared" si="46"/>
        <v>0</v>
      </c>
      <c r="N64" s="8">
        <f t="shared" si="20"/>
        <v>0</v>
      </c>
      <c r="O64" s="8">
        <f t="shared" si="20"/>
        <v>0</v>
      </c>
      <c r="P64" s="8">
        <f t="shared" si="20"/>
        <v>0</v>
      </c>
      <c r="Q64" s="8">
        <f t="shared" si="20"/>
        <v>0</v>
      </c>
      <c r="R64" s="8">
        <f t="shared" si="20"/>
        <v>0</v>
      </c>
      <c r="S64" s="8">
        <f t="shared" si="21"/>
        <v>0</v>
      </c>
      <c r="T64" s="8">
        <f t="shared" si="22"/>
        <v>0</v>
      </c>
      <c r="U64" s="8">
        <f t="shared" si="23"/>
        <v>0</v>
      </c>
      <c r="V64" s="8">
        <f t="shared" ca="1" si="23"/>
        <v>0</v>
      </c>
      <c r="W64" s="8"/>
      <c r="X64" s="8"/>
      <c r="Y64" s="8"/>
      <c r="Z64" s="8"/>
      <c r="AA64" s="14">
        <v>0</v>
      </c>
      <c r="AB64" s="8" t="s">
        <v>209</v>
      </c>
      <c r="AC64" s="8" t="e">
        <v>#N/A</v>
      </c>
      <c r="AD64" s="24"/>
      <c r="AE64" s="17" t="e">
        <f t="shared" si="24"/>
        <v>#N/A</v>
      </c>
      <c r="AF64" s="8"/>
    </row>
    <row r="65" spans="1:32">
      <c r="A65">
        <f t="shared" si="18"/>
        <v>25</v>
      </c>
      <c r="B65" t="str">
        <f t="shared" si="18"/>
        <v>RO</v>
      </c>
      <c r="C65" t="str">
        <f t="shared" si="18"/>
        <v>RO</v>
      </c>
      <c r="D65" s="8"/>
      <c r="E65" s="8">
        <f t="shared" ref="E65:M65" si="47">IFERROR(E30/D30-1,0)</f>
        <v>1.386109040763972E-2</v>
      </c>
      <c r="F65" s="8">
        <f t="shared" si="47"/>
        <v>0.36878593936924298</v>
      </c>
      <c r="G65" s="8">
        <f t="shared" si="47"/>
        <v>0.45622016691441658</v>
      </c>
      <c r="H65" s="8">
        <f t="shared" si="47"/>
        <v>2.8943081794344794E-2</v>
      </c>
      <c r="I65" s="8">
        <f t="shared" si="47"/>
        <v>-1.905289300577262E-2</v>
      </c>
      <c r="J65" s="8">
        <f t="shared" si="47"/>
        <v>1.918346260302517E-2</v>
      </c>
      <c r="K65" s="8">
        <f t="shared" si="47"/>
        <v>9.9331968176170626E-3</v>
      </c>
      <c r="L65" s="8">
        <f t="shared" si="47"/>
        <v>-2.8682162812573742E-2</v>
      </c>
      <c r="M65" s="8">
        <f t="shared" si="47"/>
        <v>6.5019505851755532E-3</v>
      </c>
      <c r="N65" s="8">
        <f t="shared" si="20"/>
        <v>-3.7399700802387414E-4</v>
      </c>
      <c r="O65" s="8">
        <f t="shared" si="20"/>
        <v>-4.4012108431686014E-2</v>
      </c>
      <c r="P65" s="8">
        <f t="shared" si="20"/>
        <v>3.4261927633685518E-2</v>
      </c>
      <c r="Q65" s="8">
        <f t="shared" si="20"/>
        <v>-1.031991744066052E-2</v>
      </c>
      <c r="R65" s="8">
        <f t="shared" si="20"/>
        <v>-1.0775112964893974E-2</v>
      </c>
      <c r="S65" s="8">
        <f t="shared" si="21"/>
        <v>1.4406184118060494E-2</v>
      </c>
      <c r="T65" s="8">
        <f t="shared" si="22"/>
        <v>-7.2739868375476524E-3</v>
      </c>
      <c r="U65" s="8">
        <f t="shared" si="23"/>
        <v>-1.535240753663647E-2</v>
      </c>
      <c r="V65" s="8">
        <f t="shared" ca="1" si="23"/>
        <v>5.5314984625525199E-3</v>
      </c>
      <c r="W65" s="8"/>
      <c r="X65" s="8"/>
      <c r="Y65" s="8"/>
      <c r="Z65" s="8"/>
      <c r="AA65" s="14">
        <v>0</v>
      </c>
      <c r="AB65" s="8">
        <v>9.3149707508781449E-3</v>
      </c>
      <c r="AC65" s="8">
        <v>5.5314984625526092E-3</v>
      </c>
      <c r="AD65" s="24"/>
      <c r="AE65" s="17">
        <f t="shared" si="24"/>
        <v>-3.7834722883255357E-3</v>
      </c>
      <c r="AF65" s="8"/>
    </row>
    <row r="66" spans="1:32">
      <c r="A66">
        <f t="shared" si="18"/>
        <v>26</v>
      </c>
      <c r="B66" t="str">
        <f t="shared" si="18"/>
        <v>SE</v>
      </c>
      <c r="C66" t="str">
        <f t="shared" si="18"/>
        <v>SE</v>
      </c>
      <c r="D66" s="8"/>
      <c r="E66" s="8">
        <f t="shared" ref="E66:M66" si="48">IFERROR(E31/D31-1,0)</f>
        <v>-7.4609324471656469E-2</v>
      </c>
      <c r="F66" s="8">
        <f t="shared" si="48"/>
        <v>-1.1940760860873478E-4</v>
      </c>
      <c r="G66" s="8">
        <f t="shared" si="48"/>
        <v>-4.5991428137933998E-2</v>
      </c>
      <c r="H66" s="8">
        <f t="shared" si="48"/>
        <v>-0.21840470338212747</v>
      </c>
      <c r="I66" s="8">
        <f t="shared" si="48"/>
        <v>0.12553373185311689</v>
      </c>
      <c r="J66" s="8">
        <f t="shared" si="48"/>
        <v>5.2007173403228135E-2</v>
      </c>
      <c r="K66" s="8">
        <f t="shared" si="48"/>
        <v>2.4914765276685014E-2</v>
      </c>
      <c r="L66" s="8">
        <f t="shared" si="48"/>
        <v>2.3285568065506634E-2</v>
      </c>
      <c r="M66" s="8">
        <f t="shared" si="48"/>
        <v>2.2880720180044944E-2</v>
      </c>
      <c r="N66" s="8">
        <f t="shared" si="20"/>
        <v>-5.072729495171735E-2</v>
      </c>
      <c r="O66" s="8">
        <f t="shared" si="20"/>
        <v>1.0751995879474618E-2</v>
      </c>
      <c r="P66" s="8">
        <f t="shared" ref="P66:P71" si="49">IFERROR(P31/O31-1,0)</f>
        <v>4.1531307726606848E-2</v>
      </c>
      <c r="Q66" s="8">
        <f t="shared" ref="Q66:R71" si="50">IFERROR(Q31/P31-1,0)</f>
        <v>2.2995535441257431E-2</v>
      </c>
      <c r="R66" s="8">
        <f t="shared" si="50"/>
        <v>-2.9174388712859489E-2</v>
      </c>
      <c r="S66" s="8">
        <f t="shared" si="21"/>
        <v>-0.25931399716731329</v>
      </c>
      <c r="T66" s="8">
        <f t="shared" si="22"/>
        <v>2.6105753242434249E-2</v>
      </c>
      <c r="U66" s="8">
        <f t="shared" si="23"/>
        <v>5.4286177280828962E-3</v>
      </c>
      <c r="V66" s="8">
        <f t="shared" ca="1" si="23"/>
        <v>-7.0364238410596025E-2</v>
      </c>
      <c r="W66" s="8"/>
      <c r="X66" s="8"/>
      <c r="Y66" s="8"/>
      <c r="Z66" s="8"/>
      <c r="AA66" s="14">
        <v>0</v>
      </c>
      <c r="AB66" s="8">
        <v>-7.0364238410596025E-2</v>
      </c>
      <c r="AC66" s="8">
        <v>-7.0982667634859553E-2</v>
      </c>
      <c r="AD66" s="24"/>
      <c r="AE66" s="17">
        <f t="shared" si="24"/>
        <v>-6.1842922426352809E-4</v>
      </c>
      <c r="AF66" s="8"/>
    </row>
    <row r="67" spans="1:32">
      <c r="A67">
        <f t="shared" si="18"/>
        <v>27</v>
      </c>
      <c r="B67" t="str">
        <f t="shared" si="18"/>
        <v>SI</v>
      </c>
      <c r="C67" t="str">
        <f t="shared" si="18"/>
        <v>SI</v>
      </c>
      <c r="D67" s="8"/>
      <c r="E67" s="8">
        <f t="shared" ref="E67:M67" si="51">IFERROR(E32/D32-1,0)</f>
        <v>-5.7104399199103484E-2</v>
      </c>
      <c r="F67" s="8">
        <f t="shared" si="51"/>
        <v>2.6496618746357781E-2</v>
      </c>
      <c r="G67" s="8">
        <f t="shared" si="51"/>
        <v>0.10149239710669367</v>
      </c>
      <c r="H67" s="8">
        <f t="shared" si="51"/>
        <v>-0.16281441133447416</v>
      </c>
      <c r="I67" s="8">
        <f t="shared" si="51"/>
        <v>-1.4354617970511185E-2</v>
      </c>
      <c r="J67" s="8">
        <f t="shared" si="51"/>
        <v>0.10128666007609111</v>
      </c>
      <c r="K67" s="8">
        <f t="shared" si="51"/>
        <v>-0.11040597572768651</v>
      </c>
      <c r="L67" s="8">
        <f t="shared" si="51"/>
        <v>-4.3750936449838407E-2</v>
      </c>
      <c r="M67" s="8">
        <f t="shared" si="51"/>
        <v>0.19870413302422252</v>
      </c>
      <c r="N67" s="8">
        <f t="shared" si="20"/>
        <v>-0.11154623100731664</v>
      </c>
      <c r="O67" s="8">
        <f t="shared" si="20"/>
        <v>1.234499324425764E-2</v>
      </c>
      <c r="P67" s="8">
        <f t="shared" si="49"/>
        <v>0.10340296860703257</v>
      </c>
      <c r="Q67" s="8">
        <f t="shared" si="50"/>
        <v>-8.2991734426449804E-2</v>
      </c>
      <c r="R67" s="8">
        <f t="shared" si="50"/>
        <v>7.7678440568664797E-3</v>
      </c>
      <c r="S67" s="8">
        <f t="shared" si="21"/>
        <v>8.846131471785923E-2</v>
      </c>
      <c r="T67" s="8">
        <f t="shared" si="22"/>
        <v>-9.6475135818370861E-2</v>
      </c>
      <c r="U67" s="8">
        <f t="shared" si="23"/>
        <v>-1.1752066445683829E-2</v>
      </c>
      <c r="V67" s="8">
        <f t="shared" ca="1" si="23"/>
        <v>-4.4571761906009311E-4</v>
      </c>
      <c r="W67" s="8"/>
      <c r="X67" s="8"/>
      <c r="Y67" s="8"/>
      <c r="Z67" s="8"/>
      <c r="AA67" s="14">
        <v>0</v>
      </c>
      <c r="AB67" s="8" t="e">
        <v>#VALUE!</v>
      </c>
      <c r="AC67" s="8">
        <v>-4.07816216767429E-3</v>
      </c>
      <c r="AD67" s="24">
        <v>-4.4571761906009311E-4</v>
      </c>
      <c r="AE67" s="17" t="e">
        <f t="shared" si="24"/>
        <v>#VALUE!</v>
      </c>
      <c r="AF67" s="8"/>
    </row>
    <row r="68" spans="1:32">
      <c r="A68">
        <f t="shared" si="18"/>
        <v>28</v>
      </c>
      <c r="B68" t="str">
        <f t="shared" si="18"/>
        <v>SK</v>
      </c>
      <c r="C68" t="str">
        <f t="shared" si="18"/>
        <v>SK</v>
      </c>
      <c r="D68" s="8"/>
      <c r="E68" s="8">
        <f t="shared" ref="E68:M68" si="52">IFERROR(E33/D33-1,0)</f>
        <v>1.6805254285778171E-2</v>
      </c>
      <c r="F68" s="8">
        <f t="shared" si="52"/>
        <v>-0.14774822999737558</v>
      </c>
      <c r="G68" s="8">
        <f t="shared" si="52"/>
        <v>8.5563148045425086E-2</v>
      </c>
      <c r="H68" s="8">
        <f t="shared" si="52"/>
        <v>-0.15030637710449668</v>
      </c>
      <c r="I68" s="8">
        <f t="shared" si="52"/>
        <v>1.8577848268569896E-2</v>
      </c>
      <c r="J68" s="8">
        <f t="shared" si="52"/>
        <v>4.5083668978117331E-2</v>
      </c>
      <c r="K68" s="8">
        <f t="shared" si="52"/>
        <v>5.711447727837049E-3</v>
      </c>
      <c r="L68" s="8">
        <f t="shared" si="52"/>
        <v>1.4940740740740699E-2</v>
      </c>
      <c r="M68" s="8">
        <f t="shared" si="52"/>
        <v>-1.3990964624827629E-2</v>
      </c>
      <c r="N68" s="8">
        <f t="shared" si="20"/>
        <v>-6.1682704169750968E-3</v>
      </c>
      <c r="O68" s="8">
        <f t="shared" si="20"/>
        <v>-3.326713008937443E-2</v>
      </c>
      <c r="P68" s="8">
        <f t="shared" si="49"/>
        <v>2.336928608115052E-2</v>
      </c>
      <c r="Q68" s="8">
        <f t="shared" si="50"/>
        <v>-5.6461731493099077E-2</v>
      </c>
      <c r="R68" s="8">
        <f t="shared" si="50"/>
        <v>7.6595744680851174E-2</v>
      </c>
      <c r="S68" s="8">
        <f t="shared" si="21"/>
        <v>-9.8814229249011287E-4</v>
      </c>
      <c r="T68" s="8">
        <f t="shared" si="22"/>
        <v>1.7433234421364574E-3</v>
      </c>
      <c r="U68" s="8">
        <f t="shared" si="23"/>
        <v>1.1340269806593195E-2</v>
      </c>
      <c r="V68" s="8">
        <f t="shared" ca="1" si="23"/>
        <v>0.14745601503845363</v>
      </c>
      <c r="W68" s="8"/>
      <c r="X68" s="8"/>
      <c r="Y68" s="8"/>
      <c r="Z68" s="8"/>
      <c r="AA68" s="14">
        <v>0</v>
      </c>
      <c r="AB68" s="8">
        <v>0.15219849246231157</v>
      </c>
      <c r="AC68" s="8">
        <v>0.14745601503845351</v>
      </c>
      <c r="AD68" s="24"/>
      <c r="AE68" s="17">
        <f t="shared" si="24"/>
        <v>-4.7424774238580547E-3</v>
      </c>
      <c r="AF68" s="8"/>
    </row>
    <row r="69" spans="1:32">
      <c r="A69">
        <f t="shared" si="18"/>
        <v>29</v>
      </c>
      <c r="B69" t="str">
        <f t="shared" si="18"/>
        <v>UK</v>
      </c>
      <c r="C69" t="str">
        <f t="shared" si="18"/>
        <v>UK</v>
      </c>
      <c r="D69" s="8"/>
      <c r="E69" s="8">
        <f t="shared" ref="E69:M71" si="53">IFERROR(E34/D34-1,0)</f>
        <v>-7.5559282963422847E-2</v>
      </c>
      <c r="F69" s="8">
        <f t="shared" si="53"/>
        <v>-0.16464989334812385</v>
      </c>
      <c r="G69" s="8">
        <f t="shared" si="53"/>
        <v>-0.16725902059366859</v>
      </c>
      <c r="H69" s="8">
        <f t="shared" si="53"/>
        <v>0.12482865179141278</v>
      </c>
      <c r="I69" s="8">
        <f t="shared" si="53"/>
        <v>-8.4181495830323749E-2</v>
      </c>
      <c r="J69" s="8">
        <f t="shared" si="53"/>
        <v>0.12038431203843114</v>
      </c>
      <c r="K69" s="8">
        <f t="shared" si="53"/>
        <v>-2.6878279790093385E-2</v>
      </c>
      <c r="L69" s="8">
        <f t="shared" si="53"/>
        <v>1.5585952913323764E-2</v>
      </c>
      <c r="M69" s="8">
        <f t="shared" si="53"/>
        <v>-0.10315353234475166</v>
      </c>
      <c r="N69" s="8">
        <f t="shared" si="20"/>
        <v>0.11764137184115531</v>
      </c>
      <c r="O69" s="8">
        <f t="shared" si="20"/>
        <v>-4.2318360875110983E-3</v>
      </c>
      <c r="P69" s="8">
        <f t="shared" si="49"/>
        <v>-1.8815508958287763E-2</v>
      </c>
      <c r="Q69" s="8">
        <f t="shared" si="50"/>
        <v>-7.029188680522791E-2</v>
      </c>
      <c r="R69" s="8">
        <f t="shared" si="50"/>
        <v>-5.7481167225563845E-2</v>
      </c>
      <c r="S69" s="8">
        <f t="shared" si="21"/>
        <v>-1</v>
      </c>
      <c r="T69" s="8">
        <f t="shared" si="22"/>
        <v>0</v>
      </c>
      <c r="U69" s="8">
        <f t="shared" si="23"/>
        <v>0</v>
      </c>
      <c r="V69" s="8">
        <f t="shared" ca="1" si="23"/>
        <v>0</v>
      </c>
      <c r="W69" s="8"/>
      <c r="X69" s="8"/>
      <c r="Y69" s="8"/>
      <c r="Z69" s="8"/>
      <c r="AA69" s="14">
        <v>0</v>
      </c>
      <c r="AB69" s="8">
        <v>0</v>
      </c>
      <c r="AC69" s="8">
        <v>0</v>
      </c>
      <c r="AD69" s="24"/>
      <c r="AE69" s="17">
        <f t="shared" si="24"/>
        <v>0</v>
      </c>
      <c r="AF69" s="8"/>
    </row>
    <row r="70" spans="1:32">
      <c r="B70" s="40" t="s">
        <v>189</v>
      </c>
      <c r="C70" s="40" t="s">
        <v>189</v>
      </c>
      <c r="D70" s="41"/>
      <c r="E70" s="49">
        <f t="shared" si="53"/>
        <v>-7.8177570796312823E-3</v>
      </c>
      <c r="F70" s="49">
        <f t="shared" ref="F70:F71" si="54">IFERROR(F35/E35-1,0)</f>
        <v>-5.5113034879427869E-2</v>
      </c>
      <c r="G70" s="49">
        <f t="shared" ref="G70:G71" si="55">IFERROR(G35/F35-1,0)</f>
        <v>2.0539755367678936E-3</v>
      </c>
      <c r="H70" s="49">
        <f t="shared" ref="H70:H71" si="56">IFERROR(H35/G35-1,0)</f>
        <v>-5.9223147124699005E-2</v>
      </c>
      <c r="I70" s="49">
        <f t="shared" ref="I70:I71" si="57">IFERROR(I35/H35-1,0)</f>
        <v>2.5023532171336349E-2</v>
      </c>
      <c r="J70" s="49">
        <f t="shared" ref="J70:J71" si="58">IFERROR(J35/I35-1,0)</f>
        <v>-1.1113714781423645E-2</v>
      </c>
      <c r="K70" s="49">
        <f t="shared" ref="K70:K71" si="59">IFERROR(K35/J35-1,0)</f>
        <v>-3.201046354064685E-2</v>
      </c>
      <c r="L70" s="49">
        <f t="shared" ref="L70:L71" si="60">IFERROR(L35/K35-1,0)</f>
        <v>-7.2518098182070556E-3</v>
      </c>
      <c r="M70" s="49">
        <f t="shared" ref="M70:M71" si="61">IFERROR(M35/L35-1,0)</f>
        <v>3.8705641997478502E-3</v>
      </c>
      <c r="N70" s="49">
        <f t="shared" ref="N70:N71" si="62">IFERROR(N35/M35-1,0)</f>
        <v>-1.5955585193543342E-2</v>
      </c>
      <c r="O70" s="49">
        <f t="shared" ref="O70:O71" si="63">IFERROR(O35/N35-1,0)</f>
        <v>-3.0987569589672193E-2</v>
      </c>
      <c r="P70" s="49">
        <f t="shared" si="49"/>
        <v>-1.1502766935826414E-2</v>
      </c>
      <c r="Q70" s="49">
        <f t="shared" si="50"/>
        <v>-3.4011852958820699E-3</v>
      </c>
      <c r="R70" s="49">
        <f t="shared" si="50"/>
        <v>5.9759683057802881E-4</v>
      </c>
      <c r="S70" s="49">
        <f t="shared" si="21"/>
        <v>-0.16357127642965819</v>
      </c>
      <c r="T70" s="49">
        <f t="shared" si="22"/>
        <v>6.5570452238957522E-2</v>
      </c>
      <c r="U70" s="49">
        <f t="shared" si="23"/>
        <v>-0.16704521706654241</v>
      </c>
      <c r="V70" s="49">
        <f t="shared" ca="1" si="23"/>
        <v>1.7676549421024257E-2</v>
      </c>
    </row>
    <row r="71" spans="1:32">
      <c r="B71" s="40" t="s">
        <v>190</v>
      </c>
      <c r="C71" s="40" t="s">
        <v>190</v>
      </c>
      <c r="D71" s="41"/>
      <c r="E71" s="49">
        <f t="shared" si="53"/>
        <v>-1.7942702048781012E-3</v>
      </c>
      <c r="F71" s="49">
        <f t="shared" si="54"/>
        <v>-4.6092915572719217E-2</v>
      </c>
      <c r="G71" s="49">
        <f t="shared" si="55"/>
        <v>1.4263668809442187E-2</v>
      </c>
      <c r="H71" s="49">
        <f t="shared" si="56"/>
        <v>-7.0120313790266953E-2</v>
      </c>
      <c r="I71" s="49">
        <f t="shared" si="57"/>
        <v>3.2844775022458084E-2</v>
      </c>
      <c r="J71" s="49">
        <f t="shared" si="58"/>
        <v>-1.9464488773777711E-2</v>
      </c>
      <c r="K71" s="49">
        <f t="shared" si="59"/>
        <v>-3.2382866722898807E-2</v>
      </c>
      <c r="L71" s="49">
        <f t="shared" si="60"/>
        <v>-8.9183982360041547E-3</v>
      </c>
      <c r="M71" s="49">
        <f t="shared" si="61"/>
        <v>1.1873763725137598E-2</v>
      </c>
      <c r="N71" s="49">
        <f t="shared" si="62"/>
        <v>-2.4810214952234344E-2</v>
      </c>
      <c r="O71" s="49">
        <f t="shared" si="63"/>
        <v>-3.3019945451320143E-2</v>
      </c>
      <c r="P71" s="49">
        <f t="shared" si="49"/>
        <v>-1.0930750983726312E-2</v>
      </c>
      <c r="Q71" s="49">
        <f t="shared" si="50"/>
        <v>1.7894153170945337E-3</v>
      </c>
      <c r="R71" s="49">
        <f t="shared" si="50"/>
        <v>4.7801301662013795E-3</v>
      </c>
      <c r="S71" s="49">
        <f t="shared" si="21"/>
        <v>-0.10706847481871073</v>
      </c>
      <c r="T71" s="49">
        <f t="shared" si="22"/>
        <v>6.5570452238957522E-2</v>
      </c>
      <c r="U71" s="49">
        <f t="shared" si="23"/>
        <v>-0.16704521706654241</v>
      </c>
      <c r="V71" s="49">
        <f t="shared" ca="1" si="23"/>
        <v>1.7676549421024257E-2</v>
      </c>
    </row>
    <row r="72" spans="1:32">
      <c r="W72" s="3"/>
      <c r="X72" s="3"/>
      <c r="Y72" s="3"/>
    </row>
    <row r="73" spans="1:32">
      <c r="W73" s="3"/>
      <c r="X73" s="3"/>
      <c r="Y73" s="3"/>
    </row>
    <row r="74" spans="1:32">
      <c r="W74" s="3"/>
      <c r="X74" s="3"/>
      <c r="Y74" s="3"/>
    </row>
    <row r="75" spans="1:32">
      <c r="W75" s="3"/>
      <c r="X75" s="3"/>
      <c r="Y75" s="3"/>
    </row>
    <row r="76" spans="1:32">
      <c r="W76" s="3"/>
      <c r="X76" s="3"/>
      <c r="Y76" s="3"/>
    </row>
    <row r="77" spans="1:32">
      <c r="W77" s="3"/>
      <c r="X77" s="3"/>
      <c r="Y77" s="3"/>
    </row>
    <row r="78" spans="1:32">
      <c r="W78" s="3"/>
      <c r="X78" s="3"/>
      <c r="Y78" s="3"/>
    </row>
    <row r="79" spans="1:32">
      <c r="W79" s="3"/>
      <c r="X79" s="3"/>
      <c r="Y79" s="3"/>
    </row>
    <row r="80" spans="1:32">
      <c r="W80" s="3"/>
      <c r="X80" s="3"/>
      <c r="Y80" s="3"/>
    </row>
    <row r="81" spans="23:25">
      <c r="W81" s="3"/>
      <c r="X81" s="3"/>
      <c r="Y81" s="3"/>
    </row>
    <row r="82" spans="23:25">
      <c r="W82" s="3"/>
      <c r="X82" s="3"/>
      <c r="Y82" s="3"/>
    </row>
    <row r="83" spans="23:25">
      <c r="W83" s="3"/>
      <c r="X83" s="3"/>
      <c r="Y83" s="3"/>
    </row>
    <row r="84" spans="23:25">
      <c r="W84" s="3"/>
      <c r="X84" s="3"/>
      <c r="Y84" s="3"/>
    </row>
    <row r="85" spans="23:25">
      <c r="W85" s="3"/>
      <c r="X85" s="3"/>
      <c r="Y85" s="3"/>
    </row>
    <row r="86" spans="23:25">
      <c r="W86" s="3"/>
      <c r="X86" s="3"/>
      <c r="Y86" s="3"/>
    </row>
    <row r="87" spans="23:25">
      <c r="W87" s="3"/>
      <c r="X87" s="3"/>
      <c r="Y87" s="3"/>
    </row>
    <row r="88" spans="23:25">
      <c r="W88" s="3"/>
      <c r="X88" s="3"/>
      <c r="Y88" s="3"/>
    </row>
    <row r="89" spans="23:25">
      <c r="W89" s="3"/>
      <c r="X89" s="3"/>
      <c r="Y89" s="3"/>
    </row>
    <row r="90" spans="23:25">
      <c r="W90" s="3"/>
      <c r="X90" s="3"/>
      <c r="Y90" s="3"/>
    </row>
    <row r="91" spans="23:25">
      <c r="W91" s="3"/>
      <c r="X91" s="3"/>
      <c r="Y91" s="3"/>
    </row>
    <row r="92" spans="23:25">
      <c r="W92" s="3"/>
      <c r="X92" s="3"/>
      <c r="Y92" s="3"/>
    </row>
    <row r="93" spans="23:25">
      <c r="W93" s="3"/>
      <c r="X93" s="3"/>
      <c r="Y93" s="3"/>
    </row>
    <row r="94" spans="23:25">
      <c r="W94" s="3"/>
      <c r="X94" s="3"/>
      <c r="Y94" s="3"/>
    </row>
    <row r="95" spans="23:25">
      <c r="W95" s="3"/>
      <c r="X95" s="3"/>
      <c r="Y95" s="3"/>
    </row>
    <row r="96" spans="23:25">
      <c r="W96" s="3"/>
      <c r="X96" s="3"/>
      <c r="Y96" s="3"/>
    </row>
    <row r="97" spans="23:25">
      <c r="W97" s="3"/>
      <c r="X97" s="3"/>
      <c r="Y97" s="3"/>
    </row>
    <row r="98" spans="23:25">
      <c r="W98" s="3"/>
      <c r="X98" s="3"/>
      <c r="Y98" s="3"/>
    </row>
    <row r="99" spans="23:25">
      <c r="W99" s="3"/>
      <c r="X99" s="3"/>
      <c r="Y99" s="3"/>
    </row>
    <row r="101" spans="23:25">
      <c r="X101" s="17"/>
      <c r="Y101" s="17"/>
    </row>
    <row r="102" spans="23:25">
      <c r="X102" s="17"/>
      <c r="Y102" s="17"/>
    </row>
    <row r="103" spans="23:25">
      <c r="X103" s="17"/>
      <c r="Y103" s="17"/>
    </row>
    <row r="104" spans="23:25">
      <c r="X104" s="17"/>
      <c r="Y104" s="17"/>
    </row>
    <row r="105" spans="23:25">
      <c r="X105" s="17"/>
      <c r="Y105" s="17"/>
    </row>
    <row r="106" spans="23:25">
      <c r="X106" s="17"/>
      <c r="Y106" s="17"/>
    </row>
    <row r="107" spans="23:25">
      <c r="X107" s="17"/>
      <c r="Y107" s="17"/>
    </row>
    <row r="108" spans="23:25">
      <c r="X108" s="17"/>
      <c r="Y108" s="17"/>
    </row>
    <row r="109" spans="23:25">
      <c r="X109" s="17"/>
      <c r="Y109" s="17"/>
    </row>
    <row r="110" spans="23:25">
      <c r="X110" s="17"/>
      <c r="Y110" s="17"/>
    </row>
    <row r="111" spans="23:25">
      <c r="X111" s="17"/>
      <c r="Y111" s="17"/>
    </row>
    <row r="112" spans="23:25">
      <c r="X112" s="17"/>
      <c r="Y112" s="17"/>
    </row>
    <row r="113" spans="24:25">
      <c r="X113" s="17"/>
      <c r="Y113" s="17"/>
    </row>
    <row r="114" spans="24:25">
      <c r="X114" s="17"/>
      <c r="Y114" s="17"/>
    </row>
    <row r="115" spans="24:25">
      <c r="X115" s="17"/>
      <c r="Y115" s="17"/>
    </row>
    <row r="116" spans="24:25">
      <c r="X116" s="17"/>
      <c r="Y116" s="17"/>
    </row>
    <row r="117" spans="24:25">
      <c r="X117" s="17"/>
      <c r="Y117" s="17"/>
    </row>
    <row r="118" spans="24:25">
      <c r="X118" s="17"/>
      <c r="Y118" s="17"/>
    </row>
    <row r="119" spans="24:25">
      <c r="X119" s="17"/>
      <c r="Y119" s="17"/>
    </row>
    <row r="120" spans="24:25">
      <c r="X120" s="17"/>
      <c r="Y120" s="17"/>
    </row>
    <row r="121" spans="24:25">
      <c r="X121" s="17"/>
      <c r="Y121" s="17"/>
    </row>
    <row r="122" spans="24:25">
      <c r="X122" s="17"/>
      <c r="Y122" s="17"/>
    </row>
    <row r="123" spans="24:25">
      <c r="X123" s="17"/>
      <c r="Y123" s="17"/>
    </row>
    <row r="124" spans="24:25">
      <c r="X124" s="17"/>
      <c r="Y124" s="17"/>
    </row>
    <row r="125" spans="24:25">
      <c r="X125" s="17"/>
      <c r="Y125" s="17"/>
    </row>
    <row r="126" spans="24:25">
      <c r="X126" s="17"/>
      <c r="Y126" s="17"/>
    </row>
    <row r="127" spans="24:25">
      <c r="X127" s="17"/>
      <c r="Y127" s="17"/>
    </row>
    <row r="128" spans="24:25">
      <c r="X128" s="17"/>
      <c r="Y128" s="17"/>
    </row>
  </sheetData>
  <mergeCells count="2">
    <mergeCell ref="AE40:AE41"/>
    <mergeCell ref="AG5:AG6"/>
  </mergeCells>
  <pageMargins left="0.7" right="0.7" top="0.78740157499999996" bottom="0.78740157499999996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O71"/>
  <sheetViews>
    <sheetView zoomScale="80" zoomScaleNormal="80" workbookViewId="0">
      <pane xSplit="3" ySplit="6" topLeftCell="D7" activePane="bottomRight" state="frozen"/>
      <selection pane="topRight" activeCell="AI47" sqref="AI47"/>
      <selection pane="bottomLeft" activeCell="AI47" sqref="AI47"/>
      <selection pane="bottomRight" activeCell="V6" sqref="V6:V36"/>
    </sheetView>
  </sheetViews>
  <sheetFormatPr baseColWidth="10" defaultColWidth="11.5" defaultRowHeight="13"/>
  <cols>
    <col min="1" max="1" width="13.5" customWidth="1"/>
  </cols>
  <sheetData>
    <row r="1" spans="1:41">
      <c r="A1" t="s">
        <v>54</v>
      </c>
      <c r="AA1" s="11"/>
    </row>
    <row r="2" spans="1:41">
      <c r="AA2" s="11"/>
    </row>
    <row r="3" spans="1:41">
      <c r="AA3" s="11"/>
      <c r="AH3" t="s">
        <v>193</v>
      </c>
    </row>
    <row r="4" spans="1:41" ht="14">
      <c r="AA4" s="11">
        <v>1</v>
      </c>
      <c r="AB4">
        <v>2</v>
      </c>
      <c r="AC4">
        <v>3</v>
      </c>
      <c r="AD4">
        <v>4</v>
      </c>
      <c r="AE4">
        <v>5</v>
      </c>
      <c r="AG4" s="37" t="s">
        <v>194</v>
      </c>
      <c r="AH4" s="10">
        <v>5</v>
      </c>
    </row>
    <row r="5" spans="1:41">
      <c r="D5" t="s">
        <v>173</v>
      </c>
      <c r="AA5" s="11" t="s">
        <v>196</v>
      </c>
      <c r="AB5" t="s">
        <v>197</v>
      </c>
      <c r="AC5" t="s">
        <v>213</v>
      </c>
      <c r="AD5" t="str">
        <f>TrendDuration&amp;"yr lin trend"</f>
        <v>5yr lin trend</v>
      </c>
      <c r="AE5" t="s">
        <v>200</v>
      </c>
      <c r="AF5" t="s">
        <v>201</v>
      </c>
      <c r="AG5" s="37" t="s">
        <v>203</v>
      </c>
      <c r="AH5" s="21">
        <v>0.9</v>
      </c>
      <c r="AI5" s="35">
        <v>0.02</v>
      </c>
      <c r="AN5" t="s">
        <v>204</v>
      </c>
      <c r="AO5" t="s">
        <v>101</v>
      </c>
    </row>
    <row r="6" spans="1:41">
      <c r="A6" t="s">
        <v>212</v>
      </c>
      <c r="B6" t="s">
        <v>175</v>
      </c>
      <c r="C6" t="s">
        <v>176</v>
      </c>
      <c r="D6" s="1">
        <f>'PEC Total'!D6</f>
        <v>2005</v>
      </c>
      <c r="E6" s="1">
        <f>'PEC Total'!E6</f>
        <v>2006</v>
      </c>
      <c r="F6" s="1">
        <f>'PEC Total'!F6</f>
        <v>2007</v>
      </c>
      <c r="G6" s="1">
        <f>'PEC Total'!G6</f>
        <v>2008</v>
      </c>
      <c r="H6" s="1">
        <f>'PEC Total'!H6</f>
        <v>2009</v>
      </c>
      <c r="I6" s="1">
        <f>'PEC Total'!I6</f>
        <v>2010</v>
      </c>
      <c r="J6" s="1">
        <f>'PEC Total'!J6</f>
        <v>2011</v>
      </c>
      <c r="K6" s="1">
        <f>'PEC Total'!K6</f>
        <v>2012</v>
      </c>
      <c r="L6" s="1">
        <f>'PEC Total'!L6</f>
        <v>2013</v>
      </c>
      <c r="M6" s="1">
        <f>'PEC Total'!M6</f>
        <v>2014</v>
      </c>
      <c r="N6" s="1">
        <f>'PEC Total'!N6</f>
        <v>2015</v>
      </c>
      <c r="O6" s="1">
        <f>'PEC Total'!O6</f>
        <v>2016</v>
      </c>
      <c r="P6" s="1">
        <f>'PEC Total'!P6</f>
        <v>2017</v>
      </c>
      <c r="Q6" s="1">
        <f>'PEC Total'!Q6</f>
        <v>2018</v>
      </c>
      <c r="R6" s="1">
        <f>'PEC Total'!R6</f>
        <v>2019</v>
      </c>
      <c r="S6" s="1">
        <f>'PEC Total'!S6</f>
        <v>2020</v>
      </c>
      <c r="T6" s="1">
        <f>'PEC Total'!T6</f>
        <v>2021</v>
      </c>
      <c r="U6" s="1">
        <f>'PEC Total'!U6</f>
        <v>2022</v>
      </c>
      <c r="V6" s="2">
        <f>YearProxy</f>
        <v>2023</v>
      </c>
      <c r="W6" s="21" t="s">
        <v>205</v>
      </c>
      <c r="Y6" s="1"/>
      <c r="Z6" s="1"/>
      <c r="AA6" s="12">
        <f>YearProxy</f>
        <v>2023</v>
      </c>
      <c r="AB6" s="2">
        <f>YearProxy</f>
        <v>2023</v>
      </c>
      <c r="AC6" s="2">
        <f>YearProxy</f>
        <v>2023</v>
      </c>
      <c r="AD6" s="2">
        <f>YearProxy</f>
        <v>2023</v>
      </c>
      <c r="AE6" s="2">
        <f>AA6</f>
        <v>2023</v>
      </c>
      <c r="AF6" s="6"/>
      <c r="AH6" s="6" t="s">
        <v>214</v>
      </c>
      <c r="AI6" s="6" t="s">
        <v>206</v>
      </c>
    </row>
    <row r="7" spans="1:41">
      <c r="A7">
        <v>2</v>
      </c>
      <c r="B7" t="s">
        <v>106</v>
      </c>
      <c r="C7" t="s">
        <v>106</v>
      </c>
      <c r="D7" s="3">
        <v>397.77699999999999</v>
      </c>
      <c r="E7" s="3">
        <v>485.03199999999998</v>
      </c>
      <c r="F7" s="3">
        <v>476.12099999999998</v>
      </c>
      <c r="G7" s="3">
        <v>507.42700000000002</v>
      </c>
      <c r="H7" s="3">
        <v>540.81899999999996</v>
      </c>
      <c r="I7" s="3">
        <v>612.61</v>
      </c>
      <c r="J7" s="3">
        <v>678.20299999999997</v>
      </c>
      <c r="K7" s="3">
        <v>653.01800000000003</v>
      </c>
      <c r="L7" s="3">
        <v>633.26599999999996</v>
      </c>
      <c r="M7" s="3">
        <v>641.14300000000003</v>
      </c>
      <c r="N7" s="3">
        <v>666.351</v>
      </c>
      <c r="O7" s="3">
        <v>712.30600000000004</v>
      </c>
      <c r="P7" s="3">
        <v>683.21299999999997</v>
      </c>
      <c r="Q7" s="3">
        <v>648.26499999999999</v>
      </c>
      <c r="R7" s="3">
        <v>629.875</v>
      </c>
      <c r="S7" s="3">
        <v>668.30399999999997</v>
      </c>
      <c r="T7" s="3">
        <v>659.65099999999995</v>
      </c>
      <c r="U7" s="3">
        <v>691.11800000000005</v>
      </c>
      <c r="V7" s="3">
        <f ca="1">INDEX($AA7:$AI7,1,W7)</f>
        <v>664.73561890938822</v>
      </c>
      <c r="W7" s="16">
        <f ca="1">IF(ISNUMBER(AE7),5,IF(ISNUMBER(AF7),AF7,IF(AH7&gt;$AH$5,4,IF(AND(AI7&lt;$AI$5,AI7&lt;&gt;0),3,IF(ISNUMBER(AB7),2,1)))))</f>
        <v>5</v>
      </c>
      <c r="X7" t="str">
        <f t="shared" ref="X7:X34" ca="1" si="0">INDEX($AA$5:$AJ$5,W7)</f>
        <v>Based on MS Stats</v>
      </c>
      <c r="Y7" s="18"/>
      <c r="Z7" s="3"/>
      <c r="AA7" s="13">
        <f t="shared" ref="AA7:AA34" ca="1" si="1">OFFSET($A7,0,OffsetLast)</f>
        <v>691.11800000000005</v>
      </c>
      <c r="AB7" s="3">
        <f ca="1">AA7*(1+AB42)</f>
        <v>676.92276813724766</v>
      </c>
      <c r="AC7" s="3">
        <f ca="1">AA7*(1+AC42)</f>
        <v>693.36342355372994</v>
      </c>
      <c r="AD7" s="3">
        <f t="shared" ref="AD7:AD34" ca="1" si="2">FORECAST(AD$6,OFFSET($A7,0,OffsetLast-TrendDuration+1,1,TrendDuration),OFFSET($A$6,0,OffsetLast-TrendDuration+1,1,TrendDuration))</f>
        <v>694.08719999999812</v>
      </c>
      <c r="AE7" s="3">
        <f ca="1">IF(ISNUMBER(AE42),$AA7*(1+AE42),"")</f>
        <v>664.73561890938822</v>
      </c>
      <c r="AH7" s="7">
        <f t="shared" ref="AH7:AH34" ca="1" si="3">IFERROR(RSQ(OFFSET($A7,0,OffsetLast-TrendDuration+1,1,TrendDuration),OFFSET($A$6,0,OffsetLast-TrendDuration+1,1,TrendDuration)),0)</f>
        <v>0.6408253892042155</v>
      </c>
      <c r="AI7" s="18">
        <f t="shared" ref="AI7:AI34" ca="1" si="4">_xlfn.STDEV.S(OFFSET($A42,0,OffsetLast-TrendDuration+1,1,TrendDuration))</f>
        <v>4.8821078272241289E-2</v>
      </c>
      <c r="AN7" s="7" t="str">
        <f>IFERROR(INDEX('MS Stats list'!P:P, MATCH(B7,'MS Stats list'!B:B,0)),"")</f>
        <v>Statistics Austria - Preliminary energy balance 2022</v>
      </c>
    </row>
    <row r="8" spans="1:41">
      <c r="A8">
        <v>3</v>
      </c>
      <c r="B8" t="s">
        <v>177</v>
      </c>
      <c r="C8" t="s">
        <v>177</v>
      </c>
      <c r="D8" s="3">
        <v>502.15</v>
      </c>
      <c r="E8" s="3">
        <v>601.08000000000004</v>
      </c>
      <c r="F8" s="3">
        <v>623.60299999999995</v>
      </c>
      <c r="G8" s="3">
        <v>650.21</v>
      </c>
      <c r="H8" s="3">
        <v>712.26199999999994</v>
      </c>
      <c r="I8" s="3">
        <v>702.553</v>
      </c>
      <c r="J8" s="3">
        <v>726.99199999999996</v>
      </c>
      <c r="K8" s="3">
        <v>697.87199999999996</v>
      </c>
      <c r="L8" s="3">
        <v>656.96500000000003</v>
      </c>
      <c r="M8" s="3">
        <v>672.36800000000005</v>
      </c>
      <c r="N8" s="3">
        <v>669.30399999999997</v>
      </c>
      <c r="O8" s="3">
        <v>670.36599999999999</v>
      </c>
      <c r="P8" s="3">
        <v>633.04200000000003</v>
      </c>
      <c r="Q8" s="3">
        <v>638.65</v>
      </c>
      <c r="R8" s="3">
        <v>647.18200000000002</v>
      </c>
      <c r="S8" s="3">
        <v>636.62</v>
      </c>
      <c r="T8" s="3">
        <v>661.197</v>
      </c>
      <c r="U8" s="3">
        <v>614.69100000000003</v>
      </c>
      <c r="V8" s="3">
        <f t="shared" ref="V8:V34" ca="1" si="5">INDEX($AA8:$AI8,1,W8)</f>
        <v>602.01067982856625</v>
      </c>
      <c r="W8" s="16">
        <f t="shared" ref="W8:W34" ca="1" si="6">IF(ISNUMBER(AE8),5,IF(ISNUMBER(AF8),AF8,IF(AH8&gt;$AH$5,4,IF(AND(AI8&lt;$AI$5,AI8&lt;&gt;0),3,IF(ISNUMBER(AB8),2,1)))))</f>
        <v>2</v>
      </c>
      <c r="X8" t="str">
        <f t="shared" ca="1" si="0"/>
        <v>Eurostat</v>
      </c>
      <c r="Y8" s="18"/>
      <c r="Z8" s="3"/>
      <c r="AA8" s="13">
        <f t="shared" ca="1" si="1"/>
        <v>614.69100000000003</v>
      </c>
      <c r="AB8" s="3">
        <f t="shared" ref="AB8:AB34" ca="1" si="7">AA8*(1+AB43)</f>
        <v>602.01067982856625</v>
      </c>
      <c r="AC8" s="3">
        <f t="shared" ref="AC8:AC34" ca="1" si="8">AA8*(1+AC43)</f>
        <v>611.51521529685408</v>
      </c>
      <c r="AD8" s="3">
        <f t="shared" ca="1" si="2"/>
        <v>629.49709999999959</v>
      </c>
      <c r="AE8" s="3" t="str">
        <f t="shared" ref="AE8:AE34" si="9">IF(ISNUMBER(AE43),$AA8*(1+AE43),"")</f>
        <v/>
      </c>
      <c r="AH8" s="7">
        <f t="shared" ca="1" si="3"/>
        <v>9.9590881118212821E-2</v>
      </c>
      <c r="AI8" s="18">
        <f t="shared" ca="1" si="4"/>
        <v>4.1313969221417765E-2</v>
      </c>
      <c r="AN8" s="7" t="str">
        <f>IFERROR(INDEX('MS Stats list'!P:P, MATCH(B8,'MS Stats list'!B:B,0)),"")</f>
        <v/>
      </c>
    </row>
    <row r="9" spans="1:41">
      <c r="A9">
        <v>4</v>
      </c>
      <c r="B9" t="s">
        <v>178</v>
      </c>
      <c r="C9" t="s">
        <v>178</v>
      </c>
      <c r="D9" s="3">
        <v>58.326000000000001</v>
      </c>
      <c r="E9" s="3">
        <v>59.21</v>
      </c>
      <c r="F9" s="3">
        <v>67.569999999999993</v>
      </c>
      <c r="G9" s="3">
        <v>1.887</v>
      </c>
      <c r="H9" s="3">
        <v>4.49</v>
      </c>
      <c r="I9" s="3">
        <v>3.3919999999999999</v>
      </c>
      <c r="J9" s="3">
        <v>9.0760000000000005</v>
      </c>
      <c r="K9" s="3">
        <v>7.3090000000000002</v>
      </c>
      <c r="L9" s="3">
        <v>13.446999999999999</v>
      </c>
      <c r="M9" s="3">
        <v>13.089</v>
      </c>
      <c r="N9" s="3">
        <v>18.271999999999998</v>
      </c>
      <c r="O9" s="3">
        <v>31.504000000000001</v>
      </c>
      <c r="P9" s="3">
        <v>38.719000000000001</v>
      </c>
      <c r="Q9" s="3">
        <v>50.040999999999997</v>
      </c>
      <c r="R9" s="3">
        <v>66.527000000000001</v>
      </c>
      <c r="S9" s="3">
        <v>66.158000000000001</v>
      </c>
      <c r="T9" s="3">
        <v>74.215999999999994</v>
      </c>
      <c r="U9" s="3">
        <v>77.534000000000006</v>
      </c>
      <c r="V9" s="3">
        <f ca="1">INDEX($AA9:$AI9,1,W9)</f>
        <v>113.09941366547338</v>
      </c>
      <c r="W9" s="16">
        <f t="shared" ca="1" si="6"/>
        <v>2</v>
      </c>
      <c r="X9" t="str">
        <f t="shared" ca="1" si="0"/>
        <v>Eurostat</v>
      </c>
      <c r="Y9" s="18"/>
      <c r="Z9" s="3"/>
      <c r="AA9" s="13">
        <f t="shared" ca="1" si="1"/>
        <v>77.534000000000006</v>
      </c>
      <c r="AB9" s="3">
        <f t="shared" ca="1" si="7"/>
        <v>113.09941366547338</v>
      </c>
      <c r="AC9" s="3">
        <f t="shared" ca="1" si="8"/>
        <v>89.673102605992426</v>
      </c>
      <c r="AD9" s="3">
        <f t="shared" ca="1" si="2"/>
        <v>85.697700000000623</v>
      </c>
      <c r="AE9" s="3" t="str">
        <f t="shared" si="9"/>
        <v/>
      </c>
      <c r="AH9" s="7">
        <f t="shared" ca="1" si="3"/>
        <v>0.86998240814660621</v>
      </c>
      <c r="AI9" s="18">
        <f t="shared" ca="1" si="4"/>
        <v>0.14861463966324936</v>
      </c>
      <c r="AN9" s="7" t="str">
        <f>IFERROR(INDEX('MS Stats list'!P:P, MATCH(B9,'MS Stats list'!B:B,0)),"")</f>
        <v/>
      </c>
    </row>
    <row r="10" spans="1:41">
      <c r="A10">
        <v>5</v>
      </c>
      <c r="B10" t="s">
        <v>179</v>
      </c>
      <c r="C10" t="s">
        <v>179</v>
      </c>
      <c r="D10" s="3">
        <v>3.2959999999999998</v>
      </c>
      <c r="E10" s="3">
        <v>1.744</v>
      </c>
      <c r="F10" s="3">
        <v>6.8789999999999996</v>
      </c>
      <c r="G10" s="3">
        <v>5.7080000000000002</v>
      </c>
      <c r="H10" s="3">
        <v>6.5919999999999996</v>
      </c>
      <c r="I10" s="3">
        <v>7.141</v>
      </c>
      <c r="J10" s="3">
        <v>9.6000000000000002E-2</v>
      </c>
      <c r="K10" s="3">
        <v>0.57299999999999995</v>
      </c>
      <c r="L10" s="3">
        <v>1.075</v>
      </c>
      <c r="M10" s="3">
        <v>7.548</v>
      </c>
      <c r="N10" s="3">
        <v>12.324</v>
      </c>
      <c r="O10" s="3">
        <v>15.835000000000001</v>
      </c>
      <c r="P10" s="3">
        <v>21.553000000000001</v>
      </c>
      <c r="Q10" s="3">
        <v>22.969000000000001</v>
      </c>
      <c r="R10" s="3">
        <v>30.786000000000001</v>
      </c>
      <c r="S10" s="3">
        <v>34.802</v>
      </c>
      <c r="T10" s="3">
        <v>40.420999999999999</v>
      </c>
      <c r="U10" s="3">
        <v>46.52</v>
      </c>
      <c r="V10" s="3">
        <f t="shared" ca="1" si="5"/>
        <v>52.120699999999488</v>
      </c>
      <c r="W10" s="16">
        <f t="shared" ca="1" si="6"/>
        <v>4</v>
      </c>
      <c r="X10" t="str">
        <f t="shared" ca="1" si="0"/>
        <v>5yr lin trend</v>
      </c>
      <c r="Y10" s="18"/>
      <c r="Z10" s="3"/>
      <c r="AA10" s="13">
        <f t="shared" ca="1" si="1"/>
        <v>46.52</v>
      </c>
      <c r="AB10" s="3">
        <f t="shared" ca="1" si="7"/>
        <v>45.907628866191104</v>
      </c>
      <c r="AC10" s="3">
        <f t="shared" ca="1" si="8"/>
        <v>54.417410467776747</v>
      </c>
      <c r="AD10" s="3">
        <f t="shared" ca="1" si="2"/>
        <v>52.120699999999488</v>
      </c>
      <c r="AE10" s="3" t="str">
        <f t="shared" si="9"/>
        <v/>
      </c>
      <c r="AH10" s="7">
        <f t="shared" ca="1" si="3"/>
        <v>0.99173947352017211</v>
      </c>
      <c r="AI10" s="18">
        <f t="shared" ca="1" si="4"/>
        <v>0.10233869707915633</v>
      </c>
      <c r="AN10" s="7" t="str">
        <f>IFERROR(INDEX('MS Stats list'!P:P, MATCH(B10,'MS Stats list'!B:B,0)),"")</f>
        <v/>
      </c>
    </row>
    <row r="11" spans="1:41">
      <c r="A11">
        <v>6</v>
      </c>
      <c r="B11" t="s">
        <v>180</v>
      </c>
      <c r="C11" t="s">
        <v>180</v>
      </c>
      <c r="D11" s="3">
        <v>171.94499999999999</v>
      </c>
      <c r="E11" s="3">
        <v>162.34399999999999</v>
      </c>
      <c r="F11" s="3">
        <v>187.494</v>
      </c>
      <c r="G11" s="3">
        <v>190.48</v>
      </c>
      <c r="H11" s="3">
        <v>196.905</v>
      </c>
      <c r="I11" s="3">
        <v>200.822</v>
      </c>
      <c r="J11" s="3">
        <v>219.929</v>
      </c>
      <c r="K11" s="3">
        <v>225.208</v>
      </c>
      <c r="L11" s="3">
        <v>216.29900000000001</v>
      </c>
      <c r="M11" s="3">
        <v>250.69300000000001</v>
      </c>
      <c r="N11" s="3">
        <v>277.3</v>
      </c>
      <c r="O11" s="3">
        <v>304.48099999999999</v>
      </c>
      <c r="P11" s="3">
        <v>305.66000000000003</v>
      </c>
      <c r="Q11" s="3">
        <v>346.48399999999998</v>
      </c>
      <c r="R11" s="3">
        <v>359.44600000000003</v>
      </c>
      <c r="S11" s="3">
        <v>368.49299999999999</v>
      </c>
      <c r="T11" s="3">
        <v>363.96899999999999</v>
      </c>
      <c r="U11" s="3">
        <v>352.57</v>
      </c>
      <c r="V11" s="3">
        <f t="shared" ca="1" si="5"/>
        <v>368.08408879087943</v>
      </c>
      <c r="W11" s="16">
        <f t="shared" ca="1" si="6"/>
        <v>2</v>
      </c>
      <c r="X11" t="str">
        <f t="shared" ca="1" si="0"/>
        <v>Eurostat</v>
      </c>
      <c r="Y11" s="18"/>
      <c r="Z11" s="3"/>
      <c r="AA11" s="13">
        <f t="shared" ca="1" si="1"/>
        <v>352.57</v>
      </c>
      <c r="AB11" s="3">
        <f t="shared" ca="1" si="7"/>
        <v>368.08408879087943</v>
      </c>
      <c r="AC11" s="3">
        <f t="shared" ca="1" si="8"/>
        <v>363.32648181194821</v>
      </c>
      <c r="AD11" s="3">
        <f t="shared" ca="1" si="2"/>
        <v>363.20089999999982</v>
      </c>
      <c r="AE11" s="3" t="str">
        <f t="shared" si="9"/>
        <v/>
      </c>
      <c r="AH11" s="7">
        <f t="shared" ca="1" si="3"/>
        <v>8.9985836915047163E-2</v>
      </c>
      <c r="AI11" s="18">
        <f t="shared" ca="1" si="4"/>
        <v>6.3931559068640842E-2</v>
      </c>
      <c r="AN11" s="7" t="str">
        <f>IFERROR(INDEX('MS Stats list'!P:P, MATCH(B11,'MS Stats list'!B:B,0)),"")</f>
        <v/>
      </c>
    </row>
    <row r="12" spans="1:41">
      <c r="A12">
        <v>7</v>
      </c>
      <c r="B12" t="s">
        <v>91</v>
      </c>
      <c r="C12" t="s">
        <v>91</v>
      </c>
      <c r="D12" s="3">
        <v>1844.846</v>
      </c>
      <c r="E12" s="3">
        <v>2159.692</v>
      </c>
      <c r="F12" s="3">
        <v>2478.2649999999999</v>
      </c>
      <c r="G12" s="3">
        <v>3124.9639999999999</v>
      </c>
      <c r="H12" s="3">
        <v>3609.511</v>
      </c>
      <c r="I12" s="3">
        <v>3906.1570000000002</v>
      </c>
      <c r="J12" s="3">
        <v>3873.8649999999998</v>
      </c>
      <c r="K12" s="3">
        <v>4016.433</v>
      </c>
      <c r="L12" s="3">
        <v>4107.3609999999999</v>
      </c>
      <c r="M12" s="3">
        <v>4302.1639999999998</v>
      </c>
      <c r="N12" s="3">
        <v>4251.9110000000001</v>
      </c>
      <c r="O12" s="3">
        <v>4513.4709999999995</v>
      </c>
      <c r="P12" s="3">
        <v>4514.0200000000004</v>
      </c>
      <c r="Q12" s="3">
        <v>4217.6360000000004</v>
      </c>
      <c r="R12" s="3">
        <v>4248.0889999999999</v>
      </c>
      <c r="S12" s="3">
        <v>4203.1149999999998</v>
      </c>
      <c r="T12" s="3">
        <v>4270.5169999999998</v>
      </c>
      <c r="U12" s="3">
        <v>4066.4949999999999</v>
      </c>
      <c r="V12" s="3">
        <f t="shared" ca="1" si="5"/>
        <v>4066.4949999999999</v>
      </c>
      <c r="W12" s="16">
        <f t="shared" ca="1" si="6"/>
        <v>1</v>
      </c>
      <c r="X12" t="str">
        <f t="shared" ca="1" si="0"/>
        <v>No Change</v>
      </c>
      <c r="Y12" s="18"/>
      <c r="Z12" s="3"/>
      <c r="AA12" s="13">
        <f t="shared" ca="1" si="1"/>
        <v>4066.4949999999999</v>
      </c>
      <c r="AB12" s="3" t="e">
        <f t="shared" ca="1" si="7"/>
        <v>#VALUE!</v>
      </c>
      <c r="AC12" s="3">
        <f t="shared" ca="1" si="8"/>
        <v>3984.5442499124902</v>
      </c>
      <c r="AD12" s="3">
        <f t="shared" ca="1" si="2"/>
        <v>4117.2142000000022</v>
      </c>
      <c r="AE12" s="3" t="str">
        <f t="shared" si="9"/>
        <v/>
      </c>
      <c r="AG12" s="25"/>
      <c r="AH12" s="7">
        <f t="shared" ca="1" si="3"/>
        <v>0.30806469678625781</v>
      </c>
      <c r="AI12" s="18">
        <f t="shared" ca="1" si="4"/>
        <v>3.5299349771131347E-2</v>
      </c>
      <c r="AN12" s="7" t="str">
        <f>IFERROR(INDEX('MS Stats list'!P:P, MATCH(B12,'MS Stats list'!B:B,0)),"")</f>
        <v>BMWi - Gesamtausgabe der Energiedaten - Datensammlung des BMWi, AGEB - Primärenergieverbrauch Jahr 2021</v>
      </c>
    </row>
    <row r="13" spans="1:41">
      <c r="A13">
        <v>8</v>
      </c>
      <c r="B13" t="s">
        <v>115</v>
      </c>
      <c r="C13" t="s">
        <v>115</v>
      </c>
      <c r="D13" s="3">
        <v>406.18099999999998</v>
      </c>
      <c r="E13" s="3">
        <v>413.012</v>
      </c>
      <c r="F13" s="3">
        <v>427.27100000000002</v>
      </c>
      <c r="G13" s="3">
        <v>446.14</v>
      </c>
      <c r="H13" s="3">
        <v>422.87700000000001</v>
      </c>
      <c r="I13" s="3">
        <v>409.572</v>
      </c>
      <c r="J13" s="3">
        <v>413.02</v>
      </c>
      <c r="K13" s="3">
        <v>401.37400000000002</v>
      </c>
      <c r="L13" s="3">
        <v>402.61399999999998</v>
      </c>
      <c r="M13" s="3">
        <v>416.202</v>
      </c>
      <c r="N13" s="3">
        <v>429.05799999999999</v>
      </c>
      <c r="O13" s="3">
        <v>429.41699999999997</v>
      </c>
      <c r="P13" s="3">
        <v>439.34899999999999</v>
      </c>
      <c r="Q13" s="3">
        <v>435.24400000000003</v>
      </c>
      <c r="R13" s="3">
        <v>446.322</v>
      </c>
      <c r="S13" s="3">
        <v>447.19</v>
      </c>
      <c r="T13" s="3">
        <v>432.654</v>
      </c>
      <c r="U13" s="3">
        <v>424.02699999999999</v>
      </c>
      <c r="V13" s="3">
        <f t="shared" ca="1" si="5"/>
        <v>423.16690466531441</v>
      </c>
      <c r="W13" s="16">
        <f t="shared" ca="1" si="6"/>
        <v>5</v>
      </c>
      <c r="X13" t="str">
        <f t="shared" ca="1" si="0"/>
        <v>Based on MS Stats</v>
      </c>
      <c r="Y13" s="18"/>
      <c r="Z13" s="3"/>
      <c r="AA13" s="13">
        <f t="shared" ca="1" si="1"/>
        <v>424.02699999999999</v>
      </c>
      <c r="AB13" s="3">
        <f t="shared" ca="1" si="7"/>
        <v>414.43073071308913</v>
      </c>
      <c r="AC13" s="3">
        <f t="shared" ca="1" si="8"/>
        <v>421.11044771652269</v>
      </c>
      <c r="AD13" s="3">
        <f t="shared" ca="1" si="2"/>
        <v>426.25680000000011</v>
      </c>
      <c r="AE13" s="3">
        <f t="shared" ca="1" si="9"/>
        <v>423.16690466531441</v>
      </c>
      <c r="AG13" s="24"/>
      <c r="AH13" s="7">
        <f t="shared" ca="1" si="3"/>
        <v>0.34211688934430889</v>
      </c>
      <c r="AI13" s="18">
        <f t="shared" ca="1" si="4"/>
        <v>2.2116371586264366E-2</v>
      </c>
      <c r="AN13" s="7" t="str">
        <f>IFERROR(INDEX('MS Stats list'!P:P, MATCH(B13,'MS Stats list'!B:B,0)),"")</f>
        <v>Danish Energy Agency - Preliminary Energy Statsticis 2022</v>
      </c>
    </row>
    <row r="14" spans="1:41">
      <c r="A14">
        <v>9</v>
      </c>
      <c r="B14" t="s">
        <v>120</v>
      </c>
      <c r="C14" t="s">
        <v>120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104.328</v>
      </c>
      <c r="M14" s="3">
        <v>68.262</v>
      </c>
      <c r="N14" s="3">
        <v>47.338999999999999</v>
      </c>
      <c r="O14" s="3">
        <v>46.36</v>
      </c>
      <c r="P14" s="3">
        <v>45.097000000000001</v>
      </c>
      <c r="Q14" s="3">
        <v>49.783999999999999</v>
      </c>
      <c r="R14" s="3">
        <v>42.216999999999999</v>
      </c>
      <c r="S14" s="3">
        <v>34.223999999999997</v>
      </c>
      <c r="T14" s="3">
        <v>35.926000000000002</v>
      </c>
      <c r="U14" s="3">
        <v>34.899000000000001</v>
      </c>
      <c r="V14" s="3">
        <f t="shared" ca="1" si="5"/>
        <v>36.065417708073838</v>
      </c>
      <c r="W14" s="16">
        <f t="shared" ca="1" si="6"/>
        <v>2</v>
      </c>
      <c r="X14" t="str">
        <f t="shared" ca="1" si="0"/>
        <v>Eurostat</v>
      </c>
      <c r="Y14" s="18"/>
      <c r="Z14" s="3"/>
      <c r="AA14" s="13">
        <f t="shared" ca="1" si="1"/>
        <v>34.899000000000001</v>
      </c>
      <c r="AB14" s="3">
        <f t="shared" ca="1" si="7"/>
        <v>36.065417708073838</v>
      </c>
      <c r="AC14" s="3">
        <f t="shared" ca="1" si="8"/>
        <v>33.389605907794014</v>
      </c>
      <c r="AD14" s="3">
        <f t="shared" ca="1" si="2"/>
        <v>28.591699999999946</v>
      </c>
      <c r="AE14" s="3" t="str">
        <f t="shared" si="9"/>
        <v/>
      </c>
      <c r="AH14" s="7">
        <f t="shared" ca="1" si="3"/>
        <v>0.7435884929084785</v>
      </c>
      <c r="AI14" s="18">
        <f t="shared" ca="1" si="4"/>
        <v>0.12618290010940234</v>
      </c>
      <c r="AN14" s="7">
        <f>IFERROR(INDEX('MS Stats list'!P:P, MATCH(B14,'MS Stats list'!B:B,0)),"")</f>
        <v>0</v>
      </c>
    </row>
    <row r="15" spans="1:41">
      <c r="A15">
        <v>11</v>
      </c>
      <c r="B15" t="s">
        <v>85</v>
      </c>
      <c r="C15" t="s">
        <v>85</v>
      </c>
      <c r="D15" s="3">
        <v>189.261</v>
      </c>
      <c r="E15" s="3">
        <v>252.126</v>
      </c>
      <c r="F15" s="3">
        <v>309.18599999999998</v>
      </c>
      <c r="G15" s="3">
        <v>328.05500000000001</v>
      </c>
      <c r="H15" s="3">
        <v>426.238</v>
      </c>
      <c r="I15" s="3">
        <v>322.24799999999999</v>
      </c>
      <c r="J15" s="3">
        <v>374.31400000000002</v>
      </c>
      <c r="K15" s="3">
        <v>345.17500000000001</v>
      </c>
      <c r="L15" s="3">
        <v>352.649</v>
      </c>
      <c r="M15" s="3">
        <v>374.404</v>
      </c>
      <c r="N15" s="3">
        <v>413.69499999999999</v>
      </c>
      <c r="O15" s="3">
        <v>438.815</v>
      </c>
      <c r="P15" s="3">
        <v>472.31700000000001</v>
      </c>
      <c r="Q15" s="3">
        <v>547.30499999999995</v>
      </c>
      <c r="R15" s="3">
        <v>525.78700000000003</v>
      </c>
      <c r="S15" s="3">
        <v>539.72199999999998</v>
      </c>
      <c r="T15" s="3">
        <v>517.32399999999996</v>
      </c>
      <c r="U15" s="3">
        <v>515.08699999999999</v>
      </c>
      <c r="V15" s="3">
        <f t="shared" ca="1" si="5"/>
        <v>493.00607142806535</v>
      </c>
      <c r="W15" s="16">
        <f t="shared" ca="1" si="6"/>
        <v>5</v>
      </c>
      <c r="X15" t="str">
        <f t="shared" ca="1" si="0"/>
        <v>Based on MS Stats</v>
      </c>
      <c r="Y15" s="18"/>
      <c r="Z15" s="3"/>
      <c r="AA15" s="13">
        <f t="shared" ca="1" si="1"/>
        <v>515.08699999999999</v>
      </c>
      <c r="AB15" s="3" t="e">
        <f t="shared" ca="1" si="7"/>
        <v>#VALUE!</v>
      </c>
      <c r="AC15" s="3">
        <f t="shared" ca="1" si="8"/>
        <v>525.40210916037415</v>
      </c>
      <c r="AD15" s="3">
        <f t="shared" ca="1" si="2"/>
        <v>507.17529999999897</v>
      </c>
      <c r="AE15" s="3">
        <f t="shared" ca="1" si="9"/>
        <v>493.00607142806535</v>
      </c>
      <c r="AH15" s="7">
        <f t="shared" ca="1" si="3"/>
        <v>0.67248047979484105</v>
      </c>
      <c r="AI15" s="18">
        <f t="shared" ca="1" si="4"/>
        <v>8.2447850050287416E-2</v>
      </c>
      <c r="AN15" s="7" t="str">
        <f>IFERROR(INDEX('MS Stats list'!P:P, MATCH(B15,'MS Stats list'!B:B,0)),"")</f>
        <v>Ministry of Ecological Transition</v>
      </c>
    </row>
    <row r="16" spans="1:41">
      <c r="A16">
        <v>12</v>
      </c>
      <c r="B16" t="s">
        <v>2</v>
      </c>
      <c r="C16" t="s">
        <v>2</v>
      </c>
      <c r="D16" s="3">
        <v>106.38200000000001</v>
      </c>
      <c r="E16" s="3">
        <v>95.561999999999998</v>
      </c>
      <c r="F16" s="3">
        <v>98.763000000000005</v>
      </c>
      <c r="G16" s="3">
        <v>116.39</v>
      </c>
      <c r="H16" s="3">
        <v>144.64500000000001</v>
      </c>
      <c r="I16" s="3">
        <v>146.15</v>
      </c>
      <c r="J16" s="3">
        <v>144.50200000000001</v>
      </c>
      <c r="K16" s="3">
        <v>183.864</v>
      </c>
      <c r="L16" s="3">
        <v>209.18100000000001</v>
      </c>
      <c r="M16" s="3">
        <v>236.26599999999999</v>
      </c>
      <c r="N16" s="3">
        <v>239.32400000000001</v>
      </c>
      <c r="O16" s="3">
        <v>263.27999999999997</v>
      </c>
      <c r="P16" s="3">
        <v>289.577</v>
      </c>
      <c r="Q16" s="3">
        <v>293.94799999999998</v>
      </c>
      <c r="R16" s="3">
        <v>295.858</v>
      </c>
      <c r="S16" s="3">
        <v>293.709</v>
      </c>
      <c r="T16" s="3">
        <v>322.63299999999998</v>
      </c>
      <c r="U16" s="3">
        <v>317.928</v>
      </c>
      <c r="V16" s="3">
        <f t="shared" ca="1" si="5"/>
        <v>323.51699797160245</v>
      </c>
      <c r="W16" s="16">
        <f t="shared" ca="1" si="6"/>
        <v>2</v>
      </c>
      <c r="X16" t="str">
        <f t="shared" ca="1" si="0"/>
        <v>Eurostat</v>
      </c>
      <c r="Y16" s="18"/>
      <c r="Z16" s="3"/>
      <c r="AA16" s="13">
        <f t="shared" ca="1" si="1"/>
        <v>317.928</v>
      </c>
      <c r="AB16" s="3">
        <f t="shared" ca="1" si="7"/>
        <v>323.51699797160245</v>
      </c>
      <c r="AC16" s="3">
        <f t="shared" ca="1" si="8"/>
        <v>324.17362255109384</v>
      </c>
      <c r="AD16" s="3">
        <f t="shared" ca="1" si="2"/>
        <v>327.23569999999927</v>
      </c>
      <c r="AE16" s="3" t="str">
        <f t="shared" si="9"/>
        <v/>
      </c>
      <c r="AH16" s="7">
        <f t="shared" ca="1" si="3"/>
        <v>0.68861508448029696</v>
      </c>
      <c r="AI16" s="18">
        <f t="shared" ca="1" si="4"/>
        <v>4.5562884770213696E-2</v>
      </c>
      <c r="AN16" s="7" t="str">
        <f>IFERROR(INDEX('MS Stats list'!P:P, MATCH(B16,'MS Stats list'!B:B,0)),"")</f>
        <v>Statistics Finland - Energy supply and consumption</v>
      </c>
    </row>
    <row r="17" spans="1:40">
      <c r="A17">
        <v>13</v>
      </c>
      <c r="B17" t="s">
        <v>82</v>
      </c>
      <c r="C17" t="s">
        <v>82</v>
      </c>
      <c r="D17" s="3">
        <v>1057.92</v>
      </c>
      <c r="E17" s="3">
        <v>1021.783</v>
      </c>
      <c r="F17" s="3">
        <v>1105.7460000000001</v>
      </c>
      <c r="G17" s="3">
        <v>1156.652</v>
      </c>
      <c r="H17" s="3">
        <v>1235.4259999999999</v>
      </c>
      <c r="I17" s="3">
        <v>1251.2090000000001</v>
      </c>
      <c r="J17" s="3">
        <v>1559.3440000000001</v>
      </c>
      <c r="K17" s="3">
        <v>1609.82</v>
      </c>
      <c r="L17" s="3">
        <v>1652.4159999999999</v>
      </c>
      <c r="M17" s="3">
        <v>1695.9690000000001</v>
      </c>
      <c r="N17" s="3">
        <v>1680.3420000000001</v>
      </c>
      <c r="O17" s="3">
        <v>1747.4960000000001</v>
      </c>
      <c r="P17" s="3">
        <v>1688.229</v>
      </c>
      <c r="Q17" s="3">
        <v>1685.7860000000001</v>
      </c>
      <c r="R17" s="3">
        <v>1741.731</v>
      </c>
      <c r="S17" s="3">
        <v>1634.9110000000001</v>
      </c>
      <c r="T17" s="3">
        <v>1723.6869999999999</v>
      </c>
      <c r="U17" s="3">
        <v>1796.193</v>
      </c>
      <c r="V17" s="3">
        <f t="shared" ca="1" si="5"/>
        <v>1735.6907407501783</v>
      </c>
      <c r="W17" s="16">
        <f t="shared" ca="1" si="6"/>
        <v>2</v>
      </c>
      <c r="X17" t="str">
        <f t="shared" ca="1" si="0"/>
        <v>Eurostat</v>
      </c>
      <c r="Y17" s="18"/>
      <c r="Z17" s="3"/>
      <c r="AA17" s="13">
        <f t="shared" ca="1" si="1"/>
        <v>1796.193</v>
      </c>
      <c r="AB17" s="3">
        <f t="shared" ca="1" si="7"/>
        <v>1735.6907407501783</v>
      </c>
      <c r="AC17" s="3">
        <f t="shared" ca="1" si="8"/>
        <v>1820.1808394048289</v>
      </c>
      <c r="AD17" s="3">
        <f t="shared" ca="1" si="2"/>
        <v>1777.2926000000007</v>
      </c>
      <c r="AE17" s="3" t="str">
        <f t="shared" si="9"/>
        <v/>
      </c>
      <c r="AH17" s="7">
        <f t="shared" ca="1" si="3"/>
        <v>0.28085746169463727</v>
      </c>
      <c r="AI17" s="18">
        <f t="shared" ca="1" si="4"/>
        <v>4.6612616777464047E-2</v>
      </c>
      <c r="AN17" s="7" t="str">
        <f>IFERROR(INDEX('MS Stats list'!P:P, MATCH(B17,'MS Stats list'!B:B,0)),"")</f>
        <v>Ministère de la Transition écologique et solidaire - Données et études statistiques</v>
      </c>
    </row>
    <row r="18" spans="1:40">
      <c r="A18">
        <v>10</v>
      </c>
      <c r="B18" t="s">
        <v>181</v>
      </c>
      <c r="C18" t="s">
        <v>182</v>
      </c>
      <c r="D18" s="3">
        <v>24.84</v>
      </c>
      <c r="E18" s="3">
        <v>5.5650000000000004</v>
      </c>
      <c r="F18" s="3">
        <v>5.5650000000000004</v>
      </c>
      <c r="G18" s="3">
        <v>4.0129999999999999</v>
      </c>
      <c r="H18" s="3">
        <v>4.0359999999999996</v>
      </c>
      <c r="I18" s="3">
        <v>32.029000000000003</v>
      </c>
      <c r="J18" s="3">
        <v>28.064</v>
      </c>
      <c r="K18" s="3">
        <v>14.928000000000001</v>
      </c>
      <c r="L18" s="3">
        <v>21.09</v>
      </c>
      <c r="M18" s="3">
        <v>20.731999999999999</v>
      </c>
      <c r="N18" s="3">
        <v>89.137</v>
      </c>
      <c r="O18" s="3">
        <v>60.118000000000002</v>
      </c>
      <c r="P18" s="3">
        <v>0</v>
      </c>
      <c r="Q18" s="3">
        <v>28.960999999999999</v>
      </c>
      <c r="R18" s="3">
        <v>41.978000000000002</v>
      </c>
      <c r="S18" s="3">
        <v>9.673</v>
      </c>
      <c r="T18" s="3">
        <v>7.8579999999999997</v>
      </c>
      <c r="U18" s="3">
        <v>0</v>
      </c>
      <c r="V18" s="3">
        <f t="shared" ca="1" si="5"/>
        <v>0</v>
      </c>
      <c r="W18" s="16">
        <f t="shared" ca="1" si="6"/>
        <v>1</v>
      </c>
      <c r="X18" t="str">
        <f t="shared" ca="1" si="0"/>
        <v>No Change</v>
      </c>
      <c r="Y18" s="18"/>
      <c r="Z18" s="3"/>
      <c r="AA18" s="13">
        <f t="shared" ca="1" si="1"/>
        <v>0</v>
      </c>
      <c r="AB18" s="3" t="e">
        <f t="shared" ca="1" si="7"/>
        <v>#VALUE!</v>
      </c>
      <c r="AC18" s="3">
        <f t="shared" ca="1" si="8"/>
        <v>0</v>
      </c>
      <c r="AD18" s="3">
        <f t="shared" ca="1" si="2"/>
        <v>-9.9186000000008789</v>
      </c>
      <c r="AE18" s="3" t="str">
        <f t="shared" si="9"/>
        <v/>
      </c>
      <c r="AH18" s="7">
        <f t="shared" ca="1" si="3"/>
        <v>0.71142048853476458</v>
      </c>
      <c r="AI18" s="18">
        <f t="shared" ca="1" si="4"/>
        <v>0.58626137609168671</v>
      </c>
      <c r="AN18" s="7" t="str">
        <f>IFERROR(INDEX('MS Stats list'!P:P, MATCH(B18,'MS Stats list'!B:B,0)),"")</f>
        <v/>
      </c>
    </row>
    <row r="19" spans="1:40">
      <c r="A19">
        <v>14</v>
      </c>
      <c r="B19" t="s">
        <v>183</v>
      </c>
      <c r="C19" t="s">
        <v>183</v>
      </c>
      <c r="D19" s="3">
        <v>4.2039999999999997</v>
      </c>
      <c r="E19" s="3">
        <v>4.5620000000000003</v>
      </c>
      <c r="F19" s="3">
        <v>6.4249999999999998</v>
      </c>
      <c r="G19" s="3">
        <v>8.5030000000000001</v>
      </c>
      <c r="H19" s="3">
        <v>8.9090000000000007</v>
      </c>
      <c r="I19" s="3">
        <v>7.6189999999999998</v>
      </c>
      <c r="J19" s="3">
        <v>4.2750000000000004</v>
      </c>
      <c r="K19" s="3">
        <v>8.1449999999999996</v>
      </c>
      <c r="L19" s="3">
        <v>8.7420000000000009</v>
      </c>
      <c r="M19" s="3">
        <v>10.151</v>
      </c>
      <c r="N19" s="3">
        <v>9.3149999999999995</v>
      </c>
      <c r="O19" s="3">
        <v>10.151</v>
      </c>
      <c r="P19" s="3">
        <v>11.529</v>
      </c>
      <c r="Q19" s="3">
        <v>19.53</v>
      </c>
      <c r="R19" s="3">
        <v>26.963000000000001</v>
      </c>
      <c r="S19" s="3">
        <v>38.939</v>
      </c>
      <c r="T19" s="3">
        <v>45.177999999999997</v>
      </c>
      <c r="U19" s="3">
        <v>46.216999999999999</v>
      </c>
      <c r="V19" s="3">
        <f t="shared" ca="1" si="5"/>
        <v>56.842099999999846</v>
      </c>
      <c r="W19" s="16">
        <f t="shared" ca="1" si="6"/>
        <v>4</v>
      </c>
      <c r="X19" t="str">
        <f t="shared" ca="1" si="0"/>
        <v>5yr lin trend</v>
      </c>
      <c r="Y19" s="18"/>
      <c r="Z19" s="3"/>
      <c r="AA19" s="13">
        <f t="shared" ca="1" si="1"/>
        <v>46.216999999999999</v>
      </c>
      <c r="AB19" s="3" t="e">
        <f t="shared" ca="1" si="7"/>
        <v>#VALUE!</v>
      </c>
      <c r="AC19" s="3">
        <f t="shared" ca="1" si="8"/>
        <v>61.948990798532115</v>
      </c>
      <c r="AD19" s="3">
        <f t="shared" ca="1" si="2"/>
        <v>56.842099999999846</v>
      </c>
      <c r="AE19" s="3" t="str">
        <f t="shared" si="9"/>
        <v/>
      </c>
      <c r="AH19" s="7">
        <f t="shared" ca="1" si="3"/>
        <v>0.9349173647697232</v>
      </c>
      <c r="AI19" s="18">
        <f t="shared" ca="1" si="4"/>
        <v>0.2601033077792464</v>
      </c>
      <c r="AN19" s="7" t="str">
        <f>IFERROR(INDEX('MS Stats list'!P:P, MATCH(B19,'MS Stats list'!B:B,0)),"")</f>
        <v/>
      </c>
    </row>
    <row r="20" spans="1:40">
      <c r="A20">
        <v>15</v>
      </c>
      <c r="B20" t="s">
        <v>88</v>
      </c>
      <c r="C20" t="s">
        <v>88</v>
      </c>
      <c r="D20" s="3">
        <v>62.433999999999997</v>
      </c>
      <c r="E20" s="3">
        <v>74.447999999999993</v>
      </c>
      <c r="F20" s="3">
        <v>74.281000000000006</v>
      </c>
      <c r="G20" s="3">
        <v>68.070999999999998</v>
      </c>
      <c r="H20" s="3">
        <v>73.564999999999998</v>
      </c>
      <c r="I20" s="3">
        <v>87.847999999999999</v>
      </c>
      <c r="J20" s="3">
        <v>100.363</v>
      </c>
      <c r="K20" s="3">
        <v>89.185000000000002</v>
      </c>
      <c r="L20" s="3">
        <v>83.141999999999996</v>
      </c>
      <c r="M20" s="3">
        <v>102.465</v>
      </c>
      <c r="N20" s="3">
        <v>132.321</v>
      </c>
      <c r="O20" s="3">
        <v>158.04400000000001</v>
      </c>
      <c r="P20" s="3">
        <v>163.92</v>
      </c>
      <c r="Q20" s="3">
        <v>194.27699999999999</v>
      </c>
      <c r="R20" s="3">
        <v>215.08099999999999</v>
      </c>
      <c r="S20" s="3">
        <v>211.06800000000001</v>
      </c>
      <c r="T20" s="3">
        <v>244.96</v>
      </c>
      <c r="U20" s="3">
        <v>217.30199999999999</v>
      </c>
      <c r="V20" s="3">
        <f t="shared" ca="1" si="5"/>
        <v>199.93790305561663</v>
      </c>
      <c r="W20" s="16">
        <f t="shared" ca="1" si="6"/>
        <v>2</v>
      </c>
      <c r="X20" t="str">
        <f t="shared" ca="1" si="0"/>
        <v>Eurostat</v>
      </c>
      <c r="Y20" s="18"/>
      <c r="Z20" s="3"/>
      <c r="AA20" s="13">
        <f t="shared" ca="1" si="1"/>
        <v>217.30199999999999</v>
      </c>
      <c r="AB20" s="3">
        <f t="shared" ca="1" si="7"/>
        <v>199.93790305561663</v>
      </c>
      <c r="AC20" s="3">
        <f t="shared" ca="1" si="8"/>
        <v>231.26520670997184</v>
      </c>
      <c r="AD20" s="3">
        <f t="shared" ca="1" si="2"/>
        <v>239.31630000000041</v>
      </c>
      <c r="AE20" s="3" t="str">
        <f t="shared" si="9"/>
        <v/>
      </c>
      <c r="AH20" s="7">
        <f t="shared" ca="1" si="3"/>
        <v>0.43153126556423926</v>
      </c>
      <c r="AI20" s="18">
        <f t="shared" ca="1" si="4"/>
        <v>0.1264904070137243</v>
      </c>
      <c r="AN20" s="7" t="str">
        <f>IFERROR(INDEX('MS Stats list'!P:P, MATCH(B20,'MS Stats list'!B:B,0)),"")</f>
        <v>MEKH - Official Statistics - 7.2 National simplified Energy Balance - IEA format</v>
      </c>
    </row>
    <row r="21" spans="1:40">
      <c r="A21">
        <v>16</v>
      </c>
      <c r="B21" t="s">
        <v>133</v>
      </c>
      <c r="C21" t="s">
        <v>133</v>
      </c>
      <c r="D21" s="3">
        <v>0</v>
      </c>
      <c r="E21" s="3">
        <v>0</v>
      </c>
      <c r="F21" s="3">
        <v>0</v>
      </c>
      <c r="G21" s="3">
        <v>0</v>
      </c>
      <c r="H21" s="3">
        <v>12.912000000000001</v>
      </c>
      <c r="I21" s="3">
        <v>8.5519999999999996</v>
      </c>
      <c r="J21" s="3">
        <v>14.183</v>
      </c>
      <c r="K21" s="3">
        <v>45.722000000000001</v>
      </c>
      <c r="L21" s="3">
        <v>61.39</v>
      </c>
      <c r="M21" s="3">
        <v>66.103999999999999</v>
      </c>
      <c r="N21" s="3">
        <v>68.799000000000007</v>
      </c>
      <c r="O21" s="3">
        <v>66.655000000000001</v>
      </c>
      <c r="P21" s="3">
        <v>113.264</v>
      </c>
      <c r="Q21" s="3">
        <v>145.465</v>
      </c>
      <c r="R21" s="3">
        <v>145.31899999999999</v>
      </c>
      <c r="S21" s="3">
        <v>146.75200000000001</v>
      </c>
      <c r="T21" s="3">
        <v>142.96299999999999</v>
      </c>
      <c r="U21" s="3">
        <v>148.40600000000001</v>
      </c>
      <c r="V21" s="3">
        <f t="shared" ca="1" si="5"/>
        <v>165.57047989741756</v>
      </c>
      <c r="W21" s="16">
        <f t="shared" ca="1" si="6"/>
        <v>5</v>
      </c>
      <c r="X21" t="str">
        <f t="shared" ca="1" si="0"/>
        <v>Based on MS Stats</v>
      </c>
      <c r="Y21" s="18"/>
      <c r="Z21" s="3"/>
      <c r="AA21" s="13">
        <f t="shared" ca="1" si="1"/>
        <v>148.40600000000001</v>
      </c>
      <c r="AB21" s="3">
        <f t="shared" ca="1" si="7"/>
        <v>165.52996581882161</v>
      </c>
      <c r="AC21" s="3">
        <f t="shared" ca="1" si="8"/>
        <v>157.47097984684692</v>
      </c>
      <c r="AD21" s="3">
        <f t="shared" ca="1" si="2"/>
        <v>146.83879999999999</v>
      </c>
      <c r="AE21" s="3">
        <f t="shared" ca="1" si="9"/>
        <v>165.57047989741756</v>
      </c>
      <c r="AH21" s="7">
        <f t="shared" ca="1" si="3"/>
        <v>7.7279717849885854E-2</v>
      </c>
      <c r="AI21" s="18">
        <f t="shared" ca="1" si="4"/>
        <v>0.12687187175216277</v>
      </c>
      <c r="AN21" s="7" t="str">
        <f>IFERROR(INDEX('MS Stats list'!P:P, MATCH(B21,'MS Stats list'!B:B,0)),"")</f>
        <v>SEAI - 2022 Provisional Energy Balance</v>
      </c>
    </row>
    <row r="22" spans="1:40">
      <c r="A22">
        <v>17</v>
      </c>
      <c r="B22" t="s">
        <v>157</v>
      </c>
      <c r="C22" t="s">
        <v>157</v>
      </c>
      <c r="D22" s="3">
        <v>672.75699999999995</v>
      </c>
      <c r="E22" s="3">
        <v>766.00300000000004</v>
      </c>
      <c r="F22" s="3">
        <v>825.71400000000006</v>
      </c>
      <c r="G22" s="3">
        <v>751.95899999999995</v>
      </c>
      <c r="H22" s="3">
        <v>802.37900000000002</v>
      </c>
      <c r="I22" s="3">
        <v>1041.058</v>
      </c>
      <c r="J22" s="3">
        <v>1135.1389999999999</v>
      </c>
      <c r="K22" s="3">
        <v>1132.2729999999999</v>
      </c>
      <c r="L22" s="3">
        <v>1137.981</v>
      </c>
      <c r="M22" s="3">
        <v>1157.758</v>
      </c>
      <c r="N22" s="3">
        <v>1149.2070000000001</v>
      </c>
      <c r="O22" s="3">
        <v>1183.123</v>
      </c>
      <c r="P22" s="3">
        <v>1134.201</v>
      </c>
      <c r="Q22" s="3">
        <v>1132.9839999999999</v>
      </c>
      <c r="R22" s="3">
        <v>1182.3309999999999</v>
      </c>
      <c r="S22" s="3">
        <v>1190.1110000000001</v>
      </c>
      <c r="T22" s="3">
        <v>1141.808</v>
      </c>
      <c r="U22" s="3">
        <v>1129.0930000000001</v>
      </c>
      <c r="V22" s="3">
        <f t="shared" ca="1" si="5"/>
        <v>1110.1228789301981</v>
      </c>
      <c r="W22" s="16">
        <f t="shared" ca="1" si="6"/>
        <v>2</v>
      </c>
      <c r="X22" t="str">
        <f t="shared" ca="1" si="0"/>
        <v>Eurostat</v>
      </c>
      <c r="Y22" s="18"/>
      <c r="Z22" s="3"/>
      <c r="AA22" s="13">
        <f t="shared" ca="1" si="1"/>
        <v>1129.0930000000001</v>
      </c>
      <c r="AB22" s="3">
        <f t="shared" ca="1" si="7"/>
        <v>1110.1228789301981</v>
      </c>
      <c r="AC22" s="3">
        <f t="shared" ca="1" si="8"/>
        <v>1128.4921638047967</v>
      </c>
      <c r="AD22" s="3">
        <f t="shared" ca="1" si="2"/>
        <v>1140.7739000000001</v>
      </c>
      <c r="AE22" s="3" t="str">
        <f t="shared" si="9"/>
        <v/>
      </c>
      <c r="AH22" s="7">
        <f t="shared" ca="1" si="3"/>
        <v>7.0509149978935093E-2</v>
      </c>
      <c r="AI22" s="18">
        <f t="shared" ca="1" si="4"/>
        <v>3.0460519531276105E-2</v>
      </c>
      <c r="AN22" s="7" t="str">
        <f>IFERROR(INDEX('MS Stats list'!P:P, MATCH(B22,'MS Stats list'!B:B,0)),"")</f>
        <v>Ministry of Ecological Transition</v>
      </c>
    </row>
    <row r="23" spans="1:40">
      <c r="A23">
        <v>18</v>
      </c>
      <c r="B23" t="s">
        <v>137</v>
      </c>
      <c r="C23" t="s">
        <v>137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14.88</v>
      </c>
      <c r="M23" s="3">
        <v>18.056999999999999</v>
      </c>
      <c r="N23" s="3">
        <v>22.523</v>
      </c>
      <c r="O23" s="3">
        <v>49.274000000000001</v>
      </c>
      <c r="P23" s="3">
        <v>33.652999999999999</v>
      </c>
      <c r="Q23" s="3">
        <v>35.755000000000003</v>
      </c>
      <c r="R23" s="3">
        <v>35.994</v>
      </c>
      <c r="S23" s="3">
        <v>58.588999999999999</v>
      </c>
      <c r="T23" s="3">
        <v>90.713999999999999</v>
      </c>
      <c r="U23" s="3">
        <v>88.516000000000005</v>
      </c>
      <c r="V23" s="3">
        <f t="shared" ca="1" si="5"/>
        <v>103.96033471810091</v>
      </c>
      <c r="W23" s="16">
        <f t="shared" ca="1" si="6"/>
        <v>5</v>
      </c>
      <c r="X23" t="str">
        <f t="shared" ca="1" si="0"/>
        <v>Based on MS Stats</v>
      </c>
      <c r="Y23" s="18"/>
      <c r="Z23" s="3"/>
      <c r="AA23" s="13">
        <f t="shared" ca="1" si="1"/>
        <v>88.516000000000005</v>
      </c>
      <c r="AB23" s="3" t="e">
        <f t="shared" ca="1" si="7"/>
        <v>#VALUE!</v>
      </c>
      <c r="AC23" s="3">
        <f t="shared" ca="1" si="8"/>
        <v>110.13107628953821</v>
      </c>
      <c r="AD23" s="3">
        <f t="shared" ca="1" si="2"/>
        <v>109.98619999999937</v>
      </c>
      <c r="AE23" s="3">
        <f t="shared" ca="1" si="9"/>
        <v>103.96033471810091</v>
      </c>
      <c r="AH23" s="7">
        <f t="shared" ca="1" si="3"/>
        <v>0.88411952803185023</v>
      </c>
      <c r="AI23" s="18">
        <f t="shared" ca="1" si="4"/>
        <v>0.31665698913769669</v>
      </c>
      <c r="AN23" s="7" t="str">
        <f>IFERROR(INDEX('MS Stats list'!P:P, MATCH(B23,'MS Stats list'!B:B,0)),"")</f>
        <v>Statistics Lithuania - Energy balances</v>
      </c>
    </row>
    <row r="24" spans="1:40">
      <c r="A24">
        <v>19</v>
      </c>
      <c r="B24" t="s">
        <v>184</v>
      </c>
      <c r="C24" t="s">
        <v>184</v>
      </c>
      <c r="D24" s="3">
        <v>35.094000000000001</v>
      </c>
      <c r="E24" s="3">
        <v>36.878</v>
      </c>
      <c r="F24" s="3">
        <v>32.914000000000001</v>
      </c>
      <c r="G24" s="3">
        <v>35.106000000000002</v>
      </c>
      <c r="H24" s="3">
        <v>28.1</v>
      </c>
      <c r="I24" s="3">
        <v>30.786999999999999</v>
      </c>
      <c r="J24" s="3">
        <v>31.954000000000001</v>
      </c>
      <c r="K24" s="3">
        <v>32.28</v>
      </c>
      <c r="L24" s="3">
        <v>33.515000000000001</v>
      </c>
      <c r="M24" s="3">
        <v>32.683</v>
      </c>
      <c r="N24" s="3">
        <v>33.875</v>
      </c>
      <c r="O24" s="3">
        <v>33.835999999999999</v>
      </c>
      <c r="P24" s="3">
        <v>36.941000000000003</v>
      </c>
      <c r="Q24" s="3">
        <v>37.957000000000001</v>
      </c>
      <c r="R24" s="3">
        <v>38.094000000000001</v>
      </c>
      <c r="S24" s="3">
        <v>44.738999999999997</v>
      </c>
      <c r="T24" s="3">
        <v>41.551000000000002</v>
      </c>
      <c r="U24" s="3">
        <v>41.484000000000002</v>
      </c>
      <c r="V24" s="3">
        <f t="shared" ca="1" si="5"/>
        <v>32.650513711742228</v>
      </c>
      <c r="W24" s="16">
        <f t="shared" ca="1" si="6"/>
        <v>2</v>
      </c>
      <c r="X24" t="str">
        <f t="shared" ca="1" si="0"/>
        <v>Eurostat</v>
      </c>
      <c r="Y24" s="18"/>
      <c r="Z24" s="3"/>
      <c r="AA24" s="13">
        <f t="shared" ca="1" si="1"/>
        <v>41.484000000000002</v>
      </c>
      <c r="AB24" s="3">
        <f t="shared" ca="1" si="7"/>
        <v>32.650513711742228</v>
      </c>
      <c r="AC24" s="3">
        <f t="shared" ca="1" si="8"/>
        <v>42.584814173381467</v>
      </c>
      <c r="AD24" s="3">
        <f t="shared" ca="1" si="2"/>
        <v>43.918299999999817</v>
      </c>
      <c r="AE24" s="3" t="str">
        <f t="shared" si="9"/>
        <v/>
      </c>
      <c r="AH24" s="7">
        <f t="shared" ca="1" si="3"/>
        <v>0.34583127912013562</v>
      </c>
      <c r="AI24" s="18">
        <f t="shared" ca="1" si="4"/>
        <v>9.0494752839620912E-2</v>
      </c>
      <c r="AN24" s="7" t="str">
        <f>IFERROR(INDEX('MS Stats list'!P:P, MATCH(B24,'MS Stats list'!B:B,0)),"")</f>
        <v/>
      </c>
    </row>
    <row r="25" spans="1:40">
      <c r="A25">
        <v>20</v>
      </c>
      <c r="B25" t="s">
        <v>93</v>
      </c>
      <c r="C25" t="s">
        <v>93</v>
      </c>
      <c r="D25" s="3">
        <v>4.3710000000000004</v>
      </c>
      <c r="E25" s="3">
        <v>3.129</v>
      </c>
      <c r="F25" s="3">
        <v>5.016</v>
      </c>
      <c r="G25" s="3">
        <v>5.016</v>
      </c>
      <c r="H25" s="3">
        <v>2.1019999999999999</v>
      </c>
      <c r="I25" s="3">
        <v>28.207999999999998</v>
      </c>
      <c r="J25" s="3">
        <v>53.478000000000002</v>
      </c>
      <c r="K25" s="3">
        <v>55.674999999999997</v>
      </c>
      <c r="L25" s="3">
        <v>52.927999999999997</v>
      </c>
      <c r="M25" s="3">
        <v>65.3</v>
      </c>
      <c r="N25" s="3">
        <v>55.006</v>
      </c>
      <c r="O25" s="3">
        <v>36.686999999999998</v>
      </c>
      <c r="P25" s="3">
        <v>26.103999999999999</v>
      </c>
      <c r="Q25" s="3">
        <v>45.249000000000002</v>
      </c>
      <c r="R25" s="3">
        <v>42.628</v>
      </c>
      <c r="S25" s="3">
        <v>52.62</v>
      </c>
      <c r="T25" s="3">
        <v>47.328000000000003</v>
      </c>
      <c r="U25" s="3">
        <v>50.048000000000002</v>
      </c>
      <c r="V25" s="3">
        <f t="shared" ca="1" si="5"/>
        <v>48.576000000000001</v>
      </c>
      <c r="W25" s="16">
        <f t="shared" ca="1" si="6"/>
        <v>5</v>
      </c>
      <c r="X25" t="str">
        <f t="shared" ca="1" si="0"/>
        <v>Based on MS Stats</v>
      </c>
      <c r="Y25" s="18"/>
      <c r="Z25" s="3"/>
      <c r="AA25" s="13">
        <f t="shared" ca="1" si="1"/>
        <v>50.048000000000002</v>
      </c>
      <c r="AB25" s="3">
        <f t="shared" ca="1" si="7"/>
        <v>51.514311204776959</v>
      </c>
      <c r="AC25" s="3">
        <f t="shared" ca="1" si="8"/>
        <v>58.724217537326801</v>
      </c>
      <c r="AD25" s="3">
        <f t="shared" ca="1" si="2"/>
        <v>51.864000000000033</v>
      </c>
      <c r="AE25" s="3">
        <f t="shared" ca="1" si="9"/>
        <v>48.576000000000001</v>
      </c>
      <c r="AH25" s="7">
        <f t="shared" ca="1" si="3"/>
        <v>0.33234704094530937</v>
      </c>
      <c r="AI25" s="18">
        <f t="shared" ca="1" si="4"/>
        <v>0.33887492137052244</v>
      </c>
      <c r="AN25" s="7" t="str">
        <f>IFERROR(INDEX('MS Stats list'!P:P, MATCH(B25,'MS Stats list'!B:B,0)),"")</f>
        <v/>
      </c>
    </row>
    <row r="26" spans="1:40">
      <c r="A26">
        <v>21</v>
      </c>
      <c r="B26" t="s">
        <v>141</v>
      </c>
      <c r="C26" t="s">
        <v>141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f t="shared" ca="1" si="5"/>
        <v>0</v>
      </c>
      <c r="W26" s="16">
        <f t="shared" ca="1" si="6"/>
        <v>1</v>
      </c>
      <c r="X26" t="str">
        <f t="shared" ca="1" si="0"/>
        <v>No Change</v>
      </c>
      <c r="Y26" s="18"/>
      <c r="Z26" s="3"/>
      <c r="AA26" s="13">
        <f t="shared" ca="1" si="1"/>
        <v>0</v>
      </c>
      <c r="AB26" s="3" t="e">
        <f t="shared" ca="1" si="7"/>
        <v>#VALUE!</v>
      </c>
      <c r="AC26" s="3">
        <f t="shared" ca="1" si="8"/>
        <v>0</v>
      </c>
      <c r="AD26" s="3">
        <f t="shared" ca="1" si="2"/>
        <v>0</v>
      </c>
      <c r="AE26" s="3" t="str">
        <f t="shared" si="9"/>
        <v/>
      </c>
      <c r="AH26" s="7">
        <f t="shared" ca="1" si="3"/>
        <v>0</v>
      </c>
      <c r="AI26" s="18">
        <f t="shared" ca="1" si="4"/>
        <v>0</v>
      </c>
      <c r="AN26" s="7" t="str">
        <f>IFERROR(INDEX('MS Stats list'!P:P, MATCH(B26,'MS Stats list'!B:B,0)),"")</f>
        <v>Msdata from consultations</v>
      </c>
    </row>
    <row r="27" spans="1:40">
      <c r="A27">
        <v>22</v>
      </c>
      <c r="B27" t="s">
        <v>145</v>
      </c>
      <c r="C27" t="s">
        <v>145</v>
      </c>
      <c r="D27" s="3">
        <v>718.01900000000001</v>
      </c>
      <c r="E27" s="3">
        <v>688.68799999999999</v>
      </c>
      <c r="F27" s="3">
        <v>720.47900000000004</v>
      </c>
      <c r="G27" s="3">
        <v>759.43399999999997</v>
      </c>
      <c r="H27" s="3">
        <v>744.43499999999995</v>
      </c>
      <c r="I27" s="3">
        <v>724.53899999999999</v>
      </c>
      <c r="J27" s="3">
        <v>760.15099999999995</v>
      </c>
      <c r="K27" s="3">
        <v>746.77599999999995</v>
      </c>
      <c r="L27" s="3">
        <v>795.14200000000005</v>
      </c>
      <c r="M27" s="3">
        <v>819.26499999999999</v>
      </c>
      <c r="N27" s="3">
        <v>883.678</v>
      </c>
      <c r="O27" s="3">
        <v>934.8</v>
      </c>
      <c r="P27" s="3">
        <v>934.23099999999999</v>
      </c>
      <c r="Q27" s="3">
        <v>937.67600000000004</v>
      </c>
      <c r="R27" s="3">
        <v>892.38499999999999</v>
      </c>
      <c r="S27" s="3">
        <v>860.91899999999998</v>
      </c>
      <c r="T27" s="3">
        <v>895.447</v>
      </c>
      <c r="U27" s="3">
        <v>820.16</v>
      </c>
      <c r="V27" s="3">
        <f t="shared" ca="1" si="5"/>
        <v>807.19306198172922</v>
      </c>
      <c r="W27" s="16">
        <f t="shared" ca="1" si="6"/>
        <v>2</v>
      </c>
      <c r="X27" t="str">
        <f t="shared" ca="1" si="0"/>
        <v>Eurostat</v>
      </c>
      <c r="Y27" s="18"/>
      <c r="Z27" s="3"/>
      <c r="AA27" s="13">
        <f t="shared" ca="1" si="1"/>
        <v>820.16</v>
      </c>
      <c r="AB27" s="3">
        <f t="shared" ca="1" si="7"/>
        <v>807.19306198172922</v>
      </c>
      <c r="AC27" s="3">
        <f t="shared" ca="1" si="8"/>
        <v>799.84530036076114</v>
      </c>
      <c r="AD27" s="3">
        <f t="shared" ca="1" si="2"/>
        <v>811.72639999999956</v>
      </c>
      <c r="AE27" s="3" t="str">
        <f t="shared" si="9"/>
        <v/>
      </c>
      <c r="AH27" s="7">
        <f t="shared" ca="1" si="3"/>
        <v>0.70296313604521621</v>
      </c>
      <c r="AI27" s="18">
        <f t="shared" ca="1" si="4"/>
        <v>4.7958017726592979E-2</v>
      </c>
      <c r="AN27" s="7" t="str">
        <f>IFERROR(INDEX('MS Stats list'!P:P, MATCH(B27,'MS Stats list'!B:B,0)),"")</f>
        <v>CBS - Energy balance sheet; supply, transformation and consumption</v>
      </c>
    </row>
    <row r="28" spans="1:40">
      <c r="A28">
        <v>23</v>
      </c>
      <c r="B28" t="s">
        <v>185</v>
      </c>
      <c r="C28" t="s">
        <v>185</v>
      </c>
      <c r="D28" s="3">
        <v>156.44399999999999</v>
      </c>
      <c r="E28" s="3">
        <v>282.411</v>
      </c>
      <c r="F28" s="3">
        <v>234.59399999999999</v>
      </c>
      <c r="G28" s="3">
        <v>240.542</v>
      </c>
      <c r="H28" s="3">
        <v>356.23899999999998</v>
      </c>
      <c r="I28" s="3">
        <v>397.53500000000003</v>
      </c>
      <c r="J28" s="3">
        <v>440.59899999999999</v>
      </c>
      <c r="K28" s="3">
        <v>419.46100000000001</v>
      </c>
      <c r="L28" s="3">
        <v>451.01299999999998</v>
      </c>
      <c r="M28" s="3">
        <v>514.66499999999996</v>
      </c>
      <c r="N28" s="3">
        <v>523.47900000000004</v>
      </c>
      <c r="O28" s="3">
        <v>741.52099999999996</v>
      </c>
      <c r="P28" s="3">
        <v>870.24199999999996</v>
      </c>
      <c r="Q28" s="3">
        <v>1010.755</v>
      </c>
      <c r="R28" s="3">
        <v>1064.78</v>
      </c>
      <c r="S28" s="3">
        <v>1049.9480000000001</v>
      </c>
      <c r="T28" s="3">
        <v>993.53599999999994</v>
      </c>
      <c r="U28" s="3">
        <v>1026.5719999999999</v>
      </c>
      <c r="V28" s="3">
        <f t="shared" ca="1" si="5"/>
        <v>1026.5719999999999</v>
      </c>
      <c r="W28" s="16">
        <f t="shared" ca="1" si="6"/>
        <v>1</v>
      </c>
      <c r="X28" t="str">
        <f t="shared" ca="1" si="0"/>
        <v>No Change</v>
      </c>
      <c r="Y28" s="18"/>
      <c r="Z28" s="3"/>
      <c r="AA28" s="13">
        <f t="shared" ca="1" si="1"/>
        <v>1026.5719999999999</v>
      </c>
      <c r="AB28" s="3" t="e">
        <f t="shared" ca="1" si="7"/>
        <v>#VALUE!</v>
      </c>
      <c r="AC28" s="3">
        <f t="shared" ca="1" si="8"/>
        <v>1063.6327576293543</v>
      </c>
      <c r="AD28" s="3">
        <f t="shared" ca="1" si="2"/>
        <v>1017.2352000000001</v>
      </c>
      <c r="AE28" s="3" t="str">
        <f t="shared" si="9"/>
        <v/>
      </c>
      <c r="AH28" s="7">
        <f t="shared" ca="1" si="3"/>
        <v>4.7322765476490267E-2</v>
      </c>
      <c r="AI28" s="18">
        <f t="shared" ca="1" si="4"/>
        <v>8.1543622683319175E-2</v>
      </c>
      <c r="AN28" s="7" t="str">
        <f>IFERROR(INDEX('MS Stats list'!P:P, MATCH(B28,'MS Stats list'!B:B,0)),"")</f>
        <v/>
      </c>
    </row>
    <row r="29" spans="1:40">
      <c r="A29">
        <v>24</v>
      </c>
      <c r="B29" t="s">
        <v>149</v>
      </c>
      <c r="C29" t="s">
        <v>149</v>
      </c>
      <c r="D29" s="3">
        <v>140.059</v>
      </c>
      <c r="E29" s="3">
        <v>145.09899999999999</v>
      </c>
      <c r="F29" s="3">
        <v>133.39500000000001</v>
      </c>
      <c r="G29" s="3">
        <v>132.822</v>
      </c>
      <c r="H29" s="3">
        <v>139.67699999999999</v>
      </c>
      <c r="I29" s="3">
        <v>158.68899999999999</v>
      </c>
      <c r="J29" s="3">
        <v>180.09</v>
      </c>
      <c r="K29" s="3">
        <v>151.715</v>
      </c>
      <c r="L29" s="3">
        <v>169.53299999999999</v>
      </c>
      <c r="M29" s="3">
        <v>169.96299999999999</v>
      </c>
      <c r="N29" s="3">
        <v>155.13</v>
      </c>
      <c r="O29" s="3">
        <v>197.59899999999999</v>
      </c>
      <c r="P29" s="3">
        <v>188.506</v>
      </c>
      <c r="Q29" s="3">
        <v>173.684</v>
      </c>
      <c r="R29" s="3">
        <v>179.453</v>
      </c>
      <c r="S29" s="3">
        <v>187.125</v>
      </c>
      <c r="T29" s="3">
        <v>186.66399999999999</v>
      </c>
      <c r="U29" s="3">
        <v>170.86500000000001</v>
      </c>
      <c r="V29" s="3">
        <f t="shared" ca="1" si="5"/>
        <v>162.1800403842557</v>
      </c>
      <c r="W29" s="16">
        <f t="shared" ca="1" si="6"/>
        <v>2</v>
      </c>
      <c r="X29" t="str">
        <f t="shared" ca="1" si="0"/>
        <v>Eurostat</v>
      </c>
      <c r="Y29" s="18"/>
      <c r="Z29" s="3"/>
      <c r="AA29" s="13">
        <f t="shared" ca="1" si="1"/>
        <v>170.86500000000001</v>
      </c>
      <c r="AB29" s="3">
        <f t="shared" ca="1" si="7"/>
        <v>162.1800403842557</v>
      </c>
      <c r="AC29" s="3">
        <f t="shared" ca="1" si="8"/>
        <v>167.79751314799765</v>
      </c>
      <c r="AD29" s="3">
        <f t="shared" ca="1" si="2"/>
        <v>180.0301</v>
      </c>
      <c r="AE29" s="3" t="str">
        <f t="shared" si="9"/>
        <v/>
      </c>
      <c r="AH29" s="7">
        <f t="shared" ca="1" si="3"/>
        <v>1.135858033077004E-3</v>
      </c>
      <c r="AI29" s="18">
        <f t="shared" ca="1" si="4"/>
        <v>6.0563575837770847E-2</v>
      </c>
      <c r="AN29" s="7" t="str">
        <f>IFERROR(INDEX('MS Stats list'!P:P, MATCH(B29,'MS Stats list'!B:B,0)),"")</f>
        <v>DGEG - Balanço Energético Sintético 2022</v>
      </c>
    </row>
    <row r="30" spans="1:40">
      <c r="A30">
        <v>25</v>
      </c>
      <c r="B30" t="s">
        <v>186</v>
      </c>
      <c r="C30" t="s">
        <v>186</v>
      </c>
      <c r="D30" s="3">
        <v>85.364000000000004</v>
      </c>
      <c r="E30" s="3">
        <v>80.897000000000006</v>
      </c>
      <c r="F30" s="3">
        <v>105.761</v>
      </c>
      <c r="G30" s="3">
        <v>74.83</v>
      </c>
      <c r="H30" s="3">
        <v>21.114000000000001</v>
      </c>
      <c r="I30" s="3">
        <v>30.477</v>
      </c>
      <c r="J30" s="3">
        <v>28.733000000000001</v>
      </c>
      <c r="K30" s="3">
        <v>27.42</v>
      </c>
      <c r="L30" s="3">
        <v>40.985999999999997</v>
      </c>
      <c r="M30" s="3">
        <v>69.885999999999996</v>
      </c>
      <c r="N30" s="3">
        <v>71.988</v>
      </c>
      <c r="O30" s="3">
        <v>79.536000000000001</v>
      </c>
      <c r="P30" s="3">
        <v>92.921999999999997</v>
      </c>
      <c r="Q30" s="3">
        <v>171.12299999999999</v>
      </c>
      <c r="R30" s="3">
        <v>153.184</v>
      </c>
      <c r="S30" s="3">
        <v>281.64800000000002</v>
      </c>
      <c r="T30" s="3">
        <v>319.38799999999998</v>
      </c>
      <c r="U30" s="3">
        <v>326.589</v>
      </c>
      <c r="V30" s="3">
        <f t="shared" ca="1" si="5"/>
        <v>326.589</v>
      </c>
      <c r="W30" s="16">
        <f t="shared" ca="1" si="6"/>
        <v>2</v>
      </c>
      <c r="X30" t="str">
        <f t="shared" ca="1" si="0"/>
        <v>Eurostat</v>
      </c>
      <c r="Y30" s="18"/>
      <c r="Z30" s="3"/>
      <c r="AA30" s="13">
        <f t="shared" ca="1" si="1"/>
        <v>326.589</v>
      </c>
      <c r="AB30" s="3">
        <f t="shared" ca="1" si="7"/>
        <v>326.589</v>
      </c>
      <c r="AC30" s="3">
        <f t="shared" ca="1" si="8"/>
        <v>439.71384577339904</v>
      </c>
      <c r="AD30" s="3">
        <f t="shared" ca="1" si="2"/>
        <v>393.52720000001136</v>
      </c>
      <c r="AE30" s="3" t="str">
        <f t="shared" si="9"/>
        <v/>
      </c>
      <c r="AH30" s="7">
        <f t="shared" ca="1" si="3"/>
        <v>0.83463830049899768</v>
      </c>
      <c r="AI30" s="18">
        <f t="shared" ca="1" si="4"/>
        <v>0.45855524913600521</v>
      </c>
      <c r="AN30" s="7" t="str">
        <f>IFERROR(INDEX('MS Stats list'!P:P, MATCH(B30,'MS Stats list'!B:B,0)),"")</f>
        <v/>
      </c>
    </row>
    <row r="31" spans="1:40">
      <c r="A31">
        <v>26</v>
      </c>
      <c r="B31" t="s">
        <v>187</v>
      </c>
      <c r="C31" t="s">
        <v>187</v>
      </c>
      <c r="D31" s="3">
        <v>482.18200000000002</v>
      </c>
      <c r="E31" s="3">
        <v>518.60599999999999</v>
      </c>
      <c r="F31" s="3">
        <v>400.49700000000001</v>
      </c>
      <c r="G31" s="3">
        <v>434.46100000000001</v>
      </c>
      <c r="H31" s="3">
        <v>450.58300000000003</v>
      </c>
      <c r="I31" s="3">
        <v>515.14300000000003</v>
      </c>
      <c r="J31" s="3">
        <v>504.58600000000001</v>
      </c>
      <c r="K31" s="3">
        <v>531.26499999999999</v>
      </c>
      <c r="L31" s="3">
        <v>572.77599999999995</v>
      </c>
      <c r="M31" s="3">
        <v>592.45699999999999</v>
      </c>
      <c r="N31" s="3">
        <v>623.48299999999995</v>
      </c>
      <c r="O31" s="3">
        <v>785.827</v>
      </c>
      <c r="P31" s="3">
        <v>824.90200000000004</v>
      </c>
      <c r="Q31" s="3">
        <v>772.30799999999999</v>
      </c>
      <c r="R31" s="3">
        <v>819.69500000000005</v>
      </c>
      <c r="S31" s="3">
        <v>989.49099999999999</v>
      </c>
      <c r="T31" s="3">
        <v>973.27300000000002</v>
      </c>
      <c r="U31" s="3">
        <v>955.52700000000004</v>
      </c>
      <c r="V31" s="3">
        <f t="shared" ca="1" si="5"/>
        <v>967.18268104784295</v>
      </c>
      <c r="W31" s="16">
        <f t="shared" ca="1" si="6"/>
        <v>2</v>
      </c>
      <c r="X31" t="str">
        <f t="shared" ca="1" si="0"/>
        <v>Eurostat</v>
      </c>
      <c r="Y31" s="18"/>
      <c r="Z31" s="3"/>
      <c r="AA31" s="13">
        <f t="shared" ca="1" si="1"/>
        <v>955.52700000000004</v>
      </c>
      <c r="AB31" s="3">
        <f t="shared" ca="1" si="7"/>
        <v>967.18268104784295</v>
      </c>
      <c r="AC31" s="3">
        <f t="shared" ca="1" si="8"/>
        <v>988.03814528409657</v>
      </c>
      <c r="AD31" s="3">
        <f t="shared" ca="1" si="2"/>
        <v>1058.0636000000086</v>
      </c>
      <c r="AE31" s="3" t="str">
        <f t="shared" si="9"/>
        <v/>
      </c>
      <c r="AH31" s="7">
        <f t="shared" ca="1" si="3"/>
        <v>0.68994809190943618</v>
      </c>
      <c r="AI31" s="18">
        <f t="shared" ca="1" si="4"/>
        <v>0.10671439212687324</v>
      </c>
      <c r="AN31" s="7" t="str">
        <f>IFERROR(INDEX('MS Stats list'!P:P, MATCH(B31,'MS Stats list'!B:B,0)),"")</f>
        <v/>
      </c>
    </row>
    <row r="32" spans="1:40">
      <c r="A32">
        <v>27</v>
      </c>
      <c r="B32" t="s">
        <v>79</v>
      </c>
      <c r="C32" t="s">
        <v>79</v>
      </c>
      <c r="D32" s="3">
        <v>10.724</v>
      </c>
      <c r="E32" s="3">
        <v>13.089</v>
      </c>
      <c r="F32" s="3">
        <v>10.747999999999999</v>
      </c>
      <c r="G32" s="3">
        <v>9.3149999999999995</v>
      </c>
      <c r="H32" s="3">
        <v>16.097999999999999</v>
      </c>
      <c r="I32" s="3">
        <v>18.606000000000002</v>
      </c>
      <c r="J32" s="3">
        <v>23.931999999999999</v>
      </c>
      <c r="K32" s="3">
        <v>23.382999999999999</v>
      </c>
      <c r="L32" s="3">
        <v>25.533000000000001</v>
      </c>
      <c r="M32" s="3">
        <v>32.865000000000002</v>
      </c>
      <c r="N32" s="3">
        <v>37.594000000000001</v>
      </c>
      <c r="O32" s="3">
        <v>40.412999999999997</v>
      </c>
      <c r="P32" s="3">
        <v>48.097000000000001</v>
      </c>
      <c r="Q32" s="3">
        <v>57.542999999999999</v>
      </c>
      <c r="R32" s="3">
        <v>62.033000000000001</v>
      </c>
      <c r="S32" s="3">
        <v>57.197000000000003</v>
      </c>
      <c r="T32" s="3">
        <v>54.732999999999997</v>
      </c>
      <c r="U32" s="3">
        <v>53.82</v>
      </c>
      <c r="V32" s="3">
        <f t="shared" ca="1" si="5"/>
        <v>53.82</v>
      </c>
      <c r="W32" s="16">
        <f t="shared" ca="1" si="6"/>
        <v>1</v>
      </c>
      <c r="X32" t="str">
        <f t="shared" ca="1" si="0"/>
        <v>No Change</v>
      </c>
      <c r="Y32" s="18"/>
      <c r="Z32" s="3"/>
      <c r="AA32" s="13">
        <f t="shared" ca="1" si="1"/>
        <v>53.82</v>
      </c>
      <c r="AB32" s="3" t="e">
        <f t="shared" ca="1" si="7"/>
        <v>#VALUE!</v>
      </c>
      <c r="AC32" s="3">
        <f t="shared" ca="1" si="8"/>
        <v>55.291489640884087</v>
      </c>
      <c r="AD32" s="3">
        <f t="shared" ca="1" si="2"/>
        <v>52.641399999999976</v>
      </c>
      <c r="AE32" s="3" t="str">
        <f t="shared" si="9"/>
        <v/>
      </c>
      <c r="AH32" s="7">
        <f t="shared" ca="1" si="3"/>
        <v>0.53171183436851288</v>
      </c>
      <c r="AI32" s="18">
        <f t="shared" ca="1" si="4"/>
        <v>0.11083020608783321</v>
      </c>
      <c r="AN32" s="7" t="str">
        <f>IFERROR(INDEX('MS Stats list'!P:P, MATCH(B32,'MS Stats list'!B:B,0)),"")</f>
        <v>Statistical Office of Slovenia - Energy balance</v>
      </c>
    </row>
    <row r="33" spans="1:40">
      <c r="A33">
        <v>28</v>
      </c>
      <c r="B33" t="s">
        <v>188</v>
      </c>
      <c r="C33" t="s">
        <v>188</v>
      </c>
      <c r="D33" s="3">
        <v>50.491999999999997</v>
      </c>
      <c r="E33" s="3">
        <v>42.276000000000003</v>
      </c>
      <c r="F33" s="3">
        <v>52.235999999999997</v>
      </c>
      <c r="G33" s="3">
        <v>50.014000000000003</v>
      </c>
      <c r="H33" s="3">
        <v>48.795999999999999</v>
      </c>
      <c r="I33" s="3">
        <v>35.206000000000003</v>
      </c>
      <c r="J33" s="3">
        <v>39.552999999999997</v>
      </c>
      <c r="K33" s="3">
        <v>44.305999999999997</v>
      </c>
      <c r="L33" s="3">
        <v>125.514</v>
      </c>
      <c r="M33" s="3">
        <v>151.524</v>
      </c>
      <c r="N33" s="3">
        <v>190.64699999999999</v>
      </c>
      <c r="O33" s="3">
        <v>200.965</v>
      </c>
      <c r="P33" s="3">
        <v>204.90600000000001</v>
      </c>
      <c r="Q33" s="3">
        <v>183.864</v>
      </c>
      <c r="R33" s="3">
        <v>210.399</v>
      </c>
      <c r="S33" s="3">
        <v>234.833</v>
      </c>
      <c r="T33" s="3">
        <v>236.983</v>
      </c>
      <c r="U33" s="3">
        <v>225.99600000000001</v>
      </c>
      <c r="V33" s="3">
        <f t="shared" ca="1" si="5"/>
        <v>239.03698668357646</v>
      </c>
      <c r="W33" s="16">
        <f t="shared" ca="1" si="6"/>
        <v>2</v>
      </c>
      <c r="X33" t="str">
        <f t="shared" ca="1" si="0"/>
        <v>Eurostat</v>
      </c>
      <c r="Y33" s="18"/>
      <c r="Z33" s="3"/>
      <c r="AA33" s="13">
        <f t="shared" ca="1" si="1"/>
        <v>225.99600000000001</v>
      </c>
      <c r="AB33" s="3">
        <f t="shared" ca="1" si="7"/>
        <v>239.03698668357646</v>
      </c>
      <c r="AC33" s="3">
        <f t="shared" ca="1" si="8"/>
        <v>231.44489167744626</v>
      </c>
      <c r="AD33" s="3">
        <f t="shared" ca="1" si="2"/>
        <v>251.6694000000025</v>
      </c>
      <c r="AE33" s="3" t="str">
        <f t="shared" si="9"/>
        <v/>
      </c>
      <c r="AH33" s="7">
        <f t="shared" ca="1" si="3"/>
        <v>0.63670571487673633</v>
      </c>
      <c r="AI33" s="18">
        <f t="shared" ca="1" si="4"/>
        <v>0.10510297574544662</v>
      </c>
      <c r="AN33" s="7" t="str">
        <f>IFERROR(INDEX('MS Stats list'!P:P, MATCH(B33,'MS Stats list'!B:B,0)),"")</f>
        <v/>
      </c>
    </row>
    <row r="34" spans="1:40">
      <c r="A34">
        <v>29</v>
      </c>
      <c r="B34" t="s">
        <v>163</v>
      </c>
      <c r="C34" t="s">
        <v>163</v>
      </c>
      <c r="D34" s="3">
        <v>655.68</v>
      </c>
      <c r="E34" s="3">
        <v>557.44200000000001</v>
      </c>
      <c r="F34" s="3">
        <v>593.05399999999997</v>
      </c>
      <c r="G34" s="3">
        <v>527.84900000000005</v>
      </c>
      <c r="H34" s="3">
        <v>544.18600000000004</v>
      </c>
      <c r="I34" s="3">
        <v>460.61399999999998</v>
      </c>
      <c r="J34" s="3">
        <v>738.60699999999997</v>
      </c>
      <c r="K34" s="3">
        <v>797.721</v>
      </c>
      <c r="L34" s="3">
        <v>619.97199999999998</v>
      </c>
      <c r="M34" s="3">
        <v>855.21199999999999</v>
      </c>
      <c r="N34" s="3">
        <v>986.81600000000003</v>
      </c>
      <c r="O34" s="3">
        <v>1312.1479999999999</v>
      </c>
      <c r="P34" s="3">
        <v>1177.4390000000001</v>
      </c>
      <c r="Q34" s="3">
        <v>1297.4829999999999</v>
      </c>
      <c r="R34" s="3">
        <v>1531.241</v>
      </c>
      <c r="S34" s="3">
        <v>0</v>
      </c>
      <c r="T34" s="3">
        <v>0</v>
      </c>
      <c r="U34" s="3">
        <v>0</v>
      </c>
      <c r="V34" s="3">
        <f t="shared" ca="1" si="5"/>
        <v>0</v>
      </c>
      <c r="W34" s="16">
        <f t="shared" ca="1" si="6"/>
        <v>2</v>
      </c>
      <c r="X34" t="str">
        <f t="shared" ca="1" si="0"/>
        <v>Eurostat</v>
      </c>
      <c r="Y34" s="18"/>
      <c r="Z34" s="3"/>
      <c r="AA34" s="13">
        <f t="shared" ca="1" si="1"/>
        <v>0</v>
      </c>
      <c r="AB34" s="3">
        <f t="shared" ca="1" si="7"/>
        <v>0</v>
      </c>
      <c r="AC34" s="3">
        <f t="shared" ca="1" si="8"/>
        <v>0</v>
      </c>
      <c r="AD34" s="3">
        <f t="shared" ca="1" si="2"/>
        <v>-672.11730000004172</v>
      </c>
      <c r="AE34" s="3" t="str">
        <f t="shared" si="9"/>
        <v/>
      </c>
      <c r="AH34" s="7">
        <f t="shared" ca="1" si="3"/>
        <v>0.70126893460764006</v>
      </c>
      <c r="AI34" s="18">
        <f t="shared" ca="1" si="4"/>
        <v>0.48471168055704844</v>
      </c>
      <c r="AN34" s="7" t="str">
        <f>IFERROR(INDEX('MS Stats list'!P:P, MATCH(B34,'MS Stats list'!B:B,0)),"")</f>
        <v>BEIS - Digest of UK Energy Statistics (DUKES)</v>
      </c>
    </row>
    <row r="35" spans="1:40">
      <c r="B35" s="40" t="s">
        <v>189</v>
      </c>
      <c r="C35" s="40" t="s">
        <v>189</v>
      </c>
      <c r="D35" s="41">
        <f>SUM(D7:D34)</f>
        <v>7840.7480000000014</v>
      </c>
      <c r="E35" s="41">
        <f t="shared" ref="E35:V35" si="10">SUM(E7:E34)</f>
        <v>8470.6779999999999</v>
      </c>
      <c r="F35" s="41">
        <f t="shared" si="10"/>
        <v>8981.5769999999993</v>
      </c>
      <c r="G35" s="41">
        <f t="shared" si="10"/>
        <v>9629.848</v>
      </c>
      <c r="H35" s="41">
        <f t="shared" si="10"/>
        <v>10552.896000000001</v>
      </c>
      <c r="I35" s="41">
        <f t="shared" si="10"/>
        <v>11138.764000000001</v>
      </c>
      <c r="J35" s="41">
        <f t="shared" si="10"/>
        <v>12083.048000000001</v>
      </c>
      <c r="K35" s="41">
        <f t="shared" si="10"/>
        <v>12260.900999999998</v>
      </c>
      <c r="L35" s="41">
        <f t="shared" si="10"/>
        <v>12563.737999999996</v>
      </c>
      <c r="M35" s="41">
        <f t="shared" si="10"/>
        <v>13357.195</v>
      </c>
      <c r="N35" s="41">
        <f t="shared" si="10"/>
        <v>13738.217999999999</v>
      </c>
      <c r="O35" s="41">
        <f t="shared" si="10"/>
        <v>15064.027999999997</v>
      </c>
      <c r="P35" s="41">
        <f t="shared" si="10"/>
        <v>14991.633</v>
      </c>
      <c r="Q35" s="41">
        <f t="shared" si="10"/>
        <v>15180.725999999999</v>
      </c>
      <c r="R35" s="41">
        <f t="shared" ref="R35:S35" si="11">SUM(R7:R34)</f>
        <v>15675.377999999999</v>
      </c>
      <c r="S35" s="41">
        <f t="shared" si="11"/>
        <v>14340.900000000001</v>
      </c>
      <c r="T35" s="41">
        <f t="shared" ref="T35:U35" si="12">SUM(T7:T34)</f>
        <v>14524.579</v>
      </c>
      <c r="U35" s="41">
        <f t="shared" si="12"/>
        <v>14237.657000000001</v>
      </c>
      <c r="V35" s="41">
        <f t="shared" ca="1" si="10"/>
        <v>14178.225614128021</v>
      </c>
      <c r="Z35" s="3"/>
      <c r="AA35" s="11"/>
    </row>
    <row r="36" spans="1:40">
      <c r="B36" s="40" t="s">
        <v>190</v>
      </c>
      <c r="C36" s="40" t="s">
        <v>190</v>
      </c>
      <c r="D36" s="41">
        <f>SUM(D7:D33)</f>
        <v>7185.0680000000011</v>
      </c>
      <c r="E36" s="41">
        <f t="shared" ref="E36:V36" si="13">SUM(E7:E33)</f>
        <v>7913.235999999999</v>
      </c>
      <c r="F36" s="41">
        <f t="shared" si="13"/>
        <v>8388.5229999999992</v>
      </c>
      <c r="G36" s="41">
        <f t="shared" si="13"/>
        <v>9101.9989999999998</v>
      </c>
      <c r="H36" s="41">
        <f t="shared" si="13"/>
        <v>10008.710000000001</v>
      </c>
      <c r="I36" s="41">
        <f t="shared" si="13"/>
        <v>10678.150000000001</v>
      </c>
      <c r="J36" s="41">
        <f t="shared" si="13"/>
        <v>11344.441000000001</v>
      </c>
      <c r="K36" s="41">
        <f t="shared" si="13"/>
        <v>11463.179999999998</v>
      </c>
      <c r="L36" s="41">
        <f t="shared" si="13"/>
        <v>11943.765999999996</v>
      </c>
      <c r="M36" s="41">
        <f t="shared" si="13"/>
        <v>12501.983</v>
      </c>
      <c r="N36" s="41">
        <f t="shared" si="13"/>
        <v>12751.401999999998</v>
      </c>
      <c r="O36" s="41">
        <f t="shared" si="13"/>
        <v>13751.879999999997</v>
      </c>
      <c r="P36" s="41">
        <f t="shared" si="13"/>
        <v>13814.194</v>
      </c>
      <c r="Q36" s="41">
        <f t="shared" si="13"/>
        <v>13883.242999999999</v>
      </c>
      <c r="R36" s="41">
        <f t="shared" ref="R36:S36" si="14">SUM(R7:R33)</f>
        <v>14144.136999999999</v>
      </c>
      <c r="S36" s="41">
        <f t="shared" si="14"/>
        <v>14340.900000000001</v>
      </c>
      <c r="T36" s="41">
        <f t="shared" ref="T36:U36" si="15">SUM(T7:T33)</f>
        <v>14524.579</v>
      </c>
      <c r="U36" s="41">
        <f t="shared" si="15"/>
        <v>14237.657000000001</v>
      </c>
      <c r="V36" s="41">
        <f t="shared" ca="1" si="13"/>
        <v>14178.225614128021</v>
      </c>
      <c r="AA36" s="11"/>
    </row>
    <row r="37" spans="1:40">
      <c r="AA37" s="11"/>
    </row>
    <row r="38" spans="1:40">
      <c r="AA38" s="11"/>
    </row>
    <row r="39" spans="1:40">
      <c r="AA39" s="11"/>
    </row>
    <row r="40" spans="1:40">
      <c r="A40" s="5" t="s">
        <v>191</v>
      </c>
      <c r="D40" t="s">
        <v>173</v>
      </c>
      <c r="AA40" s="11" t="s">
        <v>196</v>
      </c>
      <c r="AB40" t="s">
        <v>197</v>
      </c>
      <c r="AC40" t="s">
        <v>215</v>
      </c>
      <c r="AD40" t="str">
        <f>AD5</f>
        <v>5yr lin trend</v>
      </c>
      <c r="AE40" t="str">
        <f>AE5</f>
        <v>Based on MS Stats</v>
      </c>
    </row>
    <row r="41" spans="1:40">
      <c r="A41" t="str">
        <f t="shared" ref="A41:AA41" si="16">A6</f>
        <v>source row</v>
      </c>
      <c r="B41" t="str">
        <f t="shared" si="16"/>
        <v>MS Code 1</v>
      </c>
      <c r="C41" t="str">
        <f t="shared" si="16"/>
        <v>MS Code 2</v>
      </c>
      <c r="D41" s="1">
        <f t="shared" si="16"/>
        <v>2005</v>
      </c>
      <c r="E41" s="1">
        <f t="shared" si="16"/>
        <v>2006</v>
      </c>
      <c r="F41" s="1">
        <f t="shared" si="16"/>
        <v>2007</v>
      </c>
      <c r="G41" s="1">
        <f t="shared" si="16"/>
        <v>2008</v>
      </c>
      <c r="H41" s="1">
        <f t="shared" si="16"/>
        <v>2009</v>
      </c>
      <c r="I41" s="1">
        <f t="shared" si="16"/>
        <v>2010</v>
      </c>
      <c r="J41" s="1">
        <f t="shared" si="16"/>
        <v>2011</v>
      </c>
      <c r="K41" s="1">
        <f t="shared" si="16"/>
        <v>2012</v>
      </c>
      <c r="L41" s="1">
        <f t="shared" si="16"/>
        <v>2013</v>
      </c>
      <c r="M41" s="1">
        <f t="shared" si="16"/>
        <v>2014</v>
      </c>
      <c r="N41" s="1">
        <f t="shared" ref="N41:S41" si="17">N6</f>
        <v>2015</v>
      </c>
      <c r="O41" s="1">
        <f t="shared" si="17"/>
        <v>2016</v>
      </c>
      <c r="P41" s="1">
        <f t="shared" si="17"/>
        <v>2017</v>
      </c>
      <c r="Q41" s="1">
        <f t="shared" si="17"/>
        <v>2018</v>
      </c>
      <c r="R41" s="1">
        <f t="shared" ref="R41" si="18">R6</f>
        <v>2019</v>
      </c>
      <c r="S41" s="1">
        <f t="shared" si="17"/>
        <v>2020</v>
      </c>
      <c r="T41" s="1">
        <f t="shared" ref="T41:U41" si="19">T6</f>
        <v>2021</v>
      </c>
      <c r="U41" s="1">
        <f t="shared" si="19"/>
        <v>2022</v>
      </c>
      <c r="V41" s="2">
        <f>YearProxy</f>
        <v>2023</v>
      </c>
      <c r="W41" s="1"/>
      <c r="X41" s="1"/>
      <c r="Y41" s="1"/>
      <c r="Z41" s="1"/>
      <c r="AA41" s="12">
        <f t="shared" si="16"/>
        <v>2023</v>
      </c>
      <c r="AB41" s="2">
        <f>YearProxy</f>
        <v>2023</v>
      </c>
      <c r="AC41" s="2">
        <f>AA41</f>
        <v>2023</v>
      </c>
      <c r="AD41" s="2">
        <f>AC41</f>
        <v>2023</v>
      </c>
      <c r="AE41" s="2">
        <f>AD41</f>
        <v>2023</v>
      </c>
    </row>
    <row r="42" spans="1:40">
      <c r="A42">
        <f t="shared" ref="A42:C69" si="20">A7</f>
        <v>2</v>
      </c>
      <c r="B42" t="str">
        <f t="shared" si="20"/>
        <v>AT</v>
      </c>
      <c r="C42" t="str">
        <f t="shared" si="20"/>
        <v>AT</v>
      </c>
      <c r="D42" s="8"/>
      <c r="E42" s="8">
        <f t="shared" ref="E42:M42" si="21">IFERROR(E7/D7-1,0)</f>
        <v>0.21935657416089915</v>
      </c>
      <c r="F42" s="8">
        <f t="shared" si="21"/>
        <v>-1.8371983704167927E-2</v>
      </c>
      <c r="G42" s="8">
        <f t="shared" si="21"/>
        <v>6.5752193244994483E-2</v>
      </c>
      <c r="H42" s="8">
        <f t="shared" si="21"/>
        <v>6.5806510098989524E-2</v>
      </c>
      <c r="I42" s="8">
        <f t="shared" si="21"/>
        <v>0.13274496643054334</v>
      </c>
      <c r="J42" s="8">
        <f t="shared" si="21"/>
        <v>0.10707138309854547</v>
      </c>
      <c r="K42" s="8">
        <f t="shared" si="21"/>
        <v>-3.7134899137868715E-2</v>
      </c>
      <c r="L42" s="8">
        <f t="shared" si="21"/>
        <v>-3.0247251989991231E-2</v>
      </c>
      <c r="M42" s="8">
        <f t="shared" si="21"/>
        <v>1.2438690850290479E-2</v>
      </c>
      <c r="N42" s="8">
        <f t="shared" ref="N42:R69" si="22">IFERROR(N7/M7-1,0)</f>
        <v>3.9317281792049519E-2</v>
      </c>
      <c r="O42" s="8">
        <f t="shared" si="22"/>
        <v>6.8965155000892953E-2</v>
      </c>
      <c r="P42" s="8">
        <f t="shared" si="22"/>
        <v>-4.0843401571796445E-2</v>
      </c>
      <c r="Q42" s="8">
        <f t="shared" si="22"/>
        <v>-5.1152422450977952E-2</v>
      </c>
      <c r="R42" s="8">
        <f t="shared" si="22"/>
        <v>-2.8368028506860599E-2</v>
      </c>
      <c r="S42" s="8">
        <f t="shared" ref="S42:S71" si="23">IFERROR(S7/R7-1,0)</f>
        <v>6.1010517959912747E-2</v>
      </c>
      <c r="T42" s="8">
        <f t="shared" ref="T42:T71" si="24">IFERROR(T7/S7-1,0)</f>
        <v>-1.2947700447700439E-2</v>
      </c>
      <c r="U42" s="8">
        <f t="shared" ref="U42:V71" si="25">IFERROR(U7/T7-1,0)</f>
        <v>4.7702497229595853E-2</v>
      </c>
      <c r="V42" s="8">
        <f t="shared" ca="1" si="25"/>
        <v>-3.8173482807005166E-2</v>
      </c>
      <c r="W42" s="8"/>
      <c r="X42" s="8"/>
      <c r="Y42" s="8"/>
      <c r="Z42" s="8"/>
      <c r="AA42" s="14">
        <v>0</v>
      </c>
      <c r="AB42" s="8">
        <v>-2.0539519825489141E-2</v>
      </c>
      <c r="AC42" s="8">
        <f t="shared" ref="AC42:AC69" ca="1" si="26">AVERAGE(OFFSET($A42,0,OffsetLast-TrendDuration+1,1,TrendDuration))</f>
        <v>3.2489727567939219E-3</v>
      </c>
      <c r="AD42" s="8">
        <f ca="1">AD7/AA7-1</f>
        <v>4.2962272723299222E-3</v>
      </c>
      <c r="AE42" s="50">
        <v>-3.8173482807005277E-2</v>
      </c>
      <c r="AH42" s="8"/>
    </row>
    <row r="43" spans="1:40">
      <c r="A43">
        <f t="shared" si="20"/>
        <v>3</v>
      </c>
      <c r="B43" t="str">
        <f t="shared" si="20"/>
        <v>BE</v>
      </c>
      <c r="C43" t="str">
        <f t="shared" si="20"/>
        <v>BE</v>
      </c>
      <c r="D43" s="8"/>
      <c r="E43" s="8">
        <f t="shared" ref="E43:M43" si="27">IFERROR(E8/D8-1,0)</f>
        <v>0.19701284476749992</v>
      </c>
      <c r="F43" s="8">
        <f t="shared" si="27"/>
        <v>3.7470885739002924E-2</v>
      </c>
      <c r="G43" s="8">
        <f t="shared" si="27"/>
        <v>4.2666568313494357E-2</v>
      </c>
      <c r="H43" s="8">
        <f t="shared" si="27"/>
        <v>9.5433782931668043E-2</v>
      </c>
      <c r="I43" s="8">
        <f t="shared" si="27"/>
        <v>-1.3631219972425779E-2</v>
      </c>
      <c r="J43" s="8">
        <f t="shared" si="27"/>
        <v>3.478598767637453E-2</v>
      </c>
      <c r="K43" s="8">
        <f t="shared" si="27"/>
        <v>-4.0055461408103565E-2</v>
      </c>
      <c r="L43" s="8">
        <f t="shared" si="27"/>
        <v>-5.8616766398422504E-2</v>
      </c>
      <c r="M43" s="8">
        <f t="shared" si="27"/>
        <v>2.344569345398928E-2</v>
      </c>
      <c r="N43" s="8">
        <f t="shared" si="22"/>
        <v>-4.557028294029597E-3</v>
      </c>
      <c r="O43" s="8">
        <f t="shared" si="22"/>
        <v>1.586722924112216E-3</v>
      </c>
      <c r="P43" s="8">
        <f t="shared" si="22"/>
        <v>-5.5677048060313261E-2</v>
      </c>
      <c r="Q43" s="8">
        <f t="shared" si="22"/>
        <v>8.8588118955772455E-3</v>
      </c>
      <c r="R43" s="8">
        <f t="shared" si="22"/>
        <v>1.3359430047757082E-2</v>
      </c>
      <c r="S43" s="8">
        <f t="shared" si="23"/>
        <v>-1.6319984177557534E-2</v>
      </c>
      <c r="T43" s="8">
        <f t="shared" si="24"/>
        <v>3.8605447519713509E-2</v>
      </c>
      <c r="U43" s="8">
        <f t="shared" si="25"/>
        <v>-7.0336072305228203E-2</v>
      </c>
      <c r="V43" s="8">
        <f t="shared" ca="1" si="25"/>
        <v>-2.0628771482637309E-2</v>
      </c>
      <c r="W43" s="8"/>
      <c r="X43" s="8"/>
      <c r="Y43" s="8"/>
      <c r="Z43" s="8"/>
      <c r="AA43" s="14">
        <v>0</v>
      </c>
      <c r="AB43" s="8">
        <v>-2.062877148263715E-2</v>
      </c>
      <c r="AC43" s="8">
        <f t="shared" ca="1" si="26"/>
        <v>-5.1664734039475798E-3</v>
      </c>
      <c r="AD43" s="8">
        <f t="shared" ref="AD43:AD69" ca="1" si="28">AD8/AA8-1</f>
        <v>2.4087061629338269E-2</v>
      </c>
      <c r="AE43" s="50"/>
      <c r="AH43" s="8"/>
    </row>
    <row r="44" spans="1:40">
      <c r="A44">
        <f t="shared" si="20"/>
        <v>4</v>
      </c>
      <c r="B44" t="str">
        <f t="shared" si="20"/>
        <v>BG</v>
      </c>
      <c r="C44" t="str">
        <f t="shared" si="20"/>
        <v>BG</v>
      </c>
      <c r="D44" s="8"/>
      <c r="E44" s="8">
        <f t="shared" ref="E44:M44" si="29">IFERROR(E9/D9-1,0)</f>
        <v>1.5156191064019442E-2</v>
      </c>
      <c r="F44" s="8">
        <f t="shared" si="29"/>
        <v>0.1411923661543657</v>
      </c>
      <c r="G44" s="8">
        <f t="shared" si="29"/>
        <v>-0.97207340535740716</v>
      </c>
      <c r="H44" s="8">
        <f t="shared" si="29"/>
        <v>1.3794382617912029</v>
      </c>
      <c r="I44" s="8">
        <f t="shared" si="29"/>
        <v>-0.24454342984409805</v>
      </c>
      <c r="J44" s="8">
        <f t="shared" si="29"/>
        <v>1.6757075471698117</v>
      </c>
      <c r="K44" s="8">
        <f t="shared" si="29"/>
        <v>-0.19468929043631555</v>
      </c>
      <c r="L44" s="8">
        <f t="shared" si="29"/>
        <v>0.83978656450950862</v>
      </c>
      <c r="M44" s="8">
        <f t="shared" si="29"/>
        <v>-2.6623038595969262E-2</v>
      </c>
      <c r="N44" s="8">
        <f t="shared" si="22"/>
        <v>0.39598135839254311</v>
      </c>
      <c r="O44" s="8">
        <f t="shared" si="22"/>
        <v>0.72416812609457115</v>
      </c>
      <c r="P44" s="8">
        <f t="shared" si="22"/>
        <v>0.22901853732859312</v>
      </c>
      <c r="Q44" s="8">
        <f t="shared" si="22"/>
        <v>0.29241457682274841</v>
      </c>
      <c r="R44" s="8">
        <f t="shared" si="22"/>
        <v>0.32944985112208003</v>
      </c>
      <c r="S44" s="8">
        <f t="shared" si="23"/>
        <v>-5.5466201692545569E-3</v>
      </c>
      <c r="T44" s="8">
        <f t="shared" si="24"/>
        <v>0.1217993288793493</v>
      </c>
      <c r="U44" s="8">
        <f t="shared" si="25"/>
        <v>4.4707340735151702E-2</v>
      </c>
      <c r="V44" s="8">
        <f t="shared" ca="1" si="25"/>
        <v>0.45870732408328441</v>
      </c>
      <c r="W44" s="8"/>
      <c r="X44" s="8"/>
      <c r="Y44" s="8"/>
      <c r="Z44" s="8"/>
      <c r="AA44" s="14">
        <v>0</v>
      </c>
      <c r="AB44" s="8">
        <v>0.45870732408328435</v>
      </c>
      <c r="AC44" s="8">
        <f t="shared" ca="1" si="26"/>
        <v>0.15656489547801497</v>
      </c>
      <c r="AD44" s="8">
        <f t="shared" ca="1" si="28"/>
        <v>0.10529187195295764</v>
      </c>
      <c r="AH44" s="8"/>
    </row>
    <row r="45" spans="1:40">
      <c r="A45">
        <f t="shared" si="20"/>
        <v>5</v>
      </c>
      <c r="B45" t="str">
        <f t="shared" si="20"/>
        <v>CY</v>
      </c>
      <c r="C45" t="str">
        <f t="shared" si="20"/>
        <v>CY</v>
      </c>
      <c r="D45" s="8"/>
      <c r="E45" s="8">
        <f t="shared" ref="E45:M45" si="30">IFERROR(E10/D10-1,0)</f>
        <v>-0.470873786407767</v>
      </c>
      <c r="F45" s="8">
        <f t="shared" si="30"/>
        <v>2.9443807339449539</v>
      </c>
      <c r="G45" s="8">
        <f t="shared" si="30"/>
        <v>-0.17022823084750682</v>
      </c>
      <c r="H45" s="8">
        <f t="shared" si="30"/>
        <v>0.15487035739313226</v>
      </c>
      <c r="I45" s="8">
        <f t="shared" si="30"/>
        <v>8.3282766990291357E-2</v>
      </c>
      <c r="J45" s="8">
        <f t="shared" si="30"/>
        <v>-0.98655650469121969</v>
      </c>
      <c r="K45" s="8">
        <f t="shared" si="30"/>
        <v>4.9687499999999991</v>
      </c>
      <c r="L45" s="8">
        <f t="shared" si="30"/>
        <v>0.87609075043630025</v>
      </c>
      <c r="M45" s="8">
        <f t="shared" si="30"/>
        <v>6.0213953488372098</v>
      </c>
      <c r="N45" s="8">
        <f t="shared" si="22"/>
        <v>0.63275039745627981</v>
      </c>
      <c r="O45" s="8">
        <f t="shared" si="22"/>
        <v>0.28489126906848439</v>
      </c>
      <c r="P45" s="8">
        <f t="shared" si="22"/>
        <v>0.36109883170192614</v>
      </c>
      <c r="Q45" s="8">
        <f t="shared" si="22"/>
        <v>6.5698510648169561E-2</v>
      </c>
      <c r="R45" s="8">
        <f t="shared" si="22"/>
        <v>0.34032826853585263</v>
      </c>
      <c r="S45" s="8">
        <f t="shared" si="23"/>
        <v>0.13044890534658604</v>
      </c>
      <c r="T45" s="8">
        <f t="shared" si="24"/>
        <v>0.16145623814723287</v>
      </c>
      <c r="U45" s="8">
        <f t="shared" si="25"/>
        <v>0.15088691521733755</v>
      </c>
      <c r="V45" s="8">
        <f t="shared" ca="1" si="25"/>
        <v>0.12039337919173443</v>
      </c>
      <c r="W45" s="8"/>
      <c r="X45" s="8"/>
      <c r="Y45" s="8"/>
      <c r="Z45" s="8"/>
      <c r="AA45" s="14">
        <v>0</v>
      </c>
      <c r="AB45" s="8">
        <v>-1.3163609927104501E-2</v>
      </c>
      <c r="AC45" s="8">
        <f t="shared" ca="1" si="26"/>
        <v>0.16976376757903572</v>
      </c>
      <c r="AD45" s="8">
        <f t="shared" ca="1" si="28"/>
        <v>0.12039337919173443</v>
      </c>
      <c r="AH45" s="8"/>
    </row>
    <row r="46" spans="1:40">
      <c r="A46">
        <f t="shared" si="20"/>
        <v>6</v>
      </c>
      <c r="B46" t="str">
        <f t="shared" si="20"/>
        <v>CZ</v>
      </c>
      <c r="C46" t="str">
        <f t="shared" si="20"/>
        <v>CZ</v>
      </c>
      <c r="D46" s="8"/>
      <c r="E46" s="8">
        <f t="shared" ref="E46:M46" si="31">IFERROR(E11/D11-1,0)</f>
        <v>-5.5837622495565453E-2</v>
      </c>
      <c r="F46" s="8">
        <f t="shared" si="31"/>
        <v>0.15491795200315384</v>
      </c>
      <c r="G46" s="8">
        <f t="shared" si="31"/>
        <v>1.5925842960307968E-2</v>
      </c>
      <c r="H46" s="8">
        <f t="shared" si="31"/>
        <v>3.3730575388492223E-2</v>
      </c>
      <c r="I46" s="8">
        <f t="shared" si="31"/>
        <v>1.9892841725705379E-2</v>
      </c>
      <c r="J46" s="8">
        <f t="shared" si="31"/>
        <v>9.5143958331258549E-2</v>
      </c>
      <c r="K46" s="8">
        <f t="shared" si="31"/>
        <v>2.4003201033060639E-2</v>
      </c>
      <c r="L46" s="8">
        <f t="shared" si="31"/>
        <v>-3.9558985471208841E-2</v>
      </c>
      <c r="M46" s="8">
        <f t="shared" si="31"/>
        <v>0.15901136852227715</v>
      </c>
      <c r="N46" s="8">
        <f t="shared" si="22"/>
        <v>0.10613379711439896</v>
      </c>
      <c r="O46" s="8">
        <f t="shared" si="22"/>
        <v>9.8020194734943944E-2</v>
      </c>
      <c r="P46" s="8">
        <f t="shared" si="22"/>
        <v>3.8721627950513149E-3</v>
      </c>
      <c r="Q46" s="8">
        <f t="shared" si="22"/>
        <v>0.13356016488909228</v>
      </c>
      <c r="R46" s="8">
        <f t="shared" si="22"/>
        <v>3.7410096858729647E-2</v>
      </c>
      <c r="S46" s="8">
        <f t="shared" si="23"/>
        <v>2.5169288293651837E-2</v>
      </c>
      <c r="T46" s="8">
        <f t="shared" si="24"/>
        <v>-1.2277031042652098E-2</v>
      </c>
      <c r="U46" s="8">
        <f t="shared" si="25"/>
        <v>-3.1318601309452188E-2</v>
      </c>
      <c r="V46" s="8">
        <f t="shared" ca="1" si="25"/>
        <v>4.4002861249906156E-2</v>
      </c>
      <c r="W46" s="8"/>
      <c r="X46" s="8"/>
      <c r="Y46" s="8"/>
      <c r="Z46" s="8"/>
      <c r="AA46" s="14">
        <v>0</v>
      </c>
      <c r="AB46" s="8">
        <v>4.4002861249906065E-2</v>
      </c>
      <c r="AC46" s="8">
        <f t="shared" ca="1" si="26"/>
        <v>3.0508783537873896E-2</v>
      </c>
      <c r="AD46" s="8">
        <f t="shared" ca="1" si="28"/>
        <v>3.0152593811157535E-2</v>
      </c>
      <c r="AH46" s="8"/>
    </row>
    <row r="47" spans="1:40">
      <c r="A47">
        <f t="shared" si="20"/>
        <v>7</v>
      </c>
      <c r="B47" t="str">
        <f t="shared" si="20"/>
        <v>DE</v>
      </c>
      <c r="C47" t="str">
        <f t="shared" si="20"/>
        <v>DE</v>
      </c>
      <c r="D47" s="8"/>
      <c r="E47" s="8">
        <f t="shared" ref="E47:M47" si="32">IFERROR(E12/D12-1,0)</f>
        <v>0.17066248348100599</v>
      </c>
      <c r="F47" s="8">
        <f t="shared" si="32"/>
        <v>0.14750853362423899</v>
      </c>
      <c r="G47" s="8">
        <f t="shared" si="32"/>
        <v>0.2609482843844384</v>
      </c>
      <c r="H47" s="8">
        <f t="shared" si="32"/>
        <v>0.15505682625463857</v>
      </c>
      <c r="I47" s="8">
        <f t="shared" si="32"/>
        <v>8.2184539678643587E-2</v>
      </c>
      <c r="J47" s="8">
        <f t="shared" si="32"/>
        <v>-8.2669488195176166E-3</v>
      </c>
      <c r="K47" s="8">
        <f t="shared" si="32"/>
        <v>3.6802521512752762E-2</v>
      </c>
      <c r="L47" s="8">
        <f t="shared" si="32"/>
        <v>2.2638993355547088E-2</v>
      </c>
      <c r="M47" s="8">
        <f t="shared" si="32"/>
        <v>4.7427776618612194E-2</v>
      </c>
      <c r="N47" s="8">
        <f t="shared" si="22"/>
        <v>-1.1680865722459632E-2</v>
      </c>
      <c r="O47" s="8">
        <f t="shared" si="22"/>
        <v>6.1515868982205735E-2</v>
      </c>
      <c r="P47" s="8">
        <f t="shared" si="22"/>
        <v>1.2163587624702821E-4</v>
      </c>
      <c r="Q47" s="8">
        <f t="shared" si="22"/>
        <v>-6.5658548256321447E-2</v>
      </c>
      <c r="R47" s="8">
        <f t="shared" si="22"/>
        <v>7.2203955011764798E-3</v>
      </c>
      <c r="S47" s="8">
        <f t="shared" si="23"/>
        <v>-1.0586878005616196E-2</v>
      </c>
      <c r="T47" s="8">
        <f t="shared" si="24"/>
        <v>1.60362017218183E-2</v>
      </c>
      <c r="U47" s="8">
        <f t="shared" si="25"/>
        <v>-4.7774543456916341E-2</v>
      </c>
      <c r="V47" s="8">
        <f t="shared" ca="1" si="25"/>
        <v>0</v>
      </c>
      <c r="W47" s="8"/>
      <c r="X47" s="8"/>
      <c r="Y47" s="8"/>
      <c r="Z47" s="8"/>
      <c r="AA47" s="14">
        <v>0</v>
      </c>
      <c r="AB47" s="8" t="e">
        <v>#VALUE!</v>
      </c>
      <c r="AC47" s="8">
        <f t="shared" ca="1" si="26"/>
        <v>-2.0152674499171842E-2</v>
      </c>
      <c r="AD47" s="8">
        <f t="shared" ca="1" si="28"/>
        <v>1.2472460927654527E-2</v>
      </c>
      <c r="AE47" s="24"/>
      <c r="AH47" s="8"/>
    </row>
    <row r="48" spans="1:40">
      <c r="A48">
        <f t="shared" si="20"/>
        <v>8</v>
      </c>
      <c r="B48" t="str">
        <f t="shared" si="20"/>
        <v>DK</v>
      </c>
      <c r="C48" t="str">
        <f t="shared" si="20"/>
        <v>DK</v>
      </c>
      <c r="D48" s="8"/>
      <c r="E48" s="8">
        <f t="shared" ref="E48:M48" si="33">IFERROR(E13/D13-1,0)</f>
        <v>1.6817625639800937E-2</v>
      </c>
      <c r="F48" s="8">
        <f t="shared" si="33"/>
        <v>3.4524420597948691E-2</v>
      </c>
      <c r="G48" s="8">
        <f t="shared" si="33"/>
        <v>4.416166788759357E-2</v>
      </c>
      <c r="H48" s="8">
        <f t="shared" si="33"/>
        <v>-5.2142825122158953E-2</v>
      </c>
      <c r="I48" s="8">
        <f t="shared" si="33"/>
        <v>-3.1463049539227739E-2</v>
      </c>
      <c r="J48" s="8">
        <f t="shared" si="33"/>
        <v>8.4185442364224095E-3</v>
      </c>
      <c r="K48" s="8">
        <f t="shared" si="33"/>
        <v>-2.8197181734540555E-2</v>
      </c>
      <c r="L48" s="8">
        <f t="shared" si="33"/>
        <v>3.0893879523834489E-3</v>
      </c>
      <c r="M48" s="8">
        <f t="shared" si="33"/>
        <v>3.3749447361492768E-2</v>
      </c>
      <c r="N48" s="8">
        <f t="shared" si="22"/>
        <v>3.0888847242444673E-2</v>
      </c>
      <c r="O48" s="8">
        <f t="shared" si="22"/>
        <v>8.3671671429041972E-4</v>
      </c>
      <c r="P48" s="8">
        <f t="shared" si="22"/>
        <v>2.3129033084391182E-2</v>
      </c>
      <c r="Q48" s="8">
        <f t="shared" si="22"/>
        <v>-9.3433693942628349E-3</v>
      </c>
      <c r="R48" s="8">
        <f t="shared" si="22"/>
        <v>2.5452389923812824E-2</v>
      </c>
      <c r="S48" s="8">
        <f t="shared" si="23"/>
        <v>1.9447842588982134E-3</v>
      </c>
      <c r="T48" s="8">
        <f t="shared" si="24"/>
        <v>-3.250519913235983E-2</v>
      </c>
      <c r="U48" s="8">
        <f t="shared" si="25"/>
        <v>-1.9939720885511325E-2</v>
      </c>
      <c r="V48" s="8">
        <f t="shared" ca="1" si="25"/>
        <v>-2.0283975659228792E-3</v>
      </c>
      <c r="W48" s="8"/>
      <c r="X48" s="8"/>
      <c r="Y48" s="8"/>
      <c r="Z48" s="8"/>
      <c r="AA48" s="14">
        <v>0</v>
      </c>
      <c r="AB48" s="8">
        <v>-2.2631269440179274E-2</v>
      </c>
      <c r="AC48" s="8">
        <f t="shared" ca="1" si="26"/>
        <v>-6.8782230458845905E-3</v>
      </c>
      <c r="AD48" s="8">
        <f t="shared" ca="1" si="28"/>
        <v>5.2586273987271781E-3</v>
      </c>
      <c r="AE48" s="24">
        <v>-2.0283975659228792E-3</v>
      </c>
      <c r="AH48" s="8"/>
    </row>
    <row r="49" spans="1:34">
      <c r="A49">
        <f t="shared" si="20"/>
        <v>9</v>
      </c>
      <c r="B49" t="str">
        <f t="shared" si="20"/>
        <v>EE</v>
      </c>
      <c r="C49" t="str">
        <f t="shared" si="20"/>
        <v>EE</v>
      </c>
      <c r="D49" s="8"/>
      <c r="E49" s="8">
        <f t="shared" ref="E49:M49" si="34">IFERROR(E14/D14-1,0)</f>
        <v>0</v>
      </c>
      <c r="F49" s="8">
        <f t="shared" si="34"/>
        <v>0</v>
      </c>
      <c r="G49" s="8">
        <f t="shared" si="34"/>
        <v>0</v>
      </c>
      <c r="H49" s="8">
        <f t="shared" si="34"/>
        <v>0</v>
      </c>
      <c r="I49" s="8">
        <f t="shared" si="34"/>
        <v>0</v>
      </c>
      <c r="J49" s="8">
        <f t="shared" si="34"/>
        <v>0</v>
      </c>
      <c r="K49" s="8">
        <f t="shared" si="34"/>
        <v>0</v>
      </c>
      <c r="L49" s="8">
        <f t="shared" si="34"/>
        <v>0</v>
      </c>
      <c r="M49" s="8">
        <f t="shared" si="34"/>
        <v>-0.34569818265470442</v>
      </c>
      <c r="N49" s="8">
        <f t="shared" si="22"/>
        <v>-0.3065102106589318</v>
      </c>
      <c r="O49" s="8">
        <f t="shared" si="22"/>
        <v>-2.0680622742347721E-2</v>
      </c>
      <c r="P49" s="8">
        <f t="shared" si="22"/>
        <v>-2.7243313201035346E-2</v>
      </c>
      <c r="Q49" s="8">
        <f t="shared" si="22"/>
        <v>0.10393152537862815</v>
      </c>
      <c r="R49" s="8">
        <f t="shared" si="22"/>
        <v>-0.15199662542182224</v>
      </c>
      <c r="S49" s="8">
        <f t="shared" si="23"/>
        <v>-0.18933131203069864</v>
      </c>
      <c r="T49" s="8">
        <f t="shared" si="24"/>
        <v>4.9731182795698992E-2</v>
      </c>
      <c r="U49" s="8">
        <f t="shared" si="25"/>
        <v>-2.8586538996826838E-2</v>
      </c>
      <c r="V49" s="8">
        <f t="shared" ca="1" si="25"/>
        <v>3.3422668502645747E-2</v>
      </c>
      <c r="W49" s="8"/>
      <c r="X49" s="8"/>
      <c r="Y49" s="8"/>
      <c r="Z49" s="8"/>
      <c r="AA49" s="14">
        <v>0</v>
      </c>
      <c r="AB49" s="8">
        <v>3.3422668502645844E-2</v>
      </c>
      <c r="AC49" s="8">
        <f t="shared" ca="1" si="26"/>
        <v>-4.3250353655004112E-2</v>
      </c>
      <c r="AD49" s="8">
        <f t="shared" ca="1" si="28"/>
        <v>-0.1807301068798548</v>
      </c>
      <c r="AE49" s="50"/>
      <c r="AH49" s="8"/>
    </row>
    <row r="50" spans="1:34">
      <c r="A50">
        <f t="shared" si="20"/>
        <v>11</v>
      </c>
      <c r="B50" t="str">
        <f t="shared" si="20"/>
        <v>ES</v>
      </c>
      <c r="C50" t="str">
        <f t="shared" si="20"/>
        <v>ES</v>
      </c>
      <c r="D50" s="8"/>
      <c r="E50" s="8">
        <f t="shared" ref="E50:M50" si="35">IFERROR(E15/D15-1,0)</f>
        <v>0.33216034999286714</v>
      </c>
      <c r="F50" s="8">
        <f t="shared" si="35"/>
        <v>0.22631541372171049</v>
      </c>
      <c r="G50" s="8">
        <f t="shared" si="35"/>
        <v>6.1027989624368617E-2</v>
      </c>
      <c r="H50" s="8">
        <f t="shared" si="35"/>
        <v>0.29928822910792396</v>
      </c>
      <c r="I50" s="8">
        <f t="shared" si="35"/>
        <v>-0.2439716777950347</v>
      </c>
      <c r="J50" s="8">
        <f t="shared" si="35"/>
        <v>0.16157121223405579</v>
      </c>
      <c r="K50" s="8">
        <f t="shared" si="35"/>
        <v>-7.7846407027255204E-2</v>
      </c>
      <c r="L50" s="8">
        <f t="shared" si="35"/>
        <v>2.1652784819294446E-2</v>
      </c>
      <c r="M50" s="8">
        <f t="shared" si="35"/>
        <v>6.1690235900286217E-2</v>
      </c>
      <c r="N50" s="8">
        <f t="shared" si="22"/>
        <v>0.10494278907276633</v>
      </c>
      <c r="O50" s="8">
        <f t="shared" si="22"/>
        <v>6.0721062618595889E-2</v>
      </c>
      <c r="P50" s="8">
        <f t="shared" si="22"/>
        <v>7.6346524161662765E-2</v>
      </c>
      <c r="Q50" s="8">
        <f t="shared" si="22"/>
        <v>0.1587662523262976</v>
      </c>
      <c r="R50" s="8">
        <f t="shared" si="22"/>
        <v>-3.9316286165848924E-2</v>
      </c>
      <c r="S50" s="8">
        <f t="shared" si="23"/>
        <v>2.6503127692392381E-2</v>
      </c>
      <c r="T50" s="8">
        <f t="shared" si="24"/>
        <v>-4.1499142150959289E-2</v>
      </c>
      <c r="U50" s="8">
        <f t="shared" si="25"/>
        <v>-4.3241759516279288E-3</v>
      </c>
      <c r="V50" s="8">
        <f t="shared" ca="1" si="25"/>
        <v>-4.2868347622701863E-2</v>
      </c>
      <c r="W50" s="8"/>
      <c r="X50" s="8"/>
      <c r="Y50" s="8"/>
      <c r="Z50" s="8"/>
      <c r="AA50" s="14">
        <v>0</v>
      </c>
      <c r="AB50" s="8" t="e">
        <v>#VALUE!</v>
      </c>
      <c r="AC50" s="8">
        <f t="shared" ca="1" si="26"/>
        <v>2.0025955150050768E-2</v>
      </c>
      <c r="AD50" s="8">
        <f t="shared" ca="1" si="28"/>
        <v>-1.5359929487641977E-2</v>
      </c>
      <c r="AE50" s="24">
        <v>-4.2868347622701863E-2</v>
      </c>
      <c r="AH50" s="8"/>
    </row>
    <row r="51" spans="1:34">
      <c r="A51">
        <f t="shared" si="20"/>
        <v>12</v>
      </c>
      <c r="B51" t="str">
        <f t="shared" si="20"/>
        <v>FI</v>
      </c>
      <c r="C51" t="str">
        <f t="shared" si="20"/>
        <v>FI</v>
      </c>
      <c r="D51" s="8"/>
      <c r="E51" s="8">
        <f t="shared" ref="E51:M51" si="36">IFERROR(E16/D16-1,0)</f>
        <v>-0.10170893572220874</v>
      </c>
      <c r="F51" s="8">
        <f t="shared" si="36"/>
        <v>3.3496578137753641E-2</v>
      </c>
      <c r="G51" s="8">
        <f t="shared" si="36"/>
        <v>0.17847777001508658</v>
      </c>
      <c r="H51" s="8">
        <f t="shared" si="36"/>
        <v>0.24276140561903947</v>
      </c>
      <c r="I51" s="8">
        <f t="shared" si="36"/>
        <v>1.0404784126654798E-2</v>
      </c>
      <c r="J51" s="8">
        <f t="shared" si="36"/>
        <v>-1.1276086212795078E-2</v>
      </c>
      <c r="K51" s="8">
        <f t="shared" si="36"/>
        <v>0.27239761387385641</v>
      </c>
      <c r="L51" s="8">
        <f t="shared" si="36"/>
        <v>0.13769416525257805</v>
      </c>
      <c r="M51" s="8">
        <f t="shared" si="36"/>
        <v>0.12948116702759793</v>
      </c>
      <c r="N51" s="8">
        <f t="shared" si="22"/>
        <v>1.2943038778326255E-2</v>
      </c>
      <c r="O51" s="8">
        <f t="shared" si="22"/>
        <v>0.10009861108789742</v>
      </c>
      <c r="P51" s="8">
        <f t="shared" si="22"/>
        <v>9.9882254633850032E-2</v>
      </c>
      <c r="Q51" s="8">
        <f t="shared" si="22"/>
        <v>1.5094430842228501E-2</v>
      </c>
      <c r="R51" s="8">
        <f t="shared" si="22"/>
        <v>6.4977479009893369E-3</v>
      </c>
      <c r="S51" s="8">
        <f t="shared" si="23"/>
        <v>-7.2636197094552157E-3</v>
      </c>
      <c r="T51" s="8">
        <f t="shared" si="24"/>
        <v>9.8478425924980018E-2</v>
      </c>
      <c r="U51" s="8">
        <f t="shared" si="25"/>
        <v>-1.4583133157488493E-2</v>
      </c>
      <c r="V51" s="8">
        <f t="shared" ca="1" si="25"/>
        <v>1.7579445571332064E-2</v>
      </c>
      <c r="W51" s="8"/>
      <c r="X51" s="8"/>
      <c r="Y51" s="8"/>
      <c r="Z51" s="8"/>
      <c r="AA51" s="14">
        <v>0</v>
      </c>
      <c r="AB51" s="8">
        <v>1.7579445571331981E-2</v>
      </c>
      <c r="AC51" s="8">
        <f t="shared" ca="1" si="26"/>
        <v>1.9644770360250828E-2</v>
      </c>
      <c r="AD51" s="8">
        <f t="shared" ca="1" si="28"/>
        <v>2.927612541204061E-2</v>
      </c>
      <c r="AH51" s="8"/>
    </row>
    <row r="52" spans="1:34">
      <c r="A52">
        <f t="shared" si="20"/>
        <v>13</v>
      </c>
      <c r="B52" t="str">
        <f t="shared" si="20"/>
        <v>FR</v>
      </c>
      <c r="C52" t="str">
        <f t="shared" si="20"/>
        <v>FR</v>
      </c>
      <c r="D52" s="8"/>
      <c r="E52" s="8">
        <f t="shared" ref="E52:M52" si="37">IFERROR(E17/D17-1,0)</f>
        <v>-3.4158537507562037E-2</v>
      </c>
      <c r="F52" s="8">
        <f t="shared" si="37"/>
        <v>8.2173024996501365E-2</v>
      </c>
      <c r="G52" s="8">
        <f t="shared" si="37"/>
        <v>4.6037697626760465E-2</v>
      </c>
      <c r="H52" s="8">
        <f t="shared" si="37"/>
        <v>6.8105186348184077E-2</v>
      </c>
      <c r="I52" s="8">
        <f t="shared" si="37"/>
        <v>1.2775350364975457E-2</v>
      </c>
      <c r="J52" s="8">
        <f t="shared" si="37"/>
        <v>0.24626980784185526</v>
      </c>
      <c r="K52" s="8">
        <f t="shared" si="37"/>
        <v>3.2370022265773235E-2</v>
      </c>
      <c r="L52" s="8">
        <f t="shared" si="37"/>
        <v>2.6460101129318847E-2</v>
      </c>
      <c r="M52" s="8">
        <f t="shared" si="37"/>
        <v>2.6357164297610369E-2</v>
      </c>
      <c r="N52" s="8">
        <f t="shared" si="22"/>
        <v>-9.214201438823455E-3</v>
      </c>
      <c r="O52" s="8">
        <f t="shared" si="22"/>
        <v>3.9964483420636965E-2</v>
      </c>
      <c r="P52" s="8">
        <f t="shared" si="22"/>
        <v>-3.391538521404347E-2</v>
      </c>
      <c r="Q52" s="8">
        <f t="shared" si="22"/>
        <v>-1.4470785657633156E-3</v>
      </c>
      <c r="R52" s="8">
        <f t="shared" si="22"/>
        <v>3.3186300040455974E-2</v>
      </c>
      <c r="S52" s="8">
        <f t="shared" si="23"/>
        <v>-6.1329792028734564E-2</v>
      </c>
      <c r="T52" s="8">
        <f t="shared" si="24"/>
        <v>5.430020349731568E-2</v>
      </c>
      <c r="U52" s="8">
        <f t="shared" si="25"/>
        <v>4.2064481544503263E-2</v>
      </c>
      <c r="V52" s="8">
        <f t="shared" ca="1" si="25"/>
        <v>-3.3683607078872746E-2</v>
      </c>
      <c r="W52" s="8"/>
      <c r="X52" s="8"/>
      <c r="Y52" s="8"/>
      <c r="Z52" s="8"/>
      <c r="AA52" s="14">
        <v>0</v>
      </c>
      <c r="AB52" s="8">
        <v>-3.3683607078872795E-2</v>
      </c>
      <c r="AC52" s="8">
        <f t="shared" ca="1" si="26"/>
        <v>1.3354822897555407E-2</v>
      </c>
      <c r="AD52" s="8">
        <f t="shared" ca="1" si="28"/>
        <v>-1.0522477261630137E-2</v>
      </c>
      <c r="AE52" s="50"/>
      <c r="AH52" s="8"/>
    </row>
    <row r="53" spans="1:34">
      <c r="A53">
        <f t="shared" si="20"/>
        <v>10</v>
      </c>
      <c r="B53" t="str">
        <f t="shared" si="20"/>
        <v>EL</v>
      </c>
      <c r="C53" t="str">
        <f t="shared" si="20"/>
        <v>GR</v>
      </c>
      <c r="D53" s="8"/>
      <c r="E53" s="8">
        <f t="shared" ref="E53:M53" si="38">IFERROR(E18/D18-1,0)</f>
        <v>-0.77596618357487923</v>
      </c>
      <c r="F53" s="8">
        <f t="shared" si="38"/>
        <v>0</v>
      </c>
      <c r="G53" s="8">
        <f t="shared" si="38"/>
        <v>-0.27888589398023367</v>
      </c>
      <c r="H53" s="8">
        <f t="shared" si="38"/>
        <v>5.7313730376276073E-3</v>
      </c>
      <c r="I53" s="8">
        <f t="shared" si="38"/>
        <v>6.9358275520317161</v>
      </c>
      <c r="J53" s="8">
        <f t="shared" si="38"/>
        <v>-0.12379406163164641</v>
      </c>
      <c r="K53" s="8">
        <f t="shared" si="38"/>
        <v>-0.46807297605473197</v>
      </c>
      <c r="L53" s="8">
        <f t="shared" si="38"/>
        <v>0.41278135048231501</v>
      </c>
      <c r="M53" s="8">
        <f t="shared" si="38"/>
        <v>-1.6974869606448562E-2</v>
      </c>
      <c r="N53" s="8">
        <f t="shared" si="22"/>
        <v>3.2994887131005211</v>
      </c>
      <c r="O53" s="8">
        <f t="shared" si="22"/>
        <v>-0.32555504448208938</v>
      </c>
      <c r="P53" s="8">
        <f t="shared" si="22"/>
        <v>-1</v>
      </c>
      <c r="Q53" s="8">
        <f t="shared" si="22"/>
        <v>0</v>
      </c>
      <c r="R53" s="8">
        <f t="shared" si="22"/>
        <v>0.44946652394599651</v>
      </c>
      <c r="S53" s="8">
        <f t="shared" si="23"/>
        <v>-0.76956977464386112</v>
      </c>
      <c r="T53" s="8">
        <f t="shared" si="24"/>
        <v>-0.18763568696371347</v>
      </c>
      <c r="U53" s="8">
        <f t="shared" si="25"/>
        <v>-1</v>
      </c>
      <c r="V53" s="8">
        <f t="shared" ca="1" si="25"/>
        <v>0</v>
      </c>
      <c r="W53" s="8"/>
      <c r="X53" s="8"/>
      <c r="Y53" s="8"/>
      <c r="Z53" s="8"/>
      <c r="AA53" s="14">
        <v>0</v>
      </c>
      <c r="AB53" s="8" t="s">
        <v>209</v>
      </c>
      <c r="AC53" s="8">
        <f t="shared" ca="1" si="26"/>
        <v>-0.30154778753231559</v>
      </c>
      <c r="AD53" s="8" t="e">
        <f t="shared" ca="1" si="28"/>
        <v>#DIV/0!</v>
      </c>
      <c r="AH53" s="8"/>
    </row>
    <row r="54" spans="1:34">
      <c r="A54">
        <f t="shared" si="20"/>
        <v>14</v>
      </c>
      <c r="B54" t="str">
        <f t="shared" si="20"/>
        <v>HR</v>
      </c>
      <c r="C54" t="str">
        <f t="shared" si="20"/>
        <v>HR</v>
      </c>
      <c r="D54" s="8"/>
      <c r="E54" s="8">
        <f t="shared" ref="E54:M54" si="39">IFERROR(E19/D19-1,0)</f>
        <v>8.5156993339676523E-2</v>
      </c>
      <c r="F54" s="8">
        <f t="shared" si="39"/>
        <v>0.40837352038579566</v>
      </c>
      <c r="G54" s="8">
        <f t="shared" si="39"/>
        <v>0.32342412451361868</v>
      </c>
      <c r="H54" s="8">
        <f t="shared" si="39"/>
        <v>4.7747853698694609E-2</v>
      </c>
      <c r="I54" s="8">
        <f t="shared" si="39"/>
        <v>-0.14479739589179486</v>
      </c>
      <c r="J54" s="8">
        <f t="shared" si="39"/>
        <v>-0.43890274314214461</v>
      </c>
      <c r="K54" s="8">
        <f t="shared" si="39"/>
        <v>0.90526315789473655</v>
      </c>
      <c r="L54" s="8">
        <f t="shared" si="39"/>
        <v>7.3296500920810415E-2</v>
      </c>
      <c r="M54" s="8">
        <f t="shared" si="39"/>
        <v>0.16117593228094251</v>
      </c>
      <c r="N54" s="8">
        <f t="shared" si="22"/>
        <v>-8.2356418086887984E-2</v>
      </c>
      <c r="O54" s="8">
        <f t="shared" si="22"/>
        <v>8.9747718733226067E-2</v>
      </c>
      <c r="P54" s="8">
        <f t="shared" si="22"/>
        <v>0.1357501723968082</v>
      </c>
      <c r="Q54" s="8">
        <f t="shared" si="22"/>
        <v>0.69398907103825147</v>
      </c>
      <c r="R54" s="8">
        <f t="shared" si="22"/>
        <v>0.38059395801331286</v>
      </c>
      <c r="S54" s="8">
        <f t="shared" si="23"/>
        <v>0.44416422504914133</v>
      </c>
      <c r="T54" s="8">
        <f t="shared" si="24"/>
        <v>0.16022496725647795</v>
      </c>
      <c r="U54" s="8">
        <f t="shared" si="25"/>
        <v>2.2997919341272377E-2</v>
      </c>
      <c r="V54" s="8">
        <f t="shared" ca="1" si="25"/>
        <v>0.22989592574160689</v>
      </c>
      <c r="W54" s="8"/>
      <c r="X54" s="8"/>
      <c r="Y54" s="8"/>
      <c r="Z54" s="8"/>
      <c r="AA54" s="14">
        <v>0</v>
      </c>
      <c r="AB54" s="8" t="e">
        <v>#VALUE!</v>
      </c>
      <c r="AC54" s="8">
        <f t="shared" ca="1" si="26"/>
        <v>0.34039402813969122</v>
      </c>
      <c r="AD54" s="8">
        <f t="shared" ca="1" si="28"/>
        <v>0.22989592574160689</v>
      </c>
      <c r="AH54" s="8"/>
    </row>
    <row r="55" spans="1:34">
      <c r="A55">
        <f t="shared" si="20"/>
        <v>15</v>
      </c>
      <c r="B55" t="str">
        <f t="shared" si="20"/>
        <v>HU</v>
      </c>
      <c r="C55" t="str">
        <f t="shared" si="20"/>
        <v>HU</v>
      </c>
      <c r="D55" s="8"/>
      <c r="E55" s="8">
        <f t="shared" ref="E55:M55" si="40">IFERROR(E20/D20-1,0)</f>
        <v>0.19242720312650152</v>
      </c>
      <c r="F55" s="8">
        <f t="shared" si="40"/>
        <v>-2.2431764453039182E-3</v>
      </c>
      <c r="G55" s="8">
        <f t="shared" si="40"/>
        <v>-8.3601459323380256E-2</v>
      </c>
      <c r="H55" s="8">
        <f t="shared" si="40"/>
        <v>8.0709847071440022E-2</v>
      </c>
      <c r="I55" s="8">
        <f t="shared" si="40"/>
        <v>0.19415482906273374</v>
      </c>
      <c r="J55" s="8">
        <f t="shared" si="40"/>
        <v>0.14246197978326203</v>
      </c>
      <c r="K55" s="8">
        <f t="shared" si="40"/>
        <v>-0.1113757061865428</v>
      </c>
      <c r="L55" s="8">
        <f t="shared" si="40"/>
        <v>-6.7758031059034662E-2</v>
      </c>
      <c r="M55" s="8">
        <f t="shared" si="40"/>
        <v>0.23240961247023173</v>
      </c>
      <c r="N55" s="8">
        <f t="shared" si="22"/>
        <v>0.29137754355145651</v>
      </c>
      <c r="O55" s="8">
        <f t="shared" si="22"/>
        <v>0.19439847038640901</v>
      </c>
      <c r="P55" s="8">
        <f t="shared" si="22"/>
        <v>3.7179519627445368E-2</v>
      </c>
      <c r="Q55" s="8">
        <f t="shared" si="22"/>
        <v>0.18519399707174222</v>
      </c>
      <c r="R55" s="8">
        <f t="shared" si="22"/>
        <v>0.1070842148066935</v>
      </c>
      <c r="S55" s="8">
        <f t="shared" si="23"/>
        <v>-1.8658086953287301E-2</v>
      </c>
      <c r="T55" s="8">
        <f t="shared" si="24"/>
        <v>0.16057384350067272</v>
      </c>
      <c r="U55" s="8">
        <f t="shared" si="25"/>
        <v>-0.1129082299150882</v>
      </c>
      <c r="V55" s="8">
        <f t="shared" ca="1" si="25"/>
        <v>-7.9907672015827602E-2</v>
      </c>
      <c r="W55" s="8"/>
      <c r="X55" s="8"/>
      <c r="Y55" s="8"/>
      <c r="Z55" s="8"/>
      <c r="AA55" s="14">
        <v>0</v>
      </c>
      <c r="AB55" s="8">
        <v>-7.9907672015827658E-2</v>
      </c>
      <c r="AC55" s="8">
        <f t="shared" ca="1" si="26"/>
        <v>6.4257147702146591E-2</v>
      </c>
      <c r="AD55" s="8">
        <f t="shared" ca="1" si="28"/>
        <v>0.10130739707872194</v>
      </c>
      <c r="AE55" s="50"/>
      <c r="AH55" s="8"/>
    </row>
    <row r="56" spans="1:34">
      <c r="A56">
        <f t="shared" si="20"/>
        <v>16</v>
      </c>
      <c r="B56" t="str">
        <f t="shared" si="20"/>
        <v>IE</v>
      </c>
      <c r="C56" t="str">
        <f t="shared" si="20"/>
        <v>IE</v>
      </c>
      <c r="D56" s="8"/>
      <c r="E56" s="8">
        <f t="shared" ref="E56:M56" si="41">IFERROR(E21/D21-1,0)</f>
        <v>0</v>
      </c>
      <c r="F56" s="8">
        <f t="shared" si="41"/>
        <v>0</v>
      </c>
      <c r="G56" s="8">
        <f t="shared" si="41"/>
        <v>0</v>
      </c>
      <c r="H56" s="8">
        <f t="shared" si="41"/>
        <v>0</v>
      </c>
      <c r="I56" s="8">
        <f t="shared" si="41"/>
        <v>-0.3376703841387857</v>
      </c>
      <c r="J56" s="8">
        <f t="shared" si="41"/>
        <v>0.65844246959775488</v>
      </c>
      <c r="K56" s="8">
        <f t="shared" si="41"/>
        <v>2.2237185362758232</v>
      </c>
      <c r="L56" s="8">
        <f t="shared" si="41"/>
        <v>0.34267967280521416</v>
      </c>
      <c r="M56" s="8">
        <f t="shared" si="41"/>
        <v>7.6787750447955716E-2</v>
      </c>
      <c r="N56" s="8">
        <f t="shared" si="22"/>
        <v>4.0769091129130075E-2</v>
      </c>
      <c r="O56" s="8">
        <f t="shared" si="22"/>
        <v>-3.1163243651797345E-2</v>
      </c>
      <c r="P56" s="8">
        <f t="shared" si="22"/>
        <v>0.69925737003975685</v>
      </c>
      <c r="Q56" s="8">
        <f t="shared" si="22"/>
        <v>0.28430039553609276</v>
      </c>
      <c r="R56" s="8">
        <f t="shared" si="22"/>
        <v>-1.0036778606539176E-3</v>
      </c>
      <c r="S56" s="8">
        <f t="shared" si="23"/>
        <v>9.8610642792753556E-3</v>
      </c>
      <c r="T56" s="8">
        <f t="shared" si="24"/>
        <v>-2.5819068905364229E-2</v>
      </c>
      <c r="U56" s="8">
        <f t="shared" si="25"/>
        <v>3.8072788064044571E-2</v>
      </c>
      <c r="V56" s="8">
        <f t="shared" ca="1" si="25"/>
        <v>0.1156589349313204</v>
      </c>
      <c r="W56" s="8"/>
      <c r="X56" s="8"/>
      <c r="Y56" s="8"/>
      <c r="Z56" s="8"/>
      <c r="AA56" s="14">
        <v>0</v>
      </c>
      <c r="AB56" s="8">
        <v>0.11538594004839163</v>
      </c>
      <c r="AC56" s="8">
        <f t="shared" ca="1" si="26"/>
        <v>6.1082300222678909E-2</v>
      </c>
      <c r="AD56" s="8">
        <f t="shared" ca="1" si="28"/>
        <v>-1.0560219937199355E-2</v>
      </c>
      <c r="AE56" s="50">
        <v>0.1156589349313204</v>
      </c>
      <c r="AH56" s="8"/>
    </row>
    <row r="57" spans="1:34">
      <c r="A57">
        <f t="shared" si="20"/>
        <v>17</v>
      </c>
      <c r="B57" t="str">
        <f t="shared" si="20"/>
        <v>IT</v>
      </c>
      <c r="C57" t="str">
        <f t="shared" si="20"/>
        <v>IT</v>
      </c>
      <c r="D57" s="8"/>
      <c r="E57" s="8">
        <f t="shared" ref="E57:M57" si="42">IFERROR(E22/D22-1,0)</f>
        <v>0.13860279417382526</v>
      </c>
      <c r="F57" s="8">
        <f t="shared" si="42"/>
        <v>7.7951391835280104E-2</v>
      </c>
      <c r="G57" s="8">
        <f t="shared" si="42"/>
        <v>-8.932269526736869E-2</v>
      </c>
      <c r="H57" s="8">
        <f t="shared" si="42"/>
        <v>6.7051528075334099E-2</v>
      </c>
      <c r="I57" s="8">
        <f t="shared" si="42"/>
        <v>0.29746416593654623</v>
      </c>
      <c r="J57" s="8">
        <f t="shared" si="42"/>
        <v>9.0370565328732777E-2</v>
      </c>
      <c r="K57" s="8">
        <f t="shared" si="42"/>
        <v>-2.5248009274635441E-3</v>
      </c>
      <c r="L57" s="8">
        <f t="shared" si="42"/>
        <v>5.0411870635438394E-3</v>
      </c>
      <c r="M57" s="8">
        <f t="shared" si="42"/>
        <v>1.7379024781608798E-2</v>
      </c>
      <c r="N57" s="8">
        <f t="shared" si="22"/>
        <v>-7.3858267444490977E-3</v>
      </c>
      <c r="O57" s="8">
        <f t="shared" si="22"/>
        <v>2.9512524723570133E-2</v>
      </c>
      <c r="P57" s="8">
        <f t="shared" si="22"/>
        <v>-4.1349885007729514E-2</v>
      </c>
      <c r="Q57" s="8">
        <f t="shared" si="22"/>
        <v>-1.0730020516646066E-3</v>
      </c>
      <c r="R57" s="8">
        <f t="shared" si="22"/>
        <v>4.3554895744335242E-2</v>
      </c>
      <c r="S57" s="8">
        <f t="shared" si="23"/>
        <v>6.580221613067927E-3</v>
      </c>
      <c r="T57" s="8">
        <f t="shared" si="24"/>
        <v>-4.0586970459058125E-2</v>
      </c>
      <c r="U57" s="8">
        <f t="shared" si="25"/>
        <v>-1.1135847708196089E-2</v>
      </c>
      <c r="V57" s="8">
        <f t="shared" ca="1" si="25"/>
        <v>-1.6801203328514092E-2</v>
      </c>
      <c r="W57" s="8"/>
      <c r="X57" s="8"/>
      <c r="Y57" s="8"/>
      <c r="Z57" s="8"/>
      <c r="AA57" s="14">
        <v>0</v>
      </c>
      <c r="AB57" s="8">
        <v>-1.6801203328514053E-2</v>
      </c>
      <c r="AC57" s="8">
        <f t="shared" ca="1" si="26"/>
        <v>-5.321405723031303E-4</v>
      </c>
      <c r="AD57" s="8">
        <f t="shared" ca="1" si="28"/>
        <v>1.0345383418372212E-2</v>
      </c>
      <c r="AE57" s="50"/>
      <c r="AH57" s="8"/>
    </row>
    <row r="58" spans="1:34">
      <c r="A58">
        <f t="shared" si="20"/>
        <v>18</v>
      </c>
      <c r="B58" t="str">
        <f t="shared" si="20"/>
        <v>LT</v>
      </c>
      <c r="C58" t="str">
        <f t="shared" si="20"/>
        <v>LT</v>
      </c>
      <c r="D58" s="8"/>
      <c r="E58" s="8">
        <f t="shared" ref="E58:M58" si="43">IFERROR(E23/D23-1,0)</f>
        <v>0</v>
      </c>
      <c r="F58" s="8">
        <f t="shared" si="43"/>
        <v>0</v>
      </c>
      <c r="G58" s="8">
        <f t="shared" si="43"/>
        <v>0</v>
      </c>
      <c r="H58" s="8">
        <f t="shared" si="43"/>
        <v>0</v>
      </c>
      <c r="I58" s="8">
        <f t="shared" si="43"/>
        <v>0</v>
      </c>
      <c r="J58" s="8">
        <f t="shared" si="43"/>
        <v>0</v>
      </c>
      <c r="K58" s="8">
        <f t="shared" si="43"/>
        <v>0</v>
      </c>
      <c r="L58" s="8">
        <f t="shared" si="43"/>
        <v>0</v>
      </c>
      <c r="M58" s="8">
        <f t="shared" si="43"/>
        <v>0.21350806451612891</v>
      </c>
      <c r="N58" s="8">
        <f t="shared" si="22"/>
        <v>0.24732790607520627</v>
      </c>
      <c r="O58" s="8">
        <f t="shared" si="22"/>
        <v>1.1877192203525286</v>
      </c>
      <c r="P58" s="8">
        <f t="shared" si="22"/>
        <v>-0.31702317652311562</v>
      </c>
      <c r="Q58" s="8">
        <f t="shared" si="22"/>
        <v>6.2460999019404051E-2</v>
      </c>
      <c r="R58" s="8">
        <f t="shared" si="22"/>
        <v>6.6843798070199689E-3</v>
      </c>
      <c r="S58" s="8">
        <f t="shared" si="23"/>
        <v>0.62774351280769025</v>
      </c>
      <c r="T58" s="8">
        <f t="shared" si="24"/>
        <v>0.54831111642117114</v>
      </c>
      <c r="U58" s="8">
        <f t="shared" si="25"/>
        <v>-2.4229997574795492E-2</v>
      </c>
      <c r="V58" s="8">
        <f t="shared" ca="1" si="25"/>
        <v>0.17448071216617222</v>
      </c>
      <c r="W58" s="8"/>
      <c r="X58" s="8"/>
      <c r="Y58" s="8"/>
      <c r="Z58" s="8"/>
      <c r="AA58" s="14">
        <v>0</v>
      </c>
      <c r="AB58" s="8" t="e">
        <v>#VALUE!</v>
      </c>
      <c r="AC58" s="8">
        <f t="shared" ca="1" si="26"/>
        <v>0.24419400209609798</v>
      </c>
      <c r="AD58" s="8">
        <f t="shared" ca="1" si="28"/>
        <v>0.24255727778028113</v>
      </c>
      <c r="AE58" s="50">
        <v>0.17448071216617222</v>
      </c>
      <c r="AH58" s="8"/>
    </row>
    <row r="59" spans="1:34">
      <c r="A59">
        <f t="shared" si="20"/>
        <v>19</v>
      </c>
      <c r="B59" t="str">
        <f t="shared" si="20"/>
        <v>LU</v>
      </c>
      <c r="C59" t="str">
        <f t="shared" si="20"/>
        <v>LU</v>
      </c>
      <c r="D59" s="8"/>
      <c r="E59" s="8">
        <f t="shared" ref="E59:M59" si="44">IFERROR(E24/D24-1,0)</f>
        <v>5.0834900552801043E-2</v>
      </c>
      <c r="F59" s="8">
        <f t="shared" si="44"/>
        <v>-0.1074895601713759</v>
      </c>
      <c r="G59" s="8">
        <f t="shared" si="44"/>
        <v>6.6597800328127787E-2</v>
      </c>
      <c r="H59" s="8">
        <f t="shared" si="44"/>
        <v>-0.19956702557967299</v>
      </c>
      <c r="I59" s="8">
        <f t="shared" si="44"/>
        <v>9.5622775800711546E-2</v>
      </c>
      <c r="J59" s="8">
        <f t="shared" si="44"/>
        <v>3.7905609510507698E-2</v>
      </c>
      <c r="K59" s="8">
        <f t="shared" si="44"/>
        <v>1.0202165613068859E-2</v>
      </c>
      <c r="L59" s="8">
        <f t="shared" si="44"/>
        <v>3.8258983890954168E-2</v>
      </c>
      <c r="M59" s="8">
        <f t="shared" si="44"/>
        <v>-2.4824705355810828E-2</v>
      </c>
      <c r="N59" s="8">
        <f t="shared" si="22"/>
        <v>3.6471560138298109E-2</v>
      </c>
      <c r="O59" s="8">
        <f t="shared" si="22"/>
        <v>-1.1512915129151535E-3</v>
      </c>
      <c r="P59" s="8">
        <f t="shared" si="22"/>
        <v>9.1766166213500533E-2</v>
      </c>
      <c r="Q59" s="8">
        <f t="shared" si="22"/>
        <v>2.750331609864376E-2</v>
      </c>
      <c r="R59" s="8">
        <f t="shared" si="22"/>
        <v>3.6093474194482944E-3</v>
      </c>
      <c r="S59" s="8">
        <f t="shared" si="23"/>
        <v>0.17443691919987381</v>
      </c>
      <c r="T59" s="8">
        <f t="shared" si="24"/>
        <v>-7.1257739332573289E-2</v>
      </c>
      <c r="U59" s="8">
        <f t="shared" si="25"/>
        <v>-1.612476234025606E-3</v>
      </c>
      <c r="V59" s="8">
        <f t="shared" ca="1" si="25"/>
        <v>-0.21293718754839874</v>
      </c>
      <c r="W59" s="8"/>
      <c r="X59" s="8"/>
      <c r="Y59" s="8"/>
      <c r="Z59" s="8"/>
      <c r="AA59" s="14">
        <v>0</v>
      </c>
      <c r="AB59" s="8">
        <v>-0.21293718754839877</v>
      </c>
      <c r="AC59" s="8">
        <f t="shared" ca="1" si="26"/>
        <v>2.6535873430273395E-2</v>
      </c>
      <c r="AD59" s="8">
        <f t="shared" ca="1" si="28"/>
        <v>5.8680455115220687E-2</v>
      </c>
      <c r="AH59" s="8"/>
    </row>
    <row r="60" spans="1:34">
      <c r="A60">
        <f t="shared" si="20"/>
        <v>20</v>
      </c>
      <c r="B60" t="str">
        <f t="shared" si="20"/>
        <v>LV</v>
      </c>
      <c r="C60" t="str">
        <f t="shared" si="20"/>
        <v>LV</v>
      </c>
      <c r="D60" s="8"/>
      <c r="E60" s="8">
        <f t="shared" ref="E60:M60" si="45">IFERROR(E25/D25-1,0)</f>
        <v>-0.28414550446122178</v>
      </c>
      <c r="F60" s="8">
        <f t="shared" si="45"/>
        <v>0.60306807286673059</v>
      </c>
      <c r="G60" s="8">
        <f t="shared" si="45"/>
        <v>0</v>
      </c>
      <c r="H60" s="8">
        <f t="shared" si="45"/>
        <v>-0.58094098883572576</v>
      </c>
      <c r="I60" s="8">
        <f t="shared" si="45"/>
        <v>12.419600380589914</v>
      </c>
      <c r="J60" s="8">
        <f t="shared" si="45"/>
        <v>0.89584515031196843</v>
      </c>
      <c r="K60" s="8">
        <f t="shared" si="45"/>
        <v>4.1082314222670835E-2</v>
      </c>
      <c r="L60" s="8">
        <f t="shared" si="45"/>
        <v>-4.9339919173776337E-2</v>
      </c>
      <c r="M60" s="8">
        <f t="shared" si="45"/>
        <v>0.23375151148730344</v>
      </c>
      <c r="N60" s="8">
        <f t="shared" si="22"/>
        <v>-0.15764165390505358</v>
      </c>
      <c r="O60" s="8">
        <f t="shared" si="22"/>
        <v>-0.33303639602952406</v>
      </c>
      <c r="P60" s="8">
        <f t="shared" si="22"/>
        <v>-0.2884673044947802</v>
      </c>
      <c r="Q60" s="8">
        <f t="shared" si="22"/>
        <v>0.73341250383083056</v>
      </c>
      <c r="R60" s="8">
        <f t="shared" si="22"/>
        <v>-5.7923932020597202E-2</v>
      </c>
      <c r="S60" s="8">
        <f t="shared" si="23"/>
        <v>0.23439992493196948</v>
      </c>
      <c r="T60" s="8">
        <f t="shared" si="24"/>
        <v>-0.10057012542759403</v>
      </c>
      <c r="U60" s="8">
        <f t="shared" si="25"/>
        <v>5.7471264367816133E-2</v>
      </c>
      <c r="V60" s="8">
        <f t="shared" ca="1" si="25"/>
        <v>-2.9411764705882359E-2</v>
      </c>
      <c r="W60" s="8"/>
      <c r="X60" s="8"/>
      <c r="Y60" s="8"/>
      <c r="Z60" s="8"/>
      <c r="AA60" s="14">
        <v>0</v>
      </c>
      <c r="AB60" s="8">
        <v>2.9298097921534531E-2</v>
      </c>
      <c r="AC60" s="8">
        <f t="shared" ca="1" si="26"/>
        <v>0.17335792713648498</v>
      </c>
      <c r="AD60" s="8">
        <f t="shared" ca="1" si="28"/>
        <v>3.6285166240409783E-2</v>
      </c>
      <c r="AE60" s="50">
        <v>-2.9411764705882359E-2</v>
      </c>
      <c r="AH60" s="8"/>
    </row>
    <row r="61" spans="1:34">
      <c r="A61">
        <f t="shared" si="20"/>
        <v>21</v>
      </c>
      <c r="B61" t="str">
        <f t="shared" si="20"/>
        <v>MT</v>
      </c>
      <c r="C61" t="str">
        <f t="shared" si="20"/>
        <v>MT</v>
      </c>
      <c r="D61" s="8"/>
      <c r="E61" s="8">
        <f t="shared" ref="E61:M61" si="46">IFERROR(E26/D26-1,0)</f>
        <v>0</v>
      </c>
      <c r="F61" s="8">
        <f t="shared" si="46"/>
        <v>0</v>
      </c>
      <c r="G61" s="8">
        <f t="shared" si="46"/>
        <v>0</v>
      </c>
      <c r="H61" s="8">
        <f t="shared" si="46"/>
        <v>0</v>
      </c>
      <c r="I61" s="8">
        <f t="shared" si="46"/>
        <v>0</v>
      </c>
      <c r="J61" s="8">
        <f t="shared" si="46"/>
        <v>0</v>
      </c>
      <c r="K61" s="8">
        <f t="shared" si="46"/>
        <v>0</v>
      </c>
      <c r="L61" s="8">
        <f t="shared" si="46"/>
        <v>0</v>
      </c>
      <c r="M61" s="8">
        <f t="shared" si="46"/>
        <v>0</v>
      </c>
      <c r="N61" s="8">
        <f t="shared" si="22"/>
        <v>0</v>
      </c>
      <c r="O61" s="8">
        <f t="shared" si="22"/>
        <v>0</v>
      </c>
      <c r="P61" s="8">
        <f t="shared" si="22"/>
        <v>0</v>
      </c>
      <c r="Q61" s="8">
        <f t="shared" si="22"/>
        <v>0</v>
      </c>
      <c r="R61" s="8">
        <f t="shared" si="22"/>
        <v>0</v>
      </c>
      <c r="S61" s="8">
        <f t="shared" si="23"/>
        <v>0</v>
      </c>
      <c r="T61" s="8">
        <f t="shared" si="24"/>
        <v>0</v>
      </c>
      <c r="U61" s="8">
        <f t="shared" si="25"/>
        <v>0</v>
      </c>
      <c r="V61" s="8">
        <f t="shared" ca="1" si="25"/>
        <v>0</v>
      </c>
      <c r="W61" s="8"/>
      <c r="X61" s="8"/>
      <c r="Y61" s="8"/>
      <c r="Z61" s="8"/>
      <c r="AA61" s="14">
        <v>0</v>
      </c>
      <c r="AB61" s="8" t="s">
        <v>209</v>
      </c>
      <c r="AC61" s="8">
        <f t="shared" ca="1" si="26"/>
        <v>0</v>
      </c>
      <c r="AD61" s="8" t="e">
        <f t="shared" ca="1" si="28"/>
        <v>#DIV/0!</v>
      </c>
      <c r="AH61" s="8"/>
    </row>
    <row r="62" spans="1:34">
      <c r="A62">
        <f t="shared" si="20"/>
        <v>22</v>
      </c>
      <c r="B62" t="str">
        <f t="shared" si="20"/>
        <v>NL</v>
      </c>
      <c r="C62" t="str">
        <f t="shared" si="20"/>
        <v>NL</v>
      </c>
      <c r="D62" s="8"/>
      <c r="E62" s="8">
        <f t="shared" ref="E62:M62" si="47">IFERROR(E27/D27-1,0)</f>
        <v>-4.0849893944310711E-2</v>
      </c>
      <c r="F62" s="8">
        <f t="shared" si="47"/>
        <v>4.6161687150059416E-2</v>
      </c>
      <c r="G62" s="8">
        <f t="shared" si="47"/>
        <v>5.4068196297185622E-2</v>
      </c>
      <c r="H62" s="8">
        <f t="shared" si="47"/>
        <v>-1.9750235043466624E-2</v>
      </c>
      <c r="I62" s="8">
        <f t="shared" si="47"/>
        <v>-2.672630921437058E-2</v>
      </c>
      <c r="J62" s="8">
        <f t="shared" si="47"/>
        <v>4.9151253417690333E-2</v>
      </c>
      <c r="K62" s="8">
        <f t="shared" si="47"/>
        <v>-1.7595188324424971E-2</v>
      </c>
      <c r="L62" s="8">
        <f t="shared" si="47"/>
        <v>6.4766409204366715E-2</v>
      </c>
      <c r="M62" s="8">
        <f t="shared" si="47"/>
        <v>3.0337977367564495E-2</v>
      </c>
      <c r="N62" s="8">
        <f t="shared" si="22"/>
        <v>7.862291200039051E-2</v>
      </c>
      <c r="O62" s="8">
        <f t="shared" si="22"/>
        <v>5.7851389306964762E-2</v>
      </c>
      <c r="P62" s="8">
        <f t="shared" si="22"/>
        <v>-6.0868635002131466E-4</v>
      </c>
      <c r="Q62" s="8">
        <f t="shared" si="22"/>
        <v>3.6875248198786625E-3</v>
      </c>
      <c r="R62" s="8">
        <f t="shared" si="22"/>
        <v>-4.8301332229896077E-2</v>
      </c>
      <c r="S62" s="8">
        <f t="shared" si="23"/>
        <v>-3.526056578718828E-2</v>
      </c>
      <c r="T62" s="8">
        <f t="shared" si="24"/>
        <v>4.0105979772777633E-2</v>
      </c>
      <c r="U62" s="8">
        <f t="shared" si="25"/>
        <v>-8.4077561262699052E-2</v>
      </c>
      <c r="V62" s="8">
        <f t="shared" ca="1" si="25"/>
        <v>-1.5810254119038691E-2</v>
      </c>
      <c r="W62" s="8"/>
      <c r="X62" s="8"/>
      <c r="Y62" s="8"/>
      <c r="Z62" s="8"/>
      <c r="AA62" s="14">
        <v>0</v>
      </c>
      <c r="AB62" s="8">
        <v>-1.5810254119038646E-2</v>
      </c>
      <c r="AC62" s="8">
        <f t="shared" ca="1" si="26"/>
        <v>-2.4769190937425422E-2</v>
      </c>
      <c r="AD62" s="8">
        <f t="shared" ca="1" si="28"/>
        <v>-1.0282871634803459E-2</v>
      </c>
      <c r="AE62" s="50"/>
      <c r="AH62" s="8"/>
    </row>
    <row r="63" spans="1:34">
      <c r="A63">
        <f t="shared" si="20"/>
        <v>23</v>
      </c>
      <c r="B63" t="str">
        <f t="shared" si="20"/>
        <v>PL</v>
      </c>
      <c r="C63" t="str">
        <f t="shared" si="20"/>
        <v>PL</v>
      </c>
      <c r="D63" s="8"/>
      <c r="E63" s="8">
        <f t="shared" ref="E63:M63" si="48">IFERROR(E28/D28-1,0)</f>
        <v>0.80518907724169675</v>
      </c>
      <c r="F63" s="8">
        <f t="shared" si="48"/>
        <v>-0.16931705917970619</v>
      </c>
      <c r="G63" s="8">
        <f t="shared" si="48"/>
        <v>2.5354442142595301E-2</v>
      </c>
      <c r="H63" s="8">
        <f t="shared" si="48"/>
        <v>0.4809846097563002</v>
      </c>
      <c r="I63" s="8">
        <f t="shared" si="48"/>
        <v>0.11592217584262277</v>
      </c>
      <c r="J63" s="8">
        <f t="shared" si="48"/>
        <v>0.10832756864175463</v>
      </c>
      <c r="K63" s="8">
        <f t="shared" si="48"/>
        <v>-4.797559685791386E-2</v>
      </c>
      <c r="L63" s="8">
        <f t="shared" si="48"/>
        <v>7.522034229642327E-2</v>
      </c>
      <c r="M63" s="8">
        <f t="shared" si="48"/>
        <v>0.14113118690592064</v>
      </c>
      <c r="N63" s="8">
        <f t="shared" si="22"/>
        <v>1.7125703127277125E-2</v>
      </c>
      <c r="O63" s="8">
        <f t="shared" si="22"/>
        <v>0.41652482716594141</v>
      </c>
      <c r="P63" s="8">
        <f t="shared" si="22"/>
        <v>0.17359049844845931</v>
      </c>
      <c r="Q63" s="8">
        <f t="shared" si="22"/>
        <v>0.16146428234904775</v>
      </c>
      <c r="R63" s="8">
        <f t="shared" si="22"/>
        <v>5.3450143704458553E-2</v>
      </c>
      <c r="S63" s="8">
        <f t="shared" si="23"/>
        <v>-1.3929638047296078E-2</v>
      </c>
      <c r="T63" s="8">
        <f t="shared" si="24"/>
        <v>-5.3728375119529881E-2</v>
      </c>
      <c r="U63" s="8">
        <f t="shared" si="25"/>
        <v>3.3250934037619029E-2</v>
      </c>
      <c r="V63" s="8">
        <f t="shared" ca="1" si="25"/>
        <v>0</v>
      </c>
      <c r="W63" s="8"/>
      <c r="X63" s="8"/>
      <c r="Y63" s="8"/>
      <c r="Z63" s="8"/>
      <c r="AA63" s="14">
        <v>0</v>
      </c>
      <c r="AB63" s="8" t="e">
        <v>#VALUE!</v>
      </c>
      <c r="AC63" s="8">
        <f t="shared" ca="1" si="26"/>
        <v>3.6101469384859877E-2</v>
      </c>
      <c r="AD63" s="8">
        <f t="shared" ca="1" si="28"/>
        <v>-9.0951243556222083E-3</v>
      </c>
      <c r="AH63" s="8"/>
    </row>
    <row r="64" spans="1:34" ht="15">
      <c r="A64">
        <f t="shared" si="20"/>
        <v>24</v>
      </c>
      <c r="B64" t="str">
        <f t="shared" si="20"/>
        <v>PT</v>
      </c>
      <c r="C64" t="str">
        <f t="shared" si="20"/>
        <v>PT</v>
      </c>
      <c r="D64" s="8"/>
      <c r="E64" s="8">
        <f t="shared" ref="E64:M64" si="49">IFERROR(E29/D29-1,0)</f>
        <v>3.5984834962408563E-2</v>
      </c>
      <c r="F64" s="8">
        <f t="shared" si="49"/>
        <v>-8.0662168588342964E-2</v>
      </c>
      <c r="G64" s="8">
        <f t="shared" si="49"/>
        <v>-4.2955133250871524E-3</v>
      </c>
      <c r="H64" s="8">
        <f t="shared" si="49"/>
        <v>5.1610425983647179E-2</v>
      </c>
      <c r="I64" s="8">
        <f t="shared" si="49"/>
        <v>0.13611403452250559</v>
      </c>
      <c r="J64" s="8">
        <f t="shared" si="49"/>
        <v>0.13486126952718847</v>
      </c>
      <c r="K64" s="8">
        <f t="shared" si="49"/>
        <v>-0.15756010883447169</v>
      </c>
      <c r="L64" s="8">
        <f t="shared" si="49"/>
        <v>0.11744389150710211</v>
      </c>
      <c r="M64" s="8">
        <f t="shared" si="49"/>
        <v>2.5363793479735719E-3</v>
      </c>
      <c r="N64" s="8">
        <f t="shared" si="22"/>
        <v>-8.7271935656584088E-2</v>
      </c>
      <c r="O64" s="8">
        <f t="shared" si="22"/>
        <v>0.27376393992135628</v>
      </c>
      <c r="P64" s="8">
        <f t="shared" si="22"/>
        <v>-4.6017439359510859E-2</v>
      </c>
      <c r="Q64" s="8">
        <f t="shared" si="22"/>
        <v>-7.8628796961369929E-2</v>
      </c>
      <c r="R64" s="8">
        <f t="shared" si="22"/>
        <v>3.3215494806660306E-2</v>
      </c>
      <c r="S64" s="8">
        <f t="shared" si="23"/>
        <v>4.2752141229179808E-2</v>
      </c>
      <c r="T64" s="8">
        <f t="shared" si="24"/>
        <v>-2.4635938543754454E-3</v>
      </c>
      <c r="U64" s="8">
        <f t="shared" si="25"/>
        <v>-8.4638709124415956E-2</v>
      </c>
      <c r="V64" s="8">
        <f t="shared" ca="1" si="25"/>
        <v>-5.0829365965787687E-2</v>
      </c>
      <c r="W64" s="8"/>
      <c r="X64" s="8"/>
      <c r="Y64" s="8"/>
      <c r="Z64" s="8"/>
      <c r="AA64" s="14">
        <v>0</v>
      </c>
      <c r="AB64" s="8">
        <v>-5.0829365965787625E-2</v>
      </c>
      <c r="AC64" s="8">
        <f t="shared" ca="1" si="26"/>
        <v>-1.7952692780864244E-2</v>
      </c>
      <c r="AD64" s="8">
        <f t="shared" ca="1" si="28"/>
        <v>5.3639422936236247E-2</v>
      </c>
      <c r="AE64" s="120"/>
      <c r="AH64" s="8"/>
    </row>
    <row r="65" spans="1:34">
      <c r="A65">
        <f t="shared" si="20"/>
        <v>25</v>
      </c>
      <c r="B65" t="str">
        <f t="shared" si="20"/>
        <v>RO</v>
      </c>
      <c r="C65" t="str">
        <f t="shared" si="20"/>
        <v>RO</v>
      </c>
      <c r="D65" s="8"/>
      <c r="E65" s="8">
        <f t="shared" ref="E65:M65" si="50">IFERROR(E30/D30-1,0)</f>
        <v>-5.2328850569326679E-2</v>
      </c>
      <c r="F65" s="8">
        <f t="shared" si="50"/>
        <v>0.30735379556720255</v>
      </c>
      <c r="G65" s="8">
        <f t="shared" si="50"/>
        <v>-0.29246130426149519</v>
      </c>
      <c r="H65" s="8">
        <f t="shared" si="50"/>
        <v>-0.71784043832687416</v>
      </c>
      <c r="I65" s="8">
        <f t="shared" si="50"/>
        <v>0.44344984370559803</v>
      </c>
      <c r="J65" s="8">
        <f t="shared" si="50"/>
        <v>-5.7223480001312499E-2</v>
      </c>
      <c r="K65" s="8">
        <f t="shared" si="50"/>
        <v>-4.5696585807259882E-2</v>
      </c>
      <c r="L65" s="8">
        <f t="shared" si="50"/>
        <v>0.49474835886214419</v>
      </c>
      <c r="M65" s="8">
        <f t="shared" si="50"/>
        <v>0.70511882106085011</v>
      </c>
      <c r="N65" s="8">
        <f t="shared" si="22"/>
        <v>3.0077554875082235E-2</v>
      </c>
      <c r="O65" s="8">
        <f t="shared" si="22"/>
        <v>0.10485080846807815</v>
      </c>
      <c r="P65" s="8">
        <f t="shared" si="22"/>
        <v>0.16830114665057327</v>
      </c>
      <c r="Q65" s="8">
        <f t="shared" si="22"/>
        <v>0.8415768063537159</v>
      </c>
      <c r="R65" s="8">
        <f t="shared" si="22"/>
        <v>-0.10483102797403032</v>
      </c>
      <c r="S65" s="8">
        <f t="shared" si="23"/>
        <v>0.83862544391059135</v>
      </c>
      <c r="T65" s="8">
        <f t="shared" si="24"/>
        <v>0.13399704595807505</v>
      </c>
      <c r="U65" s="8">
        <f t="shared" si="25"/>
        <v>2.2546244692975392E-2</v>
      </c>
      <c r="V65" s="8">
        <f t="shared" ca="1" si="25"/>
        <v>0</v>
      </c>
      <c r="W65" s="8"/>
      <c r="X65" s="8"/>
      <c r="Y65" s="8"/>
      <c r="Z65" s="8"/>
      <c r="AA65" s="14">
        <v>0</v>
      </c>
      <c r="AB65" s="8">
        <v>0</v>
      </c>
      <c r="AC65" s="8">
        <f t="shared" ca="1" si="26"/>
        <v>0.34638290258826548</v>
      </c>
      <c r="AD65" s="8">
        <f t="shared" ca="1" si="28"/>
        <v>0.20496158780611529</v>
      </c>
      <c r="AH65" s="8"/>
    </row>
    <row r="66" spans="1:34">
      <c r="A66">
        <f t="shared" si="20"/>
        <v>26</v>
      </c>
      <c r="B66" t="str">
        <f t="shared" si="20"/>
        <v>SE</v>
      </c>
      <c r="C66" t="str">
        <f t="shared" si="20"/>
        <v>SE</v>
      </c>
      <c r="D66" s="8"/>
      <c r="E66" s="8">
        <f t="shared" ref="E66:M66" si="51">IFERROR(E31/D31-1,0)</f>
        <v>7.5539941349946682E-2</v>
      </c>
      <c r="F66" s="8">
        <f t="shared" si="51"/>
        <v>-0.22774321932256858</v>
      </c>
      <c r="G66" s="8">
        <f t="shared" si="51"/>
        <v>8.4804630246918089E-2</v>
      </c>
      <c r="H66" s="8">
        <f t="shared" si="51"/>
        <v>3.710804882371499E-2</v>
      </c>
      <c r="I66" s="8">
        <f t="shared" si="51"/>
        <v>0.14328103812172222</v>
      </c>
      <c r="J66" s="8">
        <f t="shared" si="51"/>
        <v>-2.0493338742834544E-2</v>
      </c>
      <c r="K66" s="8">
        <f t="shared" si="51"/>
        <v>5.2873048400074563E-2</v>
      </c>
      <c r="L66" s="8">
        <f t="shared" si="51"/>
        <v>7.8136146744091972E-2</v>
      </c>
      <c r="M66" s="8">
        <f t="shared" si="51"/>
        <v>3.436072740477969E-2</v>
      </c>
      <c r="N66" s="8">
        <f t="shared" si="22"/>
        <v>5.2368357534808396E-2</v>
      </c>
      <c r="O66" s="8">
        <f t="shared" si="22"/>
        <v>0.26038240016167258</v>
      </c>
      <c r="P66" s="8">
        <f t="shared" si="22"/>
        <v>4.9724684949740805E-2</v>
      </c>
      <c r="Q66" s="8">
        <f t="shared" si="22"/>
        <v>-6.3757876693231519E-2</v>
      </c>
      <c r="R66" s="8">
        <f t="shared" si="22"/>
        <v>6.1357644877432449E-2</v>
      </c>
      <c r="S66" s="8">
        <f t="shared" si="23"/>
        <v>0.2071453406449959</v>
      </c>
      <c r="T66" s="8">
        <f t="shared" si="24"/>
        <v>-1.6390245085604604E-2</v>
      </c>
      <c r="U66" s="8">
        <f t="shared" si="25"/>
        <v>-1.8233321997014218E-2</v>
      </c>
      <c r="V66" s="8">
        <f t="shared" ca="1" si="25"/>
        <v>1.2198170274458908E-2</v>
      </c>
      <c r="W66" s="8"/>
      <c r="X66" s="8"/>
      <c r="Y66" s="8"/>
      <c r="Z66" s="8"/>
      <c r="AA66" s="14">
        <v>0</v>
      </c>
      <c r="AB66" s="8">
        <v>1.2198170274458832E-2</v>
      </c>
      <c r="AC66" s="8">
        <f t="shared" ca="1" si="26"/>
        <v>3.40243083493156E-2</v>
      </c>
      <c r="AD66" s="8">
        <f t="shared" ca="1" si="28"/>
        <v>0.10730895097679971</v>
      </c>
      <c r="AH66" s="8"/>
    </row>
    <row r="67" spans="1:34">
      <c r="A67">
        <f t="shared" si="20"/>
        <v>27</v>
      </c>
      <c r="B67" t="str">
        <f t="shared" si="20"/>
        <v>SI</v>
      </c>
      <c r="C67" t="str">
        <f t="shared" si="20"/>
        <v>SI</v>
      </c>
      <c r="D67" s="8"/>
      <c r="E67" s="8">
        <f t="shared" ref="E67:M67" si="52">IFERROR(E32/D32-1,0)</f>
        <v>0.22053338306602011</v>
      </c>
      <c r="F67" s="8">
        <f t="shared" si="52"/>
        <v>-0.17885247154098871</v>
      </c>
      <c r="G67" s="8">
        <f t="shared" si="52"/>
        <v>-0.13332713062895418</v>
      </c>
      <c r="H67" s="8">
        <f t="shared" si="52"/>
        <v>0.72818035426731087</v>
      </c>
      <c r="I67" s="8">
        <f t="shared" si="52"/>
        <v>0.15579575102497212</v>
      </c>
      <c r="J67" s="8">
        <f t="shared" si="52"/>
        <v>0.28625174674836051</v>
      </c>
      <c r="K67" s="8">
        <f t="shared" si="52"/>
        <v>-2.2939996657195372E-2</v>
      </c>
      <c r="L67" s="8">
        <f t="shared" si="52"/>
        <v>9.1947141085404027E-2</v>
      </c>
      <c r="M67" s="8">
        <f t="shared" si="52"/>
        <v>0.28715779579367884</v>
      </c>
      <c r="N67" s="8">
        <f t="shared" si="22"/>
        <v>0.14389167807698167</v>
      </c>
      <c r="O67" s="8">
        <f t="shared" si="22"/>
        <v>7.4985370005851815E-2</v>
      </c>
      <c r="P67" s="8">
        <f t="shared" si="22"/>
        <v>0.19013683715636076</v>
      </c>
      <c r="Q67" s="8">
        <f t="shared" si="22"/>
        <v>0.1963947855375594</v>
      </c>
      <c r="R67" s="8">
        <f t="shared" si="22"/>
        <v>7.8028604695618897E-2</v>
      </c>
      <c r="S67" s="8">
        <f t="shared" si="23"/>
        <v>-7.7958505956506996E-2</v>
      </c>
      <c r="T67" s="8">
        <f t="shared" si="24"/>
        <v>-4.3079182474605404E-2</v>
      </c>
      <c r="U67" s="8">
        <f t="shared" si="25"/>
        <v>-1.6680978568687888E-2</v>
      </c>
      <c r="V67" s="8">
        <f t="shared" ca="1" si="25"/>
        <v>0</v>
      </c>
      <c r="W67" s="8"/>
      <c r="X67" s="8"/>
      <c r="Y67" s="8"/>
      <c r="Z67" s="8"/>
      <c r="AA67" s="14">
        <v>0</v>
      </c>
      <c r="AB67" s="8" t="e">
        <v>#VALUE!</v>
      </c>
      <c r="AC67" s="8">
        <f t="shared" ca="1" si="26"/>
        <v>2.7340944646675601E-2</v>
      </c>
      <c r="AD67" s="8">
        <f t="shared" ca="1" si="28"/>
        <v>-2.1898922333705384E-2</v>
      </c>
      <c r="AE67" s="24"/>
      <c r="AH67" s="8"/>
    </row>
    <row r="68" spans="1:34">
      <c r="A68">
        <f t="shared" si="20"/>
        <v>28</v>
      </c>
      <c r="B68" t="str">
        <f t="shared" si="20"/>
        <v>SK</v>
      </c>
      <c r="C68" t="str">
        <f t="shared" si="20"/>
        <v>SK</v>
      </c>
      <c r="D68" s="8"/>
      <c r="E68" s="8">
        <f t="shared" ref="E68:M68" si="53">IFERROR(E33/D33-1,0)</f>
        <v>-0.16271884654994839</v>
      </c>
      <c r="F68" s="8">
        <f t="shared" si="53"/>
        <v>0.23559466363894388</v>
      </c>
      <c r="G68" s="8">
        <f t="shared" si="53"/>
        <v>-4.2537713454322557E-2</v>
      </c>
      <c r="H68" s="8">
        <f t="shared" si="53"/>
        <v>-2.4353181109289523E-2</v>
      </c>
      <c r="I68" s="8">
        <f t="shared" si="53"/>
        <v>-0.27850643495368466</v>
      </c>
      <c r="J68" s="8">
        <f t="shared" si="53"/>
        <v>0.12347327160143129</v>
      </c>
      <c r="K68" s="8">
        <f t="shared" si="53"/>
        <v>0.12016787601446155</v>
      </c>
      <c r="L68" s="8">
        <f t="shared" si="53"/>
        <v>1.8328894506387399</v>
      </c>
      <c r="M68" s="8">
        <f t="shared" si="53"/>
        <v>0.20722787896170947</v>
      </c>
      <c r="N68" s="8">
        <f t="shared" si="22"/>
        <v>0.25819672131147531</v>
      </c>
      <c r="O68" s="8">
        <f t="shared" si="22"/>
        <v>5.412096702282243E-2</v>
      </c>
      <c r="P68" s="8">
        <f t="shared" si="22"/>
        <v>1.9610379916900955E-2</v>
      </c>
      <c r="Q68" s="8">
        <f t="shared" si="22"/>
        <v>-0.10269099001493365</v>
      </c>
      <c r="R68" s="8">
        <f t="shared" si="22"/>
        <v>0.14431862681112118</v>
      </c>
      <c r="S68" s="8">
        <f t="shared" si="23"/>
        <v>0.11613173066411919</v>
      </c>
      <c r="T68" s="8">
        <f t="shared" si="24"/>
        <v>9.1554423782007621E-3</v>
      </c>
      <c r="U68" s="8">
        <f t="shared" si="25"/>
        <v>-4.6361975331563832E-2</v>
      </c>
      <c r="V68" s="8">
        <f t="shared" ca="1" si="25"/>
        <v>5.7704502219404041E-2</v>
      </c>
      <c r="W68" s="8"/>
      <c r="X68" s="8"/>
      <c r="Y68" s="8"/>
      <c r="Z68" s="8"/>
      <c r="AA68" s="14">
        <v>0</v>
      </c>
      <c r="AB68" s="8">
        <v>5.770450221940393E-2</v>
      </c>
      <c r="AC68" s="8">
        <f t="shared" ca="1" si="26"/>
        <v>2.4110566901388731E-2</v>
      </c>
      <c r="AD68" s="8">
        <f t="shared" ca="1" si="28"/>
        <v>0.11360112568365133</v>
      </c>
      <c r="AH68" s="8"/>
    </row>
    <row r="69" spans="1:34">
      <c r="A69">
        <f t="shared" si="20"/>
        <v>29</v>
      </c>
      <c r="B69" t="str">
        <f t="shared" si="20"/>
        <v>UK</v>
      </c>
      <c r="C69" t="str">
        <f t="shared" si="20"/>
        <v>UK</v>
      </c>
      <c r="D69" s="8"/>
      <c r="E69" s="8">
        <f t="shared" ref="E69:M71" si="54">IFERROR(E34/D34-1,0)</f>
        <v>-0.14982613469985351</v>
      </c>
      <c r="F69" s="8">
        <f t="shared" si="54"/>
        <v>6.3884673203669529E-2</v>
      </c>
      <c r="G69" s="8">
        <f t="shared" si="54"/>
        <v>-0.10994782937135561</v>
      </c>
      <c r="H69" s="8">
        <f t="shared" si="54"/>
        <v>3.0950139149643174E-2</v>
      </c>
      <c r="I69" s="8">
        <f t="shared" si="54"/>
        <v>-0.15357249175833276</v>
      </c>
      <c r="J69" s="8">
        <f t="shared" si="54"/>
        <v>0.60352703131038132</v>
      </c>
      <c r="K69" s="8">
        <f t="shared" si="54"/>
        <v>8.0034443215404094E-2</v>
      </c>
      <c r="L69" s="8">
        <f t="shared" si="54"/>
        <v>-0.22282101135610077</v>
      </c>
      <c r="M69" s="8">
        <f t="shared" si="54"/>
        <v>0.37943649068022434</v>
      </c>
      <c r="N69" s="8">
        <f t="shared" si="22"/>
        <v>0.15388465082342151</v>
      </c>
      <c r="O69" s="8">
        <f t="shared" si="22"/>
        <v>0.32967848109475306</v>
      </c>
      <c r="P69" s="8">
        <f t="shared" si="22"/>
        <v>-0.10266296180004075</v>
      </c>
      <c r="Q69" s="8">
        <f t="shared" si="22"/>
        <v>0.10195347699541113</v>
      </c>
      <c r="R69" s="8">
        <f t="shared" si="22"/>
        <v>0.18016266879797271</v>
      </c>
      <c r="S69" s="8">
        <f t="shared" si="23"/>
        <v>-1</v>
      </c>
      <c r="T69" s="8">
        <f t="shared" si="24"/>
        <v>0</v>
      </c>
      <c r="U69" s="8">
        <f t="shared" si="25"/>
        <v>0</v>
      </c>
      <c r="V69" s="8">
        <f t="shared" ca="1" si="25"/>
        <v>0</v>
      </c>
      <c r="W69" s="8"/>
      <c r="X69" s="8"/>
      <c r="Y69" s="8"/>
      <c r="Z69" s="8"/>
      <c r="AA69" s="14">
        <v>0</v>
      </c>
      <c r="AB69" s="8">
        <v>0</v>
      </c>
      <c r="AC69" s="8">
        <f t="shared" ca="1" si="26"/>
        <v>-0.14357677084132323</v>
      </c>
      <c r="AD69" s="8" t="e">
        <f t="shared" ca="1" si="28"/>
        <v>#DIV/0!</v>
      </c>
      <c r="AH69" s="8"/>
    </row>
    <row r="70" spans="1:34">
      <c r="B70" s="40" t="s">
        <v>189</v>
      </c>
      <c r="C70" s="40" t="s">
        <v>189</v>
      </c>
      <c r="D70" s="41"/>
      <c r="E70" s="49">
        <f t="shared" si="54"/>
        <v>8.0340549141484807E-2</v>
      </c>
      <c r="F70" s="49">
        <f t="shared" ref="F70:F71" si="55">IFERROR(F35/E35-1,0)</f>
        <v>6.0313826118759239E-2</v>
      </c>
      <c r="G70" s="49">
        <f t="shared" ref="G70:G71" si="56">IFERROR(G35/F35-1,0)</f>
        <v>7.2177859188870874E-2</v>
      </c>
      <c r="H70" s="49">
        <f t="shared" ref="H70:H71" si="57">IFERROR(H35/G35-1,0)</f>
        <v>9.5852810968563684E-2</v>
      </c>
      <c r="I70" s="49">
        <f t="shared" ref="I70:I71" si="58">IFERROR(I35/H35-1,0)</f>
        <v>5.5517272225557912E-2</v>
      </c>
      <c r="J70" s="49">
        <f t="shared" ref="J70:J71" si="59">IFERROR(J35/I35-1,0)</f>
        <v>8.477457642517594E-2</v>
      </c>
      <c r="K70" s="49">
        <f t="shared" ref="K70:K71" si="60">IFERROR(K35/J35-1,0)</f>
        <v>1.4719216542051106E-2</v>
      </c>
      <c r="L70" s="49">
        <f t="shared" ref="L70:L71" si="61">IFERROR(L35/K35-1,0)</f>
        <v>2.4699408306126713E-2</v>
      </c>
      <c r="M70" s="49">
        <f t="shared" ref="M70:M71" si="62">IFERROR(M35/L35-1,0)</f>
        <v>6.3154532512537553E-2</v>
      </c>
      <c r="N70" s="49">
        <f t="shared" ref="N70:N71" si="63">IFERROR(N35/M35-1,0)</f>
        <v>2.8525674739344531E-2</v>
      </c>
      <c r="O70" s="49">
        <f t="shared" ref="O70:O71" si="64">IFERROR(O35/N35-1,0)</f>
        <v>9.650523816116463E-2</v>
      </c>
      <c r="P70" s="49">
        <f t="shared" ref="P70:P71" si="65">IFERROR(P35/O35-1,0)</f>
        <v>-4.805819532464839E-3</v>
      </c>
      <c r="Q70" s="49">
        <f t="shared" ref="Q70:R71" si="66">IFERROR(Q35/P35-1,0)</f>
        <v>1.2613235662852773E-2</v>
      </c>
      <c r="R70" s="49">
        <f t="shared" si="66"/>
        <v>3.2584212375613708E-2</v>
      </c>
      <c r="S70" s="49">
        <f t="shared" si="23"/>
        <v>-8.5132109732856009E-2</v>
      </c>
      <c r="T70" s="49">
        <f t="shared" si="24"/>
        <v>1.2808052493218591E-2</v>
      </c>
      <c r="U70" s="49">
        <f t="shared" si="25"/>
        <v>-1.975423865986059E-2</v>
      </c>
      <c r="V70" s="49">
        <f t="shared" ca="1" si="25"/>
        <v>-4.1742391934276313E-3</v>
      </c>
    </row>
    <row r="71" spans="1:34">
      <c r="B71" s="40" t="s">
        <v>190</v>
      </c>
      <c r="C71" s="40" t="s">
        <v>190</v>
      </c>
      <c r="D71" s="41"/>
      <c r="E71" s="49">
        <f t="shared" si="54"/>
        <v>0.10134462192981308</v>
      </c>
      <c r="F71" s="49">
        <f t="shared" si="55"/>
        <v>6.0062280462758855E-2</v>
      </c>
      <c r="G71" s="49">
        <f t="shared" si="56"/>
        <v>8.5053828904087192E-2</v>
      </c>
      <c r="H71" s="49">
        <f t="shared" si="57"/>
        <v>9.9616688597746528E-2</v>
      </c>
      <c r="I71" s="49">
        <f t="shared" si="58"/>
        <v>6.6885742518266733E-2</v>
      </c>
      <c r="J71" s="49">
        <f t="shared" si="59"/>
        <v>6.2397606326938471E-2</v>
      </c>
      <c r="K71" s="49">
        <f t="shared" si="60"/>
        <v>1.0466712286660629E-2</v>
      </c>
      <c r="L71" s="49">
        <f t="shared" si="61"/>
        <v>4.192431768497018E-2</v>
      </c>
      <c r="M71" s="49">
        <f t="shared" si="62"/>
        <v>4.6737101178975227E-2</v>
      </c>
      <c r="N71" s="49">
        <f t="shared" si="63"/>
        <v>1.9950355075670556E-2</v>
      </c>
      <c r="O71" s="49">
        <f t="shared" si="64"/>
        <v>7.8460235196098349E-2</v>
      </c>
      <c r="P71" s="49">
        <f t="shared" si="65"/>
        <v>4.5313077193811502E-3</v>
      </c>
      <c r="Q71" s="49">
        <f t="shared" si="66"/>
        <v>4.9984096068145245E-3</v>
      </c>
      <c r="R71" s="49">
        <f t="shared" si="66"/>
        <v>1.8792007026024127E-2</v>
      </c>
      <c r="S71" s="49">
        <f t="shared" si="23"/>
        <v>1.391127645327539E-2</v>
      </c>
      <c r="T71" s="49">
        <f t="shared" si="24"/>
        <v>1.2808052493218591E-2</v>
      </c>
      <c r="U71" s="49">
        <f t="shared" si="25"/>
        <v>-1.975423865986059E-2</v>
      </c>
      <c r="V71" s="49">
        <f t="shared" ca="1" si="25"/>
        <v>-4.1742391934276313E-3</v>
      </c>
    </row>
  </sheetData>
  <conditionalFormatting sqref="AH7:AH34">
    <cfRule type="cellIs" dxfId="9" priority="7" operator="greaterThan">
      <formula>$AH$5</formula>
    </cfRule>
  </conditionalFormatting>
  <conditionalFormatting sqref="AI7:AI34">
    <cfRule type="cellIs" dxfId="8" priority="1" operator="lessThan">
      <formula>$AI$5</formula>
    </cfRule>
  </conditionalFormatting>
  <pageMargins left="0.7" right="0.7" top="0.78740157499999996" bottom="0.78740157499999996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AN95"/>
  <sheetViews>
    <sheetView zoomScale="90" zoomScaleNormal="90" workbookViewId="0">
      <pane xSplit="3" ySplit="6" topLeftCell="D7" activePane="bottomRight" state="frozen"/>
      <selection pane="topRight" activeCell="AI47" sqref="AI47"/>
      <selection pane="bottomLeft" activeCell="AI47" sqref="AI47"/>
      <selection pane="bottomRight" activeCell="V6" sqref="V6:V36"/>
    </sheetView>
  </sheetViews>
  <sheetFormatPr baseColWidth="10" defaultColWidth="11.5" defaultRowHeight="13"/>
  <cols>
    <col min="1" max="1" width="13.5" customWidth="1"/>
    <col min="3" max="3" width="13.6640625" customWidth="1"/>
    <col min="23" max="23" width="15.83203125" customWidth="1"/>
    <col min="24" max="24" width="15.1640625" customWidth="1"/>
  </cols>
  <sheetData>
    <row r="1" spans="1:40">
      <c r="A1" t="s">
        <v>56</v>
      </c>
    </row>
    <row r="3" spans="1:40">
      <c r="AI3" t="s">
        <v>216</v>
      </c>
      <c r="AJ3" t="s">
        <v>193</v>
      </c>
    </row>
    <row r="4" spans="1:40" ht="14">
      <c r="AA4">
        <v>1</v>
      </c>
      <c r="AB4">
        <v>2</v>
      </c>
      <c r="AC4">
        <v>3</v>
      </c>
      <c r="AD4">
        <v>4</v>
      </c>
      <c r="AE4">
        <v>5</v>
      </c>
      <c r="AJ4" s="10">
        <v>5</v>
      </c>
      <c r="AK4" s="10">
        <v>3</v>
      </c>
    </row>
    <row r="5" spans="1:40">
      <c r="D5" t="s">
        <v>173</v>
      </c>
      <c r="AA5" t="s">
        <v>196</v>
      </c>
      <c r="AB5" t="s">
        <v>197</v>
      </c>
      <c r="AC5" t="s">
        <v>199</v>
      </c>
      <c r="AD5" t="s">
        <v>217</v>
      </c>
      <c r="AE5" t="s">
        <v>200</v>
      </c>
      <c r="AF5" t="s">
        <v>201</v>
      </c>
      <c r="AH5" s="37" t="s">
        <v>218</v>
      </c>
      <c r="AI5">
        <v>10</v>
      </c>
      <c r="AJ5" s="21">
        <v>0.9</v>
      </c>
      <c r="AK5" s="21">
        <v>0.9</v>
      </c>
      <c r="AN5" t="s">
        <v>204</v>
      </c>
    </row>
    <row r="6" spans="1:40">
      <c r="A6" t="s">
        <v>212</v>
      </c>
      <c r="B6" t="s">
        <v>175</v>
      </c>
      <c r="C6" t="s">
        <v>176</v>
      </c>
      <c r="D6" s="1">
        <f>'PEC Total'!D6</f>
        <v>2005</v>
      </c>
      <c r="E6" s="1">
        <f>'PEC Total'!E6</f>
        <v>2006</v>
      </c>
      <c r="F6" s="1">
        <f>'PEC Total'!F6</f>
        <v>2007</v>
      </c>
      <c r="G6" s="1">
        <f>'PEC Total'!G6</f>
        <v>2008</v>
      </c>
      <c r="H6" s="1">
        <f>'PEC Total'!H6</f>
        <v>2009</v>
      </c>
      <c r="I6" s="1">
        <f>'PEC Total'!I6</f>
        <v>2010</v>
      </c>
      <c r="J6" s="1">
        <f>'PEC Total'!J6</f>
        <v>2011</v>
      </c>
      <c r="K6" s="1">
        <f>'PEC Total'!K6</f>
        <v>2012</v>
      </c>
      <c r="L6" s="1">
        <f>'PEC Total'!L6</f>
        <v>2013</v>
      </c>
      <c r="M6" s="1">
        <f>'PEC Total'!M6</f>
        <v>2014</v>
      </c>
      <c r="N6" s="1">
        <f>'PEC Total'!N6</f>
        <v>2015</v>
      </c>
      <c r="O6" s="1">
        <f>'PEC Total'!O6</f>
        <v>2016</v>
      </c>
      <c r="P6" s="1">
        <f>'PEC Total'!P6</f>
        <v>2017</v>
      </c>
      <c r="Q6" s="1">
        <f>'PEC Total'!Q6</f>
        <v>2018</v>
      </c>
      <c r="R6" s="1">
        <f>'PEC Total'!R6</f>
        <v>2019</v>
      </c>
      <c r="S6" s="1">
        <f>'PEC Total'!S6</f>
        <v>2020</v>
      </c>
      <c r="T6" s="1">
        <f>'PEC Total'!T6</f>
        <v>2021</v>
      </c>
      <c r="U6" s="1">
        <v>2022</v>
      </c>
      <c r="V6" s="2">
        <f>YearProxy</f>
        <v>2023</v>
      </c>
      <c r="W6" s="21" t="s">
        <v>205</v>
      </c>
      <c r="Y6" s="1"/>
      <c r="Z6" s="1"/>
      <c r="AA6" s="2">
        <f>YearProxy</f>
        <v>2023</v>
      </c>
      <c r="AB6" s="2">
        <f>AA6</f>
        <v>2023</v>
      </c>
      <c r="AC6" s="2">
        <f>AB6</f>
        <v>2023</v>
      </c>
      <c r="AD6" s="2">
        <f>AC6</f>
        <v>2023</v>
      </c>
      <c r="AE6" s="2">
        <f>AA6</f>
        <v>2023</v>
      </c>
      <c r="AF6" s="6"/>
      <c r="AI6" s="1">
        <f>YearProxy-1</f>
        <v>2022</v>
      </c>
      <c r="AJ6" s="6" t="s">
        <v>211</v>
      </c>
      <c r="AK6" s="6" t="s">
        <v>211</v>
      </c>
    </row>
    <row r="7" spans="1:40">
      <c r="A7">
        <v>2</v>
      </c>
      <c r="B7" t="s">
        <v>106</v>
      </c>
      <c r="C7" t="s">
        <v>106</v>
      </c>
      <c r="D7" s="3">
        <v>225.57300000000001</v>
      </c>
      <c r="E7" s="3">
        <v>545.52200000000005</v>
      </c>
      <c r="F7" s="3">
        <v>517.31700000000001</v>
      </c>
      <c r="G7" s="3">
        <v>418.03399999999999</v>
      </c>
      <c r="H7" s="3">
        <v>67.084000000000003</v>
      </c>
      <c r="I7" s="3">
        <v>209.512</v>
      </c>
      <c r="J7" s="3">
        <v>705.01800000000003</v>
      </c>
      <c r="K7" s="3">
        <v>241.012</v>
      </c>
      <c r="L7" s="3">
        <v>625.14700000000005</v>
      </c>
      <c r="M7" s="3">
        <v>797.48299999999995</v>
      </c>
      <c r="N7" s="3">
        <v>865.13499999999999</v>
      </c>
      <c r="O7" s="3">
        <v>615.58699999999999</v>
      </c>
      <c r="P7" s="3">
        <v>562.84699999999998</v>
      </c>
      <c r="Q7" s="3">
        <v>769.28700000000003</v>
      </c>
      <c r="R7" s="3">
        <v>269.01</v>
      </c>
      <c r="S7" s="3">
        <v>188.80600000000001</v>
      </c>
      <c r="T7" s="3">
        <v>648.59500000000003</v>
      </c>
      <c r="U7" s="3">
        <v>748.48099999999999</v>
      </c>
      <c r="V7" s="3">
        <f ca="1">INDEX($AA7:$AH7,1,W7)</f>
        <v>748.48099999999999</v>
      </c>
      <c r="W7" s="16">
        <f ca="1">IF(ISNUMBER(AE7),5,IF(ISNUMBER(AF7),AF7,IF(ABS(AI7-OFFSET(A7,0,ColYearProxy,1,1))&lt;$AI$5,2,IF(AJ7&gt;$AJ$5,3,IF(AK7&gt;$AK$5,4,1)))))</f>
        <v>1</v>
      </c>
      <c r="X7" t="str">
        <f ca="1">INDEX($AA$5:$AI$5,W7)</f>
        <v>No Change</v>
      </c>
      <c r="Y7" s="16"/>
      <c r="Z7" s="3"/>
      <c r="AA7">
        <f t="shared" ref="AA7:AA34" ca="1" si="0">OFFSET($A7,0,OffsetLast)</f>
        <v>748.48099999999999</v>
      </c>
      <c r="AB7" s="3">
        <f ca="1">IFERROR($AA7*(1+AB42),0)</f>
        <v>6915.3313028055481</v>
      </c>
      <c r="AC7" s="3">
        <f ca="1">FORECAST(AC$6,OFFSET($A7,0,OffsetLast-AJ$4+1,1,AJ$4),OFFSET($A$6,0,OffsetLast-AJ$4+1,1,AJ$4))</f>
        <v>626.2277000000031</v>
      </c>
      <c r="AD7" s="3">
        <f ca="1">FORECAST(AD$6,OFFSET($A7,0,OffsetLast-AK$4+1,1,AK$4),OFFSET($A$6,0,OffsetLast-AK$4+1,1,AK$4))</f>
        <v>1088.3023333334131</v>
      </c>
      <c r="AE7" s="3" t="str">
        <f t="shared" ref="AE7:AE33" si="1">IF(ISNUMBER(AE42),$AA7*(1+AE42),"")</f>
        <v/>
      </c>
      <c r="AI7" s="3">
        <f t="shared" ref="AI7:AI34" si="2">T7-S7</f>
        <v>459.78899999999999</v>
      </c>
      <c r="AJ7" s="7">
        <f ca="1">IFERROR(RSQ(OFFSET($A7,0,ColYearProxy-AJ$4+1,1,AJ$4),OFFSET($A$6,0,ColYearProxy-AJ$4+1,1,AJ$4)),0)</f>
        <v>3.7642018714141322E-2</v>
      </c>
      <c r="AK7" s="7">
        <f t="shared" ref="AJ7:AK34" ca="1" si="3">IFERROR(RSQ(OFFSET($A7,0,ColYearProxy-AK$4+1,1,AK$4),OFFSET($A$6,0,ColYearProxy-AK$4+1,1,AK$4)),0)</f>
        <v>0.87885755042435354</v>
      </c>
      <c r="AN7" s="7" t="str">
        <f>IFERROR(INDEX('MS Stats list'!P:P, MATCH(B7,'MS Stats list'!B:B,0)),"")</f>
        <v>Statistics Austria - Preliminary energy balance 2022</v>
      </c>
    </row>
    <row r="8" spans="1:40">
      <c r="A8">
        <v>3</v>
      </c>
      <c r="B8" t="s">
        <v>177</v>
      </c>
      <c r="C8" t="s">
        <v>177</v>
      </c>
      <c r="D8" s="3">
        <v>542.04600000000005</v>
      </c>
      <c r="E8" s="3">
        <v>873.34500000000003</v>
      </c>
      <c r="F8" s="3">
        <v>582.88900000000001</v>
      </c>
      <c r="G8" s="3">
        <v>911.178</v>
      </c>
      <c r="H8" s="3">
        <v>-157.78200000000001</v>
      </c>
      <c r="I8" s="3">
        <v>47.377000000000002</v>
      </c>
      <c r="J8" s="3">
        <v>218.143</v>
      </c>
      <c r="K8" s="3">
        <v>854.34199999999998</v>
      </c>
      <c r="L8" s="3">
        <v>828.89099999999996</v>
      </c>
      <c r="M8" s="3">
        <v>1513.586</v>
      </c>
      <c r="N8" s="3">
        <v>1805.5889999999999</v>
      </c>
      <c r="O8" s="3">
        <v>531.64200000000005</v>
      </c>
      <c r="P8" s="3">
        <v>517.76400000000001</v>
      </c>
      <c r="Q8" s="3">
        <v>1489.8969999999999</v>
      </c>
      <c r="R8" s="3">
        <v>-159.46700000000001</v>
      </c>
      <c r="S8" s="3">
        <v>-28.623999999999999</v>
      </c>
      <c r="T8" s="3">
        <v>-677.25699999999995</v>
      </c>
      <c r="U8" s="3">
        <v>-647.24800000000005</v>
      </c>
      <c r="V8" s="3">
        <f t="shared" ref="V8:V34" ca="1" si="4">INDEX($AA8:$AH8,1,W8)</f>
        <v>-838.63077639799837</v>
      </c>
      <c r="W8" s="16">
        <f t="shared" ref="W8:W34" ca="1" si="5">IF(ISNUMBER(AE8),5,IF(ISNUMBER(AF8),AF8,IF(ABS(AI8-OFFSET(A8,0,ColYearProxy,1,1))&lt;$AI$5,2,IF(AJ8&gt;$AJ$5,3,IF(AK8&gt;$AK$5,4,1)))))</f>
        <v>2</v>
      </c>
      <c r="X8" t="str">
        <f t="shared" ref="X8:X34" ca="1" si="6">INDEX($AA$5:$AI$5,W8)</f>
        <v>Eurostat</v>
      </c>
      <c r="Y8" s="16"/>
      <c r="Z8" s="3"/>
      <c r="AA8">
        <f t="shared" ca="1" si="0"/>
        <v>-647.24800000000005</v>
      </c>
      <c r="AB8" s="3">
        <f t="shared" ref="AB8:AB34" ca="1" si="7">IFERROR($AA8*(1+AB43),0)</f>
        <v>-838.63077639799837</v>
      </c>
      <c r="AC8" s="3">
        <f t="shared" ref="AC8:AC34" ca="1" si="8">FORECAST(AC$6,OFFSET($A8,0,OffsetLast-$AJ$4+1,1,$AJ$4),OFFSET($A$6,0,OffsetLast-$AJ$4+1,1,$AJ$4))</f>
        <v>-1442.1638000000967</v>
      </c>
      <c r="AD8" s="3">
        <f t="shared" ref="AD8:AD34" ca="1" si="9">FORECAST(AD$6,OFFSET($A8,0,OffsetLast-AK$4+1,1,AK$4),OFFSET($A$6,0,OffsetLast-AK$4+1,1,AK$4))</f>
        <v>-1069.6669999998994</v>
      </c>
      <c r="AE8" s="3" t="str">
        <f t="shared" si="1"/>
        <v/>
      </c>
      <c r="AI8" s="3">
        <f t="shared" si="2"/>
        <v>-648.63299999999992</v>
      </c>
      <c r="AJ8" s="7">
        <f t="shared" ca="1" si="3"/>
        <v>0.73519103017596921</v>
      </c>
      <c r="AK8" s="7">
        <f t="shared" ca="1" si="3"/>
        <v>0.71369951434860157</v>
      </c>
      <c r="AN8" s="7" t="str">
        <f>IFERROR(INDEX('MS Stats list'!P:P, MATCH(B8,'MS Stats list'!B:B,0)),"")</f>
        <v/>
      </c>
    </row>
    <row r="9" spans="1:40">
      <c r="A9">
        <v>4</v>
      </c>
      <c r="B9" t="s">
        <v>178</v>
      </c>
      <c r="C9" t="s">
        <v>178</v>
      </c>
      <c r="D9" s="3">
        <v>-651.84900000000005</v>
      </c>
      <c r="E9" s="3">
        <v>-665.77800000000002</v>
      </c>
      <c r="F9" s="3">
        <v>-384.78100000000001</v>
      </c>
      <c r="G9" s="3">
        <v>-459.50099999999998</v>
      </c>
      <c r="H9" s="3">
        <v>-436.19900000000001</v>
      </c>
      <c r="I9" s="3">
        <v>-726.22500000000002</v>
      </c>
      <c r="J9" s="3">
        <v>-916.68100000000004</v>
      </c>
      <c r="K9" s="3">
        <v>-714.35900000000004</v>
      </c>
      <c r="L9" s="3">
        <v>-531.47</v>
      </c>
      <c r="M9" s="3">
        <v>-812.98400000000004</v>
      </c>
      <c r="N9" s="3">
        <v>-909.28599999999994</v>
      </c>
      <c r="O9" s="3">
        <v>-547.89300000000003</v>
      </c>
      <c r="P9" s="3">
        <v>-471.22699999999998</v>
      </c>
      <c r="Q9" s="3">
        <v>-671.30899999999997</v>
      </c>
      <c r="R9" s="3">
        <v>-499.58600000000001</v>
      </c>
      <c r="S9" s="3">
        <v>-293.04399999999998</v>
      </c>
      <c r="T9" s="3">
        <v>-754.79899999999998</v>
      </c>
      <c r="U9" s="3">
        <v>-1048.549</v>
      </c>
      <c r="V9" s="3">
        <f t="shared" ca="1" si="4"/>
        <v>-1454.3023333332967</v>
      </c>
      <c r="W9" s="16">
        <f t="shared" ca="1" si="5"/>
        <v>4</v>
      </c>
      <c r="X9" t="str">
        <f t="shared" ca="1" si="6"/>
        <v>3yr lin trend</v>
      </c>
      <c r="Y9" s="16"/>
      <c r="Z9" s="3"/>
      <c r="AA9">
        <f t="shared" ca="1" si="0"/>
        <v>-1048.549</v>
      </c>
      <c r="AB9" s="3">
        <f t="shared" ca="1" si="7"/>
        <v>98.990817409269738</v>
      </c>
      <c r="AC9" s="3">
        <f t="shared" ca="1" si="8"/>
        <v>-956.36530000000494</v>
      </c>
      <c r="AD9" s="3">
        <f t="shared" ca="1" si="9"/>
        <v>-1454.3023333332967</v>
      </c>
      <c r="AE9" s="3" t="str">
        <f t="shared" si="1"/>
        <v/>
      </c>
      <c r="AI9" s="3">
        <f t="shared" si="2"/>
        <v>-461.755</v>
      </c>
      <c r="AJ9" s="7">
        <f t="shared" ca="1" si="3"/>
        <v>0.31832844737993676</v>
      </c>
      <c r="AK9" s="7">
        <f t="shared" ca="1" si="3"/>
        <v>0.98378383496457666</v>
      </c>
      <c r="AN9" s="7" t="str">
        <f>IFERROR(INDEX('MS Stats list'!P:P, MATCH(B9,'MS Stats list'!B:B,0)),"")</f>
        <v/>
      </c>
    </row>
    <row r="10" spans="1:40">
      <c r="A10">
        <v>5</v>
      </c>
      <c r="B10" t="s">
        <v>179</v>
      </c>
      <c r="C10" t="s">
        <v>179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f t="shared" ca="1" si="4"/>
        <v>0</v>
      </c>
      <c r="W10" s="16">
        <f t="shared" ca="1" si="5"/>
        <v>2</v>
      </c>
      <c r="X10" t="str">
        <f t="shared" ca="1" si="6"/>
        <v>Eurostat</v>
      </c>
      <c r="Y10" s="16"/>
      <c r="Z10" s="3"/>
      <c r="AA10">
        <f t="shared" ca="1" si="0"/>
        <v>0</v>
      </c>
      <c r="AB10" s="3">
        <f t="shared" ca="1" si="7"/>
        <v>0</v>
      </c>
      <c r="AC10" s="3">
        <f t="shared" ca="1" si="8"/>
        <v>0</v>
      </c>
      <c r="AD10" s="3">
        <f t="shared" ca="1" si="9"/>
        <v>0</v>
      </c>
      <c r="AE10" s="3" t="str">
        <f t="shared" si="1"/>
        <v/>
      </c>
      <c r="AI10" s="3">
        <f t="shared" si="2"/>
        <v>0</v>
      </c>
      <c r="AJ10" s="7">
        <f t="shared" ca="1" si="3"/>
        <v>0</v>
      </c>
      <c r="AK10" s="7">
        <f t="shared" ca="1" si="3"/>
        <v>0</v>
      </c>
      <c r="AN10" s="7" t="str">
        <f>IFERROR(INDEX('MS Stats list'!P:P, MATCH(B10,'MS Stats list'!B:B,0)),"")</f>
        <v/>
      </c>
    </row>
    <row r="11" spans="1:40">
      <c r="A11">
        <v>6</v>
      </c>
      <c r="B11" t="s">
        <v>180</v>
      </c>
      <c r="C11" t="s">
        <v>180</v>
      </c>
      <c r="D11" s="3">
        <v>-1086.328</v>
      </c>
      <c r="E11" s="3">
        <v>-1086.0709999999999</v>
      </c>
      <c r="F11" s="3">
        <v>-1388.9079999999999</v>
      </c>
      <c r="G11" s="3">
        <v>-986.15599999999995</v>
      </c>
      <c r="H11" s="3">
        <v>-1173.173</v>
      </c>
      <c r="I11" s="3">
        <v>-1285.297</v>
      </c>
      <c r="J11" s="3">
        <v>-1465.52</v>
      </c>
      <c r="K11" s="3">
        <v>-1472.0550000000001</v>
      </c>
      <c r="L11" s="3">
        <v>-1452.021</v>
      </c>
      <c r="M11" s="3">
        <v>-1401.548</v>
      </c>
      <c r="N11" s="3">
        <v>-1076.096</v>
      </c>
      <c r="O11" s="3">
        <v>-943.59400000000005</v>
      </c>
      <c r="P11" s="3">
        <v>-1120.9749999999999</v>
      </c>
      <c r="Q11" s="3">
        <v>-1195.7950000000001</v>
      </c>
      <c r="R11" s="3">
        <v>-1126.105</v>
      </c>
      <c r="S11" s="3">
        <v>-872.98900000000003</v>
      </c>
      <c r="T11" s="3">
        <v>-952.30100000000004</v>
      </c>
      <c r="U11" s="3">
        <v>-1163.271</v>
      </c>
      <c r="V11" s="3">
        <f t="shared" ca="1" si="4"/>
        <v>-1286.4689999999246</v>
      </c>
      <c r="W11" s="16">
        <f t="shared" ca="1" si="5"/>
        <v>4</v>
      </c>
      <c r="X11" t="str">
        <f t="shared" ca="1" si="6"/>
        <v>3yr lin trend</v>
      </c>
      <c r="Y11" s="16"/>
      <c r="Z11" s="3"/>
      <c r="AA11">
        <f t="shared" ca="1" si="0"/>
        <v>-1163.271</v>
      </c>
      <c r="AB11" s="3">
        <f t="shared" ca="1" si="7"/>
        <v>-81.97781142405023</v>
      </c>
      <c r="AC11" s="3">
        <f t="shared" ca="1" si="8"/>
        <v>-990.43659999999363</v>
      </c>
      <c r="AD11" s="3">
        <f t="shared" ca="1" si="9"/>
        <v>-1286.4689999999246</v>
      </c>
      <c r="AE11" s="3" t="str">
        <f t="shared" si="1"/>
        <v/>
      </c>
      <c r="AI11" s="3">
        <f t="shared" si="2"/>
        <v>-79.312000000000012</v>
      </c>
      <c r="AJ11" s="7">
        <f t="shared" ca="1" si="3"/>
        <v>7.1290253084909549E-2</v>
      </c>
      <c r="AK11" s="7">
        <f t="shared" ca="1" si="3"/>
        <v>0.93583028166758442</v>
      </c>
      <c r="AN11" s="7" t="str">
        <f>IFERROR(INDEX('MS Stats list'!P:P, MATCH(B11,'MS Stats list'!B:B,0)),"")</f>
        <v/>
      </c>
    </row>
    <row r="12" spans="1:40">
      <c r="A12">
        <v>7</v>
      </c>
      <c r="B12" t="s">
        <v>91</v>
      </c>
      <c r="C12" t="s">
        <v>91</v>
      </c>
      <c r="D12" s="3">
        <v>-392.60500000000002</v>
      </c>
      <c r="E12" s="3">
        <v>-1459.759</v>
      </c>
      <c r="F12" s="3">
        <v>-1423.4739999999999</v>
      </c>
      <c r="G12" s="3">
        <v>-1728.289</v>
      </c>
      <c r="H12" s="3">
        <v>-1055.288</v>
      </c>
      <c r="I12" s="3">
        <v>-1285.8989999999999</v>
      </c>
      <c r="J12" s="3">
        <v>-323.73200000000003</v>
      </c>
      <c r="K12" s="3">
        <v>-1766.2940000000001</v>
      </c>
      <c r="L12" s="3">
        <v>-2768.1</v>
      </c>
      <c r="M12" s="3">
        <v>-2913.5859999999998</v>
      </c>
      <c r="N12" s="3">
        <v>-4151.5050000000001</v>
      </c>
      <c r="O12" s="3">
        <v>-4344.3680000000004</v>
      </c>
      <c r="P12" s="3">
        <v>-4510.6620000000003</v>
      </c>
      <c r="Q12" s="3">
        <v>-4190.5420000000004</v>
      </c>
      <c r="R12" s="3">
        <v>-2808.8560000000002</v>
      </c>
      <c r="S12" s="3">
        <v>-1636.1990000000001</v>
      </c>
      <c r="T12" s="3">
        <v>-1597.163</v>
      </c>
      <c r="U12" s="3">
        <v>-2343.5940000000001</v>
      </c>
      <c r="V12" s="3">
        <f t="shared" ca="1" si="4"/>
        <v>1004.3974285714287</v>
      </c>
      <c r="W12" s="16">
        <f t="shared" ca="1" si="5"/>
        <v>5</v>
      </c>
      <c r="X12" t="str">
        <f t="shared" ca="1" si="6"/>
        <v>Based on MS Stats</v>
      </c>
      <c r="Y12" s="16"/>
      <c r="Z12" s="3"/>
      <c r="AA12">
        <f t="shared" ca="1" si="0"/>
        <v>-2343.5940000000001</v>
      </c>
      <c r="AB12" s="3">
        <f t="shared" ca="1" si="7"/>
        <v>383.49898331216906</v>
      </c>
      <c r="AC12" s="3">
        <f t="shared" ca="1" si="8"/>
        <v>-1043.5941000001039</v>
      </c>
      <c r="AD12" s="3">
        <f t="shared" ca="1" si="9"/>
        <v>-2566.3803333333926</v>
      </c>
      <c r="AE12" s="3">
        <f t="shared" ca="1" si="1"/>
        <v>1004.3974285714287</v>
      </c>
      <c r="AG12" s="25"/>
      <c r="AI12" s="3">
        <f t="shared" si="2"/>
        <v>39.036000000000058</v>
      </c>
      <c r="AJ12" s="7">
        <f t="shared" ca="1" si="3"/>
        <v>0.53030845424593898</v>
      </c>
      <c r="AK12" s="7">
        <f t="shared" ca="1" si="3"/>
        <v>0.70873203361263271</v>
      </c>
      <c r="AN12" s="7" t="str">
        <f>IFERROR(INDEX('MS Stats list'!P:P, MATCH(B12,'MS Stats list'!B:B,0)),"")</f>
        <v>BMWi - Gesamtausgabe der Energiedaten - Datensammlung des BMWi, AGEB - Primärenergieverbrauch Jahr 2021</v>
      </c>
    </row>
    <row r="13" spans="1:40">
      <c r="A13">
        <v>8</v>
      </c>
      <c r="B13" t="s">
        <v>115</v>
      </c>
      <c r="C13" t="s">
        <v>115</v>
      </c>
      <c r="D13" s="3">
        <v>117.71299999999999</v>
      </c>
      <c r="E13" s="3">
        <v>-596.303</v>
      </c>
      <c r="F13" s="3">
        <v>-81.685000000000002</v>
      </c>
      <c r="G13" s="3">
        <v>125.107</v>
      </c>
      <c r="H13" s="3">
        <v>28.719000000000001</v>
      </c>
      <c r="I13" s="3">
        <v>-97.591999999999999</v>
      </c>
      <c r="J13" s="3">
        <v>113.5</v>
      </c>
      <c r="K13" s="3">
        <v>448.32299999999998</v>
      </c>
      <c r="L13" s="3">
        <v>93.034999999999997</v>
      </c>
      <c r="M13" s="3">
        <v>245.48599999999999</v>
      </c>
      <c r="N13" s="3">
        <v>508.303</v>
      </c>
      <c r="O13" s="3">
        <v>434.83199999999999</v>
      </c>
      <c r="P13" s="3">
        <v>392.32299999999998</v>
      </c>
      <c r="Q13" s="3">
        <v>449.21300000000002</v>
      </c>
      <c r="R13" s="3">
        <v>499.64400000000001</v>
      </c>
      <c r="S13" s="3">
        <v>591.79499999999996</v>
      </c>
      <c r="T13" s="3">
        <v>418.64499999999998</v>
      </c>
      <c r="U13" s="3">
        <v>117.17</v>
      </c>
      <c r="V13" s="3">
        <f t="shared" ca="1" si="4"/>
        <v>269.32146525371917</v>
      </c>
      <c r="W13" s="16">
        <f t="shared" ca="1" si="5"/>
        <v>5</v>
      </c>
      <c r="X13" t="str">
        <f t="shared" ca="1" si="6"/>
        <v>Based on MS Stats</v>
      </c>
      <c r="Y13" s="16"/>
      <c r="Z13" s="3"/>
      <c r="AA13">
        <f t="shared" ca="1" si="0"/>
        <v>117.17</v>
      </c>
      <c r="AB13" s="3">
        <f t="shared" ca="1" si="7"/>
        <v>-9.1860196427750811</v>
      </c>
      <c r="AC13" s="3">
        <f t="shared" ca="1" si="8"/>
        <v>191.76789999997709</v>
      </c>
      <c r="AD13" s="3">
        <f t="shared" ca="1" si="9"/>
        <v>-98.755000000004657</v>
      </c>
      <c r="AE13" s="3">
        <f t="shared" ca="1" si="1"/>
        <v>269.32146525371917</v>
      </c>
      <c r="AG13" s="25"/>
      <c r="AI13" s="3">
        <f t="shared" si="2"/>
        <v>-173.14999999999998</v>
      </c>
      <c r="AJ13" s="7">
        <f t="shared" ca="1" si="3"/>
        <v>0.43267390732296862</v>
      </c>
      <c r="AK13" s="7">
        <f t="shared" ca="1" si="3"/>
        <v>0.97621273345494208</v>
      </c>
      <c r="AN13" s="7" t="str">
        <f>IFERROR(INDEX('MS Stats list'!P:P, MATCH(B13,'MS Stats list'!B:B,0)),"")</f>
        <v>Danish Energy Agency - Preliminary Energy Statsticis 2022</v>
      </c>
    </row>
    <row r="14" spans="1:40">
      <c r="A14">
        <v>9</v>
      </c>
      <c r="B14" t="s">
        <v>120</v>
      </c>
      <c r="C14" t="s">
        <v>120</v>
      </c>
      <c r="D14" s="3">
        <v>-138.26300000000001</v>
      </c>
      <c r="E14" s="3">
        <v>-64.488</v>
      </c>
      <c r="F14" s="3">
        <v>-208.083</v>
      </c>
      <c r="G14" s="3">
        <v>-80.911000000000001</v>
      </c>
      <c r="H14" s="3">
        <v>7.0510000000000002</v>
      </c>
      <c r="I14" s="3">
        <v>-279.79399999999998</v>
      </c>
      <c r="J14" s="3">
        <v>-306.27699999999999</v>
      </c>
      <c r="K14" s="3">
        <v>-192.60499999999999</v>
      </c>
      <c r="L14" s="3">
        <v>-308.512</v>
      </c>
      <c r="M14" s="3">
        <v>-236.80099999999999</v>
      </c>
      <c r="N14" s="3">
        <v>-79.536000000000001</v>
      </c>
      <c r="O14" s="3">
        <v>-175.15</v>
      </c>
      <c r="P14" s="3">
        <v>-235.08199999999999</v>
      </c>
      <c r="Q14" s="3">
        <v>-163.113</v>
      </c>
      <c r="R14" s="3">
        <v>185.46899999999999</v>
      </c>
      <c r="S14" s="3">
        <v>313.32799999999997</v>
      </c>
      <c r="T14" s="3">
        <v>226.05600000000001</v>
      </c>
      <c r="U14" s="3">
        <v>86.93</v>
      </c>
      <c r="V14" s="3">
        <f ca="1">INDEX($AA14:$AH14,1,W14)</f>
        <v>-17.626666666648816</v>
      </c>
      <c r="W14" s="16">
        <f t="shared" ca="1" si="5"/>
        <v>4</v>
      </c>
      <c r="X14" t="str">
        <f t="shared" ca="1" si="6"/>
        <v>3yr lin trend</v>
      </c>
      <c r="Y14" s="16"/>
      <c r="Z14" s="3"/>
      <c r="AA14">
        <f t="shared" ca="1" si="0"/>
        <v>86.93</v>
      </c>
      <c r="AB14" s="3">
        <f t="shared" ca="1" si="7"/>
        <v>9.1006898638426854</v>
      </c>
      <c r="AC14" s="3">
        <f t="shared" ca="1" si="8"/>
        <v>291.93589999999676</v>
      </c>
      <c r="AD14" s="3">
        <f t="shared" ca="1" si="9"/>
        <v>-17.626666666648816</v>
      </c>
      <c r="AE14" s="3" t="str">
        <f t="shared" si="1"/>
        <v/>
      </c>
      <c r="AI14" s="3">
        <f t="shared" si="2"/>
        <v>-87.271999999999963</v>
      </c>
      <c r="AJ14" s="7">
        <f t="shared" ca="1" si="3"/>
        <v>0.21867261975349808</v>
      </c>
      <c r="AK14" s="7">
        <f t="shared" ca="1" si="3"/>
        <v>0.98281420897162863</v>
      </c>
      <c r="AN14" s="7">
        <f>IFERROR(INDEX('MS Stats list'!P:P, MATCH(B14,'MS Stats list'!B:B,0)),"")</f>
        <v>0</v>
      </c>
    </row>
    <row r="15" spans="1:40">
      <c r="A15">
        <v>11</v>
      </c>
      <c r="B15" t="s">
        <v>85</v>
      </c>
      <c r="C15" t="s">
        <v>85</v>
      </c>
      <c r="D15" s="3">
        <v>-115.477</v>
      </c>
      <c r="E15" s="3">
        <v>-282.029</v>
      </c>
      <c r="F15" s="3">
        <v>-494.49700000000001</v>
      </c>
      <c r="G15" s="3">
        <v>-949.18299999999999</v>
      </c>
      <c r="H15" s="3">
        <v>-696.81899999999996</v>
      </c>
      <c r="I15" s="3">
        <v>-716.50900000000001</v>
      </c>
      <c r="J15" s="3">
        <v>-523.73199999999997</v>
      </c>
      <c r="K15" s="3">
        <v>-962.94100000000003</v>
      </c>
      <c r="L15" s="3">
        <v>-580.48199999999997</v>
      </c>
      <c r="M15" s="3">
        <v>-292.863</v>
      </c>
      <c r="N15" s="3">
        <v>-11.436</v>
      </c>
      <c r="O15" s="3">
        <v>659.24300000000005</v>
      </c>
      <c r="P15" s="3">
        <v>788.39200000000005</v>
      </c>
      <c r="Q15" s="3">
        <v>954.6</v>
      </c>
      <c r="R15" s="3">
        <v>590.05399999999997</v>
      </c>
      <c r="S15" s="3">
        <v>281.99299999999999</v>
      </c>
      <c r="T15" s="3">
        <v>73.296999999999997</v>
      </c>
      <c r="U15" s="3">
        <v>-1702.6389999999999</v>
      </c>
      <c r="V15" s="3">
        <f t="shared" ca="1" si="4"/>
        <v>-1200.0651854323041</v>
      </c>
      <c r="W15" s="16">
        <f t="shared" ca="1" si="5"/>
        <v>5</v>
      </c>
      <c r="X15" t="str">
        <f t="shared" ca="1" si="6"/>
        <v>Based on MS Stats</v>
      </c>
      <c r="Y15" s="16"/>
      <c r="Z15" s="3"/>
      <c r="AA15">
        <f t="shared" ca="1" si="0"/>
        <v>-1702.6389999999999</v>
      </c>
      <c r="AB15" s="3">
        <f t="shared" ca="1" si="7"/>
        <v>-195.30876236997429</v>
      </c>
      <c r="AC15" s="3">
        <f t="shared" ca="1" si="8"/>
        <v>-1709.9095000002999</v>
      </c>
      <c r="AD15" s="3">
        <f t="shared" ca="1" si="9"/>
        <v>-2433.748333333293</v>
      </c>
      <c r="AE15" s="3">
        <f t="shared" ca="1" si="1"/>
        <v>-1200.0651854323041</v>
      </c>
      <c r="AI15" s="3">
        <f t="shared" si="2"/>
        <v>-208.696</v>
      </c>
      <c r="AJ15" s="7">
        <f t="shared" ca="1" si="3"/>
        <v>0.80281460365415014</v>
      </c>
      <c r="AK15" s="7">
        <f t="shared" ca="1" si="3"/>
        <v>0.82790433277801145</v>
      </c>
      <c r="AN15" s="7" t="str">
        <f>IFERROR(INDEX('MS Stats list'!P:P, MATCH(B15,'MS Stats list'!B:B,0)),"")</f>
        <v>Ministry of Ecological Transition</v>
      </c>
    </row>
    <row r="16" spans="1:40">
      <c r="A16">
        <v>12</v>
      </c>
      <c r="B16" t="s">
        <v>2</v>
      </c>
      <c r="C16" t="s">
        <v>2</v>
      </c>
      <c r="D16" s="3">
        <v>1463.027</v>
      </c>
      <c r="E16" s="3">
        <v>980.31</v>
      </c>
      <c r="F16" s="3">
        <v>1079.7080000000001</v>
      </c>
      <c r="G16" s="3">
        <v>1098.194</v>
      </c>
      <c r="H16" s="3">
        <v>1039.123</v>
      </c>
      <c r="I16" s="3">
        <v>902.923</v>
      </c>
      <c r="J16" s="3">
        <v>1191.058</v>
      </c>
      <c r="K16" s="3">
        <v>1499.914</v>
      </c>
      <c r="L16" s="3">
        <v>1351.2470000000001</v>
      </c>
      <c r="M16" s="3">
        <v>1544.884</v>
      </c>
      <c r="N16" s="3">
        <v>1404.729</v>
      </c>
      <c r="O16" s="3">
        <v>1629.4929999999999</v>
      </c>
      <c r="P16" s="3">
        <v>1756.2339999999999</v>
      </c>
      <c r="Q16" s="3">
        <v>1714.1869999999999</v>
      </c>
      <c r="R16" s="3">
        <v>1723.3019999999999</v>
      </c>
      <c r="S16" s="3">
        <v>1298.71</v>
      </c>
      <c r="T16" s="3">
        <v>1527.7729999999999</v>
      </c>
      <c r="U16" s="3">
        <v>1076.268</v>
      </c>
      <c r="V16" s="3">
        <f t="shared" ca="1" si="4"/>
        <v>148.24568883563015</v>
      </c>
      <c r="W16" s="16">
        <f t="shared" ca="1" si="5"/>
        <v>5</v>
      </c>
      <c r="X16" t="str">
        <f t="shared" ca="1" si="6"/>
        <v>Based on MS Stats</v>
      </c>
      <c r="Y16" s="16"/>
      <c r="Z16" s="3"/>
      <c r="AA16">
        <f t="shared" ca="1" si="0"/>
        <v>1076.268</v>
      </c>
      <c r="AB16" s="3">
        <f t="shared" ca="1" si="7"/>
        <v>1259.3129709681361</v>
      </c>
      <c r="AC16" s="3">
        <f t="shared" ca="1" si="8"/>
        <v>1026.6378999999724</v>
      </c>
      <c r="AD16" s="3">
        <f t="shared" ca="1" si="9"/>
        <v>1078.4749999999767</v>
      </c>
      <c r="AE16" s="3">
        <f t="shared" ca="1" si="1"/>
        <v>148.24568883563015</v>
      </c>
      <c r="AI16" s="3">
        <f t="shared" si="2"/>
        <v>229.06299999999987</v>
      </c>
      <c r="AJ16" s="7">
        <f t="shared" ca="1" si="3"/>
        <v>0.69505888171494623</v>
      </c>
      <c r="AK16" s="7">
        <f t="shared" ca="1" si="3"/>
        <v>0.24270421847973894</v>
      </c>
      <c r="AN16" s="7" t="str">
        <f>IFERROR(INDEX('MS Stats list'!P:P, MATCH(B16,'MS Stats list'!B:B,0)),"")</f>
        <v>Statistics Finland - Energy supply and consumption</v>
      </c>
    </row>
    <row r="17" spans="1:40">
      <c r="A17">
        <v>13</v>
      </c>
      <c r="B17" t="s">
        <v>82</v>
      </c>
      <c r="C17" t="s">
        <v>82</v>
      </c>
      <c r="D17" s="3">
        <v>-5187.2740000000003</v>
      </c>
      <c r="E17" s="3">
        <v>-5446.3459999999995</v>
      </c>
      <c r="F17" s="3">
        <v>-4885.0389999999998</v>
      </c>
      <c r="G17" s="3">
        <v>-4126.2250000000004</v>
      </c>
      <c r="H17" s="3">
        <v>-2229.9229999999998</v>
      </c>
      <c r="I17" s="3">
        <v>-2640.8429999999998</v>
      </c>
      <c r="J17" s="3">
        <v>-4850.6450000000004</v>
      </c>
      <c r="K17" s="3">
        <v>-3828.1170000000002</v>
      </c>
      <c r="L17" s="3">
        <v>-4166.8959999999997</v>
      </c>
      <c r="M17" s="3">
        <v>-5777.3</v>
      </c>
      <c r="N17" s="3">
        <v>-5508.4260000000004</v>
      </c>
      <c r="O17" s="3">
        <v>-3568.444</v>
      </c>
      <c r="P17" s="3">
        <v>-3450.4609999999998</v>
      </c>
      <c r="Q17" s="3">
        <v>-5414.1610000000001</v>
      </c>
      <c r="R17" s="3">
        <v>-4958.4740000000002</v>
      </c>
      <c r="S17" s="3">
        <v>-3872.674</v>
      </c>
      <c r="T17" s="3">
        <v>-3860.0390000000002</v>
      </c>
      <c r="U17" s="3">
        <v>1284.998</v>
      </c>
      <c r="V17" s="3">
        <f t="shared" ca="1" si="4"/>
        <v>-4328.7961822017342</v>
      </c>
      <c r="W17" s="16">
        <f t="shared" ca="1" si="5"/>
        <v>5</v>
      </c>
      <c r="X17" t="str">
        <f t="shared" ca="1" si="6"/>
        <v>Based on MS Stats</v>
      </c>
      <c r="Y17" s="16"/>
      <c r="Z17" s="3"/>
      <c r="AA17">
        <f t="shared" ca="1" si="0"/>
        <v>1284.998</v>
      </c>
      <c r="AB17" s="3">
        <f t="shared" ca="1" si="7"/>
        <v>144.01733929992702</v>
      </c>
      <c r="AC17" s="3">
        <f t="shared" ca="1" si="8"/>
        <v>984.95590000040829</v>
      </c>
      <c r="AD17" s="3">
        <f t="shared" ca="1" si="9"/>
        <v>3008.4336666660383</v>
      </c>
      <c r="AE17" s="3">
        <f t="shared" ca="1" si="1"/>
        <v>-4328.7961822017342</v>
      </c>
      <c r="AI17" s="3">
        <f t="shared" si="2"/>
        <v>12.634999999999764</v>
      </c>
      <c r="AJ17" s="7">
        <f t="shared" ca="1" si="3"/>
        <v>0.72810259637446362</v>
      </c>
      <c r="AK17" s="7">
        <f t="shared" ca="1" si="3"/>
        <v>0.75183730043150565</v>
      </c>
      <c r="AN17" s="7" t="str">
        <f>IFERROR(INDEX('MS Stats list'!P:P, MATCH(B17,'MS Stats list'!B:B,0)),"")</f>
        <v>Ministère de la Transition écologique et solidaire - Données et études statistiques</v>
      </c>
    </row>
    <row r="18" spans="1:40">
      <c r="A18">
        <v>10</v>
      </c>
      <c r="B18" t="s">
        <v>181</v>
      </c>
      <c r="C18" t="s">
        <v>182</v>
      </c>
      <c r="D18" s="3">
        <v>325.02100000000002</v>
      </c>
      <c r="E18" s="3">
        <v>361.30700000000002</v>
      </c>
      <c r="F18" s="3">
        <v>374.46300000000002</v>
      </c>
      <c r="G18" s="3">
        <v>482.63099999999997</v>
      </c>
      <c r="H18" s="3">
        <v>375.49400000000003</v>
      </c>
      <c r="I18" s="3">
        <v>490.62799999999999</v>
      </c>
      <c r="J18" s="3">
        <v>277.90199999999999</v>
      </c>
      <c r="K18" s="3">
        <v>153.482</v>
      </c>
      <c r="L18" s="3">
        <v>162.25299999999999</v>
      </c>
      <c r="M18" s="3">
        <v>758.298</v>
      </c>
      <c r="N18" s="3">
        <v>826.13900000000001</v>
      </c>
      <c r="O18" s="3">
        <v>756.32</v>
      </c>
      <c r="P18" s="3">
        <v>536.28499999999997</v>
      </c>
      <c r="Q18" s="3">
        <v>539.81100000000004</v>
      </c>
      <c r="R18" s="3">
        <v>855.03</v>
      </c>
      <c r="S18" s="3">
        <v>762.16700000000003</v>
      </c>
      <c r="T18" s="3">
        <v>316.767</v>
      </c>
      <c r="U18" s="3">
        <v>296.38900000000001</v>
      </c>
      <c r="V18" s="3">
        <f t="shared" ca="1" si="4"/>
        <v>296.38900000000001</v>
      </c>
      <c r="W18" s="16">
        <f t="shared" ca="1" si="5"/>
        <v>1</v>
      </c>
      <c r="X18" t="str">
        <f t="shared" ca="1" si="6"/>
        <v>No Change</v>
      </c>
      <c r="Y18" s="16"/>
      <c r="Z18" s="3"/>
      <c r="AA18">
        <f t="shared" ca="1" si="0"/>
        <v>296.38900000000001</v>
      </c>
      <c r="AB18" s="3">
        <f t="shared" ca="1" si="7"/>
        <v>31.721630643271208</v>
      </c>
      <c r="AC18" s="3">
        <f t="shared" ca="1" si="8"/>
        <v>246.50069999997504</v>
      </c>
      <c r="AD18" s="3">
        <f t="shared" ca="1" si="9"/>
        <v>-7.337000000057742</v>
      </c>
      <c r="AE18" s="3" t="str">
        <f t="shared" si="1"/>
        <v/>
      </c>
      <c r="AI18" s="3">
        <f t="shared" si="2"/>
        <v>-445.40000000000003</v>
      </c>
      <c r="AJ18" s="7">
        <f t="shared" ca="1" si="3"/>
        <v>0.40921239433856305</v>
      </c>
      <c r="AK18" s="7">
        <f t="shared" ca="1" si="3"/>
        <v>0.78274729267708865</v>
      </c>
      <c r="AN18" s="7" t="str">
        <f>IFERROR(INDEX('MS Stats list'!P:P, MATCH(B18,'MS Stats list'!B:B,0)),"")</f>
        <v/>
      </c>
    </row>
    <row r="19" spans="1:40">
      <c r="A19">
        <v>14</v>
      </c>
      <c r="B19" t="s">
        <v>183</v>
      </c>
      <c r="C19" t="s">
        <v>183</v>
      </c>
      <c r="D19" s="3">
        <v>379.10599999999999</v>
      </c>
      <c r="E19" s="3">
        <v>430.35300000000001</v>
      </c>
      <c r="F19" s="3">
        <v>507.05099999999999</v>
      </c>
      <c r="G19" s="3">
        <v>516.93899999999996</v>
      </c>
      <c r="H19" s="3">
        <v>430.18099999999998</v>
      </c>
      <c r="I19" s="3">
        <v>341.18700000000001</v>
      </c>
      <c r="J19" s="3">
        <v>615.21900000000005</v>
      </c>
      <c r="K19" s="3">
        <v>638.95100000000002</v>
      </c>
      <c r="L19" s="3">
        <v>332.67399999999998</v>
      </c>
      <c r="M19" s="3">
        <v>339.89699999999999</v>
      </c>
      <c r="N19" s="3">
        <v>583.74900000000002</v>
      </c>
      <c r="O19" s="3">
        <v>475.58</v>
      </c>
      <c r="P19" s="3">
        <v>597.91099999999994</v>
      </c>
      <c r="Q19" s="3">
        <v>463.25</v>
      </c>
      <c r="R19" s="3">
        <v>527.34299999999996</v>
      </c>
      <c r="S19" s="3">
        <v>398.90800000000002</v>
      </c>
      <c r="T19" s="3">
        <v>340.58499999999998</v>
      </c>
      <c r="U19" s="3">
        <v>403.68</v>
      </c>
      <c r="V19" s="3">
        <f t="shared" ca="1" si="4"/>
        <v>403.68</v>
      </c>
      <c r="W19" s="16">
        <f t="shared" ca="1" si="5"/>
        <v>1</v>
      </c>
      <c r="X19" t="str">
        <f t="shared" ca="1" si="6"/>
        <v>No Change</v>
      </c>
      <c r="Y19" s="16"/>
      <c r="Z19" s="3"/>
      <c r="AA19">
        <f t="shared" ca="1" si="0"/>
        <v>403.68</v>
      </c>
      <c r="AB19" s="3">
        <f t="shared" ca="1" si="7"/>
        <v>97.955239591358776</v>
      </c>
      <c r="AC19" s="3">
        <f t="shared" ca="1" si="8"/>
        <v>334.98380000000179</v>
      </c>
      <c r="AD19" s="3">
        <f t="shared" ca="1" si="9"/>
        <v>385.82966666666653</v>
      </c>
      <c r="AE19" s="3" t="str">
        <f t="shared" si="1"/>
        <v/>
      </c>
      <c r="AI19" s="3">
        <f t="shared" si="2"/>
        <v>-58.323000000000036</v>
      </c>
      <c r="AJ19" s="7">
        <f t="shared" ca="1" si="3"/>
        <v>0.46362551086195769</v>
      </c>
      <c r="AK19" s="7">
        <f t="shared" ca="1" si="3"/>
        <v>4.612624519002447E-3</v>
      </c>
      <c r="AN19" s="7" t="str">
        <f>IFERROR(INDEX('MS Stats list'!P:P, MATCH(B19,'MS Stats list'!B:B,0)),"")</f>
        <v/>
      </c>
    </row>
    <row r="20" spans="1:40">
      <c r="A20">
        <v>15</v>
      </c>
      <c r="B20" t="s">
        <v>88</v>
      </c>
      <c r="C20" t="s">
        <v>88</v>
      </c>
      <c r="D20" s="3">
        <v>535.42600000000004</v>
      </c>
      <c r="E20" s="3">
        <v>619.69000000000005</v>
      </c>
      <c r="F20" s="3">
        <v>342.73399999999998</v>
      </c>
      <c r="G20" s="3">
        <v>335.59800000000001</v>
      </c>
      <c r="H20" s="3">
        <v>474.03300000000002</v>
      </c>
      <c r="I20" s="3">
        <v>446.69</v>
      </c>
      <c r="J20" s="3">
        <v>571.19500000000005</v>
      </c>
      <c r="K20" s="3">
        <v>685.03899999999999</v>
      </c>
      <c r="L20" s="3">
        <v>1021.2380000000001</v>
      </c>
      <c r="M20" s="3">
        <v>1151.3330000000001</v>
      </c>
      <c r="N20" s="3">
        <v>1176.7840000000001</v>
      </c>
      <c r="O20" s="3">
        <v>1092.9490000000001</v>
      </c>
      <c r="P20" s="3">
        <v>1107.309</v>
      </c>
      <c r="Q20" s="3">
        <v>1233.7059999999999</v>
      </c>
      <c r="R20" s="3">
        <v>1082.029</v>
      </c>
      <c r="S20" s="3">
        <v>1004.0410000000001</v>
      </c>
      <c r="T20" s="3">
        <v>1096.6469999999999</v>
      </c>
      <c r="U20" s="3">
        <v>1044.884</v>
      </c>
      <c r="V20" s="3">
        <f t="shared" ca="1" si="4"/>
        <v>954.42827518104048</v>
      </c>
      <c r="W20" s="16">
        <f t="shared" ca="1" si="5"/>
        <v>5</v>
      </c>
      <c r="X20" t="str">
        <f t="shared" ca="1" si="6"/>
        <v>Based on MS Stats</v>
      </c>
      <c r="Y20" s="16"/>
      <c r="Z20" s="3"/>
      <c r="AA20">
        <f t="shared" ca="1" si="0"/>
        <v>1044.884</v>
      </c>
      <c r="AB20" s="3">
        <f t="shared" ca="1" si="7"/>
        <v>130.93934312065548</v>
      </c>
      <c r="AC20" s="3">
        <f t="shared" ca="1" si="8"/>
        <v>983.35360000000219</v>
      </c>
      <c r="AD20" s="3">
        <f t="shared" ca="1" si="9"/>
        <v>1089.3669999999984</v>
      </c>
      <c r="AE20" s="3">
        <f t="shared" ca="1" si="1"/>
        <v>954.42827518104048</v>
      </c>
      <c r="AI20" s="3">
        <f t="shared" si="2"/>
        <v>92.605999999999881</v>
      </c>
      <c r="AJ20" s="7">
        <f t="shared" ca="1" si="3"/>
        <v>0.4369919067991096</v>
      </c>
      <c r="AK20" s="7">
        <f t="shared" ca="1" si="3"/>
        <v>0.19361933813581672</v>
      </c>
      <c r="AN20" s="7" t="str">
        <f>IFERROR(INDEX('MS Stats list'!P:P, MATCH(B20,'MS Stats list'!B:B,0)),"")</f>
        <v>MEKH - Official Statistics - 7.2 National simplified Energy Balance - IEA format</v>
      </c>
    </row>
    <row r="21" spans="1:40">
      <c r="A21">
        <v>16</v>
      </c>
      <c r="B21" t="s">
        <v>133</v>
      </c>
      <c r="C21" t="s">
        <v>133</v>
      </c>
      <c r="D21" s="3">
        <v>175.76499999999999</v>
      </c>
      <c r="E21" s="3">
        <v>152.87</v>
      </c>
      <c r="F21" s="3">
        <v>114.39</v>
      </c>
      <c r="G21" s="3">
        <v>38.712000000000003</v>
      </c>
      <c r="H21" s="3">
        <v>65.671000000000006</v>
      </c>
      <c r="I21" s="3">
        <v>40.441000000000003</v>
      </c>
      <c r="J21" s="3">
        <v>42.140999999999998</v>
      </c>
      <c r="K21" s="3">
        <v>35.552</v>
      </c>
      <c r="L21" s="3">
        <v>192.79400000000001</v>
      </c>
      <c r="M21" s="3">
        <v>184.786</v>
      </c>
      <c r="N21" s="3">
        <v>57.899000000000001</v>
      </c>
      <c r="O21" s="3">
        <v>-61.198999999999998</v>
      </c>
      <c r="P21" s="3">
        <v>-58.341000000000001</v>
      </c>
      <c r="Q21" s="3">
        <v>-2.3839999999999999</v>
      </c>
      <c r="R21" s="3">
        <v>55.42</v>
      </c>
      <c r="S21" s="3">
        <v>-13.057</v>
      </c>
      <c r="T21" s="3">
        <v>136.50800000000001</v>
      </c>
      <c r="U21" s="3">
        <v>21.658999999999999</v>
      </c>
      <c r="V21" s="3">
        <f t="shared" ca="1" si="4"/>
        <v>21.658999999999999</v>
      </c>
      <c r="W21" s="16">
        <f t="shared" ca="1" si="5"/>
        <v>1</v>
      </c>
      <c r="X21" t="str">
        <f t="shared" ca="1" si="6"/>
        <v>No Change</v>
      </c>
      <c r="Y21" s="16"/>
      <c r="Z21" s="3"/>
      <c r="AA21">
        <f t="shared" ca="1" si="0"/>
        <v>21.658999999999999</v>
      </c>
      <c r="AB21" s="3">
        <f t="shared" ca="1" si="7"/>
        <v>4.3869549010398909</v>
      </c>
      <c r="AC21" s="3">
        <f t="shared" ca="1" si="8"/>
        <v>78.381399999998393</v>
      </c>
      <c r="AD21" s="3">
        <f t="shared" ca="1" si="9"/>
        <v>83.086000000002969</v>
      </c>
      <c r="AE21" s="3" t="str">
        <f t="shared" si="1"/>
        <v/>
      </c>
      <c r="AI21" s="3">
        <f t="shared" si="2"/>
        <v>149.565</v>
      </c>
      <c r="AJ21" s="7">
        <f t="shared" ca="1" si="3"/>
        <v>0.11508545366606932</v>
      </c>
      <c r="AK21" s="7">
        <f t="shared" ca="1" si="3"/>
        <v>4.9171549061419122E-2</v>
      </c>
      <c r="AN21" s="7" t="str">
        <f>IFERROR(INDEX('MS Stats list'!P:P, MATCH(B21,'MS Stats list'!B:B,0)),"")</f>
        <v>SEAI - 2022 Provisional Energy Balance</v>
      </c>
    </row>
    <row r="22" spans="1:40">
      <c r="A22">
        <v>17</v>
      </c>
      <c r="B22" t="s">
        <v>157</v>
      </c>
      <c r="C22" t="s">
        <v>157</v>
      </c>
      <c r="D22" s="3">
        <v>4226.5690000000004</v>
      </c>
      <c r="E22" s="3">
        <v>3868.0140000000001</v>
      </c>
      <c r="F22" s="3">
        <v>3979.6219999999998</v>
      </c>
      <c r="G22" s="3">
        <v>3442.39</v>
      </c>
      <c r="H22" s="3">
        <v>3865.7779999999998</v>
      </c>
      <c r="I22" s="3">
        <v>3797.0770000000002</v>
      </c>
      <c r="J22" s="3">
        <v>3932.2440000000001</v>
      </c>
      <c r="K22" s="3">
        <v>3706.1909999999998</v>
      </c>
      <c r="L22" s="3">
        <v>3623.2159999999999</v>
      </c>
      <c r="M22" s="3">
        <v>3758.8989999999999</v>
      </c>
      <c r="N22" s="3">
        <v>3987.79</v>
      </c>
      <c r="O22" s="3">
        <v>3183.7489999999998</v>
      </c>
      <c r="P22" s="3">
        <v>3246.8310000000001</v>
      </c>
      <c r="Q22" s="3">
        <v>3774.616</v>
      </c>
      <c r="R22" s="3">
        <v>3279.556</v>
      </c>
      <c r="S22" s="3">
        <v>2768.7350000000001</v>
      </c>
      <c r="T22" s="3">
        <v>3679.261</v>
      </c>
      <c r="U22" s="3">
        <v>3696.2020000000002</v>
      </c>
      <c r="V22" s="3">
        <f t="shared" ca="1" si="4"/>
        <v>3696.2020000000002</v>
      </c>
      <c r="W22" s="16">
        <f t="shared" ca="1" si="5"/>
        <v>1</v>
      </c>
      <c r="X22" t="str">
        <f t="shared" ca="1" si="6"/>
        <v>No Change</v>
      </c>
      <c r="Y22" s="16"/>
      <c r="Z22" s="3"/>
      <c r="AA22">
        <f t="shared" ca="1" si="0"/>
        <v>3696.2020000000002</v>
      </c>
      <c r="AB22" s="3">
        <f t="shared" ca="1" si="7"/>
        <v>0</v>
      </c>
      <c r="AC22" s="3">
        <f t="shared" ca="1" si="8"/>
        <v>3512.5371000000014</v>
      </c>
      <c r="AD22" s="3">
        <f t="shared" ca="1" si="9"/>
        <v>4308.8663333333097</v>
      </c>
      <c r="AE22" s="3" t="str">
        <f t="shared" si="1"/>
        <v/>
      </c>
      <c r="AI22" s="3">
        <f t="shared" si="2"/>
        <v>910.52599999999984</v>
      </c>
      <c r="AJ22" s="7">
        <f t="shared" ca="1" si="3"/>
        <v>8.294422595429625E-3</v>
      </c>
      <c r="AK22" s="7">
        <f t="shared" ca="1" si="3"/>
        <v>0.76369475508877616</v>
      </c>
      <c r="AN22" s="7" t="str">
        <f>IFERROR(INDEX('MS Stats list'!P:P, MATCH(B22,'MS Stats list'!B:B,0)),"")</f>
        <v>Ministry of Ecological Transition</v>
      </c>
    </row>
    <row r="23" spans="1:40">
      <c r="A23">
        <v>18</v>
      </c>
      <c r="B23" t="s">
        <v>137</v>
      </c>
      <c r="C23" t="s">
        <v>137</v>
      </c>
      <c r="D23" s="3">
        <v>-255.03</v>
      </c>
      <c r="E23" s="3">
        <v>-36.801000000000002</v>
      </c>
      <c r="F23" s="3">
        <v>-117.971</v>
      </c>
      <c r="G23" s="3">
        <v>-82.287000000000006</v>
      </c>
      <c r="H23" s="3">
        <v>-252.107</v>
      </c>
      <c r="I23" s="3">
        <v>515.04700000000003</v>
      </c>
      <c r="J23" s="3">
        <v>579.45000000000005</v>
      </c>
      <c r="K23" s="3">
        <v>569.13199999999995</v>
      </c>
      <c r="L23" s="3">
        <v>597.24800000000005</v>
      </c>
      <c r="M23" s="3">
        <v>655.46</v>
      </c>
      <c r="N23" s="3">
        <v>619.77599999999995</v>
      </c>
      <c r="O23" s="3">
        <v>711.52200000000005</v>
      </c>
      <c r="P23" s="3">
        <v>746.10500000000002</v>
      </c>
      <c r="Q23" s="3">
        <v>828.24599999999998</v>
      </c>
      <c r="R23" s="3">
        <v>803.40499999999997</v>
      </c>
      <c r="S23" s="3">
        <v>680.00900000000001</v>
      </c>
      <c r="T23" s="3">
        <v>777.61800000000005</v>
      </c>
      <c r="U23" s="3">
        <v>736.68100000000004</v>
      </c>
      <c r="V23" s="3">
        <f t="shared" ca="1" si="4"/>
        <v>595.80375665038002</v>
      </c>
      <c r="W23" s="16">
        <f t="shared" ca="1" si="5"/>
        <v>5</v>
      </c>
      <c r="X23" t="str">
        <f t="shared" ca="1" si="6"/>
        <v>Based on MS Stats</v>
      </c>
      <c r="Y23" s="16"/>
      <c r="Z23" s="3"/>
      <c r="AA23">
        <f t="shared" ca="1" si="0"/>
        <v>736.68100000000004</v>
      </c>
      <c r="AB23" s="3">
        <f t="shared" ca="1" si="7"/>
        <v>61.848763306126827</v>
      </c>
      <c r="AC23" s="3">
        <f t="shared" ca="1" si="8"/>
        <v>702.51670000000013</v>
      </c>
      <c r="AD23" s="3">
        <f t="shared" ca="1" si="9"/>
        <v>788.10800000000017</v>
      </c>
      <c r="AE23" s="3">
        <f t="shared" ca="1" si="1"/>
        <v>595.80375665038002</v>
      </c>
      <c r="AI23" s="3">
        <f t="shared" si="2"/>
        <v>97.609000000000037</v>
      </c>
      <c r="AJ23" s="7">
        <f t="shared" ca="1" si="3"/>
        <v>0.31953161056352225</v>
      </c>
      <c r="AK23" s="7">
        <f t="shared" ca="1" si="3"/>
        <v>0.33420394288445981</v>
      </c>
      <c r="AN23" s="7" t="str">
        <f>IFERROR(INDEX('MS Stats list'!P:P, MATCH(B23,'MS Stats list'!B:B,0)),"")</f>
        <v>Statistics Lithuania - Energy balances</v>
      </c>
    </row>
    <row r="24" spans="1:40">
      <c r="A24">
        <v>19</v>
      </c>
      <c r="B24" t="s">
        <v>184</v>
      </c>
      <c r="C24" t="s">
        <v>184</v>
      </c>
      <c r="D24" s="3">
        <v>280.33600000000001</v>
      </c>
      <c r="E24" s="3">
        <v>305.846</v>
      </c>
      <c r="F24" s="3">
        <v>340.476</v>
      </c>
      <c r="G24" s="3">
        <v>373.71800000000002</v>
      </c>
      <c r="H24" s="3">
        <v>293.89400000000001</v>
      </c>
      <c r="I24" s="3">
        <v>349.39299999999997</v>
      </c>
      <c r="J24" s="3">
        <v>385.37900000000002</v>
      </c>
      <c r="K24" s="3">
        <v>353.42399999999998</v>
      </c>
      <c r="L24" s="3">
        <v>425.108</v>
      </c>
      <c r="M24" s="3">
        <v>420.79</v>
      </c>
      <c r="N24" s="3">
        <v>481.45400000000001</v>
      </c>
      <c r="O24" s="3">
        <v>541.59100000000001</v>
      </c>
      <c r="P24" s="3">
        <v>531.21600000000001</v>
      </c>
      <c r="Q24" s="3">
        <v>529.78</v>
      </c>
      <c r="R24" s="3">
        <v>505.48599999999999</v>
      </c>
      <c r="S24" s="3">
        <v>469.89499999999998</v>
      </c>
      <c r="T24" s="3">
        <v>491.94600000000003</v>
      </c>
      <c r="U24" s="3">
        <v>473.50200000000001</v>
      </c>
      <c r="V24" s="3">
        <f t="shared" ca="1" si="4"/>
        <v>473.50200000000001</v>
      </c>
      <c r="W24" s="16">
        <f t="shared" ca="1" si="5"/>
        <v>1</v>
      </c>
      <c r="X24" t="str">
        <f t="shared" ca="1" si="6"/>
        <v>No Change</v>
      </c>
      <c r="Y24" s="16"/>
      <c r="Z24" s="3"/>
      <c r="AA24">
        <f t="shared" ca="1" si="0"/>
        <v>473.50200000000001</v>
      </c>
      <c r="AB24" s="3">
        <f t="shared" ca="1" si="7"/>
        <v>0</v>
      </c>
      <c r="AC24" s="3">
        <f t="shared" ca="1" si="8"/>
        <v>456.29299999999785</v>
      </c>
      <c r="AD24" s="3">
        <f t="shared" ca="1" si="9"/>
        <v>482.05466666666689</v>
      </c>
      <c r="AE24" s="3" t="str">
        <f t="shared" si="1"/>
        <v/>
      </c>
      <c r="AI24" s="3">
        <f t="shared" si="2"/>
        <v>22.051000000000045</v>
      </c>
      <c r="AJ24" s="7">
        <f t="shared" ca="1" si="3"/>
        <v>0.6577124639778662</v>
      </c>
      <c r="AK24" s="7">
        <f t="shared" ca="1" si="3"/>
        <v>2.3248493844429705E-2</v>
      </c>
      <c r="AN24" s="7" t="str">
        <f>IFERROR(INDEX('MS Stats list'!P:P, MATCH(B24,'MS Stats list'!B:B,0)),"")</f>
        <v/>
      </c>
    </row>
    <row r="25" spans="1:40">
      <c r="A25">
        <v>20</v>
      </c>
      <c r="B25" t="s">
        <v>93</v>
      </c>
      <c r="C25" t="s">
        <v>93</v>
      </c>
      <c r="D25" s="3">
        <v>184.69499999999999</v>
      </c>
      <c r="E25" s="3">
        <v>215.649</v>
      </c>
      <c r="F25" s="3">
        <v>257.95400000000001</v>
      </c>
      <c r="G25" s="3">
        <v>216.68100000000001</v>
      </c>
      <c r="H25" s="3">
        <v>142.21799999999999</v>
      </c>
      <c r="I25" s="3">
        <v>75.063999999999993</v>
      </c>
      <c r="J25" s="3">
        <v>107.051</v>
      </c>
      <c r="K25" s="3">
        <v>145.4</v>
      </c>
      <c r="L25" s="3">
        <v>116.509</v>
      </c>
      <c r="M25" s="3">
        <v>199.226</v>
      </c>
      <c r="N25" s="3">
        <v>156.578</v>
      </c>
      <c r="O25" s="3">
        <v>88.822000000000003</v>
      </c>
      <c r="P25" s="3">
        <v>-5.5170000000000003</v>
      </c>
      <c r="Q25" s="3">
        <v>78.150000000000006</v>
      </c>
      <c r="R25" s="3">
        <v>96.137</v>
      </c>
      <c r="S25" s="3">
        <v>139.779</v>
      </c>
      <c r="T25" s="3">
        <v>152.41900000000001</v>
      </c>
      <c r="U25" s="3">
        <v>198.756</v>
      </c>
      <c r="V25" s="3">
        <f t="shared" ca="1" si="4"/>
        <v>222.29639999999927</v>
      </c>
      <c r="W25" s="16">
        <f t="shared" ca="1" si="5"/>
        <v>3</v>
      </c>
      <c r="X25" t="str">
        <f t="shared" ca="1" si="6"/>
        <v>5yr lin trend</v>
      </c>
      <c r="Y25" s="16"/>
      <c r="Z25" s="3"/>
      <c r="AA25">
        <f t="shared" ca="1" si="0"/>
        <v>198.756</v>
      </c>
      <c r="AB25" s="3">
        <f t="shared" ca="1" si="7"/>
        <v>-73.082951552795024</v>
      </c>
      <c r="AC25" s="3">
        <f t="shared" ca="1" si="8"/>
        <v>222.29639999999927</v>
      </c>
      <c r="AD25" s="3">
        <f t="shared" ca="1" si="9"/>
        <v>222.62833333333401</v>
      </c>
      <c r="AE25" s="3" t="str">
        <f t="shared" si="1"/>
        <v/>
      </c>
      <c r="AI25" s="3">
        <f t="shared" si="2"/>
        <v>12.640000000000015</v>
      </c>
      <c r="AJ25" s="7">
        <f t="shared" ca="1" si="3"/>
        <v>0.97103148734099531</v>
      </c>
      <c r="AK25" s="7">
        <f t="shared" ca="1" si="3"/>
        <v>0.90186225442180334</v>
      </c>
      <c r="AN25" s="7" t="str">
        <f>IFERROR(INDEX('MS Stats list'!P:P, MATCH(B25,'MS Stats list'!B:B,0)),"")</f>
        <v/>
      </c>
    </row>
    <row r="26" spans="1:40">
      <c r="A26">
        <v>21</v>
      </c>
      <c r="B26" t="s">
        <v>141</v>
      </c>
      <c r="C26" t="s">
        <v>141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90.628</v>
      </c>
      <c r="O26" s="3">
        <v>131.27199999999999</v>
      </c>
      <c r="P26" s="3">
        <v>74.064999999999998</v>
      </c>
      <c r="Q26" s="3">
        <v>53.374000000000002</v>
      </c>
      <c r="R26" s="3">
        <v>54.712000000000003</v>
      </c>
      <c r="S26" s="3">
        <v>35.732999999999997</v>
      </c>
      <c r="T26" s="3">
        <v>43.969000000000001</v>
      </c>
      <c r="U26" s="3">
        <v>54.969000000000001</v>
      </c>
      <c r="V26" s="3">
        <f t="shared" ca="1" si="4"/>
        <v>64.126333333333605</v>
      </c>
      <c r="W26" s="16">
        <f t="shared" ca="1" si="5"/>
        <v>4</v>
      </c>
      <c r="X26" t="str">
        <f t="shared" ca="1" si="6"/>
        <v>3yr lin trend</v>
      </c>
      <c r="Y26" s="16"/>
      <c r="Z26" s="3"/>
      <c r="AA26">
        <f t="shared" ca="1" si="0"/>
        <v>54.969000000000001</v>
      </c>
      <c r="AB26" s="3">
        <f t="shared" ca="1" si="7"/>
        <v>11.381658606545507</v>
      </c>
      <c r="AC26" s="3">
        <f t="shared" ca="1" si="8"/>
        <v>46.285499999999956</v>
      </c>
      <c r="AD26" s="3">
        <f t="shared" ca="1" si="9"/>
        <v>64.126333333333605</v>
      </c>
      <c r="AE26" s="3" t="str">
        <f t="shared" si="1"/>
        <v/>
      </c>
      <c r="AI26" s="3">
        <f t="shared" si="2"/>
        <v>8.2360000000000042</v>
      </c>
      <c r="AJ26" s="7">
        <f t="shared" ca="1" si="3"/>
        <v>1.9828520939221106E-2</v>
      </c>
      <c r="AK26" s="7">
        <f t="shared" ca="1" si="3"/>
        <v>0.99316487224659378</v>
      </c>
      <c r="AN26" s="7" t="str">
        <f>IFERROR(INDEX('MS Stats list'!P:P, MATCH(B26,'MS Stats list'!B:B,0)),"")</f>
        <v>Msdata from consultations</v>
      </c>
    </row>
    <row r="27" spans="1:40">
      <c r="A27">
        <v>22</v>
      </c>
      <c r="B27" t="s">
        <v>145</v>
      </c>
      <c r="C27" t="s">
        <v>145</v>
      </c>
      <c r="D27" s="3">
        <v>1572.915</v>
      </c>
      <c r="E27" s="3">
        <v>1845.1420000000001</v>
      </c>
      <c r="F27" s="3">
        <v>1514.1010000000001</v>
      </c>
      <c r="G27" s="3">
        <v>1362.941</v>
      </c>
      <c r="H27" s="3">
        <v>420.55</v>
      </c>
      <c r="I27" s="3">
        <v>238.607</v>
      </c>
      <c r="J27" s="3">
        <v>781.51300000000003</v>
      </c>
      <c r="K27" s="3">
        <v>1471.183</v>
      </c>
      <c r="L27" s="3">
        <v>1568.1</v>
      </c>
      <c r="M27" s="3">
        <v>1266.2940000000001</v>
      </c>
      <c r="N27" s="3">
        <v>752.20399999999995</v>
      </c>
      <c r="O27" s="3">
        <v>422.56</v>
      </c>
      <c r="P27" s="3">
        <v>301.48</v>
      </c>
      <c r="Q27" s="3">
        <v>685.29</v>
      </c>
      <c r="R27" s="3">
        <v>73.537000000000006</v>
      </c>
      <c r="S27" s="3">
        <v>-228.68</v>
      </c>
      <c r="T27" s="3">
        <v>21.75</v>
      </c>
      <c r="U27" s="3">
        <v>-366.84399999999999</v>
      </c>
      <c r="V27" s="3">
        <f t="shared" ca="1" si="4"/>
        <v>-366.84399999999999</v>
      </c>
      <c r="W27" s="16">
        <f t="shared" ca="1" si="5"/>
        <v>1</v>
      </c>
      <c r="X27" t="str">
        <f t="shared" ca="1" si="6"/>
        <v>No Change</v>
      </c>
      <c r="Y27" s="16"/>
      <c r="Z27" s="3"/>
      <c r="AA27">
        <f t="shared" ca="1" si="0"/>
        <v>-366.84399999999999</v>
      </c>
      <c r="AB27" s="3">
        <f t="shared" ca="1" si="7"/>
        <v>-43.896773480916778</v>
      </c>
      <c r="AC27" s="3">
        <f t="shared" ca="1" si="8"/>
        <v>-609.80590000003576</v>
      </c>
      <c r="AD27" s="3">
        <f t="shared" ca="1" si="9"/>
        <v>-329.42200000002049</v>
      </c>
      <c r="AE27" s="3" t="str">
        <f t="shared" si="1"/>
        <v/>
      </c>
      <c r="AI27" s="3">
        <f t="shared" si="2"/>
        <v>250.43</v>
      </c>
      <c r="AJ27" s="7">
        <f t="shared" ca="1" si="3"/>
        <v>0.70913929758279404</v>
      </c>
      <c r="AK27" s="7">
        <f t="shared" ca="1" si="3"/>
        <v>0.12299284527570656</v>
      </c>
      <c r="AN27" s="7" t="str">
        <f>IFERROR(INDEX('MS Stats list'!P:P, MATCH(B27,'MS Stats list'!B:B,0)),"")</f>
        <v>CBS - Energy balance sheet; supply, transformation and consumption</v>
      </c>
    </row>
    <row r="28" spans="1:40">
      <c r="A28">
        <v>23</v>
      </c>
      <c r="B28" t="s">
        <v>185</v>
      </c>
      <c r="C28" t="s">
        <v>185</v>
      </c>
      <c r="D28" s="3">
        <v>-961.82299999999998</v>
      </c>
      <c r="E28" s="3">
        <v>-944.62599999999998</v>
      </c>
      <c r="F28" s="3">
        <v>-459.84500000000003</v>
      </c>
      <c r="G28" s="3">
        <v>-57.524000000000001</v>
      </c>
      <c r="H28" s="3">
        <v>-188.392</v>
      </c>
      <c r="I28" s="3">
        <v>-116.423</v>
      </c>
      <c r="J28" s="3">
        <v>-450.73099999999999</v>
      </c>
      <c r="K28" s="3">
        <v>-244.196</v>
      </c>
      <c r="L28" s="3">
        <v>-388.73599999999999</v>
      </c>
      <c r="M28" s="3">
        <v>186.24199999999999</v>
      </c>
      <c r="N28" s="3">
        <v>-28.719000000000001</v>
      </c>
      <c r="O28" s="3">
        <v>171.88300000000001</v>
      </c>
      <c r="P28" s="3">
        <v>196.64699999999999</v>
      </c>
      <c r="Q28" s="3">
        <v>489.63900000000001</v>
      </c>
      <c r="R28" s="3">
        <v>913.41099999999994</v>
      </c>
      <c r="S28" s="3">
        <v>1140.76</v>
      </c>
      <c r="T28" s="3">
        <v>76.334999999999994</v>
      </c>
      <c r="U28" s="3">
        <v>-144.22300000000001</v>
      </c>
      <c r="V28" s="3">
        <f t="shared" ca="1" si="4"/>
        <v>-144.22300000000001</v>
      </c>
      <c r="W28" s="16">
        <f t="shared" ca="1" si="5"/>
        <v>1</v>
      </c>
      <c r="X28" t="str">
        <f t="shared" ca="1" si="6"/>
        <v>No Change</v>
      </c>
      <c r="Y28" s="16"/>
      <c r="Z28" s="3"/>
      <c r="AA28">
        <f t="shared" ca="1" si="0"/>
        <v>-144.22300000000001</v>
      </c>
      <c r="AB28" s="3">
        <f t="shared" ca="1" si="7"/>
        <v>-14.067847348260347</v>
      </c>
      <c r="AC28" s="3">
        <f t="shared" ca="1" si="8"/>
        <v>-136.25559999997495</v>
      </c>
      <c r="AD28" s="3">
        <f t="shared" ca="1" si="9"/>
        <v>-927.35899999993853</v>
      </c>
      <c r="AE28" s="3" t="str">
        <f t="shared" si="1"/>
        <v/>
      </c>
      <c r="AI28" s="3">
        <f t="shared" si="2"/>
        <v>-1064.425</v>
      </c>
      <c r="AJ28" s="7">
        <f t="shared" ca="1" si="3"/>
        <v>0.37671985231754807</v>
      </c>
      <c r="AK28" s="7">
        <f t="shared" ca="1" si="3"/>
        <v>0.87431083293756351</v>
      </c>
      <c r="AN28" s="7" t="str">
        <f>IFERROR(INDEX('MS Stats list'!P:P, MATCH(B28,'MS Stats list'!B:B,0)),"")</f>
        <v/>
      </c>
    </row>
    <row r="29" spans="1:40">
      <c r="A29">
        <v>24</v>
      </c>
      <c r="B29" t="s">
        <v>149</v>
      </c>
      <c r="C29" t="s">
        <v>149</v>
      </c>
      <c r="D29" s="3">
        <v>586.75800000000004</v>
      </c>
      <c r="E29" s="3">
        <v>467.84199999999998</v>
      </c>
      <c r="F29" s="3">
        <v>643.85199999999998</v>
      </c>
      <c r="G29" s="3">
        <v>810.92</v>
      </c>
      <c r="H29" s="3">
        <v>410.66199999999998</v>
      </c>
      <c r="I29" s="3">
        <v>225.53700000000001</v>
      </c>
      <c r="J29" s="3">
        <v>241.874</v>
      </c>
      <c r="K29" s="3">
        <v>678.84799999999996</v>
      </c>
      <c r="L29" s="3">
        <v>238.69300000000001</v>
      </c>
      <c r="M29" s="3">
        <v>77.644000000000005</v>
      </c>
      <c r="N29" s="3">
        <v>194.84100000000001</v>
      </c>
      <c r="O29" s="3">
        <v>-437.23099999999999</v>
      </c>
      <c r="P29" s="3">
        <v>-230.78</v>
      </c>
      <c r="Q29" s="3">
        <v>-228.458</v>
      </c>
      <c r="R29" s="3">
        <v>292.27600000000001</v>
      </c>
      <c r="S29" s="3">
        <v>125.21599999999999</v>
      </c>
      <c r="T29" s="3">
        <v>408.68299999999999</v>
      </c>
      <c r="U29" s="3">
        <v>795.65099999999995</v>
      </c>
      <c r="V29" s="3">
        <f t="shared" ca="1" si="4"/>
        <v>1113.6183333334047</v>
      </c>
      <c r="W29" s="16">
        <f t="shared" ca="1" si="5"/>
        <v>4</v>
      </c>
      <c r="X29" t="str">
        <f t="shared" ca="1" si="6"/>
        <v>3yr lin trend</v>
      </c>
      <c r="Y29" s="16"/>
      <c r="Z29" s="3"/>
      <c r="AA29">
        <f t="shared" ca="1" si="0"/>
        <v>795.65099999999995</v>
      </c>
      <c r="AB29" s="3">
        <f t="shared" ca="1" si="7"/>
        <v>19.1885571346176</v>
      </c>
      <c r="AC29" s="3">
        <f t="shared" ca="1" si="8"/>
        <v>928.06109999999171</v>
      </c>
      <c r="AD29" s="3">
        <f t="shared" ca="1" si="9"/>
        <v>1113.6183333334047</v>
      </c>
      <c r="AE29" s="3" t="str">
        <f t="shared" si="1"/>
        <v/>
      </c>
      <c r="AI29" s="3">
        <f t="shared" si="2"/>
        <v>283.46699999999998</v>
      </c>
      <c r="AJ29" s="7">
        <f t="shared" ca="1" si="3"/>
        <v>0.82918553500715297</v>
      </c>
      <c r="AK29" s="7">
        <f t="shared" ca="1" si="3"/>
        <v>0.9921183352896773</v>
      </c>
      <c r="AN29" s="7" t="str">
        <f>IFERROR(INDEX('MS Stats list'!P:P, MATCH(B29,'MS Stats list'!B:B,0)),"")</f>
        <v>DGEG - Balanço Energético Sintético 2022</v>
      </c>
    </row>
    <row r="30" spans="1:40">
      <c r="A30">
        <v>25</v>
      </c>
      <c r="B30" t="s">
        <v>186</v>
      </c>
      <c r="C30" t="s">
        <v>186</v>
      </c>
      <c r="D30" s="3">
        <v>-249.613</v>
      </c>
      <c r="E30" s="3">
        <v>-367.41199999999998</v>
      </c>
      <c r="F30" s="3">
        <v>-179.708</v>
      </c>
      <c r="G30" s="3">
        <v>-365.262</v>
      </c>
      <c r="H30" s="3">
        <v>-197.334</v>
      </c>
      <c r="I30" s="3">
        <v>-195.529</v>
      </c>
      <c r="J30" s="3">
        <v>-163.887</v>
      </c>
      <c r="K30" s="3">
        <v>21.754000000000001</v>
      </c>
      <c r="L30" s="3">
        <v>-173.345</v>
      </c>
      <c r="M30" s="3">
        <v>-612.726</v>
      </c>
      <c r="N30" s="3">
        <v>-578.50400000000002</v>
      </c>
      <c r="O30" s="3">
        <v>-431.38400000000001</v>
      </c>
      <c r="P30" s="3">
        <v>-248.80699999999999</v>
      </c>
      <c r="Q30" s="3">
        <v>-218.78200000000001</v>
      </c>
      <c r="R30" s="3">
        <v>130.52600000000001</v>
      </c>
      <c r="S30" s="3">
        <v>240.096</v>
      </c>
      <c r="T30" s="3">
        <v>189.042</v>
      </c>
      <c r="U30" s="3">
        <v>105.23399999999999</v>
      </c>
      <c r="V30" s="3">
        <f t="shared" ca="1" si="4"/>
        <v>43.262000000016997</v>
      </c>
      <c r="W30" s="16">
        <f t="shared" ca="1" si="5"/>
        <v>4</v>
      </c>
      <c r="X30" t="str">
        <f t="shared" ca="1" si="6"/>
        <v>3yr lin trend</v>
      </c>
      <c r="Y30" s="16"/>
      <c r="Z30" s="3"/>
      <c r="AA30">
        <f t="shared" ca="1" si="0"/>
        <v>105.23399999999999</v>
      </c>
      <c r="AB30" s="3">
        <f t="shared" ca="1" si="7"/>
        <v>11.959994035785318</v>
      </c>
      <c r="AC30" s="3">
        <f t="shared" ca="1" si="8"/>
        <v>301.18760000000475</v>
      </c>
      <c r="AD30" s="3">
        <f t="shared" ca="1" si="9"/>
        <v>43.262000000016997</v>
      </c>
      <c r="AE30" s="3" t="str">
        <f t="shared" si="1"/>
        <v/>
      </c>
      <c r="AI30" s="3">
        <f t="shared" si="2"/>
        <v>-51.054000000000002</v>
      </c>
      <c r="AJ30" s="7">
        <f t="shared" ca="1" si="3"/>
        <v>0.38532418189020085</v>
      </c>
      <c r="AK30" s="7">
        <f t="shared" ca="1" si="3"/>
        <v>0.98071711560979657</v>
      </c>
      <c r="AN30" s="7" t="str">
        <f>IFERROR(INDEX('MS Stats list'!P:P, MATCH(B30,'MS Stats list'!B:B,0)),"")</f>
        <v/>
      </c>
    </row>
    <row r="31" spans="1:40">
      <c r="A31">
        <v>26</v>
      </c>
      <c r="B31" t="s">
        <v>187</v>
      </c>
      <c r="C31" t="s">
        <v>187</v>
      </c>
      <c r="D31" s="3">
        <v>-635.59799999999996</v>
      </c>
      <c r="E31" s="3">
        <v>519.34699999999998</v>
      </c>
      <c r="F31" s="3">
        <v>113.15600000000001</v>
      </c>
      <c r="G31" s="3">
        <v>-168.61600000000001</v>
      </c>
      <c r="H31" s="3">
        <v>402.83699999999999</v>
      </c>
      <c r="I31" s="3">
        <v>178.67599999999999</v>
      </c>
      <c r="J31" s="3">
        <v>-621.92600000000004</v>
      </c>
      <c r="K31" s="3">
        <v>-1682.9749999999999</v>
      </c>
      <c r="L31" s="3">
        <v>-860.01700000000005</v>
      </c>
      <c r="M31" s="3">
        <v>-1343.336</v>
      </c>
      <c r="N31" s="3">
        <v>-1943.25</v>
      </c>
      <c r="O31" s="3">
        <v>-1009.028</v>
      </c>
      <c r="P31" s="3">
        <v>-1633.018</v>
      </c>
      <c r="Q31" s="3">
        <v>-1480.9110000000001</v>
      </c>
      <c r="R31" s="3">
        <v>-2249.4409999999998</v>
      </c>
      <c r="S31" s="3">
        <v>-2149.355</v>
      </c>
      <c r="T31" s="3">
        <v>-2198.4520000000002</v>
      </c>
      <c r="U31" s="3">
        <v>-2856.32</v>
      </c>
      <c r="V31" s="3">
        <f t="shared" ca="1" si="4"/>
        <v>-2856.32</v>
      </c>
      <c r="W31" s="16">
        <f t="shared" ca="1" si="5"/>
        <v>1</v>
      </c>
      <c r="X31" t="str">
        <f t="shared" ca="1" si="6"/>
        <v>No Change</v>
      </c>
      <c r="Y31" s="16"/>
      <c r="Z31" s="3"/>
      <c r="AA31">
        <f t="shared" ca="1" si="0"/>
        <v>-2856.32</v>
      </c>
      <c r="AB31" s="3">
        <f t="shared" ca="1" si="7"/>
        <v>-452.77991162236231</v>
      </c>
      <c r="AC31" s="3">
        <f t="shared" ca="1" si="8"/>
        <v>-2996.8445000000065</v>
      </c>
      <c r="AD31" s="3">
        <f t="shared" ca="1" si="9"/>
        <v>-3108.3406666666269</v>
      </c>
      <c r="AE31" s="3" t="str">
        <f t="shared" si="1"/>
        <v/>
      </c>
      <c r="AI31" s="3">
        <f t="shared" si="2"/>
        <v>-49.097000000000207</v>
      </c>
      <c r="AJ31" s="7">
        <f t="shared" ca="1" si="3"/>
        <v>0.7656608726087577</v>
      </c>
      <c r="AK31" s="7">
        <f t="shared" ca="1" si="3"/>
        <v>0.80181711292803559</v>
      </c>
      <c r="AN31" s="7" t="str">
        <f>IFERROR(INDEX('MS Stats list'!P:P, MATCH(B31,'MS Stats list'!B:B,0)),"")</f>
        <v/>
      </c>
    </row>
    <row r="32" spans="1:40">
      <c r="A32">
        <v>27</v>
      </c>
      <c r="B32" t="s">
        <v>79</v>
      </c>
      <c r="C32" t="s">
        <v>79</v>
      </c>
      <c r="D32" s="3">
        <v>-27.945</v>
      </c>
      <c r="E32" s="3">
        <v>3.7829999999999999</v>
      </c>
      <c r="F32" s="3">
        <v>19.690000000000001</v>
      </c>
      <c r="G32" s="3">
        <v>-137.489</v>
      </c>
      <c r="H32" s="3">
        <v>-263.02699999999999</v>
      </c>
      <c r="I32" s="3">
        <v>-182.28700000000001</v>
      </c>
      <c r="J32" s="3">
        <v>-117.971</v>
      </c>
      <c r="K32" s="3">
        <v>-89.337999999999994</v>
      </c>
      <c r="L32" s="3">
        <v>-110.92</v>
      </c>
      <c r="M32" s="3">
        <v>-235.85599999999999</v>
      </c>
      <c r="N32" s="3">
        <v>-4.1269999999999998</v>
      </c>
      <c r="O32" s="3">
        <v>-101.11799999999999</v>
      </c>
      <c r="P32" s="3">
        <v>-44.338999999999999</v>
      </c>
      <c r="Q32" s="3">
        <v>-43.177999999999997</v>
      </c>
      <c r="R32" s="3">
        <v>-27.390999999999998</v>
      </c>
      <c r="S32" s="3">
        <v>-172.23599999999999</v>
      </c>
      <c r="T32" s="3">
        <v>-23.251999999999999</v>
      </c>
      <c r="U32" s="3">
        <v>124.32599999999999</v>
      </c>
      <c r="V32" s="3">
        <f t="shared" ca="1" si="4"/>
        <v>-129.47399999999999</v>
      </c>
      <c r="W32" s="16">
        <f t="shared" ca="1" si="5"/>
        <v>5</v>
      </c>
      <c r="X32" t="str">
        <f t="shared" ca="1" si="6"/>
        <v>Based on MS Stats</v>
      </c>
      <c r="Y32" s="16"/>
      <c r="Z32" s="3"/>
      <c r="AA32">
        <f t="shared" ca="1" si="0"/>
        <v>124.32599999999999</v>
      </c>
      <c r="AB32" s="3">
        <f ca="1">IFERROR($AA32*(1+AB67),0)</f>
        <v>5.8818023198515457</v>
      </c>
      <c r="AC32" s="3">
        <f t="shared" ca="1" si="8"/>
        <v>73.39790000001085</v>
      </c>
      <c r="AD32" s="3">
        <f t="shared" ca="1" si="9"/>
        <v>272.84133333328646</v>
      </c>
      <c r="AE32" s="3">
        <f t="shared" ca="1" si="1"/>
        <v>-129.47399999999999</v>
      </c>
      <c r="AI32" s="3">
        <f t="shared" si="2"/>
        <v>148.98399999999998</v>
      </c>
      <c r="AJ32" s="7">
        <f t="shared" ca="1" si="3"/>
        <v>0.25987549369966589</v>
      </c>
      <c r="AK32" s="7">
        <f t="shared" ca="1" si="3"/>
        <v>0.99999250770051229</v>
      </c>
      <c r="AN32" s="7" t="str">
        <f>IFERROR(INDEX('MS Stats list'!P:P, MATCH(B32,'MS Stats list'!B:B,0)),"")</f>
        <v>Statistical Office of Slovenia - Energy balance</v>
      </c>
    </row>
    <row r="33" spans="1:40">
      <c r="A33">
        <v>28</v>
      </c>
      <c r="B33" t="s">
        <v>188</v>
      </c>
      <c r="C33" t="s">
        <v>188</v>
      </c>
      <c r="D33" s="3">
        <v>-280.73899999999998</v>
      </c>
      <c r="E33" s="3">
        <v>-200.43</v>
      </c>
      <c r="F33" s="3">
        <v>148.32300000000001</v>
      </c>
      <c r="G33" s="3">
        <v>44.798000000000002</v>
      </c>
      <c r="H33" s="3">
        <v>112.812</v>
      </c>
      <c r="I33" s="3">
        <v>89.51</v>
      </c>
      <c r="J33" s="3">
        <v>62.511000000000003</v>
      </c>
      <c r="K33" s="3">
        <v>33.792000000000002</v>
      </c>
      <c r="L33" s="3">
        <v>7.8250000000000002</v>
      </c>
      <c r="M33" s="3">
        <v>94.754999999999995</v>
      </c>
      <c r="N33" s="3">
        <v>205.33099999999999</v>
      </c>
      <c r="O33" s="3">
        <v>227.94499999999999</v>
      </c>
      <c r="P33" s="3">
        <v>260.36099999999999</v>
      </c>
      <c r="Q33" s="3">
        <v>316.59500000000003</v>
      </c>
      <c r="R33" s="3">
        <v>146.17400000000001</v>
      </c>
      <c r="S33" s="3">
        <v>27.428999999999998</v>
      </c>
      <c r="T33" s="3">
        <v>66.552000000000007</v>
      </c>
      <c r="U33" s="3">
        <v>121.41</v>
      </c>
      <c r="V33" s="3">
        <f t="shared" ca="1" si="4"/>
        <v>165.7780000000057</v>
      </c>
      <c r="W33" s="16">
        <f t="shared" ca="1" si="5"/>
        <v>4</v>
      </c>
      <c r="X33" t="str">
        <f t="shared" ca="1" si="6"/>
        <v>3yr lin trend</v>
      </c>
      <c r="Y33" s="16"/>
      <c r="Z33" s="3"/>
      <c r="AA33">
        <f t="shared" ca="1" si="0"/>
        <v>121.41</v>
      </c>
      <c r="AB33" s="3">
        <f t="shared" ca="1" si="7"/>
        <v>17.760386190754808</v>
      </c>
      <c r="AC33" s="3">
        <f t="shared" ca="1" si="8"/>
        <v>-5.3656000000046333</v>
      </c>
      <c r="AD33" s="3">
        <f t="shared" ca="1" si="9"/>
        <v>165.7780000000057</v>
      </c>
      <c r="AE33" s="3" t="str">
        <f t="shared" si="1"/>
        <v/>
      </c>
      <c r="AI33" s="3">
        <f t="shared" si="2"/>
        <v>39.123000000000005</v>
      </c>
      <c r="AJ33" s="7">
        <f t="shared" ca="1" si="3"/>
        <v>0.44587864305864744</v>
      </c>
      <c r="AK33" s="7">
        <f t="shared" ca="1" si="3"/>
        <v>0.99074251713090111</v>
      </c>
      <c r="AN33" s="7" t="str">
        <f>IFERROR(INDEX('MS Stats list'!P:P, MATCH(B33,'MS Stats list'!B:B,0)),"")</f>
        <v/>
      </c>
    </row>
    <row r="34" spans="1:40">
      <c r="A34">
        <v>29</v>
      </c>
      <c r="B34" t="s">
        <v>163</v>
      </c>
      <c r="C34" t="s">
        <v>163</v>
      </c>
      <c r="D34" s="3">
        <v>715.47699999999998</v>
      </c>
      <c r="E34" s="3">
        <v>646.346</v>
      </c>
      <c r="F34" s="3">
        <v>448.40899999999999</v>
      </c>
      <c r="G34" s="3">
        <v>947.80700000000002</v>
      </c>
      <c r="H34" s="3">
        <v>246.00200000000001</v>
      </c>
      <c r="I34" s="3">
        <v>228.80500000000001</v>
      </c>
      <c r="J34" s="3">
        <v>535.08199999999999</v>
      </c>
      <c r="K34" s="3">
        <v>1020.12</v>
      </c>
      <c r="L34" s="3">
        <v>1240.8430000000001</v>
      </c>
      <c r="M34" s="3">
        <v>1764.4880000000001</v>
      </c>
      <c r="N34" s="3">
        <v>1814.751</v>
      </c>
      <c r="O34" s="3">
        <v>1525.8</v>
      </c>
      <c r="P34" s="3">
        <v>1269.126</v>
      </c>
      <c r="Q34" s="3">
        <v>1642.962</v>
      </c>
      <c r="R34" s="3">
        <v>1820.3330000000001</v>
      </c>
      <c r="S34" s="3">
        <v>0</v>
      </c>
      <c r="T34" s="3">
        <v>0</v>
      </c>
      <c r="U34" s="3">
        <v>0</v>
      </c>
      <c r="V34" s="3">
        <f t="shared" ca="1" si="4"/>
        <v>0</v>
      </c>
      <c r="W34" s="16">
        <f t="shared" ca="1" si="5"/>
        <v>2</v>
      </c>
      <c r="X34" t="str">
        <f t="shared" ca="1" si="6"/>
        <v>Eurostat</v>
      </c>
      <c r="Y34" s="16"/>
      <c r="Z34" s="3"/>
      <c r="AA34">
        <f t="shared" ca="1" si="0"/>
        <v>0</v>
      </c>
      <c r="AB34" s="3">
        <f t="shared" ca="1" si="7"/>
        <v>0</v>
      </c>
      <c r="AC34" s="3">
        <f t="shared" ca="1" si="8"/>
        <v>-839.21810000005644</v>
      </c>
      <c r="AD34" s="3">
        <f t="shared" ca="1" si="9"/>
        <v>0</v>
      </c>
      <c r="AE34" s="3" t="str">
        <f>IF(ISNUMBER(AE69),$AA34*(1+AE69),"")</f>
        <v/>
      </c>
      <c r="AI34" s="3">
        <f t="shared" si="2"/>
        <v>0</v>
      </c>
      <c r="AJ34" s="7">
        <f t="shared" ca="1" si="3"/>
        <v>0.72145743196522283</v>
      </c>
      <c r="AK34" s="7">
        <f t="shared" ca="1" si="3"/>
        <v>0</v>
      </c>
      <c r="AN34" s="7" t="str">
        <f>IFERROR(INDEX('MS Stats list'!P:P, MATCH(B34,'MS Stats list'!B:B,0)),"")</f>
        <v>BEIS - Digest of UK Energy Statistics (DUKES)</v>
      </c>
    </row>
    <row r="35" spans="1:40">
      <c r="B35" s="40" t="s">
        <v>189</v>
      </c>
      <c r="C35" s="40" t="s">
        <v>189</v>
      </c>
      <c r="D35" s="41">
        <f>SUM(D7:D34)</f>
        <v>1347.8830000000003</v>
      </c>
      <c r="E35" s="41">
        <f t="shared" ref="E35:V35" si="10">SUM(E7:E34)</f>
        <v>685.32300000000066</v>
      </c>
      <c r="F35" s="41">
        <f t="shared" si="10"/>
        <v>1360.1440000000018</v>
      </c>
      <c r="G35" s="41">
        <f t="shared" si="10"/>
        <v>1984.2050000000006</v>
      </c>
      <c r="H35" s="41">
        <f t="shared" si="10"/>
        <v>1732.0649999999987</v>
      </c>
      <c r="I35" s="41">
        <f t="shared" si="10"/>
        <v>650.07599999999957</v>
      </c>
      <c r="J35" s="41">
        <f t="shared" si="10"/>
        <v>618.1779999999992</v>
      </c>
      <c r="K35" s="41">
        <f t="shared" si="10"/>
        <v>1603.5789999999988</v>
      </c>
      <c r="L35" s="41">
        <f t="shared" si="10"/>
        <v>1084.3219999999997</v>
      </c>
      <c r="M35" s="41">
        <f t="shared" si="10"/>
        <v>1332.5510000000004</v>
      </c>
      <c r="N35" s="41">
        <f t="shared" si="10"/>
        <v>1240.7950000000001</v>
      </c>
      <c r="O35" s="41">
        <f t="shared" si="10"/>
        <v>1581.3809999999992</v>
      </c>
      <c r="P35" s="41">
        <f t="shared" si="10"/>
        <v>875.68699999999956</v>
      </c>
      <c r="Q35" s="41">
        <f t="shared" si="10"/>
        <v>2403.9699999999989</v>
      </c>
      <c r="R35" s="41">
        <f t="shared" ref="R35:S35" si="11">SUM(R7:R34)</f>
        <v>2073.5339999999987</v>
      </c>
      <c r="S35" s="41">
        <f t="shared" si="11"/>
        <v>1200.5419999999999</v>
      </c>
      <c r="T35" s="41">
        <f t="shared" ref="T35:U35" si="12">SUM(T7:T34)</f>
        <v>629.18499999999892</v>
      </c>
      <c r="U35" s="41">
        <f t="shared" si="12"/>
        <v>1114.5019999999997</v>
      </c>
      <c r="V35" s="41">
        <f t="shared" ca="1" si="10"/>
        <v>-2401.5604628729479</v>
      </c>
    </row>
    <row r="36" spans="1:40">
      <c r="B36" s="40" t="s">
        <v>190</v>
      </c>
      <c r="C36" s="40" t="s">
        <v>190</v>
      </c>
      <c r="D36" s="41">
        <f>SUM(D7:D33)</f>
        <v>632.40600000000018</v>
      </c>
      <c r="E36" s="41">
        <f t="shared" ref="E36:V36" si="13">SUM(E7:E33)</f>
        <v>38.977000000000629</v>
      </c>
      <c r="F36" s="41">
        <f t="shared" si="13"/>
        <v>911.73500000000183</v>
      </c>
      <c r="G36" s="41">
        <f t="shared" si="13"/>
        <v>1036.3980000000006</v>
      </c>
      <c r="H36" s="41">
        <f t="shared" si="13"/>
        <v>1486.0629999999987</v>
      </c>
      <c r="I36" s="41">
        <f t="shared" si="13"/>
        <v>421.2709999999995</v>
      </c>
      <c r="J36" s="41">
        <f t="shared" si="13"/>
        <v>83.095999999999236</v>
      </c>
      <c r="K36" s="41">
        <f t="shared" si="13"/>
        <v>583.45899999999881</v>
      </c>
      <c r="L36" s="41">
        <f t="shared" si="13"/>
        <v>-156.52100000000053</v>
      </c>
      <c r="M36" s="41">
        <f t="shared" si="13"/>
        <v>-431.93699999999956</v>
      </c>
      <c r="N36" s="41">
        <f t="shared" si="13"/>
        <v>-573.95599999999979</v>
      </c>
      <c r="O36" s="41">
        <f t="shared" si="13"/>
        <v>55.580999999999221</v>
      </c>
      <c r="P36" s="41">
        <f t="shared" si="13"/>
        <v>-393.43900000000042</v>
      </c>
      <c r="Q36" s="41">
        <f t="shared" si="13"/>
        <v>761.00799999999879</v>
      </c>
      <c r="R36" s="41">
        <f t="shared" ref="R36:S36" si="14">SUM(R7:R33)</f>
        <v>253.20099999999877</v>
      </c>
      <c r="S36" s="41">
        <f t="shared" si="14"/>
        <v>1200.5419999999999</v>
      </c>
      <c r="T36" s="41">
        <f t="shared" ref="T36:U36" si="15">SUM(T7:T33)</f>
        <v>629.18499999999892</v>
      </c>
      <c r="U36" s="41">
        <f t="shared" si="15"/>
        <v>1114.5019999999997</v>
      </c>
      <c r="V36" s="41">
        <f t="shared" ca="1" si="13"/>
        <v>-2401.5604628729479</v>
      </c>
    </row>
    <row r="40" spans="1:40">
      <c r="A40" s="5" t="s">
        <v>191</v>
      </c>
      <c r="D40" t="s">
        <v>173</v>
      </c>
      <c r="AA40" t="str">
        <f>AA5</f>
        <v>No Change</v>
      </c>
      <c r="AB40" t="str">
        <f t="shared" ref="AB40:AE40" si="16">AB5</f>
        <v>Eurostat</v>
      </c>
      <c r="AC40" t="str">
        <f t="shared" si="16"/>
        <v>5yr lin trend</v>
      </c>
      <c r="AD40" t="str">
        <f t="shared" si="16"/>
        <v>3yr lin trend</v>
      </c>
      <c r="AE40" t="str">
        <f t="shared" si="16"/>
        <v>Based on MS Stats</v>
      </c>
    </row>
    <row r="41" spans="1:40">
      <c r="A41" t="str">
        <f t="shared" ref="A41:AB41" si="17">A6</f>
        <v>source row</v>
      </c>
      <c r="B41" t="str">
        <f t="shared" si="17"/>
        <v>MS Code 1</v>
      </c>
      <c r="C41" t="str">
        <f t="shared" si="17"/>
        <v>MS Code 2</v>
      </c>
      <c r="D41" s="1">
        <f t="shared" si="17"/>
        <v>2005</v>
      </c>
      <c r="E41" s="1">
        <f t="shared" si="17"/>
        <v>2006</v>
      </c>
      <c r="F41" s="1">
        <f t="shared" si="17"/>
        <v>2007</v>
      </c>
      <c r="G41" s="1">
        <f t="shared" si="17"/>
        <v>2008</v>
      </c>
      <c r="H41" s="1">
        <f t="shared" si="17"/>
        <v>2009</v>
      </c>
      <c r="I41" s="1">
        <f t="shared" si="17"/>
        <v>2010</v>
      </c>
      <c r="J41" s="1">
        <f t="shared" si="17"/>
        <v>2011</v>
      </c>
      <c r="K41" s="1">
        <f t="shared" si="17"/>
        <v>2012</v>
      </c>
      <c r="L41" s="1">
        <f t="shared" si="17"/>
        <v>2013</v>
      </c>
      <c r="M41" s="1">
        <f t="shared" si="17"/>
        <v>2014</v>
      </c>
      <c r="N41" s="1">
        <f t="shared" si="17"/>
        <v>2015</v>
      </c>
      <c r="O41" s="1">
        <f t="shared" si="17"/>
        <v>2016</v>
      </c>
      <c r="P41" s="1">
        <f t="shared" si="17"/>
        <v>2017</v>
      </c>
      <c r="Q41" s="1">
        <f t="shared" si="17"/>
        <v>2018</v>
      </c>
      <c r="R41" s="1">
        <f t="shared" ref="R41" si="18">R6</f>
        <v>2019</v>
      </c>
      <c r="S41" s="1">
        <f t="shared" si="17"/>
        <v>2020</v>
      </c>
      <c r="T41" s="1">
        <f t="shared" ref="T41:U41" si="19">T6</f>
        <v>2021</v>
      </c>
      <c r="U41" s="1">
        <f t="shared" si="19"/>
        <v>2022</v>
      </c>
      <c r="V41" s="2">
        <f>YearProxy</f>
        <v>2023</v>
      </c>
      <c r="W41" s="1"/>
      <c r="X41" s="1"/>
      <c r="Y41" s="1"/>
      <c r="Z41" s="1"/>
      <c r="AA41" s="2">
        <f t="shared" si="17"/>
        <v>2023</v>
      </c>
      <c r="AB41" s="2">
        <f t="shared" si="17"/>
        <v>2023</v>
      </c>
      <c r="AC41" s="2">
        <f>AB41</f>
        <v>2023</v>
      </c>
      <c r="AD41" s="2">
        <f>AC41</f>
        <v>2023</v>
      </c>
      <c r="AE41" s="2">
        <f>AD41</f>
        <v>2023</v>
      </c>
    </row>
    <row r="42" spans="1:40">
      <c r="A42">
        <f t="shared" ref="A42:C69" si="20">A7</f>
        <v>2</v>
      </c>
      <c r="B42" t="str">
        <f t="shared" si="20"/>
        <v>AT</v>
      </c>
      <c r="C42" t="str">
        <f t="shared" si="20"/>
        <v>AT</v>
      </c>
      <c r="D42" s="8"/>
      <c r="E42" s="8">
        <f t="shared" ref="E42:M42" si="21">IFERROR(E7/D7-1,0)</f>
        <v>1.4183834058154123</v>
      </c>
      <c r="F42" s="8">
        <f t="shared" si="21"/>
        <v>-5.1702772757102444E-2</v>
      </c>
      <c r="G42" s="8">
        <f t="shared" si="21"/>
        <v>-0.19191907476460279</v>
      </c>
      <c r="H42" s="8">
        <f t="shared" si="21"/>
        <v>-0.83952501471172203</v>
      </c>
      <c r="I42" s="8">
        <f t="shared" si="21"/>
        <v>2.1231292111382745</v>
      </c>
      <c r="J42" s="8">
        <f t="shared" si="21"/>
        <v>2.3650483027225171</v>
      </c>
      <c r="K42" s="8">
        <f t="shared" si="21"/>
        <v>-0.65814773523512882</v>
      </c>
      <c r="L42" s="8">
        <f t="shared" si="21"/>
        <v>1.5938418004082786</v>
      </c>
      <c r="M42" s="8">
        <f t="shared" si="21"/>
        <v>0.27567276176643229</v>
      </c>
      <c r="N42" s="8">
        <f t="shared" ref="N42:R69" si="22">IFERROR(N7/M7-1,0)</f>
        <v>8.4831902372840551E-2</v>
      </c>
      <c r="O42" s="8">
        <f t="shared" si="22"/>
        <v>-0.28844977951417983</v>
      </c>
      <c r="P42" s="8">
        <f t="shared" si="22"/>
        <v>-8.5674323856741674E-2</v>
      </c>
      <c r="Q42" s="8">
        <f t="shared" si="22"/>
        <v>0.36677818305862875</v>
      </c>
      <c r="R42" s="8">
        <f t="shared" si="22"/>
        <v>-0.65031256215170674</v>
      </c>
      <c r="S42" s="8">
        <f t="shared" ref="S42:S71" si="23">IFERROR(S7/R7-1,0)</f>
        <v>-0.29814505036987471</v>
      </c>
      <c r="T42" s="8">
        <f t="shared" ref="T42:T71" si="24">IFERROR(T7/S7-1,0)</f>
        <v>2.4352457019374385</v>
      </c>
      <c r="U42" s="8">
        <f t="shared" ref="U42:V71" si="25">IFERROR(U7/T7-1,0)</f>
        <v>0.1540036540522205</v>
      </c>
      <c r="V42" s="8">
        <f t="shared" ca="1" si="25"/>
        <v>0</v>
      </c>
      <c r="W42" s="8"/>
      <c r="X42" s="8"/>
      <c r="Y42" s="8"/>
      <c r="Z42" s="8"/>
      <c r="AA42" s="8">
        <v>0</v>
      </c>
      <c r="AB42" s="8">
        <v>8.2391541038523997</v>
      </c>
      <c r="AC42" s="8">
        <f ca="1">AC7/$AA7-1</f>
        <v>-0.16333520824175485</v>
      </c>
      <c r="AD42" s="8">
        <f ca="1">AD7/$AA7-1</f>
        <v>0.45401464209968334</v>
      </c>
      <c r="AE42" s="8"/>
    </row>
    <row r="43" spans="1:40">
      <c r="A43">
        <f t="shared" si="20"/>
        <v>3</v>
      </c>
      <c r="B43" t="str">
        <f t="shared" si="20"/>
        <v>BE</v>
      </c>
      <c r="C43" t="str">
        <f t="shared" si="20"/>
        <v>BE</v>
      </c>
      <c r="D43" s="8"/>
      <c r="E43" s="8">
        <f t="shared" ref="E43:M43" si="26">IFERROR(E8/D8-1,0)</f>
        <v>0.61120089438903702</v>
      </c>
      <c r="F43" s="8">
        <f t="shared" si="26"/>
        <v>-0.33257876326079616</v>
      </c>
      <c r="G43" s="8">
        <f t="shared" si="26"/>
        <v>0.56321014807278913</v>
      </c>
      <c r="H43" s="8">
        <f t="shared" si="26"/>
        <v>-1.1731626531808275</v>
      </c>
      <c r="I43" s="8">
        <f t="shared" si="26"/>
        <v>-1.3002687252031284</v>
      </c>
      <c r="J43" s="8">
        <f t="shared" si="26"/>
        <v>3.6044072018067839</v>
      </c>
      <c r="K43" s="8">
        <f t="shared" si="26"/>
        <v>2.9164309650091913</v>
      </c>
      <c r="L43" s="8">
        <f t="shared" si="26"/>
        <v>-2.9790177704010823E-2</v>
      </c>
      <c r="M43" s="8">
        <f t="shared" si="26"/>
        <v>0.82603744038721616</v>
      </c>
      <c r="N43" s="8">
        <f t="shared" si="22"/>
        <v>0.19292131401849644</v>
      </c>
      <c r="O43" s="8">
        <f t="shared" si="22"/>
        <v>-0.70555757705657263</v>
      </c>
      <c r="P43" s="8">
        <f t="shared" si="22"/>
        <v>-2.6104032412789135E-2</v>
      </c>
      <c r="Q43" s="8">
        <f t="shared" si="22"/>
        <v>1.8775600466621856</v>
      </c>
      <c r="R43" s="8">
        <f t="shared" si="22"/>
        <v>-1.1070322310871155</v>
      </c>
      <c r="S43" s="8">
        <f t="shared" si="23"/>
        <v>-0.820502047445553</v>
      </c>
      <c r="T43" s="8">
        <f t="shared" si="24"/>
        <v>22.660459754052543</v>
      </c>
      <c r="U43" s="8">
        <f t="shared" si="25"/>
        <v>-4.4309619538815959E-2</v>
      </c>
      <c r="V43" s="8">
        <f t="shared" ca="1" si="25"/>
        <v>0.29568693359886522</v>
      </c>
      <c r="W43" s="8"/>
      <c r="X43" s="8"/>
      <c r="Y43" s="8"/>
      <c r="Z43" s="8"/>
      <c r="AA43" s="8">
        <v>0</v>
      </c>
      <c r="AB43" s="8">
        <v>0.29568693359886533</v>
      </c>
      <c r="AC43" s="8">
        <f t="shared" ref="AC43:AD69" ca="1" si="27">AC8/$AA8-1</f>
        <v>1.2281471707909435</v>
      </c>
      <c r="AD43" s="8">
        <f t="shared" ca="1" si="27"/>
        <v>0.65263855585478736</v>
      </c>
      <c r="AE43" s="8"/>
    </row>
    <row r="44" spans="1:40">
      <c r="A44">
        <f t="shared" si="20"/>
        <v>4</v>
      </c>
      <c r="B44" t="str">
        <f t="shared" si="20"/>
        <v>BG</v>
      </c>
      <c r="C44" t="str">
        <f t="shared" si="20"/>
        <v>BG</v>
      </c>
      <c r="D44" s="8"/>
      <c r="E44" s="8">
        <f t="shared" ref="E44:M44" si="28">IFERROR(E9/D9-1,0)</f>
        <v>2.1368445759677446E-2</v>
      </c>
      <c r="F44" s="8">
        <f t="shared" si="28"/>
        <v>-0.42205810345190142</v>
      </c>
      <c r="G44" s="8">
        <f t="shared" si="28"/>
        <v>0.19418838248250303</v>
      </c>
      <c r="H44" s="8">
        <f t="shared" si="28"/>
        <v>-5.071153272789386E-2</v>
      </c>
      <c r="I44" s="8">
        <f t="shared" si="28"/>
        <v>0.66489377554739915</v>
      </c>
      <c r="J44" s="8">
        <f t="shared" si="28"/>
        <v>0.26225481083686186</v>
      </c>
      <c r="K44" s="8">
        <f t="shared" si="28"/>
        <v>-0.22071145796629366</v>
      </c>
      <c r="L44" s="8">
        <f t="shared" si="28"/>
        <v>-0.25601833251908357</v>
      </c>
      <c r="M44" s="8">
        <f t="shared" si="28"/>
        <v>0.52968935217415836</v>
      </c>
      <c r="N44" s="8">
        <f t="shared" si="22"/>
        <v>0.11845497574367991</v>
      </c>
      <c r="O44" s="8">
        <f t="shared" si="22"/>
        <v>-0.39744700787211062</v>
      </c>
      <c r="P44" s="8">
        <f t="shared" si="22"/>
        <v>-0.13992878171467793</v>
      </c>
      <c r="Q44" s="8">
        <f t="shared" si="22"/>
        <v>0.42459791140999981</v>
      </c>
      <c r="R44" s="8">
        <f t="shared" si="22"/>
        <v>-0.25580321431710284</v>
      </c>
      <c r="S44" s="8">
        <f t="shared" si="23"/>
        <v>-0.41342631699046817</v>
      </c>
      <c r="T44" s="8">
        <f t="shared" si="24"/>
        <v>1.5757190046545912</v>
      </c>
      <c r="U44" s="8">
        <f t="shared" si="25"/>
        <v>0.3891764562486173</v>
      </c>
      <c r="V44" s="8">
        <f t="shared" ca="1" si="25"/>
        <v>0.38696649687644236</v>
      </c>
      <c r="W44" s="8"/>
      <c r="X44" s="8"/>
      <c r="Y44" s="8"/>
      <c r="Z44" s="8"/>
      <c r="AA44" s="8">
        <v>0</v>
      </c>
      <c r="AB44" s="8">
        <v>-1.0944074310397223</v>
      </c>
      <c r="AC44" s="8">
        <f t="shared" ca="1" si="27"/>
        <v>-8.7915490835425936E-2</v>
      </c>
      <c r="AD44" s="8">
        <f t="shared" ca="1" si="27"/>
        <v>0.38696649687644236</v>
      </c>
      <c r="AE44" s="8"/>
    </row>
    <row r="45" spans="1:40">
      <c r="A45">
        <f t="shared" si="20"/>
        <v>5</v>
      </c>
      <c r="B45" t="str">
        <f t="shared" si="20"/>
        <v>CY</v>
      </c>
      <c r="C45" t="str">
        <f t="shared" si="20"/>
        <v>CY</v>
      </c>
      <c r="D45" s="8"/>
      <c r="E45" s="8">
        <f t="shared" ref="E45:M45" si="29">IFERROR(E10/D10-1,0)</f>
        <v>0</v>
      </c>
      <c r="F45" s="8">
        <f t="shared" si="29"/>
        <v>0</v>
      </c>
      <c r="G45" s="8">
        <f t="shared" si="29"/>
        <v>0</v>
      </c>
      <c r="H45" s="8">
        <f t="shared" si="29"/>
        <v>0</v>
      </c>
      <c r="I45" s="8">
        <f t="shared" si="29"/>
        <v>0</v>
      </c>
      <c r="J45" s="8">
        <f t="shared" si="29"/>
        <v>0</v>
      </c>
      <c r="K45" s="8">
        <f t="shared" si="29"/>
        <v>0</v>
      </c>
      <c r="L45" s="8">
        <f t="shared" si="29"/>
        <v>0</v>
      </c>
      <c r="M45" s="8">
        <f t="shared" si="29"/>
        <v>0</v>
      </c>
      <c r="N45" s="8">
        <f t="shared" si="22"/>
        <v>0</v>
      </c>
      <c r="O45" s="8">
        <f t="shared" si="22"/>
        <v>0</v>
      </c>
      <c r="P45" s="8">
        <f t="shared" si="22"/>
        <v>0</v>
      </c>
      <c r="Q45" s="8">
        <f t="shared" si="22"/>
        <v>0</v>
      </c>
      <c r="R45" s="8">
        <f t="shared" si="22"/>
        <v>0</v>
      </c>
      <c r="S45" s="8">
        <f t="shared" si="23"/>
        <v>0</v>
      </c>
      <c r="T45" s="8">
        <f t="shared" si="24"/>
        <v>0</v>
      </c>
      <c r="U45" s="8">
        <f t="shared" si="25"/>
        <v>0</v>
      </c>
      <c r="V45" s="8">
        <f t="shared" ca="1" si="25"/>
        <v>0</v>
      </c>
      <c r="W45" s="8"/>
      <c r="X45" s="8"/>
      <c r="Y45" s="8"/>
      <c r="Z45" s="8"/>
      <c r="AA45" s="8">
        <v>0</v>
      </c>
      <c r="AB45" s="8" t="s">
        <v>209</v>
      </c>
      <c r="AC45" s="8" t="e">
        <f t="shared" ca="1" si="27"/>
        <v>#DIV/0!</v>
      </c>
      <c r="AD45" s="8" t="e">
        <f t="shared" ca="1" si="27"/>
        <v>#DIV/0!</v>
      </c>
      <c r="AE45" s="8"/>
    </row>
    <row r="46" spans="1:40">
      <c r="A46">
        <f t="shared" si="20"/>
        <v>6</v>
      </c>
      <c r="B46" t="str">
        <f t="shared" si="20"/>
        <v>CZ</v>
      </c>
      <c r="C46" t="str">
        <f t="shared" si="20"/>
        <v>CZ</v>
      </c>
      <c r="D46" s="8"/>
      <c r="E46" s="8">
        <f t="shared" ref="E46:M46" si="30">IFERROR(E11/D11-1,0)</f>
        <v>-2.3657679816779797E-4</v>
      </c>
      <c r="F46" s="8">
        <f t="shared" si="30"/>
        <v>0.27883720309261562</v>
      </c>
      <c r="G46" s="8">
        <f t="shared" si="30"/>
        <v>-0.28997744991028918</v>
      </c>
      <c r="H46" s="8">
        <f t="shared" si="30"/>
        <v>0.18964240951735833</v>
      </c>
      <c r="I46" s="8">
        <f t="shared" si="30"/>
        <v>9.5573287145203745E-2</v>
      </c>
      <c r="J46" s="8">
        <f t="shared" si="30"/>
        <v>0.14021895328472711</v>
      </c>
      <c r="K46" s="8">
        <f t="shared" si="30"/>
        <v>4.4591680768601982E-3</v>
      </c>
      <c r="L46" s="8">
        <f t="shared" si="30"/>
        <v>-1.3609545838980219E-2</v>
      </c>
      <c r="M46" s="8">
        <f t="shared" si="30"/>
        <v>-3.4760516549003029E-2</v>
      </c>
      <c r="N46" s="8">
        <f t="shared" si="22"/>
        <v>-0.23220895752410908</v>
      </c>
      <c r="O46" s="8">
        <f t="shared" si="22"/>
        <v>-0.12313213690971803</v>
      </c>
      <c r="P46" s="8">
        <f t="shared" si="22"/>
        <v>0.18798445093970484</v>
      </c>
      <c r="Q46" s="8">
        <f t="shared" si="22"/>
        <v>6.6745467115680635E-2</v>
      </c>
      <c r="R46" s="8">
        <f t="shared" si="22"/>
        <v>-5.8279220100435292E-2</v>
      </c>
      <c r="S46" s="8">
        <f t="shared" si="23"/>
        <v>-0.22477122470817545</v>
      </c>
      <c r="T46" s="8">
        <f t="shared" si="24"/>
        <v>9.0851087470747105E-2</v>
      </c>
      <c r="U46" s="8">
        <f t="shared" si="25"/>
        <v>0.22153709803938026</v>
      </c>
      <c r="V46" s="8">
        <f t="shared" ca="1" si="25"/>
        <v>0.10590653424689922</v>
      </c>
      <c r="W46" s="8"/>
      <c r="X46" s="8"/>
      <c r="Y46" s="8"/>
      <c r="Z46" s="8"/>
      <c r="AA46" s="8">
        <v>0</v>
      </c>
      <c r="AB46" s="8">
        <v>-0.92952819126063468</v>
      </c>
      <c r="AC46" s="8">
        <f t="shared" ca="1" si="27"/>
        <v>-0.14857621310941849</v>
      </c>
      <c r="AD46" s="8">
        <f t="shared" ca="1" si="27"/>
        <v>0.10590653424689922</v>
      </c>
      <c r="AE46" s="8"/>
    </row>
    <row r="47" spans="1:40">
      <c r="A47">
        <f t="shared" si="20"/>
        <v>7</v>
      </c>
      <c r="B47" t="str">
        <f t="shared" si="20"/>
        <v>DE</v>
      </c>
      <c r="C47" t="str">
        <f t="shared" si="20"/>
        <v>DE</v>
      </c>
      <c r="D47" s="8"/>
      <c r="E47" s="8">
        <f t="shared" ref="E47:M47" si="31">IFERROR(E12/D12-1,0)</f>
        <v>2.7181365494581065</v>
      </c>
      <c r="F47" s="8">
        <f t="shared" si="31"/>
        <v>-2.4856842807614243E-2</v>
      </c>
      <c r="G47" s="8">
        <f t="shared" si="31"/>
        <v>0.21413457499048105</v>
      </c>
      <c r="H47" s="8">
        <f t="shared" si="31"/>
        <v>-0.38940304543973836</v>
      </c>
      <c r="I47" s="8">
        <f t="shared" si="31"/>
        <v>0.21852897029057461</v>
      </c>
      <c r="J47" s="8">
        <f t="shared" si="31"/>
        <v>-0.74824461330166669</v>
      </c>
      <c r="K47" s="8">
        <f t="shared" si="31"/>
        <v>4.456037710204737</v>
      </c>
      <c r="L47" s="8">
        <f t="shared" si="31"/>
        <v>0.56717964280012256</v>
      </c>
      <c r="M47" s="8">
        <f t="shared" si="31"/>
        <v>5.255807232397669E-2</v>
      </c>
      <c r="N47" s="8">
        <f t="shared" si="22"/>
        <v>0.42487813985926626</v>
      </c>
      <c r="O47" s="8">
        <f t="shared" si="22"/>
        <v>4.6456164692081581E-2</v>
      </c>
      <c r="P47" s="8">
        <f t="shared" si="22"/>
        <v>3.8278064841652526E-2</v>
      </c>
      <c r="Q47" s="8">
        <f t="shared" si="22"/>
        <v>-7.0969627074695452E-2</v>
      </c>
      <c r="R47" s="8">
        <f t="shared" si="22"/>
        <v>-0.32971534469765484</v>
      </c>
      <c r="S47" s="8">
        <f t="shared" si="23"/>
        <v>-0.41748562404053469</v>
      </c>
      <c r="T47" s="8">
        <f t="shared" si="24"/>
        <v>-2.3857733686428184E-2</v>
      </c>
      <c r="U47" s="8">
        <f t="shared" si="25"/>
        <v>0.46734804149607778</v>
      </c>
      <c r="V47" s="8">
        <f t="shared" ca="1" si="25"/>
        <v>-1.4285714285714286</v>
      </c>
      <c r="W47" s="8"/>
      <c r="X47" s="8"/>
      <c r="Y47" s="8"/>
      <c r="Z47" s="8"/>
      <c r="AA47" s="8">
        <v>0</v>
      </c>
      <c r="AB47" s="8">
        <v>-1.16363712456687</v>
      </c>
      <c r="AC47" s="8">
        <f t="shared" ca="1" si="27"/>
        <v>-0.55470354506791542</v>
      </c>
      <c r="AD47" s="8">
        <f t="shared" ca="1" si="27"/>
        <v>9.5061829537621545E-2</v>
      </c>
      <c r="AE47" s="8">
        <v>-1.4285714285714286</v>
      </c>
    </row>
    <row r="48" spans="1:40">
      <c r="A48">
        <f t="shared" si="20"/>
        <v>8</v>
      </c>
      <c r="B48" t="str">
        <f t="shared" si="20"/>
        <v>DK</v>
      </c>
      <c r="C48" t="str">
        <f t="shared" si="20"/>
        <v>DK</v>
      </c>
      <c r="D48" s="8"/>
      <c r="E48" s="8">
        <f t="shared" ref="E48:M48" si="32">IFERROR(E13/D13-1,0)</f>
        <v>-6.0657361548851867</v>
      </c>
      <c r="F48" s="8">
        <f t="shared" si="32"/>
        <v>-0.86301427294513022</v>
      </c>
      <c r="G48" s="8">
        <f t="shared" si="32"/>
        <v>-2.5315786252065862</v>
      </c>
      <c r="H48" s="8">
        <f t="shared" si="32"/>
        <v>-0.77044449950842075</v>
      </c>
      <c r="I48" s="8">
        <f t="shared" si="32"/>
        <v>-4.3981684599045927</v>
      </c>
      <c r="J48" s="8">
        <f t="shared" si="32"/>
        <v>-2.1630051643577342</v>
      </c>
      <c r="K48" s="8">
        <f t="shared" si="32"/>
        <v>2.9499823788546253</v>
      </c>
      <c r="L48" s="8">
        <f t="shared" si="32"/>
        <v>-0.79248220590957863</v>
      </c>
      <c r="M48" s="8">
        <f t="shared" si="32"/>
        <v>1.6386413715268446</v>
      </c>
      <c r="N48" s="8">
        <f t="shared" si="22"/>
        <v>1.0705987306811795</v>
      </c>
      <c r="O48" s="8">
        <f t="shared" si="22"/>
        <v>-0.14454173986775609</v>
      </c>
      <c r="P48" s="8">
        <f t="shared" si="22"/>
        <v>-9.7759594510063663E-2</v>
      </c>
      <c r="Q48" s="8">
        <f t="shared" si="22"/>
        <v>0.14500806733227489</v>
      </c>
      <c r="R48" s="8">
        <f t="shared" si="22"/>
        <v>0.11226522829926999</v>
      </c>
      <c r="S48" s="8">
        <f t="shared" si="23"/>
        <v>0.18443331652136319</v>
      </c>
      <c r="T48" s="8">
        <f t="shared" si="24"/>
        <v>-0.29258442534999451</v>
      </c>
      <c r="U48" s="8">
        <f t="shared" si="25"/>
        <v>-0.72012086612762594</v>
      </c>
      <c r="V48" s="8">
        <f t="shared" ca="1" si="25"/>
        <v>1.298553087426126</v>
      </c>
      <c r="W48" s="8"/>
      <c r="X48" s="8"/>
      <c r="Y48" s="8"/>
      <c r="Z48" s="8"/>
      <c r="AA48" s="8">
        <v>0</v>
      </c>
      <c r="AB48" s="8">
        <v>-1.0783990752135793</v>
      </c>
      <c r="AC48" s="8">
        <f t="shared" ca="1" si="27"/>
        <v>0.63666382179719294</v>
      </c>
      <c r="AD48" s="8">
        <f t="shared" ca="1" si="27"/>
        <v>-1.8428351967227503</v>
      </c>
      <c r="AE48" s="8">
        <v>1.298553087426126</v>
      </c>
    </row>
    <row r="49" spans="1:31">
      <c r="A49">
        <f t="shared" si="20"/>
        <v>9</v>
      </c>
      <c r="B49" t="str">
        <f t="shared" si="20"/>
        <v>EE</v>
      </c>
      <c r="C49" t="str">
        <f t="shared" si="20"/>
        <v>EE</v>
      </c>
      <c r="D49" s="8"/>
      <c r="E49" s="8">
        <f t="shared" ref="E49:M49" si="33">IFERROR(E14/D14-1,0)</f>
        <v>-0.5335845453953697</v>
      </c>
      <c r="F49" s="8">
        <f t="shared" si="33"/>
        <v>2.226693338295497</v>
      </c>
      <c r="G49" s="8">
        <f t="shared" si="33"/>
        <v>-0.61115996981973542</v>
      </c>
      <c r="H49" s="8">
        <f t="shared" si="33"/>
        <v>-1.0871451347777188</v>
      </c>
      <c r="I49" s="8">
        <f t="shared" si="33"/>
        <v>-40.681463622181248</v>
      </c>
      <c r="J49" s="8">
        <f t="shared" si="33"/>
        <v>9.4651779523506674E-2</v>
      </c>
      <c r="K49" s="8">
        <f t="shared" si="33"/>
        <v>-0.37114115653477087</v>
      </c>
      <c r="L49" s="8">
        <f t="shared" si="33"/>
        <v>0.60178603878403991</v>
      </c>
      <c r="M49" s="8">
        <f t="shared" si="33"/>
        <v>-0.2324415257753345</v>
      </c>
      <c r="N49" s="8">
        <f t="shared" si="22"/>
        <v>-0.66412304002094591</v>
      </c>
      <c r="O49" s="8">
        <f t="shared" si="22"/>
        <v>1.2021474552403943</v>
      </c>
      <c r="P49" s="8">
        <f t="shared" si="22"/>
        <v>0.34217527833285755</v>
      </c>
      <c r="Q49" s="8">
        <f t="shared" si="22"/>
        <v>-0.30614423903148691</v>
      </c>
      <c r="R49" s="8">
        <f t="shared" si="22"/>
        <v>-2.1370583583160139</v>
      </c>
      <c r="S49" s="8">
        <f t="shared" si="23"/>
        <v>0.68938205306547173</v>
      </c>
      <c r="T49" s="8">
        <f t="shared" si="24"/>
        <v>-0.27853240055149864</v>
      </c>
      <c r="U49" s="8">
        <f t="shared" si="25"/>
        <v>-0.61544926920762988</v>
      </c>
      <c r="V49" s="8">
        <f t="shared" ca="1" si="25"/>
        <v>-1.2027685110623354</v>
      </c>
      <c r="W49" s="8"/>
      <c r="X49" s="8"/>
      <c r="Y49" s="8"/>
      <c r="Z49" s="8"/>
      <c r="AA49" s="8">
        <v>0</v>
      </c>
      <c r="AB49" s="8">
        <v>-0.89531013615733712</v>
      </c>
      <c r="AC49" s="8">
        <f t="shared" ca="1" si="27"/>
        <v>2.3582871275738726</v>
      </c>
      <c r="AD49" s="8">
        <f t="shared" ca="1" si="27"/>
        <v>-1.2027685110623354</v>
      </c>
      <c r="AE49" s="8"/>
    </row>
    <row r="50" spans="1:31">
      <c r="A50">
        <f t="shared" si="20"/>
        <v>11</v>
      </c>
      <c r="B50" t="str">
        <f t="shared" si="20"/>
        <v>ES</v>
      </c>
      <c r="C50" t="str">
        <f t="shared" si="20"/>
        <v>ES</v>
      </c>
      <c r="D50" s="8"/>
      <c r="E50" s="8">
        <f t="shared" ref="E50:M50" si="34">IFERROR(E15/D15-1,0)</f>
        <v>1.4422958684413345</v>
      </c>
      <c r="F50" s="8">
        <f t="shared" si="34"/>
        <v>0.75335515142059872</v>
      </c>
      <c r="G50" s="8">
        <f t="shared" si="34"/>
        <v>0.91949192816134362</v>
      </c>
      <c r="H50" s="8">
        <f t="shared" si="34"/>
        <v>-0.26587496826217916</v>
      </c>
      <c r="I50" s="8">
        <f t="shared" si="34"/>
        <v>2.8256979215549594E-2</v>
      </c>
      <c r="J50" s="8">
        <f t="shared" si="34"/>
        <v>-0.26905035386854881</v>
      </c>
      <c r="K50" s="8">
        <f t="shared" si="34"/>
        <v>0.83861402396645635</v>
      </c>
      <c r="L50" s="8">
        <f t="shared" si="34"/>
        <v>-0.3971780202525389</v>
      </c>
      <c r="M50" s="8">
        <f t="shared" si="34"/>
        <v>-0.49548306407433818</v>
      </c>
      <c r="N50" s="8">
        <f t="shared" si="22"/>
        <v>-0.9609510248819414</v>
      </c>
      <c r="O50" s="8">
        <f t="shared" si="22"/>
        <v>-58.646292409933551</v>
      </c>
      <c r="P50" s="8">
        <f t="shared" si="22"/>
        <v>0.19590500012893575</v>
      </c>
      <c r="Q50" s="8">
        <f t="shared" si="22"/>
        <v>0.21081898344985728</v>
      </c>
      <c r="R50" s="8">
        <f t="shared" si="22"/>
        <v>-0.38188351141839516</v>
      </c>
      <c r="S50" s="8">
        <f t="shared" si="23"/>
        <v>-0.52208950367254525</v>
      </c>
      <c r="T50" s="8">
        <f t="shared" si="24"/>
        <v>-0.74007510824736777</v>
      </c>
      <c r="U50" s="8">
        <f t="shared" si="25"/>
        <v>-24.229313614472623</v>
      </c>
      <c r="V50" s="8">
        <f t="shared" ca="1" si="25"/>
        <v>-0.29517344226679632</v>
      </c>
      <c r="W50" s="8"/>
      <c r="X50" s="8"/>
      <c r="Y50" s="8"/>
      <c r="Z50" s="8"/>
      <c r="AA50" s="8">
        <v>0</v>
      </c>
      <c r="AB50" s="8">
        <v>-0.88529056225660618</v>
      </c>
      <c r="AC50" s="8">
        <f t="shared" ca="1" si="27"/>
        <v>4.2701359479608847E-3</v>
      </c>
      <c r="AD50" s="8">
        <f t="shared" ca="1" si="27"/>
        <v>0.42939773688567762</v>
      </c>
      <c r="AE50" s="8">
        <v>-0.29517344226679632</v>
      </c>
    </row>
    <row r="51" spans="1:31">
      <c r="A51">
        <f t="shared" si="20"/>
        <v>12</v>
      </c>
      <c r="B51" t="str">
        <f t="shared" si="20"/>
        <v>FI</v>
      </c>
      <c r="C51" t="str">
        <f t="shared" si="20"/>
        <v>FI</v>
      </c>
      <c r="D51" s="8"/>
      <c r="E51" s="8">
        <f t="shared" ref="E51:M51" si="35">IFERROR(E16/D16-1,0)</f>
        <v>-0.32994401333673273</v>
      </c>
      <c r="F51" s="8">
        <f t="shared" si="35"/>
        <v>0.10139445685548454</v>
      </c>
      <c r="G51" s="8">
        <f t="shared" si="35"/>
        <v>1.7121295757741795E-2</v>
      </c>
      <c r="H51" s="8">
        <f t="shared" si="35"/>
        <v>-5.3789221212281135E-2</v>
      </c>
      <c r="I51" s="8">
        <f t="shared" si="35"/>
        <v>-0.13107206750307721</v>
      </c>
      <c r="J51" s="8">
        <f t="shared" si="35"/>
        <v>0.31911358997389594</v>
      </c>
      <c r="K51" s="8">
        <f t="shared" si="35"/>
        <v>0.25931230888839996</v>
      </c>
      <c r="L51" s="8">
        <f t="shared" si="35"/>
        <v>-9.9117016042252981E-2</v>
      </c>
      <c r="M51" s="8">
        <f t="shared" si="35"/>
        <v>0.14330244581486573</v>
      </c>
      <c r="N51" s="8">
        <f t="shared" si="22"/>
        <v>-9.0722021847595036E-2</v>
      </c>
      <c r="O51" s="8">
        <f t="shared" si="22"/>
        <v>0.16000523944476108</v>
      </c>
      <c r="P51" s="8">
        <f t="shared" si="22"/>
        <v>7.7779407459866334E-2</v>
      </c>
      <c r="Q51" s="8">
        <f t="shared" si="22"/>
        <v>-2.3941570428541947E-2</v>
      </c>
      <c r="R51" s="8">
        <f t="shared" si="22"/>
        <v>5.3173895263469717E-3</v>
      </c>
      <c r="S51" s="8">
        <f t="shared" si="23"/>
        <v>-0.24638281624462799</v>
      </c>
      <c r="T51" s="8">
        <f t="shared" si="24"/>
        <v>0.17637732827190056</v>
      </c>
      <c r="U51" s="8">
        <f t="shared" si="25"/>
        <v>-0.29553146966205057</v>
      </c>
      <c r="V51" s="8">
        <f t="shared" ca="1" si="25"/>
        <v>-0.86225950336195989</v>
      </c>
      <c r="W51" s="8"/>
      <c r="X51" s="8"/>
      <c r="Y51" s="8"/>
      <c r="Z51" s="8"/>
      <c r="AA51" s="8">
        <v>0</v>
      </c>
      <c r="AB51" s="8">
        <v>0.17007378363765924</v>
      </c>
      <c r="AC51" s="8">
        <f t="shared" ca="1" si="27"/>
        <v>-4.611314282318868E-2</v>
      </c>
      <c r="AD51" s="8">
        <f t="shared" ca="1" si="27"/>
        <v>2.0506044962562697E-3</v>
      </c>
      <c r="AE51" s="8">
        <v>-0.86225950336195989</v>
      </c>
    </row>
    <row r="52" spans="1:31">
      <c r="A52">
        <f t="shared" si="20"/>
        <v>13</v>
      </c>
      <c r="B52" t="str">
        <f t="shared" si="20"/>
        <v>FR</v>
      </c>
      <c r="C52" t="str">
        <f t="shared" si="20"/>
        <v>FR</v>
      </c>
      <c r="D52" s="8"/>
      <c r="E52" s="8">
        <f t="shared" ref="E52:M52" si="36">IFERROR(E17/D17-1,0)</f>
        <v>4.994376622480301E-2</v>
      </c>
      <c r="F52" s="8">
        <f t="shared" si="36"/>
        <v>-0.10306120837713939</v>
      </c>
      <c r="G52" s="8">
        <f t="shared" si="36"/>
        <v>-0.15533427675807698</v>
      </c>
      <c r="H52" s="8">
        <f t="shared" si="36"/>
        <v>-0.45957309647438038</v>
      </c>
      <c r="I52" s="8">
        <f t="shared" si="36"/>
        <v>0.18427542116925122</v>
      </c>
      <c r="J52" s="8">
        <f t="shared" si="36"/>
        <v>0.83677901336808014</v>
      </c>
      <c r="K52" s="8">
        <f t="shared" si="36"/>
        <v>-0.21080248090717835</v>
      </c>
      <c r="L52" s="8">
        <f t="shared" si="36"/>
        <v>8.8497556370403352E-2</v>
      </c>
      <c r="M52" s="8">
        <f t="shared" si="36"/>
        <v>0.38647568837811175</v>
      </c>
      <c r="N52" s="8">
        <f t="shared" si="22"/>
        <v>-4.6539733093313496E-2</v>
      </c>
      <c r="O52" s="8">
        <f t="shared" si="22"/>
        <v>-0.3521844534173646</v>
      </c>
      <c r="P52" s="8">
        <f t="shared" si="22"/>
        <v>-3.3062869979184284E-2</v>
      </c>
      <c r="Q52" s="8">
        <f t="shared" si="22"/>
        <v>0.56911235918910563</v>
      </c>
      <c r="R52" s="8">
        <f t="shared" si="22"/>
        <v>-8.4165764557056932E-2</v>
      </c>
      <c r="S52" s="8">
        <f t="shared" si="23"/>
        <v>-0.21897866158015555</v>
      </c>
      <c r="T52" s="8">
        <f t="shared" si="24"/>
        <v>-3.262603565391653E-3</v>
      </c>
      <c r="U52" s="8">
        <f t="shared" si="25"/>
        <v>-1.3328976727955339</v>
      </c>
      <c r="V52" s="8">
        <f t="shared" ca="1" si="25"/>
        <v>-4.3687182253993662</v>
      </c>
      <c r="W52" s="8"/>
      <c r="X52" s="8"/>
      <c r="Y52" s="8"/>
      <c r="Z52" s="8"/>
      <c r="AA52" s="8">
        <v>0</v>
      </c>
      <c r="AB52" s="8">
        <v>-0.88792407513480409</v>
      </c>
      <c r="AC52" s="8">
        <f t="shared" ca="1" si="27"/>
        <v>-0.23349616108320148</v>
      </c>
      <c r="AD52" s="8">
        <f t="shared" ca="1" si="27"/>
        <v>1.3411971588018332</v>
      </c>
      <c r="AE52" s="8">
        <v>-4.3687182253993653</v>
      </c>
    </row>
    <row r="53" spans="1:31">
      <c r="A53">
        <f t="shared" si="20"/>
        <v>10</v>
      </c>
      <c r="B53" t="str">
        <f t="shared" si="20"/>
        <v>EL</v>
      </c>
      <c r="C53" t="str">
        <f t="shared" si="20"/>
        <v>GR</v>
      </c>
      <c r="D53" s="8"/>
      <c r="E53" s="8">
        <f t="shared" ref="E53:M53" si="37">IFERROR(E18/D18-1,0)</f>
        <v>0.11164201697736464</v>
      </c>
      <c r="F53" s="8">
        <f t="shared" si="37"/>
        <v>3.6412247756063332E-2</v>
      </c>
      <c r="G53" s="8">
        <f t="shared" si="37"/>
        <v>0.28886164988263174</v>
      </c>
      <c r="H53" s="8">
        <f t="shared" si="37"/>
        <v>-0.22198532626375</v>
      </c>
      <c r="I53" s="8">
        <f t="shared" si="37"/>
        <v>0.30662007914906741</v>
      </c>
      <c r="J53" s="8">
        <f t="shared" si="37"/>
        <v>-0.43357900486723144</v>
      </c>
      <c r="K53" s="8">
        <f t="shared" si="37"/>
        <v>-0.44771178329051242</v>
      </c>
      <c r="L53" s="8">
        <f t="shared" si="37"/>
        <v>5.7146766396059423E-2</v>
      </c>
      <c r="M53" s="8">
        <f t="shared" si="37"/>
        <v>3.6735530313769242</v>
      </c>
      <c r="N53" s="8">
        <f t="shared" si="22"/>
        <v>8.9464827811757353E-2</v>
      </c>
      <c r="O53" s="8">
        <f t="shared" si="22"/>
        <v>-8.4512412560113881E-2</v>
      </c>
      <c r="P53" s="8">
        <f t="shared" si="22"/>
        <v>-0.29092844298709553</v>
      </c>
      <c r="Q53" s="8">
        <f t="shared" si="22"/>
        <v>6.5748622467531881E-3</v>
      </c>
      <c r="R53" s="8">
        <f t="shared" si="22"/>
        <v>0.58394326903305038</v>
      </c>
      <c r="S53" s="8">
        <f t="shared" si="23"/>
        <v>-0.10860788510344654</v>
      </c>
      <c r="T53" s="8">
        <f t="shared" si="24"/>
        <v>-0.58438636151919465</v>
      </c>
      <c r="U53" s="8">
        <f t="shared" si="25"/>
        <v>-6.4331196115756994E-2</v>
      </c>
      <c r="V53" s="8">
        <f t="shared" ca="1" si="25"/>
        <v>0</v>
      </c>
      <c r="W53" s="8"/>
      <c r="X53" s="8"/>
      <c r="Y53" s="8"/>
      <c r="Z53" s="8"/>
      <c r="AA53" s="8">
        <v>0</v>
      </c>
      <c r="AB53" s="8">
        <v>-0.89297298265701086</v>
      </c>
      <c r="AC53" s="8">
        <f t="shared" ca="1" si="27"/>
        <v>-0.16832034927080619</v>
      </c>
      <c r="AD53" s="8">
        <f t="shared" ca="1" si="27"/>
        <v>-1.0247546298953663</v>
      </c>
      <c r="AE53" s="8"/>
    </row>
    <row r="54" spans="1:31">
      <c r="A54">
        <f t="shared" si="20"/>
        <v>14</v>
      </c>
      <c r="B54" t="str">
        <f t="shared" si="20"/>
        <v>HR</v>
      </c>
      <c r="C54" t="str">
        <f t="shared" si="20"/>
        <v>HR</v>
      </c>
      <c r="D54" s="8"/>
      <c r="E54" s="8">
        <f t="shared" ref="E54:M54" si="38">IFERROR(E19/D19-1,0)</f>
        <v>0.13517855164518644</v>
      </c>
      <c r="F54" s="8">
        <f t="shared" si="38"/>
        <v>0.17822113474287371</v>
      </c>
      <c r="G54" s="8">
        <f t="shared" si="38"/>
        <v>1.9500996941136162E-2</v>
      </c>
      <c r="H54" s="8">
        <f t="shared" si="38"/>
        <v>-0.1678302468956685</v>
      </c>
      <c r="I54" s="8">
        <f t="shared" si="38"/>
        <v>-0.20687571045676112</v>
      </c>
      <c r="J54" s="8">
        <f t="shared" si="38"/>
        <v>0.8031724538156495</v>
      </c>
      <c r="K54" s="8">
        <f t="shared" si="38"/>
        <v>3.8574881464974231E-2</v>
      </c>
      <c r="L54" s="8">
        <f t="shared" si="38"/>
        <v>-0.47934348643323199</v>
      </c>
      <c r="M54" s="8">
        <f t="shared" si="38"/>
        <v>2.1711946229642232E-2</v>
      </c>
      <c r="N54" s="8">
        <f t="shared" si="22"/>
        <v>0.71742910352253775</v>
      </c>
      <c r="O54" s="8">
        <f t="shared" si="22"/>
        <v>-0.18530053156407977</v>
      </c>
      <c r="P54" s="8">
        <f t="shared" si="22"/>
        <v>0.25722486227343455</v>
      </c>
      <c r="Q54" s="8">
        <f t="shared" si="22"/>
        <v>-0.22521913796534931</v>
      </c>
      <c r="R54" s="8">
        <f t="shared" si="22"/>
        <v>0.13835509983810024</v>
      </c>
      <c r="S54" s="8">
        <f t="shared" si="23"/>
        <v>-0.24355116119868847</v>
      </c>
      <c r="T54" s="8">
        <f t="shared" si="24"/>
        <v>-0.14620664413849815</v>
      </c>
      <c r="U54" s="8">
        <f t="shared" si="25"/>
        <v>0.1852547822129571</v>
      </c>
      <c r="V54" s="8">
        <f t="shared" ca="1" si="25"/>
        <v>0</v>
      </c>
      <c r="W54" s="8"/>
      <c r="X54" s="8"/>
      <c r="Y54" s="8"/>
      <c r="Z54" s="8"/>
      <c r="AA54" s="8">
        <v>0</v>
      </c>
      <c r="AB54" s="8">
        <v>-0.75734433315656269</v>
      </c>
      <c r="AC54" s="8">
        <f t="shared" ca="1" si="27"/>
        <v>-0.17017489100277006</v>
      </c>
      <c r="AD54" s="8">
        <f t="shared" ca="1" si="27"/>
        <v>-4.4219018364381357E-2</v>
      </c>
      <c r="AE54" s="8"/>
    </row>
    <row r="55" spans="1:31">
      <c r="A55">
        <f t="shared" si="20"/>
        <v>15</v>
      </c>
      <c r="B55" t="str">
        <f t="shared" si="20"/>
        <v>HU</v>
      </c>
      <c r="C55" t="str">
        <f t="shared" si="20"/>
        <v>HU</v>
      </c>
      <c r="D55" s="8"/>
      <c r="E55" s="8">
        <f t="shared" ref="E55:M55" si="39">IFERROR(E20/D20-1,0)</f>
        <v>0.15737749007332469</v>
      </c>
      <c r="F55" s="8">
        <f t="shared" si="39"/>
        <v>-0.44692668915102718</v>
      </c>
      <c r="G55" s="8">
        <f t="shared" si="39"/>
        <v>-2.0820811474787981E-2</v>
      </c>
      <c r="H55" s="8">
        <f t="shared" si="39"/>
        <v>0.41250245829832122</v>
      </c>
      <c r="I55" s="8">
        <f t="shared" si="39"/>
        <v>-5.7681638198184504E-2</v>
      </c>
      <c r="J55" s="8">
        <f t="shared" si="39"/>
        <v>0.27872797689672946</v>
      </c>
      <c r="K55" s="8">
        <f t="shared" si="39"/>
        <v>0.19930846733602348</v>
      </c>
      <c r="L55" s="8">
        <f t="shared" si="39"/>
        <v>0.49077351800408464</v>
      </c>
      <c r="M55" s="8">
        <f t="shared" si="39"/>
        <v>0.12738950176158736</v>
      </c>
      <c r="N55" s="8">
        <f t="shared" si="22"/>
        <v>2.2105680980220255E-2</v>
      </c>
      <c r="O55" s="8">
        <f t="shared" si="22"/>
        <v>-7.1240771458483509E-2</v>
      </c>
      <c r="P55" s="8">
        <f t="shared" si="22"/>
        <v>1.3138764937796532E-2</v>
      </c>
      <c r="Q55" s="8">
        <f t="shared" si="22"/>
        <v>0.11414790270827746</v>
      </c>
      <c r="R55" s="8">
        <f t="shared" si="22"/>
        <v>-0.12294420226536951</v>
      </c>
      <c r="S55" s="8">
        <f t="shared" si="23"/>
        <v>-7.2075702222398785E-2</v>
      </c>
      <c r="T55" s="8">
        <f t="shared" si="24"/>
        <v>9.2233285294126333E-2</v>
      </c>
      <c r="U55" s="8">
        <f t="shared" si="25"/>
        <v>-4.7201150415767223E-2</v>
      </c>
      <c r="V55" s="8">
        <f t="shared" ca="1" si="25"/>
        <v>-8.6570111915733716E-2</v>
      </c>
      <c r="W55" s="8"/>
      <c r="X55" s="8"/>
      <c r="Y55" s="8"/>
      <c r="Z55" s="8"/>
      <c r="AA55" s="8">
        <v>0</v>
      </c>
      <c r="AB55" s="8">
        <v>-0.87468528265275813</v>
      </c>
      <c r="AC55" s="8">
        <f t="shared" ca="1" si="27"/>
        <v>-5.8887302322552348E-2</v>
      </c>
      <c r="AD55" s="8">
        <f t="shared" ca="1" si="27"/>
        <v>4.257218983159694E-2</v>
      </c>
      <c r="AE55" s="8">
        <v>-8.6570111915733716E-2</v>
      </c>
    </row>
    <row r="56" spans="1:31">
      <c r="A56">
        <f t="shared" si="20"/>
        <v>16</v>
      </c>
      <c r="B56" t="str">
        <f t="shared" si="20"/>
        <v>IE</v>
      </c>
      <c r="C56" t="str">
        <f t="shared" si="20"/>
        <v>IE</v>
      </c>
      <c r="D56" s="8"/>
      <c r="E56" s="8">
        <f t="shared" ref="E56:M56" si="40">IFERROR(E21/D21-1,0)</f>
        <v>-0.13025915284612966</v>
      </c>
      <c r="F56" s="8">
        <f t="shared" si="40"/>
        <v>-0.25171714528684508</v>
      </c>
      <c r="G56" s="8">
        <f t="shared" si="40"/>
        <v>-0.6615788093364805</v>
      </c>
      <c r="H56" s="8">
        <f t="shared" si="40"/>
        <v>0.69639904939037001</v>
      </c>
      <c r="I56" s="8">
        <f t="shared" si="40"/>
        <v>-0.38418784547212625</v>
      </c>
      <c r="J56" s="8">
        <f t="shared" si="40"/>
        <v>4.2036547068568852E-2</v>
      </c>
      <c r="K56" s="8">
        <f t="shared" si="40"/>
        <v>-0.15635604280866611</v>
      </c>
      <c r="L56" s="8">
        <f t="shared" si="40"/>
        <v>4.4228735373537358</v>
      </c>
      <c r="M56" s="8">
        <f t="shared" si="40"/>
        <v>-4.1536562341151773E-2</v>
      </c>
      <c r="N56" s="8">
        <f t="shared" si="22"/>
        <v>-0.68666998582143668</v>
      </c>
      <c r="O56" s="8">
        <f t="shared" si="22"/>
        <v>-2.0569958030363216</v>
      </c>
      <c r="P56" s="8">
        <f t="shared" si="22"/>
        <v>-4.670010947891301E-2</v>
      </c>
      <c r="Q56" s="8">
        <f t="shared" si="22"/>
        <v>-0.95913679916353856</v>
      </c>
      <c r="R56" s="8">
        <f t="shared" si="22"/>
        <v>-24.246644295302016</v>
      </c>
      <c r="S56" s="8">
        <f t="shared" si="23"/>
        <v>-1.2356008661133164</v>
      </c>
      <c r="T56" s="8">
        <f t="shared" si="24"/>
        <v>-11.454775216359042</v>
      </c>
      <c r="U56" s="8">
        <f t="shared" si="25"/>
        <v>-0.84133530635567144</v>
      </c>
      <c r="V56" s="8">
        <f t="shared" ca="1" si="25"/>
        <v>0</v>
      </c>
      <c r="W56" s="8"/>
      <c r="X56" s="8"/>
      <c r="Y56" s="8"/>
      <c r="Z56" s="8"/>
      <c r="AA56" s="8">
        <v>0</v>
      </c>
      <c r="AB56" s="8">
        <v>-0.79745348810933603</v>
      </c>
      <c r="AC56" s="8">
        <f t="shared" ca="1" si="27"/>
        <v>2.6188836049678379</v>
      </c>
      <c r="AD56" s="8">
        <f t="shared" ca="1" si="27"/>
        <v>2.8360958493006589</v>
      </c>
      <c r="AE56" s="8"/>
    </row>
    <row r="57" spans="1:31">
      <c r="A57">
        <f t="shared" si="20"/>
        <v>17</v>
      </c>
      <c r="B57" t="str">
        <f t="shared" si="20"/>
        <v>IT</v>
      </c>
      <c r="C57" t="str">
        <f t="shared" si="20"/>
        <v>IT</v>
      </c>
      <c r="D57" s="8"/>
      <c r="E57" s="8">
        <f t="shared" ref="E57:M57" si="41">IFERROR(E22/D22-1,0)</f>
        <v>-8.4833584877000767E-2</v>
      </c>
      <c r="F57" s="8">
        <f t="shared" si="41"/>
        <v>2.8854083775291306E-2</v>
      </c>
      <c r="G57" s="8">
        <f t="shared" si="41"/>
        <v>-0.1349957357759104</v>
      </c>
      <c r="H57" s="8">
        <f t="shared" si="41"/>
        <v>0.1229924558228439</v>
      </c>
      <c r="I57" s="8">
        <f t="shared" si="41"/>
        <v>-1.7771584400345652E-2</v>
      </c>
      <c r="J57" s="8">
        <f t="shared" si="41"/>
        <v>3.559764524132647E-2</v>
      </c>
      <c r="K57" s="8">
        <f t="shared" si="41"/>
        <v>-5.7487022677127908E-2</v>
      </c>
      <c r="L57" s="8">
        <f t="shared" si="41"/>
        <v>-2.2388214746622559E-2</v>
      </c>
      <c r="M57" s="8">
        <f t="shared" si="41"/>
        <v>3.7448222794335129E-2</v>
      </c>
      <c r="N57" s="8">
        <f t="shared" si="22"/>
        <v>6.0893096622175902E-2</v>
      </c>
      <c r="O57" s="8">
        <f t="shared" si="22"/>
        <v>-0.20162571248736771</v>
      </c>
      <c r="P57" s="8">
        <f t="shared" si="22"/>
        <v>1.9813747880250698E-2</v>
      </c>
      <c r="Q57" s="8">
        <f t="shared" si="22"/>
        <v>0.16255388715951025</v>
      </c>
      <c r="R57" s="8">
        <f t="shared" si="22"/>
        <v>-0.13115506319053383</v>
      </c>
      <c r="S57" s="8">
        <f t="shared" si="23"/>
        <v>-0.15575919423238993</v>
      </c>
      <c r="T57" s="8">
        <f t="shared" si="24"/>
        <v>0.32885993061813412</v>
      </c>
      <c r="U57" s="8">
        <f t="shared" si="25"/>
        <v>4.6044572537800033E-3</v>
      </c>
      <c r="V57" s="8">
        <f t="shared" ca="1" si="25"/>
        <v>0</v>
      </c>
      <c r="W57" s="8"/>
      <c r="X57" s="8"/>
      <c r="Y57" s="8"/>
      <c r="Z57" s="8"/>
      <c r="AA57" s="8">
        <v>0</v>
      </c>
      <c r="AB57" s="8">
        <v>-1</v>
      </c>
      <c r="AC57" s="8">
        <f t="shared" ca="1" si="27"/>
        <v>-4.9690168448585537E-2</v>
      </c>
      <c r="AD57" s="8">
        <f t="shared" ca="1" si="27"/>
        <v>0.16575510032549889</v>
      </c>
      <c r="AE57" s="8"/>
    </row>
    <row r="58" spans="1:31">
      <c r="A58">
        <f t="shared" si="20"/>
        <v>18</v>
      </c>
      <c r="B58" t="str">
        <f t="shared" si="20"/>
        <v>LT</v>
      </c>
      <c r="C58" t="str">
        <f t="shared" si="20"/>
        <v>LT</v>
      </c>
      <c r="D58" s="8"/>
      <c r="E58" s="8">
        <f t="shared" ref="E58:M58" si="42">IFERROR(E23/D23-1,0)</f>
        <v>-0.85569932949064809</v>
      </c>
      <c r="F58" s="8">
        <f t="shared" si="42"/>
        <v>2.205646585690606</v>
      </c>
      <c r="G58" s="8">
        <f t="shared" si="42"/>
        <v>-0.30248111824092361</v>
      </c>
      <c r="H58" s="8">
        <f t="shared" si="42"/>
        <v>2.0637524760897832</v>
      </c>
      <c r="I58" s="8">
        <f t="shared" si="42"/>
        <v>-3.0429698501033293</v>
      </c>
      <c r="J58" s="8">
        <f t="shared" si="42"/>
        <v>0.12504295724467873</v>
      </c>
      <c r="K58" s="8">
        <f t="shared" si="42"/>
        <v>-1.7806540685132655E-2</v>
      </c>
      <c r="L58" s="8">
        <f t="shared" si="42"/>
        <v>4.9401544808585829E-2</v>
      </c>
      <c r="M58" s="8">
        <f t="shared" si="42"/>
        <v>9.7467048864123385E-2</v>
      </c>
      <c r="N58" s="8">
        <f t="shared" si="22"/>
        <v>-5.4441155829493937E-2</v>
      </c>
      <c r="O58" s="8">
        <f t="shared" si="22"/>
        <v>0.14803090148698894</v>
      </c>
      <c r="P58" s="8">
        <f t="shared" si="22"/>
        <v>4.8604259601249034E-2</v>
      </c>
      <c r="Q58" s="8">
        <f t="shared" si="22"/>
        <v>0.11009308341319235</v>
      </c>
      <c r="R58" s="8">
        <f t="shared" si="22"/>
        <v>-2.9992296974570398E-2</v>
      </c>
      <c r="S58" s="8">
        <f t="shared" si="23"/>
        <v>-0.15359127712672926</v>
      </c>
      <c r="T58" s="8">
        <f t="shared" si="24"/>
        <v>0.1435407472548158</v>
      </c>
      <c r="U58" s="8">
        <f t="shared" si="25"/>
        <v>-5.2644100316607934E-2</v>
      </c>
      <c r="V58" s="8">
        <f t="shared" ca="1" si="25"/>
        <v>-0.19123235613463629</v>
      </c>
      <c r="W58" s="8"/>
      <c r="X58" s="8"/>
      <c r="Y58" s="8"/>
      <c r="Z58" s="8"/>
      <c r="AA58" s="8">
        <v>0</v>
      </c>
      <c r="AB58" s="8">
        <v>-0.91604403628418973</v>
      </c>
      <c r="AC58" s="8">
        <f t="shared" ca="1" si="27"/>
        <v>-4.6375975490069554E-2</v>
      </c>
      <c r="AD58" s="8">
        <f t="shared" ca="1" si="27"/>
        <v>6.9809048964205811E-2</v>
      </c>
      <c r="AE58" s="8">
        <v>-0.19123235613463629</v>
      </c>
    </row>
    <row r="59" spans="1:31">
      <c r="A59">
        <f t="shared" si="20"/>
        <v>19</v>
      </c>
      <c r="B59" t="str">
        <f t="shared" si="20"/>
        <v>LU</v>
      </c>
      <c r="C59" t="str">
        <f t="shared" si="20"/>
        <v>LU</v>
      </c>
      <c r="D59" s="8"/>
      <c r="E59" s="8">
        <f t="shared" ref="E59:M59" si="43">IFERROR(E24/D24-1,0)</f>
        <v>9.0997945322755625E-2</v>
      </c>
      <c r="F59" s="8">
        <f t="shared" si="43"/>
        <v>0.1132269181221921</v>
      </c>
      <c r="G59" s="8">
        <f t="shared" si="43"/>
        <v>9.7633900774210192E-2</v>
      </c>
      <c r="H59" s="8">
        <f t="shared" si="43"/>
        <v>-0.21359420739702129</v>
      </c>
      <c r="I59" s="8">
        <f t="shared" si="43"/>
        <v>0.1888401940835811</v>
      </c>
      <c r="J59" s="8">
        <f t="shared" si="43"/>
        <v>0.10299576694438661</v>
      </c>
      <c r="K59" s="8">
        <f t="shared" si="43"/>
        <v>-8.2918373860537353E-2</v>
      </c>
      <c r="L59" s="8">
        <f t="shared" si="43"/>
        <v>0.202827199058355</v>
      </c>
      <c r="M59" s="8">
        <f t="shared" si="43"/>
        <v>-1.0157418820629038E-2</v>
      </c>
      <c r="N59" s="8">
        <f t="shared" si="22"/>
        <v>0.14416692411891918</v>
      </c>
      <c r="O59" s="8">
        <f t="shared" si="22"/>
        <v>0.12490705238714384</v>
      </c>
      <c r="P59" s="8">
        <f t="shared" si="22"/>
        <v>-1.9156522172635859E-2</v>
      </c>
      <c r="Q59" s="8">
        <f t="shared" si="22"/>
        <v>-2.7032318303665814E-3</v>
      </c>
      <c r="R59" s="8">
        <f t="shared" si="22"/>
        <v>-4.5856770735022034E-2</v>
      </c>
      <c r="S59" s="8">
        <f t="shared" si="23"/>
        <v>-7.0409467324515473E-2</v>
      </c>
      <c r="T59" s="8">
        <f t="shared" si="24"/>
        <v>4.692750508092236E-2</v>
      </c>
      <c r="U59" s="8">
        <f t="shared" si="25"/>
        <v>-3.7491919844860999E-2</v>
      </c>
      <c r="V59" s="8">
        <f t="shared" ca="1" si="25"/>
        <v>0</v>
      </c>
      <c r="W59" s="8"/>
      <c r="X59" s="8"/>
      <c r="Y59" s="8"/>
      <c r="Z59" s="8"/>
      <c r="AA59" s="8">
        <v>0</v>
      </c>
      <c r="AB59" s="8">
        <v>-1</v>
      </c>
      <c r="AC59" s="8">
        <f t="shared" ca="1" si="27"/>
        <v>-3.6344091471635087E-2</v>
      </c>
      <c r="AD59" s="8">
        <f t="shared" ca="1" si="27"/>
        <v>1.80625777011858E-2</v>
      </c>
      <c r="AE59" s="8"/>
    </row>
    <row r="60" spans="1:31">
      <c r="A60">
        <f t="shared" si="20"/>
        <v>20</v>
      </c>
      <c r="B60" t="str">
        <f t="shared" si="20"/>
        <v>LV</v>
      </c>
      <c r="C60" t="str">
        <f t="shared" si="20"/>
        <v>LV</v>
      </c>
      <c r="D60" s="8"/>
      <c r="E60" s="8">
        <f t="shared" ref="E60:M60" si="44">IFERROR(E25/D25-1,0)</f>
        <v>0.16759522455940878</v>
      </c>
      <c r="F60" s="8">
        <f t="shared" si="44"/>
        <v>0.19617526628920157</v>
      </c>
      <c r="G60" s="8">
        <f t="shared" si="44"/>
        <v>-0.16000139559766469</v>
      </c>
      <c r="H60" s="8">
        <f t="shared" si="44"/>
        <v>-0.34365265067080186</v>
      </c>
      <c r="I60" s="8">
        <f t="shared" si="44"/>
        <v>-0.47219058065786323</v>
      </c>
      <c r="J60" s="8">
        <f t="shared" si="44"/>
        <v>0.42612970265373562</v>
      </c>
      <c r="K60" s="8">
        <f t="shared" si="44"/>
        <v>0.35823112348319963</v>
      </c>
      <c r="L60" s="8">
        <f t="shared" si="44"/>
        <v>-0.19870013755158189</v>
      </c>
      <c r="M60" s="8">
        <f t="shared" si="44"/>
        <v>0.70996232050742858</v>
      </c>
      <c r="N60" s="8">
        <f t="shared" si="22"/>
        <v>-0.21406844488169208</v>
      </c>
      <c r="O60" s="8">
        <f t="shared" si="22"/>
        <v>-0.43273001315638215</v>
      </c>
      <c r="P60" s="8">
        <f t="shared" si="22"/>
        <v>-1.0621129900249937</v>
      </c>
      <c r="Q60" s="8">
        <f t="shared" si="22"/>
        <v>-15.165307232191408</v>
      </c>
      <c r="R60" s="8">
        <f t="shared" si="22"/>
        <v>0.23015994881637858</v>
      </c>
      <c r="S60" s="8">
        <f t="shared" si="23"/>
        <v>0.45395633314956774</v>
      </c>
      <c r="T60" s="8">
        <f t="shared" si="24"/>
        <v>9.0428462072271287E-2</v>
      </c>
      <c r="U60" s="8">
        <f t="shared" si="25"/>
        <v>0.30401065483961953</v>
      </c>
      <c r="V60" s="8">
        <f t="shared" ca="1" si="25"/>
        <v>0.11843868864335794</v>
      </c>
      <c r="W60" s="8"/>
      <c r="X60" s="8"/>
      <c r="Y60" s="8"/>
      <c r="Z60" s="8"/>
      <c r="AA60" s="8">
        <v>0</v>
      </c>
      <c r="AB60" s="8">
        <v>-1.3677018633540372</v>
      </c>
      <c r="AC60" s="8">
        <f t="shared" ca="1" si="27"/>
        <v>0.11843868864335794</v>
      </c>
      <c r="AD60" s="8">
        <f t="shared" ca="1" si="27"/>
        <v>0.12010874304843133</v>
      </c>
      <c r="AE60" s="8"/>
    </row>
    <row r="61" spans="1:31">
      <c r="A61">
        <f t="shared" si="20"/>
        <v>21</v>
      </c>
      <c r="B61" t="str">
        <f t="shared" si="20"/>
        <v>MT</v>
      </c>
      <c r="C61" t="str">
        <f t="shared" si="20"/>
        <v>MT</v>
      </c>
      <c r="D61" s="8"/>
      <c r="E61" s="8">
        <f t="shared" ref="E61:M61" si="45">IFERROR(E26/D26-1,0)</f>
        <v>0</v>
      </c>
      <c r="F61" s="8">
        <f t="shared" si="45"/>
        <v>0</v>
      </c>
      <c r="G61" s="8">
        <f t="shared" si="45"/>
        <v>0</v>
      </c>
      <c r="H61" s="8">
        <f t="shared" si="45"/>
        <v>0</v>
      </c>
      <c r="I61" s="8">
        <f t="shared" si="45"/>
        <v>0</v>
      </c>
      <c r="J61" s="8">
        <f t="shared" si="45"/>
        <v>0</v>
      </c>
      <c r="K61" s="8">
        <f t="shared" si="45"/>
        <v>0</v>
      </c>
      <c r="L61" s="8">
        <f t="shared" si="45"/>
        <v>0</v>
      </c>
      <c r="M61" s="8">
        <f t="shared" si="45"/>
        <v>0</v>
      </c>
      <c r="N61" s="8">
        <f t="shared" si="22"/>
        <v>0</v>
      </c>
      <c r="O61" s="8">
        <f t="shared" si="22"/>
        <v>0.44847067131570806</v>
      </c>
      <c r="P61" s="8">
        <f t="shared" si="22"/>
        <v>-0.43578981046986409</v>
      </c>
      <c r="Q61" s="8">
        <f t="shared" si="22"/>
        <v>-0.27936272193343681</v>
      </c>
      <c r="R61" s="8">
        <f t="shared" si="22"/>
        <v>2.5068385356165956E-2</v>
      </c>
      <c r="S61" s="8">
        <f t="shared" si="23"/>
        <v>-0.34688916508261447</v>
      </c>
      <c r="T61" s="8">
        <f t="shared" si="24"/>
        <v>0.23048722469426042</v>
      </c>
      <c r="U61" s="8">
        <f t="shared" si="25"/>
        <v>0.25017626054720377</v>
      </c>
      <c r="V61" s="8">
        <f t="shared" ca="1" si="25"/>
        <v>0.16659086636710874</v>
      </c>
      <c r="W61" s="8"/>
      <c r="X61" s="8"/>
      <c r="Y61" s="8"/>
      <c r="Z61" s="8"/>
      <c r="AA61" s="8">
        <v>0</v>
      </c>
      <c r="AB61" s="8">
        <v>-0.79294404834460319</v>
      </c>
      <c r="AC61" s="8">
        <f t="shared" ca="1" si="27"/>
        <v>-0.15797085630082486</v>
      </c>
      <c r="AD61" s="8">
        <f t="shared" ca="1" si="27"/>
        <v>0.16659086636710874</v>
      </c>
      <c r="AE61" s="8"/>
    </row>
    <row r="62" spans="1:31">
      <c r="A62">
        <f t="shared" si="20"/>
        <v>22</v>
      </c>
      <c r="B62" t="str">
        <f t="shared" si="20"/>
        <v>NL</v>
      </c>
      <c r="C62" t="str">
        <f t="shared" si="20"/>
        <v>NL</v>
      </c>
      <c r="D62" s="8"/>
      <c r="E62" s="8">
        <f t="shared" ref="E62:M62" si="46">IFERROR(E27/D27-1,0)</f>
        <v>0.17307165358585808</v>
      </c>
      <c r="F62" s="8">
        <f t="shared" si="46"/>
        <v>-0.17941220784091405</v>
      </c>
      <c r="G62" s="8">
        <f t="shared" si="46"/>
        <v>-9.983481947373396E-2</v>
      </c>
      <c r="H62" s="8">
        <f t="shared" si="46"/>
        <v>-0.69143932129123709</v>
      </c>
      <c r="I62" s="8">
        <f t="shared" si="46"/>
        <v>-0.4326310783497801</v>
      </c>
      <c r="J62" s="8">
        <f t="shared" si="46"/>
        <v>2.2753146387155452</v>
      </c>
      <c r="K62" s="8">
        <f t="shared" si="46"/>
        <v>0.88248052175715563</v>
      </c>
      <c r="L62" s="8">
        <f t="shared" si="46"/>
        <v>6.5876916739793678E-2</v>
      </c>
      <c r="M62" s="8">
        <f t="shared" si="46"/>
        <v>-0.19246604170652371</v>
      </c>
      <c r="N62" s="8">
        <f t="shared" si="22"/>
        <v>-0.4059799698964065</v>
      </c>
      <c r="O62" s="8">
        <f t="shared" si="22"/>
        <v>-0.43823749940175805</v>
      </c>
      <c r="P62" s="8">
        <f t="shared" si="22"/>
        <v>-0.28653918970087089</v>
      </c>
      <c r="Q62" s="8">
        <f t="shared" si="22"/>
        <v>1.2730861085312455</v>
      </c>
      <c r="R62" s="8">
        <f t="shared" si="22"/>
        <v>-0.89269214493134297</v>
      </c>
      <c r="S62" s="8">
        <f t="shared" si="23"/>
        <v>-4.1097270761657398</v>
      </c>
      <c r="T62" s="8">
        <f t="shared" si="24"/>
        <v>-1.0951110722406856</v>
      </c>
      <c r="U62" s="8">
        <f t="shared" si="25"/>
        <v>-17.8663908045977</v>
      </c>
      <c r="V62" s="8">
        <f t="shared" ca="1" si="25"/>
        <v>0</v>
      </c>
      <c r="W62" s="8"/>
      <c r="X62" s="8"/>
      <c r="Y62" s="8"/>
      <c r="Z62" s="8"/>
      <c r="AA62" s="8">
        <v>0</v>
      </c>
      <c r="AB62" s="8">
        <v>-0.88033939908812253</v>
      </c>
      <c r="AC62" s="8">
        <f t="shared" ca="1" si="27"/>
        <v>0.66230304979783172</v>
      </c>
      <c r="AD62" s="8">
        <f t="shared" ca="1" si="27"/>
        <v>-0.1020106639333872</v>
      </c>
      <c r="AE62" s="8"/>
    </row>
    <row r="63" spans="1:31">
      <c r="A63">
        <f t="shared" si="20"/>
        <v>23</v>
      </c>
      <c r="B63" t="str">
        <f t="shared" si="20"/>
        <v>PL</v>
      </c>
      <c r="C63" t="str">
        <f t="shared" si="20"/>
        <v>PL</v>
      </c>
      <c r="D63" s="8"/>
      <c r="E63" s="8">
        <f t="shared" ref="E63:M63" si="47">IFERROR(E28/D28-1,0)</f>
        <v>-1.7879589072001822E-2</v>
      </c>
      <c r="F63" s="8">
        <f t="shared" si="47"/>
        <v>-0.51319887447518908</v>
      </c>
      <c r="G63" s="8">
        <f t="shared" si="47"/>
        <v>-0.874905674738227</v>
      </c>
      <c r="H63" s="8">
        <f t="shared" si="47"/>
        <v>2.2750156456435575</v>
      </c>
      <c r="I63" s="8">
        <f t="shared" si="47"/>
        <v>-0.38201728311180938</v>
      </c>
      <c r="J63" s="8">
        <f t="shared" si="47"/>
        <v>2.8714944641522724</v>
      </c>
      <c r="K63" s="8">
        <f t="shared" si="47"/>
        <v>-0.45822230998089775</v>
      </c>
      <c r="L63" s="8">
        <f t="shared" si="47"/>
        <v>0.5919015872495863</v>
      </c>
      <c r="M63" s="8">
        <f t="shared" si="47"/>
        <v>-1.4790963533091868</v>
      </c>
      <c r="N63" s="8">
        <f t="shared" si="22"/>
        <v>-1.1542025966215999</v>
      </c>
      <c r="O63" s="8">
        <f t="shared" si="22"/>
        <v>-6.9849925136669109</v>
      </c>
      <c r="P63" s="8">
        <f t="shared" si="22"/>
        <v>0.14407474852079605</v>
      </c>
      <c r="Q63" s="8">
        <f t="shared" si="22"/>
        <v>1.4899388243909137</v>
      </c>
      <c r="R63" s="8">
        <f t="shared" si="22"/>
        <v>0.86547844432326659</v>
      </c>
      <c r="S63" s="8">
        <f t="shared" si="23"/>
        <v>0.24890109709648778</v>
      </c>
      <c r="T63" s="8">
        <f t="shared" si="24"/>
        <v>-0.9330840842946807</v>
      </c>
      <c r="U63" s="8">
        <f t="shared" si="25"/>
        <v>-2.889343027444816</v>
      </c>
      <c r="V63" s="8">
        <f t="shared" ca="1" si="25"/>
        <v>0</v>
      </c>
      <c r="W63" s="8"/>
      <c r="X63" s="8"/>
      <c r="Y63" s="8"/>
      <c r="Z63" s="8"/>
      <c r="AA63" s="8">
        <v>0</v>
      </c>
      <c r="AB63" s="8">
        <v>-0.90245767077192718</v>
      </c>
      <c r="AC63" s="8">
        <f t="shared" ca="1" si="27"/>
        <v>-5.5243615789611011E-2</v>
      </c>
      <c r="AD63" s="8">
        <f t="shared" ca="1" si="27"/>
        <v>5.4300354312414694</v>
      </c>
      <c r="AE63" s="8"/>
    </row>
    <row r="64" spans="1:31" ht="15">
      <c r="A64">
        <f t="shared" si="20"/>
        <v>24</v>
      </c>
      <c r="B64" t="str">
        <f t="shared" si="20"/>
        <v>PT</v>
      </c>
      <c r="C64" t="str">
        <f t="shared" si="20"/>
        <v>PT</v>
      </c>
      <c r="D64" s="8"/>
      <c r="E64" s="8">
        <f t="shared" ref="E64:M64" si="48">IFERROR(E29/D29-1,0)</f>
        <v>-0.2026661758339896</v>
      </c>
      <c r="F64" s="8">
        <f t="shared" si="48"/>
        <v>0.37621675693930867</v>
      </c>
      <c r="G64" s="8">
        <f t="shared" si="48"/>
        <v>0.25948199275609918</v>
      </c>
      <c r="H64" s="8">
        <f t="shared" si="48"/>
        <v>-0.49358506387806445</v>
      </c>
      <c r="I64" s="8">
        <f t="shared" si="48"/>
        <v>-0.45079651879160965</v>
      </c>
      <c r="J64" s="8">
        <f t="shared" si="48"/>
        <v>7.2436008282454667E-2</v>
      </c>
      <c r="K64" s="8">
        <f t="shared" si="48"/>
        <v>1.8066183219362144</v>
      </c>
      <c r="L64" s="8">
        <f t="shared" si="48"/>
        <v>-0.64838520552465351</v>
      </c>
      <c r="M64" s="8">
        <f t="shared" si="48"/>
        <v>-0.67471186838323705</v>
      </c>
      <c r="N64" s="8">
        <f t="shared" si="22"/>
        <v>1.5094147648240686</v>
      </c>
      <c r="O64" s="8">
        <f t="shared" si="22"/>
        <v>-3.2440400121124404</v>
      </c>
      <c r="P64" s="8">
        <f t="shared" si="22"/>
        <v>-0.4721783222141156</v>
      </c>
      <c r="Q64" s="8">
        <f t="shared" si="22"/>
        <v>-1.0061530461911827E-2</v>
      </c>
      <c r="R64" s="8">
        <f t="shared" si="22"/>
        <v>-2.2793423736529252</v>
      </c>
      <c r="S64" s="8">
        <f t="shared" si="23"/>
        <v>-0.57158302426473617</v>
      </c>
      <c r="T64" s="8">
        <f t="shared" si="24"/>
        <v>2.2638241119345772</v>
      </c>
      <c r="U64" s="8">
        <f t="shared" si="25"/>
        <v>0.94686590829567163</v>
      </c>
      <c r="V64" s="8">
        <f t="shared" ca="1" si="25"/>
        <v>0.39963166430181674</v>
      </c>
      <c r="W64" s="8"/>
      <c r="X64" s="8"/>
      <c r="Y64" s="8"/>
      <c r="Z64" s="8"/>
      <c r="AA64" s="8">
        <v>0</v>
      </c>
      <c r="AB64" s="8">
        <v>-0.97588319862022721</v>
      </c>
      <c r="AC64" s="8">
        <f t="shared" ca="1" si="27"/>
        <v>0.1664173111074978</v>
      </c>
      <c r="AD64" s="8">
        <f t="shared" ca="1" si="27"/>
        <v>0.39963166430181674</v>
      </c>
      <c r="AE64" s="120"/>
    </row>
    <row r="65" spans="1:31">
      <c r="A65">
        <f t="shared" si="20"/>
        <v>25</v>
      </c>
      <c r="B65" t="str">
        <f t="shared" si="20"/>
        <v>RO</v>
      </c>
      <c r="C65" t="str">
        <f t="shared" si="20"/>
        <v>RO</v>
      </c>
      <c r="D65" s="8"/>
      <c r="E65" s="8">
        <f t="shared" ref="E65:M65" si="49">IFERROR(E30/D30-1,0)</f>
        <v>0.471926542287461</v>
      </c>
      <c r="F65" s="8">
        <f t="shared" si="49"/>
        <v>-0.51088151720684127</v>
      </c>
      <c r="G65" s="8">
        <f t="shared" si="49"/>
        <v>1.0325305495581723</v>
      </c>
      <c r="H65" s="8">
        <f t="shared" si="49"/>
        <v>-0.45974670236706805</v>
      </c>
      <c r="I65" s="8">
        <f t="shared" si="49"/>
        <v>-9.1469285576738502E-3</v>
      </c>
      <c r="J65" s="8">
        <f t="shared" si="49"/>
        <v>-0.16182765727845994</v>
      </c>
      <c r="K65" s="8">
        <f t="shared" si="49"/>
        <v>-1.1327378010458427</v>
      </c>
      <c r="L65" s="8">
        <f t="shared" si="49"/>
        <v>-8.9684196009929202</v>
      </c>
      <c r="M65" s="8">
        <f t="shared" si="49"/>
        <v>2.5347197784764486</v>
      </c>
      <c r="N65" s="8">
        <f t="shared" si="22"/>
        <v>-5.5852044796532163E-2</v>
      </c>
      <c r="O65" s="8">
        <f t="shared" si="22"/>
        <v>-0.25431111971568043</v>
      </c>
      <c r="P65" s="8">
        <f t="shared" si="22"/>
        <v>-0.42323544684086578</v>
      </c>
      <c r="Q65" s="8">
        <f t="shared" si="22"/>
        <v>-0.12067586522887208</v>
      </c>
      <c r="R65" s="8">
        <f t="shared" si="22"/>
        <v>-1.5966030112166449</v>
      </c>
      <c r="S65" s="8">
        <f t="shared" si="23"/>
        <v>0.83944961157164077</v>
      </c>
      <c r="T65" s="8">
        <f t="shared" si="24"/>
        <v>-0.21263994402239106</v>
      </c>
      <c r="U65" s="8">
        <f t="shared" si="25"/>
        <v>-0.4433300536388739</v>
      </c>
      <c r="V65" s="8">
        <f t="shared" ca="1" si="25"/>
        <v>-0.58889712450332588</v>
      </c>
      <c r="W65" s="8"/>
      <c r="X65" s="8"/>
      <c r="Y65" s="8"/>
      <c r="Z65" s="8"/>
      <c r="AA65" s="8">
        <v>0</v>
      </c>
      <c r="AB65" s="8">
        <v>-0.88634857521537413</v>
      </c>
      <c r="AC65" s="8">
        <f t="shared" ca="1" si="27"/>
        <v>1.8620749947735975</v>
      </c>
      <c r="AD65" s="8">
        <f t="shared" ca="1" si="27"/>
        <v>-0.58889712450332588</v>
      </c>
      <c r="AE65" s="8"/>
    </row>
    <row r="66" spans="1:31">
      <c r="A66">
        <f t="shared" si="20"/>
        <v>26</v>
      </c>
      <c r="B66" t="str">
        <f t="shared" si="20"/>
        <v>SE</v>
      </c>
      <c r="C66" t="str">
        <f t="shared" si="20"/>
        <v>SE</v>
      </c>
      <c r="D66" s="8"/>
      <c r="E66" s="8">
        <f t="shared" ref="E66:M66" si="50">IFERROR(E31/D31-1,0)</f>
        <v>-1.8170998020761551</v>
      </c>
      <c r="F66" s="8">
        <f t="shared" si="50"/>
        <v>-0.78211869905862552</v>
      </c>
      <c r="G66" s="8">
        <f t="shared" si="50"/>
        <v>-2.4901198345646716</v>
      </c>
      <c r="H66" s="8">
        <f t="shared" si="50"/>
        <v>-3.3890793281776341</v>
      </c>
      <c r="I66" s="8">
        <f t="shared" si="50"/>
        <v>-0.55645583697624601</v>
      </c>
      <c r="J66" s="8">
        <f t="shared" si="50"/>
        <v>-4.4807472743961139</v>
      </c>
      <c r="K66" s="8">
        <f t="shared" si="50"/>
        <v>1.7060695323880974</v>
      </c>
      <c r="L66" s="8">
        <f t="shared" si="50"/>
        <v>-0.4889900325316775</v>
      </c>
      <c r="M66" s="8">
        <f t="shared" si="50"/>
        <v>0.56198772814955977</v>
      </c>
      <c r="N66" s="8">
        <f t="shared" si="22"/>
        <v>0.44658521769683834</v>
      </c>
      <c r="O66" s="8">
        <f t="shared" si="22"/>
        <v>-0.48075234787083498</v>
      </c>
      <c r="P66" s="8">
        <f t="shared" si="22"/>
        <v>0.61840702141070425</v>
      </c>
      <c r="Q66" s="8">
        <f t="shared" si="22"/>
        <v>-9.3144717327059423E-2</v>
      </c>
      <c r="R66" s="8">
        <f t="shared" si="22"/>
        <v>0.51895758759304211</v>
      </c>
      <c r="S66" s="8">
        <f t="shared" si="23"/>
        <v>-4.449372088443293E-2</v>
      </c>
      <c r="T66" s="8">
        <f t="shared" si="24"/>
        <v>2.2842666753514429E-2</v>
      </c>
      <c r="U66" s="8">
        <f t="shared" si="25"/>
        <v>0.29924146626808312</v>
      </c>
      <c r="V66" s="8">
        <f t="shared" ca="1" si="25"/>
        <v>0</v>
      </c>
      <c r="W66" s="8"/>
      <c r="X66" s="8"/>
      <c r="Y66" s="8"/>
      <c r="Z66" s="8"/>
      <c r="AA66" s="8">
        <v>0</v>
      </c>
      <c r="AB66" s="8">
        <v>-0.84148137756891306</v>
      </c>
      <c r="AC66" s="8">
        <f t="shared" ca="1" si="27"/>
        <v>4.9197743950259998E-2</v>
      </c>
      <c r="AD66" s="8">
        <f t="shared" ca="1" si="27"/>
        <v>8.8232644334887755E-2</v>
      </c>
      <c r="AE66" s="8"/>
    </row>
    <row r="67" spans="1:31">
      <c r="A67">
        <f t="shared" si="20"/>
        <v>27</v>
      </c>
      <c r="B67" t="str">
        <f t="shared" si="20"/>
        <v>SI</v>
      </c>
      <c r="C67" t="str">
        <f t="shared" si="20"/>
        <v>SI</v>
      </c>
      <c r="D67" s="8"/>
      <c r="E67" s="8">
        <f t="shared" ref="E67:M67" si="51">IFERROR(E32/D32-1,0)</f>
        <v>-1.135373054213634</v>
      </c>
      <c r="F67" s="8">
        <f t="shared" si="51"/>
        <v>4.2048638646576793</v>
      </c>
      <c r="G67" s="8">
        <f t="shared" si="51"/>
        <v>-7.9826815642458095</v>
      </c>
      <c r="H67" s="8">
        <f t="shared" si="51"/>
        <v>0.91307668249823615</v>
      </c>
      <c r="I67" s="8">
        <f t="shared" si="51"/>
        <v>-0.30696468423393786</v>
      </c>
      <c r="J67" s="8">
        <f t="shared" si="51"/>
        <v>-0.35282823240274952</v>
      </c>
      <c r="K67" s="8">
        <f t="shared" si="51"/>
        <v>-0.24271219197938487</v>
      </c>
      <c r="L67" s="8">
        <f t="shared" si="51"/>
        <v>0.24157693254829993</v>
      </c>
      <c r="M67" s="8">
        <f t="shared" si="51"/>
        <v>1.1263613415073928</v>
      </c>
      <c r="N67" s="8">
        <f t="shared" si="22"/>
        <v>-0.98250203514008549</v>
      </c>
      <c r="O67" s="8">
        <f t="shared" si="22"/>
        <v>23.501574993942331</v>
      </c>
      <c r="P67" s="8">
        <f t="shared" si="22"/>
        <v>-0.56151229256907764</v>
      </c>
      <c r="Q67" s="8">
        <f t="shared" si="22"/>
        <v>-2.6184623018110531E-2</v>
      </c>
      <c r="R67" s="8">
        <f t="shared" si="22"/>
        <v>-0.36562601324748711</v>
      </c>
      <c r="S67" s="8">
        <f t="shared" si="23"/>
        <v>5.2880508196122813</v>
      </c>
      <c r="T67" s="8">
        <f t="shared" si="24"/>
        <v>-0.86499918716180124</v>
      </c>
      <c r="U67" s="8">
        <f t="shared" si="25"/>
        <v>-6.3468948907620852</v>
      </c>
      <c r="V67" s="8">
        <f t="shared" ca="1" si="25"/>
        <v>-2.0414072679889967</v>
      </c>
      <c r="W67" s="8"/>
      <c r="X67" s="8"/>
      <c r="Y67" s="8"/>
      <c r="Z67" s="8"/>
      <c r="AA67" s="8">
        <v>0</v>
      </c>
      <c r="AB67" s="8">
        <v>-0.95269048855547878</v>
      </c>
      <c r="AC67" s="8">
        <f t="shared" ca="1" si="27"/>
        <v>-0.40963354406953612</v>
      </c>
      <c r="AD67" s="8">
        <f t="shared" ca="1" si="27"/>
        <v>1.1945637544301793</v>
      </c>
      <c r="AE67" s="8">
        <v>-2.0414072679889967</v>
      </c>
    </row>
    <row r="68" spans="1:31">
      <c r="A68">
        <f t="shared" si="20"/>
        <v>28</v>
      </c>
      <c r="B68" t="str">
        <f t="shared" si="20"/>
        <v>SK</v>
      </c>
      <c r="C68" t="str">
        <f t="shared" si="20"/>
        <v>SK</v>
      </c>
      <c r="D68" s="8"/>
      <c r="E68" s="8">
        <f t="shared" ref="E68:M68" si="52">IFERROR(E33/D33-1,0)</f>
        <v>-0.28606285553485611</v>
      </c>
      <c r="F68" s="8">
        <f t="shared" si="52"/>
        <v>-1.7400239485107019</v>
      </c>
      <c r="G68" s="8">
        <f t="shared" si="52"/>
        <v>-0.69796997094179591</v>
      </c>
      <c r="H68" s="8">
        <f t="shared" si="52"/>
        <v>1.5182374213134513</v>
      </c>
      <c r="I68" s="8">
        <f t="shared" si="52"/>
        <v>-0.206556040137574</v>
      </c>
      <c r="J68" s="8">
        <f t="shared" si="52"/>
        <v>-0.30163110267009274</v>
      </c>
      <c r="K68" s="8">
        <f t="shared" si="52"/>
        <v>-0.45942314152709118</v>
      </c>
      <c r="L68" s="8">
        <f t="shared" si="52"/>
        <v>-0.76843631628787878</v>
      </c>
      <c r="M68" s="8">
        <f t="shared" si="52"/>
        <v>11.10926517571885</v>
      </c>
      <c r="N68" s="8">
        <f t="shared" si="22"/>
        <v>1.1669674423513272</v>
      </c>
      <c r="O68" s="8">
        <f t="shared" si="22"/>
        <v>0.11013436841003066</v>
      </c>
      <c r="P68" s="8">
        <f t="shared" si="22"/>
        <v>0.14220974357849481</v>
      </c>
      <c r="Q68" s="8">
        <f t="shared" si="22"/>
        <v>0.2159847288956489</v>
      </c>
      <c r="R68" s="8">
        <f t="shared" si="22"/>
        <v>-0.53829340324389208</v>
      </c>
      <c r="S68" s="8">
        <f t="shared" si="23"/>
        <v>-0.81235377016432475</v>
      </c>
      <c r="T68" s="8">
        <f t="shared" si="24"/>
        <v>1.4263370884829927</v>
      </c>
      <c r="U68" s="8">
        <f t="shared" si="25"/>
        <v>0.82428777497295314</v>
      </c>
      <c r="V68" s="8">
        <f t="shared" ca="1" si="25"/>
        <v>0.36543942014665776</v>
      </c>
      <c r="W68" s="8"/>
      <c r="X68" s="8"/>
      <c r="Y68" s="8"/>
      <c r="Z68" s="8"/>
      <c r="AA68" s="8">
        <v>0</v>
      </c>
      <c r="AB68" s="8">
        <v>-0.85371562317144545</v>
      </c>
      <c r="AC68" s="8">
        <f t="shared" ca="1" si="27"/>
        <v>-1.0441940532081759</v>
      </c>
      <c r="AD68" s="8">
        <f t="shared" ca="1" si="27"/>
        <v>0.36543942014665776</v>
      </c>
      <c r="AE68" s="8"/>
    </row>
    <row r="69" spans="1:31">
      <c r="A69">
        <f t="shared" si="20"/>
        <v>29</v>
      </c>
      <c r="B69" t="str">
        <f t="shared" si="20"/>
        <v>UK</v>
      </c>
      <c r="C69" t="str">
        <f t="shared" si="20"/>
        <v>UK</v>
      </c>
      <c r="D69" s="8"/>
      <c r="E69" s="8">
        <f t="shared" ref="E69:M71" si="53">IFERROR(E34/D34-1,0)</f>
        <v>-9.6622253405769798E-2</v>
      </c>
      <c r="F69" s="8">
        <f t="shared" si="53"/>
        <v>-0.30624000148527264</v>
      </c>
      <c r="G69" s="8">
        <f t="shared" si="53"/>
        <v>1.1137109201644035</v>
      </c>
      <c r="H69" s="8">
        <f t="shared" si="53"/>
        <v>-0.74045137881446332</v>
      </c>
      <c r="I69" s="8">
        <f t="shared" si="53"/>
        <v>-6.9905935724099866E-2</v>
      </c>
      <c r="J69" s="8">
        <f t="shared" si="53"/>
        <v>1.3385939992570091</v>
      </c>
      <c r="K69" s="8">
        <f t="shared" si="53"/>
        <v>0.90647414788761349</v>
      </c>
      <c r="L69" s="8">
        <f t="shared" si="53"/>
        <v>0.21636964278712312</v>
      </c>
      <c r="M69" s="8">
        <f t="shared" si="53"/>
        <v>0.42200745783310212</v>
      </c>
      <c r="N69" s="8">
        <f t="shared" si="22"/>
        <v>2.8485883723777139E-2</v>
      </c>
      <c r="O69" s="8">
        <f t="shared" si="22"/>
        <v>-0.15922349677724379</v>
      </c>
      <c r="P69" s="8">
        <f t="shared" si="22"/>
        <v>-0.16822257176563116</v>
      </c>
      <c r="Q69" s="8">
        <f t="shared" si="22"/>
        <v>0.29456176928059152</v>
      </c>
      <c r="R69" s="8">
        <f t="shared" si="22"/>
        <v>0.10795806598083213</v>
      </c>
      <c r="S69" s="8">
        <f t="shared" si="23"/>
        <v>-1</v>
      </c>
      <c r="T69" s="8">
        <f t="shared" si="24"/>
        <v>0</v>
      </c>
      <c r="U69" s="8">
        <f t="shared" si="25"/>
        <v>0</v>
      </c>
      <c r="V69" s="8">
        <f t="shared" ca="1" si="25"/>
        <v>0</v>
      </c>
      <c r="W69" s="8"/>
      <c r="X69" s="8"/>
      <c r="Y69" s="8"/>
      <c r="Z69" s="8"/>
      <c r="AA69" s="8">
        <v>0</v>
      </c>
      <c r="AB69" s="8">
        <v>0</v>
      </c>
      <c r="AC69" s="8" t="e">
        <f t="shared" ca="1" si="27"/>
        <v>#DIV/0!</v>
      </c>
      <c r="AD69" s="8" t="e">
        <f t="shared" ca="1" si="27"/>
        <v>#DIV/0!</v>
      </c>
      <c r="AE69" s="8"/>
    </row>
    <row r="70" spans="1:31">
      <c r="B70" s="40" t="s">
        <v>189</v>
      </c>
      <c r="C70" s="40" t="s">
        <v>189</v>
      </c>
      <c r="D70" s="41"/>
      <c r="E70" s="49">
        <f t="shared" si="53"/>
        <v>-0.49155601784427838</v>
      </c>
      <c r="F70" s="49">
        <f t="shared" ref="F70:F71" si="54">IFERROR(F35/E35-1,0)</f>
        <v>0.98467583898395428</v>
      </c>
      <c r="G70" s="49">
        <f t="shared" ref="G70:G71" si="55">IFERROR(G35/F35-1,0)</f>
        <v>0.458819801432788</v>
      </c>
      <c r="H70" s="49">
        <f t="shared" ref="H70:H71" si="56">IFERROR(H35/G35-1,0)</f>
        <v>-0.12707356346748544</v>
      </c>
      <c r="I70" s="49">
        <f t="shared" ref="I70:I71" si="57">IFERROR(I35/H35-1,0)</f>
        <v>-0.62468152176737013</v>
      </c>
      <c r="J70" s="49">
        <f t="shared" ref="J70:J71" si="58">IFERROR(J35/I35-1,0)</f>
        <v>-4.9068108959568368E-2</v>
      </c>
      <c r="K70" s="49">
        <f t="shared" ref="K70:K71" si="59">IFERROR(K35/J35-1,0)</f>
        <v>1.5940408749583468</v>
      </c>
      <c r="L70" s="49">
        <f t="shared" ref="L70:L71" si="60">IFERROR(L35/K35-1,0)</f>
        <v>-0.32381129959920874</v>
      </c>
      <c r="M70" s="49">
        <f t="shared" ref="M70:M71" si="61">IFERROR(M35/L35-1,0)</f>
        <v>0.22892554056820824</v>
      </c>
      <c r="N70" s="49">
        <f t="shared" ref="N70:N71" si="62">IFERROR(N35/M35-1,0)</f>
        <v>-6.8857402080671037E-2</v>
      </c>
      <c r="O70" s="49">
        <f t="shared" ref="O70:O71" si="63">IFERROR(O35/N35-1,0)</f>
        <v>0.27449014543095274</v>
      </c>
      <c r="P70" s="49">
        <f t="shared" ref="P70:P71" si="64">IFERROR(P35/O35-1,0)</f>
        <v>-0.44625172554874504</v>
      </c>
      <c r="Q70" s="49">
        <f t="shared" ref="Q70:R71" si="65">IFERROR(Q35/P35-1,0)</f>
        <v>1.7452388810157053</v>
      </c>
      <c r="R70" s="49">
        <f t="shared" si="65"/>
        <v>-0.13745429435475498</v>
      </c>
      <c r="S70" s="49">
        <f t="shared" si="23"/>
        <v>-0.42101648682876647</v>
      </c>
      <c r="T70" s="49">
        <f t="shared" si="24"/>
        <v>-0.47591587799510637</v>
      </c>
      <c r="U70" s="49">
        <f t="shared" si="25"/>
        <v>0.77134229201268578</v>
      </c>
      <c r="V70" s="49">
        <f t="shared" ca="1" si="25"/>
        <v>-3.1548283115444824</v>
      </c>
    </row>
    <row r="71" spans="1:31">
      <c r="B71" s="40" t="s">
        <v>190</v>
      </c>
      <c r="C71" s="40" t="s">
        <v>190</v>
      </c>
      <c r="D71" s="41"/>
      <c r="E71" s="49">
        <f t="shared" si="53"/>
        <v>-0.93836712491658747</v>
      </c>
      <c r="F71" s="49">
        <f t="shared" si="54"/>
        <v>22.391615568155249</v>
      </c>
      <c r="G71" s="49">
        <f t="shared" si="55"/>
        <v>0.13673161609458728</v>
      </c>
      <c r="H71" s="49">
        <f t="shared" si="56"/>
        <v>0.43387289438999099</v>
      </c>
      <c r="I71" s="49">
        <f t="shared" si="57"/>
        <v>-0.71651874785927661</v>
      </c>
      <c r="J71" s="49">
        <f t="shared" si="58"/>
        <v>-0.8027492991447327</v>
      </c>
      <c r="K71" s="49">
        <f t="shared" si="59"/>
        <v>6.0215052469433443</v>
      </c>
      <c r="L71" s="49">
        <f t="shared" si="60"/>
        <v>-1.2682639225721102</v>
      </c>
      <c r="M71" s="49">
        <f t="shared" si="61"/>
        <v>1.7596105314941646</v>
      </c>
      <c r="N71" s="49">
        <f t="shared" si="62"/>
        <v>0.32879563454855765</v>
      </c>
      <c r="O71" s="49">
        <f t="shared" si="63"/>
        <v>-1.0968384336081498</v>
      </c>
      <c r="P71" s="49">
        <f t="shared" si="64"/>
        <v>-8.0786599737321367</v>
      </c>
      <c r="Q71" s="49">
        <f t="shared" si="65"/>
        <v>-2.9342464778529784</v>
      </c>
      <c r="R71" s="49">
        <f t="shared" si="65"/>
        <v>-0.66728207850640309</v>
      </c>
      <c r="S71" s="49">
        <f t="shared" si="23"/>
        <v>3.7414583670680832</v>
      </c>
      <c r="T71" s="49">
        <f t="shared" si="24"/>
        <v>-0.47591587799510637</v>
      </c>
      <c r="U71" s="49">
        <f t="shared" si="25"/>
        <v>0.77134229201268578</v>
      </c>
      <c r="V71" s="49">
        <f t="shared" ca="1" si="25"/>
        <v>-3.1548283115444824</v>
      </c>
    </row>
    <row r="73" spans="1:31">
      <c r="Q73" s="39"/>
      <c r="R73" s="39"/>
      <c r="S73" s="39"/>
      <c r="T73" s="39"/>
      <c r="U73" s="39"/>
    </row>
    <row r="74" spans="1:31">
      <c r="Q74" s="39"/>
      <c r="R74" s="39"/>
      <c r="S74" s="39"/>
      <c r="T74" s="39"/>
      <c r="U74" s="39"/>
    </row>
    <row r="75" spans="1:31">
      <c r="Q75" s="39"/>
      <c r="R75" s="39"/>
      <c r="S75" s="39"/>
      <c r="T75" s="39"/>
      <c r="U75" s="39"/>
    </row>
    <row r="76" spans="1:31">
      <c r="Q76" s="39"/>
      <c r="R76" s="39"/>
      <c r="S76" s="39"/>
      <c r="T76" s="39"/>
      <c r="U76" s="39"/>
    </row>
    <row r="77" spans="1:31">
      <c r="Q77" s="39"/>
      <c r="R77" s="39"/>
      <c r="S77" s="39"/>
      <c r="T77" s="39"/>
      <c r="U77" s="39"/>
    </row>
    <row r="78" spans="1:31">
      <c r="Q78" s="39"/>
      <c r="R78" s="39"/>
      <c r="S78" s="39"/>
      <c r="T78" s="39"/>
      <c r="U78" s="39"/>
    </row>
    <row r="79" spans="1:31">
      <c r="Q79" s="39"/>
      <c r="R79" s="39"/>
      <c r="S79" s="39"/>
      <c r="T79" s="39"/>
      <c r="U79" s="39"/>
    </row>
    <row r="80" spans="1:31">
      <c r="Q80" s="39"/>
      <c r="R80" s="39"/>
      <c r="S80" s="39"/>
      <c r="T80" s="39"/>
      <c r="U80" s="39"/>
    </row>
    <row r="81" spans="17:21">
      <c r="Q81" s="39"/>
      <c r="R81" s="39"/>
      <c r="S81" s="39"/>
      <c r="T81" s="39"/>
      <c r="U81" s="39"/>
    </row>
    <row r="82" spans="17:21">
      <c r="Q82" s="39"/>
      <c r="R82" s="39"/>
      <c r="S82" s="39"/>
      <c r="T82" s="39"/>
      <c r="U82" s="39"/>
    </row>
    <row r="83" spans="17:21">
      <c r="Q83" s="39"/>
      <c r="R83" s="39"/>
      <c r="S83" s="39"/>
      <c r="T83" s="39"/>
      <c r="U83" s="39"/>
    </row>
    <row r="84" spans="17:21">
      <c r="Q84" s="39"/>
      <c r="R84" s="39"/>
      <c r="S84" s="39"/>
      <c r="T84" s="39"/>
      <c r="U84" s="39"/>
    </row>
    <row r="85" spans="17:21">
      <c r="Q85" s="39"/>
      <c r="R85" s="39"/>
      <c r="S85" s="39"/>
      <c r="T85" s="39"/>
      <c r="U85" s="39"/>
    </row>
    <row r="86" spans="17:21">
      <c r="Q86" s="39"/>
      <c r="R86" s="39"/>
      <c r="S86" s="39"/>
      <c r="T86" s="39"/>
      <c r="U86" s="39"/>
    </row>
    <row r="87" spans="17:21">
      <c r="Q87" s="39"/>
      <c r="R87" s="39"/>
      <c r="S87" s="39"/>
      <c r="T87" s="39"/>
      <c r="U87" s="39"/>
    </row>
    <row r="88" spans="17:21">
      <c r="Q88" s="39"/>
      <c r="R88" s="39"/>
      <c r="S88" s="39"/>
      <c r="T88" s="39"/>
      <c r="U88" s="39"/>
    </row>
    <row r="89" spans="17:21">
      <c r="Q89" s="39"/>
      <c r="R89" s="39"/>
      <c r="S89" s="39"/>
      <c r="T89" s="39"/>
      <c r="U89" s="39"/>
    </row>
    <row r="90" spans="17:21">
      <c r="Q90" s="39"/>
      <c r="R90" s="39"/>
      <c r="S90" s="39"/>
      <c r="T90" s="39"/>
      <c r="U90" s="39"/>
    </row>
    <row r="91" spans="17:21">
      <c r="Q91" s="39"/>
      <c r="R91" s="39"/>
      <c r="S91" s="39"/>
      <c r="T91" s="39"/>
      <c r="U91" s="39"/>
    </row>
    <row r="92" spans="17:21">
      <c r="Q92" s="39"/>
      <c r="R92" s="39"/>
      <c r="S92" s="39"/>
      <c r="T92" s="39"/>
      <c r="U92" s="39"/>
    </row>
    <row r="93" spans="17:21">
      <c r="Q93" s="39"/>
      <c r="R93" s="39"/>
      <c r="S93" s="39"/>
      <c r="T93" s="39"/>
      <c r="U93" s="39"/>
    </row>
    <row r="94" spans="17:21">
      <c r="Q94" s="39"/>
      <c r="R94" s="39"/>
      <c r="S94" s="39"/>
      <c r="T94" s="39"/>
      <c r="U94" s="39"/>
    </row>
    <row r="95" spans="17:21">
      <c r="Q95" s="39"/>
      <c r="R95" s="39"/>
      <c r="S95" s="39"/>
      <c r="T95" s="39"/>
      <c r="U95" s="39"/>
    </row>
  </sheetData>
  <conditionalFormatting sqref="AJ7:AK34">
    <cfRule type="cellIs" dxfId="7" priority="1" operator="greaterThan">
      <formula>AJ$5</formula>
    </cfRule>
  </conditionalFormatting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AO71"/>
  <sheetViews>
    <sheetView zoomScale="90" zoomScaleNormal="90" workbookViewId="0">
      <pane xSplit="3" ySplit="6" topLeftCell="D7" activePane="bottomRight" state="frozen"/>
      <selection pane="topRight" activeCell="AI47" sqref="AI47"/>
      <selection pane="bottomLeft" activeCell="AI47" sqref="AI47"/>
      <selection pane="bottomRight" activeCell="V7" sqref="V7:V36"/>
    </sheetView>
  </sheetViews>
  <sheetFormatPr baseColWidth="10" defaultColWidth="11.5" defaultRowHeight="13"/>
  <cols>
    <col min="1" max="1" width="13.5" customWidth="1"/>
    <col min="40" max="40" width="25.1640625" customWidth="1"/>
  </cols>
  <sheetData>
    <row r="1" spans="1:41">
      <c r="A1" t="s">
        <v>58</v>
      </c>
      <c r="AA1" s="15" t="s">
        <v>219</v>
      </c>
    </row>
    <row r="2" spans="1:41">
      <c r="AA2" s="11"/>
    </row>
    <row r="3" spans="1:41">
      <c r="AA3" s="11"/>
      <c r="AH3" t="s">
        <v>193</v>
      </c>
    </row>
    <row r="4" spans="1:41" ht="14">
      <c r="AA4" s="11">
        <v>1</v>
      </c>
      <c r="AB4">
        <f>AA4+1</f>
        <v>2</v>
      </c>
      <c r="AC4">
        <f t="shared" ref="AC4:AD4" si="0">AB4+1</f>
        <v>3</v>
      </c>
      <c r="AD4">
        <f t="shared" si="0"/>
        <v>4</v>
      </c>
      <c r="AG4" t="s">
        <v>194</v>
      </c>
      <c r="AH4" s="10">
        <v>5</v>
      </c>
    </row>
    <row r="5" spans="1:41">
      <c r="D5" t="s">
        <v>173</v>
      </c>
      <c r="AA5" s="11" t="s">
        <v>196</v>
      </c>
      <c r="AB5" t="s">
        <v>220</v>
      </c>
      <c r="AC5" t="s">
        <v>199</v>
      </c>
      <c r="AD5" t="s">
        <v>200</v>
      </c>
      <c r="AE5" t="s">
        <v>201</v>
      </c>
      <c r="AH5" s="21">
        <v>0.9</v>
      </c>
      <c r="AN5" t="s">
        <v>204</v>
      </c>
      <c r="AO5" t="s">
        <v>101</v>
      </c>
    </row>
    <row r="6" spans="1:41">
      <c r="A6" t="s">
        <v>212</v>
      </c>
      <c r="B6" t="s">
        <v>175</v>
      </c>
      <c r="C6" t="s">
        <v>176</v>
      </c>
      <c r="D6" s="1">
        <f>'PEC Total'!D6</f>
        <v>2005</v>
      </c>
      <c r="E6" s="1">
        <f>'PEC Total'!E6</f>
        <v>2006</v>
      </c>
      <c r="F6" s="1">
        <f>'PEC Total'!F6</f>
        <v>2007</v>
      </c>
      <c r="G6" s="1">
        <f>'PEC Total'!G6</f>
        <v>2008</v>
      </c>
      <c r="H6" s="1">
        <f>'PEC Total'!H6</f>
        <v>2009</v>
      </c>
      <c r="I6" s="1">
        <f>'PEC Total'!I6</f>
        <v>2010</v>
      </c>
      <c r="J6" s="1">
        <f>'PEC Total'!J6</f>
        <v>2011</v>
      </c>
      <c r="K6" s="1">
        <f>'PEC Total'!K6</f>
        <v>2012</v>
      </c>
      <c r="L6" s="1">
        <f>'PEC Total'!L6</f>
        <v>2013</v>
      </c>
      <c r="M6" s="1">
        <f>'PEC Total'!M6</f>
        <v>2014</v>
      </c>
      <c r="N6" s="1">
        <f>'PEC Total'!N6</f>
        <v>2015</v>
      </c>
      <c r="O6" s="1">
        <f>'PEC Total'!O6</f>
        <v>2016</v>
      </c>
      <c r="P6" s="1">
        <f>'PEC Total'!P6</f>
        <v>2017</v>
      </c>
      <c r="Q6" s="1">
        <f>'PEC Total'!Q6</f>
        <v>2018</v>
      </c>
      <c r="R6" s="1">
        <f>'PEC Total'!R6</f>
        <v>2019</v>
      </c>
      <c r="S6" s="1">
        <f>'PEC Total'!S6</f>
        <v>2020</v>
      </c>
      <c r="T6" s="1">
        <f>'PEC Total'!T6</f>
        <v>2021</v>
      </c>
      <c r="U6" s="1">
        <f>'PEC Total'!U6</f>
        <v>2022</v>
      </c>
      <c r="V6" s="2">
        <f>YearProxy</f>
        <v>2023</v>
      </c>
      <c r="W6" s="21" t="s">
        <v>205</v>
      </c>
      <c r="Y6" s="1"/>
      <c r="Z6" s="1"/>
      <c r="AA6" s="12">
        <f>YearProxy</f>
        <v>2023</v>
      </c>
      <c r="AB6" s="2">
        <f>AA6</f>
        <v>2023</v>
      </c>
      <c r="AC6" s="2">
        <f>YearProxy</f>
        <v>2023</v>
      </c>
      <c r="AD6" s="2">
        <f>AA6</f>
        <v>2023</v>
      </c>
      <c r="AE6" s="6"/>
      <c r="AH6" s="6" t="s">
        <v>211</v>
      </c>
    </row>
    <row r="7" spans="1:41">
      <c r="A7">
        <v>2</v>
      </c>
      <c r="B7" t="s">
        <v>106</v>
      </c>
      <c r="C7" t="s">
        <v>106</v>
      </c>
      <c r="D7" s="3">
        <v>7096.7710278016602</v>
      </c>
      <c r="E7" s="3">
        <v>7615.3157527467301</v>
      </c>
      <c r="F7" s="3">
        <v>8190.4980287570397</v>
      </c>
      <c r="G7" s="3">
        <v>8525.9143727906703</v>
      </c>
      <c r="H7" s="3">
        <v>9010.2125657781598</v>
      </c>
      <c r="I7" s="3">
        <v>9322.7596571128306</v>
      </c>
      <c r="J7" s="3">
        <v>8884.3080121333696</v>
      </c>
      <c r="K7" s="3">
        <v>10090.2630358269</v>
      </c>
      <c r="L7" s="3">
        <v>10020.183213623801</v>
      </c>
      <c r="M7" s="3">
        <v>9834.3937516957994</v>
      </c>
      <c r="N7" s="3">
        <v>9790.2164500811996</v>
      </c>
      <c r="O7" s="3">
        <v>10063.774793541599</v>
      </c>
      <c r="P7" s="3">
        <v>10081.396752937801</v>
      </c>
      <c r="Q7" s="3">
        <v>9676.87732053119</v>
      </c>
      <c r="R7" s="3">
        <v>10054.064829941701</v>
      </c>
      <c r="S7" s="3">
        <v>10094.3249914971</v>
      </c>
      <c r="T7" s="3">
        <v>10395.863697238899</v>
      </c>
      <c r="U7" s="3">
        <v>9801.8576942772397</v>
      </c>
      <c r="V7" s="3">
        <f t="shared" ref="V7:V34" ca="1" si="1">INDEX($AA7:$AJ7,1,W7)</f>
        <v>10925.272169771273</v>
      </c>
      <c r="W7" s="16">
        <f ca="1">IF(ISNUMBER(AD7),4,IF(ISNUMBER(AE7),AE7,IF(AH7&gt;$AH$5,3,IF(ISNUMBER(AB7),2,1))))</f>
        <v>4</v>
      </c>
      <c r="X7" t="str">
        <f t="shared" ref="X7:X34" ca="1" si="2">INDEX($AA$5:$AK$5,W7)</f>
        <v>Based on MS Stats</v>
      </c>
      <c r="Y7" s="3"/>
      <c r="Z7" s="3"/>
      <c r="AA7" s="13">
        <f t="shared" ref="AA7:AA34" ca="1" si="3">OFFSET($A7,0,OffsetLast)</f>
        <v>9801.8576942772397</v>
      </c>
      <c r="AB7" s="3">
        <f ca="1">$AA7*(1+AB42)</f>
        <v>10278.565485683461</v>
      </c>
      <c r="AC7" s="3">
        <f t="shared" ref="AC7:AC34" ca="1" si="4">FORECAST(AC$6,OFFSET($A7,0,OffsetLast-TrendDuration+1,1,TrendDuration),OFFSET($A$6,0,OffsetLast-TrendDuration+1,1,TrendDuration))</f>
        <v>10182.125591134012</v>
      </c>
      <c r="AD7" s="3">
        <f t="shared" ref="AD7:AD34" ca="1" si="5">IF(ISNUMBER(AD42),$AA7*(1+AD42),"")</f>
        <v>10925.272169771273</v>
      </c>
      <c r="AE7" s="3"/>
      <c r="AG7" s="3"/>
      <c r="AH7" s="7">
        <f ca="1">IFERROR(RSQ(OFFSET($A7,0,OffsetLast-TrendDuration+1,1,TrendDuration),OFFSET($A$6,0,OffsetLast-TrendDuration+1,1,TrendDuration)),0)</f>
        <v>0.11220419469132194</v>
      </c>
      <c r="AI7" s="3"/>
      <c r="AN7" s="7" t="str">
        <f>IFERROR(INDEX('MS Stats list'!P:P, MATCH(B7,'MS Stats list'!B:B,0)),"")</f>
        <v>Statistics Austria - Preliminary energy balance 2022</v>
      </c>
    </row>
    <row r="8" spans="1:41">
      <c r="A8">
        <v>3</v>
      </c>
      <c r="B8" t="s">
        <v>177</v>
      </c>
      <c r="C8" t="s">
        <v>177</v>
      </c>
      <c r="D8" s="3">
        <v>1167.3510000000001</v>
      </c>
      <c r="E8" s="3">
        <v>1368.9169999999999</v>
      </c>
      <c r="F8" s="3">
        <v>1599.086</v>
      </c>
      <c r="G8" s="3">
        <v>1920.325</v>
      </c>
      <c r="H8" s="3">
        <v>2287.268</v>
      </c>
      <c r="I8" s="3">
        <v>2954.9127152001502</v>
      </c>
      <c r="J8" s="3">
        <v>2970.4780247444301</v>
      </c>
      <c r="K8" s="3">
        <v>3367.3941461736899</v>
      </c>
      <c r="L8" s="3">
        <v>3586.4648833476599</v>
      </c>
      <c r="M8" s="3">
        <v>3422.8435099837602</v>
      </c>
      <c r="N8" s="3">
        <v>3689.2244742524099</v>
      </c>
      <c r="O8" s="3">
        <v>3910.8106550109901</v>
      </c>
      <c r="P8" s="3">
        <v>4063.5848465653899</v>
      </c>
      <c r="Q8" s="3">
        <v>4154.6880390751903</v>
      </c>
      <c r="R8" s="3">
        <v>4273.3142912964504</v>
      </c>
      <c r="S8" s="3">
        <v>4799.3108455144702</v>
      </c>
      <c r="T8" s="3">
        <v>4933.1227662176298</v>
      </c>
      <c r="U8" s="3">
        <v>5068.0637862806898</v>
      </c>
      <c r="V8" s="3">
        <f t="shared" ca="1" si="1"/>
        <v>5391.6679364765296</v>
      </c>
      <c r="W8" s="16">
        <f t="shared" ref="W8:W34" ca="1" si="6">IF(ISNUMBER(AD8),4,IF(ISNUMBER(AE8),AE8,IF(AH8&gt;$AH$5,3,IF(ISNUMBER(AB8),2,1))))</f>
        <v>3</v>
      </c>
      <c r="X8" t="str">
        <f t="shared" ca="1" si="2"/>
        <v>5yr lin trend</v>
      </c>
      <c r="Y8" s="3"/>
      <c r="Z8" s="3"/>
      <c r="AA8" s="13">
        <f t="shared" ca="1" si="3"/>
        <v>5068.0637862806898</v>
      </c>
      <c r="AB8" s="3">
        <f t="shared" ref="AB8:AB34" ca="1" si="7">$AA8*(1+AB43)</f>
        <v>5391.4012438622312</v>
      </c>
      <c r="AC8" s="3">
        <f t="shared" ca="1" si="4"/>
        <v>5391.6679364765296</v>
      </c>
      <c r="AD8" s="3" t="str">
        <f t="shared" si="5"/>
        <v/>
      </c>
      <c r="AE8" s="3"/>
      <c r="AG8" s="3"/>
      <c r="AH8" s="7">
        <f t="shared" ref="AH8:AH34" ca="1" si="8">IFERROR(RSQ(OFFSET($A8,0,OffsetLast-TrendDuration+1,1,TrendDuration),OFFSET($A$6,0,OffsetLast-TrendDuration+1,1,TrendDuration)),0)</f>
        <v>0.93066274249246073</v>
      </c>
      <c r="AI8" s="3"/>
      <c r="AN8" s="7" t="str">
        <f>IFERROR(INDEX('MS Stats list'!P:P, MATCH(B8,'MS Stats list'!B:B,0)),"")</f>
        <v/>
      </c>
    </row>
    <row r="9" spans="1:41">
      <c r="A9">
        <v>4</v>
      </c>
      <c r="B9" t="s">
        <v>178</v>
      </c>
      <c r="C9" t="s">
        <v>178</v>
      </c>
      <c r="D9" s="3">
        <v>1094.7802149613101</v>
      </c>
      <c r="E9" s="3">
        <v>1138.3430627687001</v>
      </c>
      <c r="F9" s="3">
        <v>957.80564660361097</v>
      </c>
      <c r="G9" s="3">
        <v>1056.3607635425601</v>
      </c>
      <c r="H9" s="3">
        <v>1104.56781169389</v>
      </c>
      <c r="I9" s="3">
        <v>1447.7808022356</v>
      </c>
      <c r="J9" s="3">
        <v>1352.2088426483199</v>
      </c>
      <c r="K9" s="3">
        <v>1603.9862536543401</v>
      </c>
      <c r="L9" s="3">
        <v>1816.7796079105799</v>
      </c>
      <c r="M9" s="3">
        <v>1795.1207007738601</v>
      </c>
      <c r="N9" s="3">
        <v>2001.3707789242401</v>
      </c>
      <c r="O9" s="3">
        <v>1941.37234823732</v>
      </c>
      <c r="P9" s="3">
        <v>1864.79195251743</v>
      </c>
      <c r="Q9" s="3">
        <v>2449.0660173879801</v>
      </c>
      <c r="R9" s="3">
        <v>2363.88254896341</v>
      </c>
      <c r="S9" s="3">
        <v>2437.3965477214101</v>
      </c>
      <c r="T9" s="3">
        <v>2793.1766397248498</v>
      </c>
      <c r="U9" s="3">
        <v>2594.8567280022899</v>
      </c>
      <c r="V9" s="3">
        <f t="shared" ca="1" si="1"/>
        <v>2998.710015200631</v>
      </c>
      <c r="W9" s="16">
        <f t="shared" ca="1" si="6"/>
        <v>2</v>
      </c>
      <c r="X9" t="str">
        <f t="shared" ca="1" si="2"/>
        <v>RES Proxy</v>
      </c>
      <c r="Y9" s="3"/>
      <c r="Z9" s="3"/>
      <c r="AA9" s="13">
        <f t="shared" ca="1" si="3"/>
        <v>2594.8567280022899</v>
      </c>
      <c r="AB9" s="3">
        <f t="shared" ca="1" si="7"/>
        <v>2998.710015200631</v>
      </c>
      <c r="AC9" s="3">
        <f t="shared" ca="1" si="4"/>
        <v>2743.9383499569958</v>
      </c>
      <c r="AD9" s="3" t="str">
        <f t="shared" si="5"/>
        <v/>
      </c>
      <c r="AE9" s="3"/>
      <c r="AG9" s="3"/>
      <c r="AH9" s="7">
        <f t="shared" ca="1" si="8"/>
        <v>0.44735912752628004</v>
      </c>
      <c r="AI9" s="3"/>
      <c r="AN9" s="7" t="str">
        <f>IFERROR(INDEX('MS Stats list'!P:P, MATCH(B9,'MS Stats list'!B:B,0)),"")</f>
        <v/>
      </c>
    </row>
    <row r="10" spans="1:41">
      <c r="A10">
        <v>5</v>
      </c>
      <c r="B10" t="s">
        <v>179</v>
      </c>
      <c r="C10" t="s">
        <v>179</v>
      </c>
      <c r="D10" s="3">
        <v>53.71</v>
      </c>
      <c r="E10" s="3">
        <v>55.848999999999997</v>
      </c>
      <c r="F10" s="3">
        <v>72.985038693035193</v>
      </c>
      <c r="G10" s="3">
        <v>98.392269513709707</v>
      </c>
      <c r="H10" s="3">
        <v>106.02573115505901</v>
      </c>
      <c r="I10" s="3">
        <v>108.68069313079199</v>
      </c>
      <c r="J10" s="3">
        <v>124.73207805483899</v>
      </c>
      <c r="K10" s="3">
        <v>134.226155440909</v>
      </c>
      <c r="L10" s="3">
        <v>138.287155440909</v>
      </c>
      <c r="M10" s="3">
        <v>134.868501671921</v>
      </c>
      <c r="N10" s="3">
        <v>154.405501671921</v>
      </c>
      <c r="O10" s="3">
        <v>160.602501671921</v>
      </c>
      <c r="P10" s="3">
        <v>177.13950797745301</v>
      </c>
      <c r="Q10" s="3">
        <v>190.678596923664</v>
      </c>
      <c r="R10" s="3">
        <v>195.462803668672</v>
      </c>
      <c r="S10" s="3">
        <v>229.67961536256701</v>
      </c>
      <c r="T10" s="3">
        <v>247.67363905607999</v>
      </c>
      <c r="U10" s="3">
        <v>255.84669122002401</v>
      </c>
      <c r="V10" s="3">
        <f t="shared" ca="1" si="1"/>
        <v>278.63237644024048</v>
      </c>
      <c r="W10" s="16">
        <f t="shared" ca="1" si="6"/>
        <v>3</v>
      </c>
      <c r="X10" t="str">
        <f t="shared" ca="1" si="2"/>
        <v>5yr lin trend</v>
      </c>
      <c r="Y10" s="3"/>
      <c r="Z10" s="3"/>
      <c r="AA10" s="13">
        <f t="shared" ca="1" si="3"/>
        <v>255.84669122002401</v>
      </c>
      <c r="AB10" s="3">
        <f t="shared" ca="1" si="7"/>
        <v>326.47378568523959</v>
      </c>
      <c r="AC10" s="3">
        <f t="shared" ca="1" si="4"/>
        <v>278.63237644024048</v>
      </c>
      <c r="AD10" s="3" t="str">
        <f t="shared" si="5"/>
        <v/>
      </c>
      <c r="AE10" s="3"/>
      <c r="AG10" s="3"/>
      <c r="AH10" s="7">
        <f t="shared" ca="1" si="8"/>
        <v>0.94360203416670696</v>
      </c>
      <c r="AI10" s="3"/>
      <c r="AN10" s="7" t="str">
        <f>IFERROR(INDEX('MS Stats list'!P:P, MATCH(B10,'MS Stats list'!B:B,0)),"")</f>
        <v/>
      </c>
    </row>
    <row r="11" spans="1:41">
      <c r="A11">
        <v>6</v>
      </c>
      <c r="B11" t="s">
        <v>180</v>
      </c>
      <c r="C11" t="s">
        <v>180</v>
      </c>
      <c r="D11" s="3">
        <v>2087.2686509028399</v>
      </c>
      <c r="E11" s="3">
        <v>2213.0930672589998</v>
      </c>
      <c r="F11" s="3">
        <v>2319.9437083213902</v>
      </c>
      <c r="G11" s="3">
        <v>2518.5065836438298</v>
      </c>
      <c r="H11" s="3">
        <v>2842.7156117321101</v>
      </c>
      <c r="I11" s="3">
        <v>3129.77750578007</v>
      </c>
      <c r="J11" s="3">
        <v>3439.9107089901599</v>
      </c>
      <c r="K11" s="3">
        <v>3687.03718543995</v>
      </c>
      <c r="L11" s="3">
        <v>4048.5647252316799</v>
      </c>
      <c r="M11" s="3">
        <v>4174.23980395529</v>
      </c>
      <c r="N11" s="3">
        <v>4276.8515813509102</v>
      </c>
      <c r="O11" s="3">
        <v>4308.1873948600296</v>
      </c>
      <c r="P11" s="3">
        <v>4393.4273585554602</v>
      </c>
      <c r="Q11" s="3">
        <v>4394.6999203210098</v>
      </c>
      <c r="R11" s="3">
        <v>4710.7177886691497</v>
      </c>
      <c r="S11" s="3">
        <v>4890.2103614216103</v>
      </c>
      <c r="T11" s="3">
        <v>5227.4150975446601</v>
      </c>
      <c r="U11" s="3">
        <v>5067.0484142543201</v>
      </c>
      <c r="V11" s="3">
        <f t="shared" ca="1" si="1"/>
        <v>5259.1634591647189</v>
      </c>
      <c r="W11" s="16">
        <f t="shared" ca="1" si="6"/>
        <v>2</v>
      </c>
      <c r="X11" t="str">
        <f t="shared" ca="1" si="2"/>
        <v>RES Proxy</v>
      </c>
      <c r="Y11" s="3"/>
      <c r="Z11" s="3"/>
      <c r="AA11" s="13">
        <f t="shared" ca="1" si="3"/>
        <v>5067.0484142543201</v>
      </c>
      <c r="AB11" s="3">
        <f t="shared" ca="1" si="7"/>
        <v>5259.1634591647189</v>
      </c>
      <c r="AC11" s="3">
        <f t="shared" ca="1" si="4"/>
        <v>5416.4366054647835</v>
      </c>
      <c r="AD11" s="3" t="str">
        <f t="shared" si="5"/>
        <v/>
      </c>
      <c r="AE11" s="3"/>
      <c r="AG11" s="3"/>
      <c r="AH11" s="7">
        <f t="shared" ca="1" si="8"/>
        <v>0.82979953339306756</v>
      </c>
      <c r="AI11" s="3"/>
      <c r="AN11" s="7" t="str">
        <f>IFERROR(INDEX('MS Stats list'!P:P, MATCH(B11,'MS Stats list'!B:B,0)),"")</f>
        <v/>
      </c>
    </row>
    <row r="12" spans="1:41">
      <c r="A12">
        <v>7</v>
      </c>
      <c r="B12" t="s">
        <v>91</v>
      </c>
      <c r="C12" t="s">
        <v>91</v>
      </c>
      <c r="D12" s="3">
        <v>18560.657557561899</v>
      </c>
      <c r="E12" s="3">
        <v>22650.925177414701</v>
      </c>
      <c r="F12" s="3">
        <v>26187.217202923501</v>
      </c>
      <c r="G12" s="3">
        <v>27203.452738129399</v>
      </c>
      <c r="H12" s="3">
        <v>27084.676318047201</v>
      </c>
      <c r="I12" s="3">
        <v>30757.034126779399</v>
      </c>
      <c r="J12" s="3">
        <v>31852.184746727798</v>
      </c>
      <c r="K12" s="3">
        <v>35785.114642208799</v>
      </c>
      <c r="L12" s="3">
        <v>36881.323923951502</v>
      </c>
      <c r="M12" s="3">
        <v>36625.397354447297</v>
      </c>
      <c r="N12" s="3">
        <v>39025.403780930501</v>
      </c>
      <c r="O12" s="3">
        <v>38853.080902550901</v>
      </c>
      <c r="P12" s="3">
        <v>41447.067148944298</v>
      </c>
      <c r="Q12" s="3">
        <v>42348.033558135103</v>
      </c>
      <c r="R12" s="3">
        <v>44054.402818572598</v>
      </c>
      <c r="S12" s="3">
        <v>45645.891317760601</v>
      </c>
      <c r="T12" s="3">
        <v>45555.721590235997</v>
      </c>
      <c r="U12" s="3">
        <v>47498.705109964598</v>
      </c>
      <c r="V12" s="3">
        <f t="shared" ca="1" si="1"/>
        <v>48962.706294860771</v>
      </c>
      <c r="W12" s="16">
        <f t="shared" ca="1" si="6"/>
        <v>4</v>
      </c>
      <c r="X12" t="str">
        <f t="shared" ca="1" si="2"/>
        <v>Based on MS Stats</v>
      </c>
      <c r="Y12" s="3"/>
      <c r="Z12" s="3"/>
      <c r="AA12" s="13">
        <f t="shared" ca="1" si="3"/>
        <v>47498.705109964598</v>
      </c>
      <c r="AB12" s="3">
        <f t="shared" ca="1" si="7"/>
        <v>50007.920092376466</v>
      </c>
      <c r="AC12" s="3">
        <f t="shared" ca="1" si="4"/>
        <v>48561.349441530183</v>
      </c>
      <c r="AD12" s="3">
        <f t="shared" ca="1" si="5"/>
        <v>48962.706294860771</v>
      </c>
      <c r="AE12" s="3"/>
      <c r="AG12" s="3"/>
      <c r="AH12" s="7">
        <f t="shared" ca="1" si="8"/>
        <v>0.93526368326311771</v>
      </c>
      <c r="AI12" s="3"/>
      <c r="AN12" s="7" t="str">
        <f>IFERROR(INDEX('MS Stats list'!P:P, MATCH(B12,'MS Stats list'!B:B,0)),"")</f>
        <v>BMWi - Gesamtausgabe der Energiedaten - Datensammlung des BMWi, AGEB - Primärenergieverbrauch Jahr 2021</v>
      </c>
    </row>
    <row r="13" spans="1:41">
      <c r="A13">
        <v>8</v>
      </c>
      <c r="B13" t="s">
        <v>115</v>
      </c>
      <c r="C13" t="s">
        <v>115</v>
      </c>
      <c r="D13" s="3">
        <v>2835.3301730199701</v>
      </c>
      <c r="E13" s="3">
        <v>2882.4801456959899</v>
      </c>
      <c r="F13" s="3">
        <v>3198.2974605904301</v>
      </c>
      <c r="G13" s="3">
        <v>3193.9403939046501</v>
      </c>
      <c r="H13" s="3">
        <v>3251.7925960638199</v>
      </c>
      <c r="I13" s="3">
        <v>3864.2918518199999</v>
      </c>
      <c r="J13" s="3">
        <v>3980.7353226330401</v>
      </c>
      <c r="K13" s="3">
        <v>4137.4549269131503</v>
      </c>
      <c r="L13" s="3">
        <v>4289.13840957294</v>
      </c>
      <c r="M13" s="3">
        <v>4495.2074654628796</v>
      </c>
      <c r="N13" s="3">
        <v>4771.3883885545001</v>
      </c>
      <c r="O13" s="3">
        <v>4959.0456191841004</v>
      </c>
      <c r="P13" s="3">
        <v>5521.6544380433697</v>
      </c>
      <c r="Q13" s="3">
        <v>5453.1282430495803</v>
      </c>
      <c r="R13" s="3">
        <v>5706.1223625680695</v>
      </c>
      <c r="S13" s="3">
        <v>5872.4762984618301</v>
      </c>
      <c r="T13" s="3">
        <v>6635.6550366867205</v>
      </c>
      <c r="U13" s="3">
        <v>6506.8531536256696</v>
      </c>
      <c r="V13" s="3">
        <f t="shared" ca="1" si="1"/>
        <v>6608.844748025328</v>
      </c>
      <c r="W13" s="16">
        <f t="shared" ca="1" si="6"/>
        <v>4</v>
      </c>
      <c r="X13" t="str">
        <f t="shared" ca="1" si="2"/>
        <v>Based on MS Stats</v>
      </c>
      <c r="Y13" s="3"/>
      <c r="Z13" s="3"/>
      <c r="AA13" s="13">
        <f t="shared" ca="1" si="3"/>
        <v>6506.8531536256696</v>
      </c>
      <c r="AB13" s="3">
        <f t="shared" ca="1" si="7"/>
        <v>6710.7121518249432</v>
      </c>
      <c r="AC13" s="3">
        <f t="shared" ca="1" si="4"/>
        <v>6945.9417674596189</v>
      </c>
      <c r="AD13" s="3">
        <f t="shared" ca="1" si="5"/>
        <v>6608.844748025328</v>
      </c>
      <c r="AE13" s="3"/>
      <c r="AG13" s="3"/>
      <c r="AH13" s="7">
        <f t="shared" ca="1" si="8"/>
        <v>0.87293478792232326</v>
      </c>
      <c r="AI13" s="3"/>
      <c r="AN13" s="7" t="str">
        <f>IFERROR(INDEX('MS Stats list'!P:P, MATCH(B13,'MS Stats list'!B:B,0)),"")</f>
        <v>Danish Energy Agency - Preliminary Energy Statsticis 2022</v>
      </c>
    </row>
    <row r="14" spans="1:41">
      <c r="A14">
        <v>9</v>
      </c>
      <c r="B14" t="s">
        <v>120</v>
      </c>
      <c r="C14" t="s">
        <v>120</v>
      </c>
      <c r="D14" s="3">
        <v>588.73400000000004</v>
      </c>
      <c r="E14" s="3">
        <v>531.93899999999996</v>
      </c>
      <c r="F14" s="3">
        <v>602.202</v>
      </c>
      <c r="G14" s="3">
        <v>650.327</v>
      </c>
      <c r="H14" s="3">
        <v>719.30499999999995</v>
      </c>
      <c r="I14" s="3">
        <v>854.23099999999999</v>
      </c>
      <c r="J14" s="3">
        <v>836.16499999999996</v>
      </c>
      <c r="K14" s="3">
        <v>861.44200000000001</v>
      </c>
      <c r="L14" s="3">
        <v>851.13800000000003</v>
      </c>
      <c r="M14" s="3">
        <v>858.24400000000003</v>
      </c>
      <c r="N14" s="3">
        <v>933.79100000000005</v>
      </c>
      <c r="O14" s="3">
        <v>1001.066</v>
      </c>
      <c r="P14" s="3">
        <v>1075.6790000000001</v>
      </c>
      <c r="Q14" s="3">
        <v>1156.0889999999999</v>
      </c>
      <c r="R14" s="3">
        <v>1179.377</v>
      </c>
      <c r="S14" s="3">
        <v>1319.63</v>
      </c>
      <c r="T14" s="3">
        <v>1319.855</v>
      </c>
      <c r="U14" s="3">
        <v>1320.3040000000001</v>
      </c>
      <c r="V14" s="3">
        <f t="shared" ca="1" si="1"/>
        <v>1377.9060137721651</v>
      </c>
      <c r="W14" s="16">
        <f t="shared" ca="1" si="6"/>
        <v>2</v>
      </c>
      <c r="X14" t="str">
        <f t="shared" ca="1" si="2"/>
        <v>RES Proxy</v>
      </c>
      <c r="Y14" s="3"/>
      <c r="Z14" s="3"/>
      <c r="AA14" s="13">
        <f t="shared" ca="1" si="3"/>
        <v>1320.3040000000001</v>
      </c>
      <c r="AB14" s="3">
        <f t="shared" ca="1" si="7"/>
        <v>1377.9060137721651</v>
      </c>
      <c r="AC14" s="3">
        <f t="shared" ca="1" si="4"/>
        <v>1399.7234000000026</v>
      </c>
      <c r="AD14" s="3" t="str">
        <f t="shared" si="5"/>
        <v/>
      </c>
      <c r="AE14" s="3"/>
      <c r="AG14" s="3"/>
      <c r="AH14" s="7">
        <f t="shared" ca="1" si="8"/>
        <v>0.78336461430464521</v>
      </c>
      <c r="AI14" s="3"/>
      <c r="AN14" s="7">
        <f>IFERROR(INDEX('MS Stats list'!P:P, MATCH(B14,'MS Stats list'!B:B,0)),"")</f>
        <v>0</v>
      </c>
    </row>
    <row r="15" spans="1:41">
      <c r="A15">
        <v>11</v>
      </c>
      <c r="B15" t="s">
        <v>85</v>
      </c>
      <c r="C15" t="s">
        <v>85</v>
      </c>
      <c r="D15" s="3">
        <v>8392.9599999999991</v>
      </c>
      <c r="E15" s="3">
        <v>9156.91</v>
      </c>
      <c r="F15" s="3">
        <v>10000.718000000001</v>
      </c>
      <c r="G15" s="3">
        <v>10545.269</v>
      </c>
      <c r="H15" s="3">
        <v>12564.989</v>
      </c>
      <c r="I15" s="3">
        <v>15044.344999999999</v>
      </c>
      <c r="J15" s="3">
        <v>14814.235000000001</v>
      </c>
      <c r="K15" s="3">
        <v>16123.296</v>
      </c>
      <c r="L15" s="3">
        <v>17716.014999999999</v>
      </c>
      <c r="M15" s="3">
        <v>17749.994196617899</v>
      </c>
      <c r="N15" s="3">
        <v>16601.299052832699</v>
      </c>
      <c r="O15" s="3">
        <v>16981.8939026464</v>
      </c>
      <c r="P15" s="3">
        <v>15977.9632195471</v>
      </c>
      <c r="Q15" s="3">
        <v>17434.107661316499</v>
      </c>
      <c r="R15" s="3">
        <v>17516.499051017501</v>
      </c>
      <c r="S15" s="3">
        <v>18129.254574185499</v>
      </c>
      <c r="T15" s="3">
        <v>18753.231816566298</v>
      </c>
      <c r="U15" s="3">
        <v>18400.396280691701</v>
      </c>
      <c r="V15" s="3">
        <f t="shared" ca="1" si="1"/>
        <v>22202.563302715818</v>
      </c>
      <c r="W15" s="16">
        <f t="shared" ca="1" si="6"/>
        <v>4</v>
      </c>
      <c r="X15" t="str">
        <f t="shared" ca="1" si="2"/>
        <v>Based on MS Stats</v>
      </c>
      <c r="Y15" s="3"/>
      <c r="Z15" s="3"/>
      <c r="AA15" s="13">
        <f t="shared" ca="1" si="3"/>
        <v>18400.396280691701</v>
      </c>
      <c r="AB15" s="3">
        <f t="shared" ca="1" si="7"/>
        <v>20209.979791554026</v>
      </c>
      <c r="AC15" s="3">
        <f t="shared" ca="1" si="4"/>
        <v>18997.490878045326</v>
      </c>
      <c r="AD15" s="3">
        <f t="shared" ca="1" si="5"/>
        <v>22202.563302715818</v>
      </c>
      <c r="AE15" s="3"/>
      <c r="AG15" s="3"/>
      <c r="AH15" s="7">
        <f t="shared" ca="1" si="8"/>
        <v>0.78016586888118189</v>
      </c>
      <c r="AI15" s="3"/>
      <c r="AN15" s="7" t="str">
        <f>IFERROR(INDEX('MS Stats list'!P:P, MATCH(B15,'MS Stats list'!B:B,0)),"")</f>
        <v>Ministry of Ecological Transition</v>
      </c>
    </row>
    <row r="16" spans="1:41">
      <c r="A16">
        <v>12</v>
      </c>
      <c r="B16" t="s">
        <v>2</v>
      </c>
      <c r="C16" t="s">
        <v>2</v>
      </c>
      <c r="D16" s="3">
        <v>8085.7619999999997</v>
      </c>
      <c r="E16" s="3">
        <v>8690.7129999999997</v>
      </c>
      <c r="F16" s="3">
        <v>8656.9480000000003</v>
      </c>
      <c r="G16" s="3">
        <v>9091.7510000000002</v>
      </c>
      <c r="H16" s="3">
        <v>7999.0320000000002</v>
      </c>
      <c r="I16" s="3">
        <v>9293.3340000000007</v>
      </c>
      <c r="J16" s="3">
        <v>9097.3780000000006</v>
      </c>
      <c r="K16" s="3">
        <v>9954.2199999999993</v>
      </c>
      <c r="L16" s="3">
        <v>9861.5190000000002</v>
      </c>
      <c r="M16" s="3">
        <v>10276.225</v>
      </c>
      <c r="N16" s="3">
        <v>10489.011</v>
      </c>
      <c r="O16" s="3">
        <v>10635.281000000001</v>
      </c>
      <c r="P16" s="3">
        <v>11235.546552498299</v>
      </c>
      <c r="Q16" s="3">
        <v>11487.7506132607</v>
      </c>
      <c r="R16" s="3">
        <v>11613.7064145409</v>
      </c>
      <c r="S16" s="3">
        <v>11448.810879430601</v>
      </c>
      <c r="T16" s="3">
        <v>12987.2629705742</v>
      </c>
      <c r="U16" s="3">
        <v>12133.3706198529</v>
      </c>
      <c r="V16" s="3">
        <f t="shared" ca="1" si="1"/>
        <v>12435.286767048521</v>
      </c>
      <c r="W16" s="16">
        <f t="shared" ca="1" si="6"/>
        <v>4</v>
      </c>
      <c r="X16" t="str">
        <f t="shared" ca="1" si="2"/>
        <v>Based on MS Stats</v>
      </c>
      <c r="Y16" s="3"/>
      <c r="Z16" s="3"/>
      <c r="AA16" s="13">
        <f t="shared" ca="1" si="3"/>
        <v>12133.3706198529</v>
      </c>
      <c r="AB16" s="3">
        <f t="shared" ca="1" si="7"/>
        <v>12640.471225801277</v>
      </c>
      <c r="AC16" s="3">
        <f t="shared" ca="1" si="4"/>
        <v>12733.619270297233</v>
      </c>
      <c r="AD16" s="3">
        <f t="shared" ca="1" si="5"/>
        <v>12435.286767048521</v>
      </c>
      <c r="AE16" s="3"/>
      <c r="AG16" s="3"/>
      <c r="AH16" s="7">
        <f t="shared" ca="1" si="8"/>
        <v>0.42112119468036757</v>
      </c>
      <c r="AI16" s="3"/>
      <c r="AN16" s="7" t="str">
        <f>IFERROR(INDEX('MS Stats list'!P:P, MATCH(B16,'MS Stats list'!B:B,0)),"")</f>
        <v>Statistics Finland - Energy supply and consumption</v>
      </c>
    </row>
    <row r="17" spans="1:41">
      <c r="A17">
        <v>13</v>
      </c>
      <c r="B17" t="s">
        <v>82</v>
      </c>
      <c r="C17" t="s">
        <v>82</v>
      </c>
      <c r="D17" s="3">
        <v>15614.818512563301</v>
      </c>
      <c r="E17" s="3">
        <v>15254.6049469762</v>
      </c>
      <c r="F17" s="3">
        <v>16511.838166905502</v>
      </c>
      <c r="G17" s="3">
        <v>18601.004165185801</v>
      </c>
      <c r="H17" s="3">
        <v>18765.683318238302</v>
      </c>
      <c r="I17" s="3">
        <v>20867.4923738416</v>
      </c>
      <c r="J17" s="3">
        <v>18061.636498423599</v>
      </c>
      <c r="K17" s="3">
        <v>21269.636214865699</v>
      </c>
      <c r="L17" s="3">
        <v>23659.8566668577</v>
      </c>
      <c r="M17" s="3">
        <v>22057.807658259298</v>
      </c>
      <c r="N17" s="3">
        <v>22695.931894334499</v>
      </c>
      <c r="O17" s="3">
        <v>24380.8540698385</v>
      </c>
      <c r="P17" s="3">
        <v>23861.943977070801</v>
      </c>
      <c r="Q17" s="3">
        <v>25809.384845609999</v>
      </c>
      <c r="R17" s="3">
        <v>26012.993241616499</v>
      </c>
      <c r="S17" s="3">
        <v>25815.127567020099</v>
      </c>
      <c r="T17" s="3">
        <v>27171.0308666284</v>
      </c>
      <c r="U17" s="3">
        <v>26221.358844558999</v>
      </c>
      <c r="V17" s="3">
        <f t="shared" ca="1" si="1"/>
        <v>28895.893567601011</v>
      </c>
      <c r="W17" s="16">
        <f t="shared" ca="1" si="6"/>
        <v>4</v>
      </c>
      <c r="X17" t="str">
        <f t="shared" ca="1" si="2"/>
        <v>Based on MS Stats</v>
      </c>
      <c r="Y17" s="3"/>
      <c r="Z17" s="3"/>
      <c r="AA17" s="13">
        <f t="shared" ca="1" si="3"/>
        <v>26221.358844558999</v>
      </c>
      <c r="AB17" s="3">
        <f t="shared" ca="1" si="7"/>
        <v>27962.941009304825</v>
      </c>
      <c r="AC17" s="3">
        <f t="shared" ca="1" si="4"/>
        <v>26800.574759959767</v>
      </c>
      <c r="AD17" s="3">
        <f t="shared" ca="1" si="5"/>
        <v>28895.893567601011</v>
      </c>
      <c r="AE17" s="3"/>
      <c r="AG17" s="3"/>
      <c r="AH17" s="7">
        <f t="shared" ca="1" si="8"/>
        <v>0.30717017416370052</v>
      </c>
      <c r="AI17" s="3"/>
      <c r="AN17" s="7" t="str">
        <f>IFERROR(INDEX('MS Stats list'!P:P, MATCH(B17,'MS Stats list'!B:B,0)),"")</f>
        <v>Ministère de la Transition écologique et solidaire - Données et études statistiques</v>
      </c>
    </row>
    <row r="18" spans="1:41">
      <c r="A18">
        <v>10</v>
      </c>
      <c r="B18" t="s">
        <v>181</v>
      </c>
      <c r="C18" t="s">
        <v>182</v>
      </c>
      <c r="D18" s="3">
        <v>1704.489</v>
      </c>
      <c r="E18" s="3">
        <v>1848.4</v>
      </c>
      <c r="F18" s="3">
        <v>1756.6559999999999</v>
      </c>
      <c r="G18" s="3">
        <v>1755.7270000000001</v>
      </c>
      <c r="H18" s="3">
        <v>1922.43</v>
      </c>
      <c r="I18" s="3">
        <v>2190.6390000000001</v>
      </c>
      <c r="J18" s="3">
        <v>2198.665</v>
      </c>
      <c r="K18" s="3">
        <v>2506.89</v>
      </c>
      <c r="L18" s="3">
        <v>2676.0839999999998</v>
      </c>
      <c r="M18" s="3">
        <v>2505.9499999999998</v>
      </c>
      <c r="N18" s="3">
        <v>2840.4119999999998</v>
      </c>
      <c r="O18" s="3">
        <v>2704.1030000000001</v>
      </c>
      <c r="P18" s="3">
        <v>2625.4777128116898</v>
      </c>
      <c r="Q18" s="3">
        <v>2817.2883871214199</v>
      </c>
      <c r="R18" s="3">
        <v>2827.8285626253901</v>
      </c>
      <c r="S18" s="3">
        <v>2963.2556087704102</v>
      </c>
      <c r="T18" s="3">
        <v>3398.4015450463298</v>
      </c>
      <c r="U18" s="3">
        <v>3213.12718018534</v>
      </c>
      <c r="V18" s="3">
        <f t="shared" ca="1" si="1"/>
        <v>3379.1042453379341</v>
      </c>
      <c r="W18" s="16">
        <f t="shared" ca="1" si="6"/>
        <v>2</v>
      </c>
      <c r="X18" t="str">
        <f t="shared" ca="1" si="2"/>
        <v>RES Proxy</v>
      </c>
      <c r="Y18" s="3"/>
      <c r="Z18" s="3"/>
      <c r="AA18" s="13">
        <f t="shared" ca="1" si="3"/>
        <v>3213.12718018534</v>
      </c>
      <c r="AB18" s="3">
        <f t="shared" ca="1" si="7"/>
        <v>3379.1042453379341</v>
      </c>
      <c r="AC18" s="3">
        <f t="shared" ca="1" si="4"/>
        <v>3452.6554273143993</v>
      </c>
      <c r="AD18" s="3" t="str">
        <f t="shared" si="5"/>
        <v/>
      </c>
      <c r="AE18" s="3"/>
      <c r="AG18" s="3"/>
      <c r="AH18" s="7">
        <f t="shared" ca="1" si="8"/>
        <v>0.7169054285035622</v>
      </c>
      <c r="AI18" s="3"/>
      <c r="AN18" s="7" t="str">
        <f>IFERROR(INDEX('MS Stats list'!P:P, MATCH(B18,'MS Stats list'!B:B,0)),"")</f>
        <v/>
      </c>
    </row>
    <row r="19" spans="1:41">
      <c r="A19">
        <v>14</v>
      </c>
      <c r="B19" t="s">
        <v>183</v>
      </c>
      <c r="C19" t="s">
        <v>183</v>
      </c>
      <c r="D19" s="3">
        <v>1855.3981671921299</v>
      </c>
      <c r="E19" s="3">
        <v>1732.5068251647999</v>
      </c>
      <c r="F19" s="3">
        <v>1536.85213604662</v>
      </c>
      <c r="G19" s="3">
        <v>1631.25701910767</v>
      </c>
      <c r="H19" s="3">
        <v>1829.0764405273701</v>
      </c>
      <c r="I19" s="3">
        <v>2064.3234854304001</v>
      </c>
      <c r="J19" s="3">
        <v>1704.19989223273</v>
      </c>
      <c r="K19" s="3">
        <v>1747.8288542084599</v>
      </c>
      <c r="L19" s="3">
        <v>2082.3077007738598</v>
      </c>
      <c r="M19" s="3">
        <v>2004.6287325881301</v>
      </c>
      <c r="N19" s="3">
        <v>1959.99511598357</v>
      </c>
      <c r="O19" s="3">
        <v>2002.2824938377801</v>
      </c>
      <c r="P19" s="3">
        <v>1894.34963246393</v>
      </c>
      <c r="Q19" s="3">
        <v>2168.4424277252301</v>
      </c>
      <c r="R19" s="3">
        <v>2121.9172616795599</v>
      </c>
      <c r="S19" s="3">
        <v>2178.0108542084599</v>
      </c>
      <c r="T19" s="3">
        <v>2496.37770564632</v>
      </c>
      <c r="U19" s="3">
        <v>2211.6374305913801</v>
      </c>
      <c r="V19" s="3">
        <f t="shared" ca="1" si="1"/>
        <v>2236.2335599876342</v>
      </c>
      <c r="W19" s="16">
        <f t="shared" ca="1" si="6"/>
        <v>2</v>
      </c>
      <c r="X19" t="str">
        <f t="shared" ca="1" si="2"/>
        <v>RES Proxy</v>
      </c>
      <c r="Y19" s="3"/>
      <c r="Z19" s="3"/>
      <c r="AA19" s="13">
        <f t="shared" ca="1" si="3"/>
        <v>2211.6374305913801</v>
      </c>
      <c r="AB19" s="3">
        <f t="shared" ca="1" si="7"/>
        <v>2236.2335599876342</v>
      </c>
      <c r="AC19" s="3">
        <f t="shared" ca="1" si="4"/>
        <v>2373.5322708799067</v>
      </c>
      <c r="AD19" s="3" t="str">
        <f t="shared" si="5"/>
        <v/>
      </c>
      <c r="AE19" s="3"/>
      <c r="AG19" s="3"/>
      <c r="AH19" s="7">
        <f t="shared" ca="1" si="8"/>
        <v>0.23775355889931085</v>
      </c>
      <c r="AI19" s="3"/>
      <c r="AN19" s="7" t="str">
        <f>IFERROR(INDEX('MS Stats list'!P:P, MATCH(B19,'MS Stats list'!B:B,0)),"")</f>
        <v/>
      </c>
    </row>
    <row r="20" spans="1:41">
      <c r="A20">
        <v>15</v>
      </c>
      <c r="B20" t="s">
        <v>88</v>
      </c>
      <c r="C20" t="s">
        <v>88</v>
      </c>
      <c r="D20" s="3">
        <v>1689.6980000000001</v>
      </c>
      <c r="E20" s="3">
        <v>1704.557</v>
      </c>
      <c r="F20" s="3">
        <v>1883.1010000000001</v>
      </c>
      <c r="G20" s="3">
        <v>1992.722</v>
      </c>
      <c r="H20" s="3">
        <v>2542.5459999999998</v>
      </c>
      <c r="I20" s="3">
        <v>2777.5219999999999</v>
      </c>
      <c r="J20" s="3">
        <v>2886.4189999999999</v>
      </c>
      <c r="K20" s="3">
        <v>2952.7570000000001</v>
      </c>
      <c r="L20" s="3">
        <v>3111.5439999999999</v>
      </c>
      <c r="M20" s="3">
        <v>2860.0740000000001</v>
      </c>
      <c r="N20" s="3">
        <v>3019.5639999999999</v>
      </c>
      <c r="O20" s="3">
        <v>3005.1260000000002</v>
      </c>
      <c r="P20" s="3">
        <v>2966.2343155632002</v>
      </c>
      <c r="Q20" s="3">
        <v>2790.06170249355</v>
      </c>
      <c r="R20" s="3">
        <v>2817.6010520684099</v>
      </c>
      <c r="S20" s="3">
        <v>2947.1793276010299</v>
      </c>
      <c r="T20" s="3">
        <v>3211.6872208846798</v>
      </c>
      <c r="U20" s="3">
        <v>3251.6668881245801</v>
      </c>
      <c r="V20" s="3">
        <f t="shared" ca="1" si="1"/>
        <v>3398.8282002579072</v>
      </c>
      <c r="W20" s="16">
        <f t="shared" ca="1" si="6"/>
        <v>3</v>
      </c>
      <c r="X20" t="str">
        <f t="shared" ca="1" si="2"/>
        <v>5yr lin trend</v>
      </c>
      <c r="Y20" s="3"/>
      <c r="Z20" s="3"/>
      <c r="AA20" s="13">
        <f t="shared" ca="1" si="3"/>
        <v>3251.6668881245801</v>
      </c>
      <c r="AB20" s="3">
        <f t="shared" ca="1" si="7"/>
        <v>4035.8520434070238</v>
      </c>
      <c r="AC20" s="3">
        <f t="shared" ca="1" si="4"/>
        <v>3398.8282002579072</v>
      </c>
      <c r="AD20" s="3" t="str">
        <f t="shared" si="5"/>
        <v/>
      </c>
      <c r="AE20" s="3"/>
      <c r="AG20" s="3"/>
      <c r="AH20" s="7">
        <f t="shared" ca="1" si="8"/>
        <v>0.921961825227124</v>
      </c>
      <c r="AI20" s="3"/>
      <c r="AN20" s="7" t="str">
        <f>IFERROR(INDEX('MS Stats list'!P:P, MATCH(B20,'MS Stats list'!B:B,0)),"")</f>
        <v>MEKH - Official Statistics - 7.2 National simplified Energy Balance - IEA format</v>
      </c>
      <c r="AO20" t="s">
        <v>221</v>
      </c>
    </row>
    <row r="21" spans="1:41">
      <c r="A21">
        <v>16</v>
      </c>
      <c r="B21" t="s">
        <v>133</v>
      </c>
      <c r="C21" t="s">
        <v>133</v>
      </c>
      <c r="D21" s="3">
        <v>366.16131174166401</v>
      </c>
      <c r="E21" s="3">
        <v>423.1725925289</v>
      </c>
      <c r="F21" s="3">
        <v>477.92958096875901</v>
      </c>
      <c r="G21" s="3">
        <v>574.95286443106897</v>
      </c>
      <c r="H21" s="3">
        <v>662.94926349479294</v>
      </c>
      <c r="I21" s="3">
        <v>662.72713547339197</v>
      </c>
      <c r="J21" s="3">
        <v>798.90591114932602</v>
      </c>
      <c r="K21" s="3">
        <v>802.73406706792798</v>
      </c>
      <c r="L21" s="3">
        <v>867.10982392280505</v>
      </c>
      <c r="M21" s="3">
        <v>981.15993474730101</v>
      </c>
      <c r="N21" s="3">
        <v>1110.2617646890201</v>
      </c>
      <c r="O21" s="3">
        <v>1103.38607031623</v>
      </c>
      <c r="P21" s="3">
        <v>1300.5764391898299</v>
      </c>
      <c r="Q21" s="3">
        <v>1437.7426678131301</v>
      </c>
      <c r="R21" s="3">
        <v>1592.86381436897</v>
      </c>
      <c r="S21" s="3">
        <v>1734.50109525174</v>
      </c>
      <c r="T21" s="3">
        <v>1563.04835931977</v>
      </c>
      <c r="U21" s="3">
        <v>1747.7852718066299</v>
      </c>
      <c r="V21" s="3">
        <f t="shared" ca="1" si="1"/>
        <v>1863.9441504348827</v>
      </c>
      <c r="W21" s="16">
        <f t="shared" ca="1" si="6"/>
        <v>4</v>
      </c>
      <c r="X21" t="str">
        <f t="shared" ca="1" si="2"/>
        <v>Based on MS Stats</v>
      </c>
      <c r="Y21" s="3"/>
      <c r="Z21" s="3"/>
      <c r="AA21" s="13">
        <f t="shared" ca="1" si="3"/>
        <v>1747.7852718066299</v>
      </c>
      <c r="AB21" s="3">
        <f t="shared" ca="1" si="7"/>
        <v>1836.0842163354052</v>
      </c>
      <c r="AC21" s="3">
        <f t="shared" ca="1" si="4"/>
        <v>1792.2691675933893</v>
      </c>
      <c r="AD21" s="3">
        <f t="shared" ca="1" si="5"/>
        <v>1863.9441504348827</v>
      </c>
      <c r="AE21" s="3"/>
      <c r="AG21" s="3"/>
      <c r="AH21" s="7">
        <f t="shared" ca="1" si="8"/>
        <v>0.52376879729373682</v>
      </c>
      <c r="AI21" s="3"/>
      <c r="AN21" s="7" t="str">
        <f>IFERROR(INDEX('MS Stats list'!P:P, MATCH(B21,'MS Stats list'!B:B,0)),"")</f>
        <v>SEAI - 2022 Provisional Energy Balance</v>
      </c>
    </row>
    <row r="22" spans="1:41">
      <c r="A22">
        <v>17</v>
      </c>
      <c r="B22" t="s">
        <v>157</v>
      </c>
      <c r="C22" t="s">
        <v>157</v>
      </c>
      <c r="D22" s="3">
        <v>14106.718000000001</v>
      </c>
      <c r="E22" s="3">
        <v>15326.492</v>
      </c>
      <c r="F22" s="3">
        <v>16945.995999999999</v>
      </c>
      <c r="G22" s="3">
        <v>19707.179</v>
      </c>
      <c r="H22" s="3">
        <v>21026.557000000001</v>
      </c>
      <c r="I22" s="3">
        <v>21864.302</v>
      </c>
      <c r="J22" s="3">
        <v>21025.852999999999</v>
      </c>
      <c r="K22" s="3">
        <v>23884.74</v>
      </c>
      <c r="L22" s="3">
        <v>26370.626</v>
      </c>
      <c r="M22" s="3">
        <v>26512.291000000001</v>
      </c>
      <c r="N22" s="3">
        <v>26268.705000000002</v>
      </c>
      <c r="O22" s="3">
        <v>26017.920999999998</v>
      </c>
      <c r="P22" s="3">
        <v>26170.7085712238</v>
      </c>
      <c r="Q22" s="3">
        <v>26685.5640336295</v>
      </c>
      <c r="R22" s="3">
        <v>27013.667505111302</v>
      </c>
      <c r="S22" s="3">
        <v>26869.3247694659</v>
      </c>
      <c r="T22" s="3">
        <v>27573.097980796701</v>
      </c>
      <c r="U22" s="3">
        <v>24951.888793063899</v>
      </c>
      <c r="V22" s="3">
        <f t="shared" ca="1" si="1"/>
        <v>25274.611072638068</v>
      </c>
      <c r="W22" s="16">
        <f t="shared" ca="1" si="6"/>
        <v>2</v>
      </c>
      <c r="X22" t="str">
        <f t="shared" ca="1" si="2"/>
        <v>RES Proxy</v>
      </c>
      <c r="Y22" s="3"/>
      <c r="Z22" s="3"/>
      <c r="AA22" s="13">
        <f t="shared" ca="1" si="3"/>
        <v>24951.888793063899</v>
      </c>
      <c r="AB22" s="3">
        <f t="shared" ca="1" si="7"/>
        <v>25274.611072638068</v>
      </c>
      <c r="AC22" s="3">
        <f t="shared" ca="1" si="4"/>
        <v>25746.332614779589</v>
      </c>
      <c r="AD22" s="3" t="str">
        <f t="shared" si="5"/>
        <v/>
      </c>
      <c r="AE22" s="3"/>
      <c r="AG22" s="3"/>
      <c r="AH22" s="7">
        <f t="shared" ca="1" si="8"/>
        <v>0.21613229308317641</v>
      </c>
      <c r="AI22" s="3"/>
      <c r="AN22" s="7" t="str">
        <f>IFERROR(INDEX('MS Stats list'!P:P, MATCH(B22,'MS Stats list'!B:B,0)),"")</f>
        <v>Ministry of Ecological Transition</v>
      </c>
    </row>
    <row r="23" spans="1:41">
      <c r="A23">
        <v>18</v>
      </c>
      <c r="B23" t="s">
        <v>137</v>
      </c>
      <c r="C23" t="s">
        <v>137</v>
      </c>
      <c r="D23" s="3">
        <v>881.12199999999996</v>
      </c>
      <c r="E23" s="3">
        <v>930.74900000000002</v>
      </c>
      <c r="F23" s="3">
        <v>964.01099999999997</v>
      </c>
      <c r="G23" s="3">
        <v>1021.1</v>
      </c>
      <c r="H23" s="3">
        <v>1051.9970000000001</v>
      </c>
      <c r="I23" s="3">
        <v>1064.9469999999999</v>
      </c>
      <c r="J23" s="3">
        <v>1056.6020000000001</v>
      </c>
      <c r="K23" s="3">
        <v>1161.3399999999999</v>
      </c>
      <c r="L23" s="3">
        <v>1212.2719999999999</v>
      </c>
      <c r="M23" s="3">
        <v>1277.028</v>
      </c>
      <c r="N23" s="3">
        <v>1418.9359999999999</v>
      </c>
      <c r="O23" s="3">
        <v>1464.35</v>
      </c>
      <c r="P23" s="3">
        <v>1573.395</v>
      </c>
      <c r="Q23" s="3">
        <v>1563.94518018534</v>
      </c>
      <c r="R23" s="3">
        <v>1563.42218152288</v>
      </c>
      <c r="S23" s="3">
        <v>1625.4986478456101</v>
      </c>
      <c r="T23" s="3">
        <v>1810.9562990350601</v>
      </c>
      <c r="U23" s="3">
        <v>1707.90201356645</v>
      </c>
      <c r="V23" s="3">
        <f t="shared" ca="1" si="1"/>
        <v>1695.0957405845575</v>
      </c>
      <c r="W23" s="16">
        <f t="shared" ca="1" si="6"/>
        <v>4</v>
      </c>
      <c r="X23" t="str">
        <f t="shared" ca="1" si="2"/>
        <v>Based on MS Stats</v>
      </c>
      <c r="Y23" s="3"/>
      <c r="Z23" s="3"/>
      <c r="AA23" s="13">
        <f t="shared" ca="1" si="3"/>
        <v>1707.90201356645</v>
      </c>
      <c r="AB23" s="3">
        <f t="shared" ca="1" si="7"/>
        <v>2132.7179638003768</v>
      </c>
      <c r="AC23" s="3">
        <f t="shared" ca="1" si="4"/>
        <v>1814.9791997134016</v>
      </c>
      <c r="AD23" s="3">
        <f t="shared" ca="1" si="5"/>
        <v>1695.0957405845575</v>
      </c>
      <c r="AE23" s="3"/>
      <c r="AG23" s="3"/>
      <c r="AH23" s="7">
        <f t="shared" ca="1" si="8"/>
        <v>0.64187558920266985</v>
      </c>
      <c r="AI23" s="3"/>
      <c r="AN23" s="7" t="str">
        <f>IFERROR(INDEX('MS Stats list'!P:P, MATCH(B23,'MS Stats list'!B:B,0)),"")</f>
        <v>Statistics Lithuania - Energy balances</v>
      </c>
    </row>
    <row r="24" spans="1:41">
      <c r="A24">
        <v>19</v>
      </c>
      <c r="B24" t="s">
        <v>184</v>
      </c>
      <c r="C24" t="s">
        <v>184</v>
      </c>
      <c r="D24" s="3">
        <v>71.262851820005693</v>
      </c>
      <c r="E24" s="3">
        <v>75.748431833381105</v>
      </c>
      <c r="F24" s="3">
        <v>128.71181943250201</v>
      </c>
      <c r="G24" s="3">
        <v>133.316593770899</v>
      </c>
      <c r="H24" s="3">
        <v>124.901360466227</v>
      </c>
      <c r="I24" s="3">
        <v>128.996272284322</v>
      </c>
      <c r="J24" s="3">
        <v>126.38094573421201</v>
      </c>
      <c r="K24" s="3">
        <v>137.823204261011</v>
      </c>
      <c r="L24" s="3">
        <v>154.13555335817301</v>
      </c>
      <c r="M24" s="3">
        <v>187.89809783127899</v>
      </c>
      <c r="N24" s="3">
        <v>206.761325308111</v>
      </c>
      <c r="O24" s="3">
        <v>220.08222069360801</v>
      </c>
      <c r="P24" s="3">
        <v>263.08595414158799</v>
      </c>
      <c r="Q24" s="3">
        <v>292.479414158785</v>
      </c>
      <c r="R24" s="3">
        <v>318.94536476545301</v>
      </c>
      <c r="S24" s="3">
        <v>395.225691220025</v>
      </c>
      <c r="T24" s="3">
        <v>403.17208397821702</v>
      </c>
      <c r="U24" s="3">
        <v>398.00775991210497</v>
      </c>
      <c r="V24" s="3">
        <f t="shared" ca="1" si="1"/>
        <v>379.91729674925597</v>
      </c>
      <c r="W24" s="16">
        <f t="shared" ca="1" si="6"/>
        <v>2</v>
      </c>
      <c r="X24" t="str">
        <f t="shared" ca="1" si="2"/>
        <v>RES Proxy</v>
      </c>
      <c r="Y24" s="3"/>
      <c r="Z24" s="3"/>
      <c r="AA24" s="13">
        <f t="shared" ca="1" si="3"/>
        <v>398.00775991210497</v>
      </c>
      <c r="AB24" s="3">
        <f t="shared" ca="1" si="7"/>
        <v>379.91729674925597</v>
      </c>
      <c r="AC24" s="3">
        <f t="shared" ca="1" si="4"/>
        <v>450.1510860227354</v>
      </c>
      <c r="AD24" s="3" t="str">
        <f t="shared" si="5"/>
        <v/>
      </c>
      <c r="AE24" s="3"/>
      <c r="AG24" s="3"/>
      <c r="AH24" s="7">
        <f t="shared" ca="1" si="8"/>
        <v>0.80872001805444604</v>
      </c>
      <c r="AI24" s="3"/>
      <c r="AN24" s="7" t="str">
        <f>IFERROR(INDEX('MS Stats list'!P:P, MATCH(B24,'MS Stats list'!B:B,0)),"")</f>
        <v/>
      </c>
    </row>
    <row r="25" spans="1:41">
      <c r="A25">
        <v>20</v>
      </c>
      <c r="B25" t="s">
        <v>93</v>
      </c>
      <c r="C25" t="s">
        <v>93</v>
      </c>
      <c r="D25" s="3">
        <v>1476.2660000000001</v>
      </c>
      <c r="E25" s="3">
        <v>1430.8420000000001</v>
      </c>
      <c r="F25" s="3">
        <v>1406.913</v>
      </c>
      <c r="G25" s="3">
        <v>1377.473</v>
      </c>
      <c r="H25" s="3">
        <v>1566.912</v>
      </c>
      <c r="I25" s="3">
        <v>1434.3969999999999</v>
      </c>
      <c r="J25" s="3">
        <v>1417.6379999999999</v>
      </c>
      <c r="K25" s="3">
        <v>1651.431</v>
      </c>
      <c r="L25" s="3">
        <v>1611.375</v>
      </c>
      <c r="M25" s="3">
        <v>1613.366</v>
      </c>
      <c r="N25" s="3">
        <v>1537.1220000000001</v>
      </c>
      <c r="O25" s="3">
        <v>1623.7570000000001</v>
      </c>
      <c r="P25" s="3">
        <v>1934.14390493933</v>
      </c>
      <c r="Q25" s="3">
        <v>1861.4279049393299</v>
      </c>
      <c r="R25" s="3">
        <v>1819.4399049393301</v>
      </c>
      <c r="S25" s="3">
        <v>1808.2649049393301</v>
      </c>
      <c r="T25" s="3">
        <v>1902.24987035445</v>
      </c>
      <c r="U25" s="3">
        <v>1906.76587035445</v>
      </c>
      <c r="V25" s="3">
        <f t="shared" ca="1" si="1"/>
        <v>1974.2929932552502</v>
      </c>
      <c r="W25" s="16">
        <f t="shared" ca="1" si="6"/>
        <v>4</v>
      </c>
      <c r="X25" t="str">
        <f t="shared" ca="1" si="2"/>
        <v>Based on MS Stats</v>
      </c>
      <c r="Y25" s="3"/>
      <c r="Z25" s="3"/>
      <c r="AA25" s="13">
        <f t="shared" ca="1" si="3"/>
        <v>1906.76587035445</v>
      </c>
      <c r="AB25" s="3">
        <f t="shared" ca="1" si="7"/>
        <v>1972.1350654793221</v>
      </c>
      <c r="AC25" s="3">
        <f t="shared" ca="1" si="4"/>
        <v>1911.6754599789856</v>
      </c>
      <c r="AD25" s="3">
        <f t="shared" ca="1" si="5"/>
        <v>1974.2929932552502</v>
      </c>
      <c r="AE25" s="3"/>
      <c r="AG25" s="3"/>
      <c r="AH25" s="7">
        <f t="shared" ca="1" si="8"/>
        <v>0.36283326615285139</v>
      </c>
      <c r="AI25" s="3"/>
      <c r="AN25" s="7" t="str">
        <f>IFERROR(INDEX('MS Stats list'!P:P, MATCH(B25,'MS Stats list'!B:B,0)),"")</f>
        <v/>
      </c>
    </row>
    <row r="26" spans="1:41">
      <c r="A26">
        <v>21</v>
      </c>
      <c r="B26" t="s">
        <v>141</v>
      </c>
      <c r="C26" t="s">
        <v>141</v>
      </c>
      <c r="D26" s="3">
        <v>0.52500000000000002</v>
      </c>
      <c r="E26" s="3">
        <v>0.64500000000000002</v>
      </c>
      <c r="F26" s="3">
        <v>0.78800000000000003</v>
      </c>
      <c r="G26" s="3">
        <v>0.90800000000000003</v>
      </c>
      <c r="H26" s="3">
        <v>0.93100000000000005</v>
      </c>
      <c r="I26" s="3">
        <v>5.0579999999999998</v>
      </c>
      <c r="J26" s="3">
        <v>8.2609999999999992</v>
      </c>
      <c r="K26" s="3">
        <v>11.816000000000001</v>
      </c>
      <c r="L26" s="3">
        <v>12.715</v>
      </c>
      <c r="M26" s="3">
        <v>18.57</v>
      </c>
      <c r="N26" s="3">
        <v>21.111000000000001</v>
      </c>
      <c r="O26" s="3">
        <v>24.588999999999999</v>
      </c>
      <c r="P26" s="3">
        <v>29.556149613069501</v>
      </c>
      <c r="Q26" s="3">
        <v>34.785640871309703</v>
      </c>
      <c r="R26" s="3">
        <v>36.3852055985476</v>
      </c>
      <c r="S26" s="3">
        <v>42.930364096684599</v>
      </c>
      <c r="T26" s="3">
        <v>40.130553358173003</v>
      </c>
      <c r="U26" s="3">
        <v>44.295756854876899</v>
      </c>
      <c r="V26" s="3">
        <f t="shared" ca="1" si="1"/>
        <v>47.592266520822662</v>
      </c>
      <c r="W26" s="16">
        <f t="shared" ca="1" si="6"/>
        <v>2</v>
      </c>
      <c r="X26" t="str">
        <f t="shared" ca="1" si="2"/>
        <v>RES Proxy</v>
      </c>
      <c r="Y26" s="3"/>
      <c r="Z26" s="3"/>
      <c r="AA26" s="13">
        <f t="shared" ca="1" si="3"/>
        <v>44.295756854876899</v>
      </c>
      <c r="AB26" s="3">
        <f t="shared" ca="1" si="7"/>
        <v>47.592266520822662</v>
      </c>
      <c r="AC26" s="3">
        <f t="shared" ca="1" si="4"/>
        <v>46.535178073946554</v>
      </c>
      <c r="AD26" s="3" t="str">
        <f t="shared" si="5"/>
        <v/>
      </c>
      <c r="AE26" s="3"/>
      <c r="AG26" s="3"/>
      <c r="AH26" s="7">
        <f t="shared" ca="1" si="8"/>
        <v>0.77492481677012637</v>
      </c>
      <c r="AI26" s="3"/>
      <c r="AN26" s="7" t="str">
        <f>IFERROR(INDEX('MS Stats list'!P:P, MATCH(B26,'MS Stats list'!B:B,0)),"")</f>
        <v>Msdata from consultations</v>
      </c>
    </row>
    <row r="27" spans="1:41">
      <c r="A27">
        <v>22</v>
      </c>
      <c r="B27" t="s">
        <v>145</v>
      </c>
      <c r="C27" t="s">
        <v>145</v>
      </c>
      <c r="D27" s="3">
        <v>2253.5580913346698</v>
      </c>
      <c r="E27" s="3">
        <v>2401.2734794114799</v>
      </c>
      <c r="F27" s="3">
        <v>2505.7869261488499</v>
      </c>
      <c r="G27" s="3">
        <v>2899.03732664565</v>
      </c>
      <c r="H27" s="3">
        <v>3259.6148185726602</v>
      </c>
      <c r="I27" s="3">
        <v>3249.7162702780201</v>
      </c>
      <c r="J27" s="3">
        <v>3436.6749846183202</v>
      </c>
      <c r="K27" s="3">
        <v>3529.58579822298</v>
      </c>
      <c r="L27" s="3">
        <v>3412.9228783796698</v>
      </c>
      <c r="M27" s="3">
        <v>3400.9006013184298</v>
      </c>
      <c r="N27" s="3">
        <v>3593.4186314130102</v>
      </c>
      <c r="O27" s="3">
        <v>3688.9302439094299</v>
      </c>
      <c r="P27" s="3">
        <v>4025.6400081207598</v>
      </c>
      <c r="Q27" s="3">
        <v>4411.9698498137004</v>
      </c>
      <c r="R27" s="3">
        <v>5178.1062558517197</v>
      </c>
      <c r="S27" s="3">
        <v>6451.5229384732902</v>
      </c>
      <c r="T27" s="3">
        <v>7580.1893789051201</v>
      </c>
      <c r="U27" s="3">
        <v>7999.6355040603703</v>
      </c>
      <c r="V27" s="3">
        <f t="shared" ca="1" si="1"/>
        <v>9197.5091148850042</v>
      </c>
      <c r="W27" s="16">
        <f t="shared" ca="1" si="6"/>
        <v>3</v>
      </c>
      <c r="X27" t="str">
        <f t="shared" ca="1" si="2"/>
        <v>5yr lin trend</v>
      </c>
      <c r="Y27" s="3"/>
      <c r="Z27" s="3"/>
      <c r="AA27" s="13">
        <f t="shared" ca="1" si="3"/>
        <v>7999.6355040603703</v>
      </c>
      <c r="AB27" s="3">
        <f t="shared" ca="1" si="7"/>
        <v>8635.50911291173</v>
      </c>
      <c r="AC27" s="3">
        <f t="shared" ca="1" si="4"/>
        <v>9197.5091148850042</v>
      </c>
      <c r="AD27" s="3" t="str">
        <f t="shared" si="5"/>
        <v/>
      </c>
      <c r="AE27" s="3"/>
      <c r="AG27" s="3"/>
      <c r="AH27" s="7">
        <f t="shared" ca="1" si="8"/>
        <v>0.97884177816337126</v>
      </c>
      <c r="AI27" s="3"/>
      <c r="AN27" s="7" t="str">
        <f>IFERROR(INDEX('MS Stats list'!P:P, MATCH(B27,'MS Stats list'!B:B,0)),"")</f>
        <v>CBS - Energy balance sheet; supply, transformation and consumption</v>
      </c>
    </row>
    <row r="28" spans="1:41">
      <c r="A28">
        <v>23</v>
      </c>
      <c r="B28" t="s">
        <v>185</v>
      </c>
      <c r="C28" t="s">
        <v>185</v>
      </c>
      <c r="D28" s="3">
        <v>4486.5140000000001</v>
      </c>
      <c r="E28" s="3">
        <v>4694.9440000000004</v>
      </c>
      <c r="F28" s="3">
        <v>4823.7449999999999</v>
      </c>
      <c r="G28" s="3">
        <v>5559.4129999999996</v>
      </c>
      <c r="H28" s="3">
        <v>6244.7140494888699</v>
      </c>
      <c r="I28" s="3">
        <v>7269.0116081971901</v>
      </c>
      <c r="J28" s="3">
        <v>7936.7429798414096</v>
      </c>
      <c r="K28" s="3">
        <v>8609.5577493073506</v>
      </c>
      <c r="L28" s="3">
        <v>8568.4487974586791</v>
      </c>
      <c r="M28" s="3">
        <v>8608.3899113404004</v>
      </c>
      <c r="N28" s="3">
        <v>8970.1747655488707</v>
      </c>
      <c r="O28" s="3">
        <v>8752.7824270564597</v>
      </c>
      <c r="P28" s="3">
        <v>8863.6870130887492</v>
      </c>
      <c r="Q28" s="3">
        <v>12071.084814273399</v>
      </c>
      <c r="R28" s="3">
        <v>12446.855814082301</v>
      </c>
      <c r="S28" s="3">
        <v>12652.7137631604</v>
      </c>
      <c r="T28" s="3">
        <v>12710.904887073701</v>
      </c>
      <c r="U28" s="3">
        <v>13124.185691602201</v>
      </c>
      <c r="V28" s="3">
        <f t="shared" ca="1" si="1"/>
        <v>13312.22424233309</v>
      </c>
      <c r="W28" s="16">
        <f t="shared" ca="1" si="6"/>
        <v>3</v>
      </c>
      <c r="X28" t="str">
        <f t="shared" ca="1" si="2"/>
        <v>5yr lin trend</v>
      </c>
      <c r="Y28" s="3"/>
      <c r="Z28" s="3"/>
      <c r="AA28" s="13">
        <f t="shared" ca="1" si="3"/>
        <v>13124.185691602201</v>
      </c>
      <c r="AB28" s="3">
        <f t="shared" ca="1" si="7"/>
        <v>15120.701715472553</v>
      </c>
      <c r="AC28" s="3">
        <f t="shared" ca="1" si="4"/>
        <v>13312.22424233309</v>
      </c>
      <c r="AD28" s="3" t="str">
        <f t="shared" si="5"/>
        <v/>
      </c>
      <c r="AE28" s="3"/>
      <c r="AG28" s="3"/>
      <c r="AH28" s="7">
        <f t="shared" ca="1" si="8"/>
        <v>0.94732595349077708</v>
      </c>
      <c r="AI28" s="3"/>
      <c r="AN28" s="7" t="str">
        <f>IFERROR(INDEX('MS Stats list'!P:P, MATCH(B28,'MS Stats list'!B:B,0)),"")</f>
        <v/>
      </c>
    </row>
    <row r="29" spans="1:41">
      <c r="A29">
        <v>24</v>
      </c>
      <c r="B29" t="s">
        <v>149</v>
      </c>
      <c r="C29" t="s">
        <v>149</v>
      </c>
      <c r="D29" s="3">
        <v>3474.5140000000001</v>
      </c>
      <c r="E29" s="3">
        <v>4212.5339999999997</v>
      </c>
      <c r="F29" s="3">
        <v>4480.6459999999997</v>
      </c>
      <c r="G29" s="3">
        <v>4329.3710000000001</v>
      </c>
      <c r="H29" s="3">
        <v>4785.63</v>
      </c>
      <c r="I29" s="3">
        <v>5459.1559999999999</v>
      </c>
      <c r="J29" s="3">
        <v>5137.875</v>
      </c>
      <c r="K29" s="3">
        <v>4354.5020000000004</v>
      </c>
      <c r="L29" s="3">
        <v>5300.9139999999998</v>
      </c>
      <c r="M29" s="3">
        <v>5512.6336337059201</v>
      </c>
      <c r="N29" s="3">
        <v>4965.6064373746003</v>
      </c>
      <c r="O29" s="3">
        <v>5625.3351729244196</v>
      </c>
      <c r="P29" s="3">
        <v>4831.9023562625298</v>
      </c>
      <c r="Q29" s="3">
        <v>5459.2173984904803</v>
      </c>
      <c r="R29" s="3">
        <v>5378.8895114168199</v>
      </c>
      <c r="S29" s="3">
        <v>5650.9241199961698</v>
      </c>
      <c r="T29" s="3">
        <v>5882.0674899206897</v>
      </c>
      <c r="U29" s="3">
        <v>5668.0881776057904</v>
      </c>
      <c r="V29" s="3">
        <f t="shared" ca="1" si="1"/>
        <v>5975.8225885200472</v>
      </c>
      <c r="W29" s="16">
        <f t="shared" ca="1" si="6"/>
        <v>2</v>
      </c>
      <c r="X29" t="str">
        <f t="shared" ca="1" si="2"/>
        <v>RES Proxy</v>
      </c>
      <c r="Y29" s="3"/>
      <c r="Z29" s="3"/>
      <c r="AA29" s="13">
        <f t="shared" ca="1" si="3"/>
        <v>5668.0881776057904</v>
      </c>
      <c r="AB29" s="3">
        <f t="shared" ca="1" si="7"/>
        <v>5975.8225885200472</v>
      </c>
      <c r="AC29" s="3">
        <f t="shared" ca="1" si="4"/>
        <v>5884.1132005063409</v>
      </c>
      <c r="AD29" s="3" t="str">
        <f t="shared" si="5"/>
        <v/>
      </c>
      <c r="AE29" s="3"/>
      <c r="AG29" s="3"/>
      <c r="AH29" s="7">
        <f t="shared" ca="1" si="8"/>
        <v>0.54647335726010626</v>
      </c>
      <c r="AI29" s="3"/>
      <c r="AN29" s="7" t="str">
        <f>IFERROR(INDEX('MS Stats list'!P:P, MATCH(B29,'MS Stats list'!B:B,0)),"")</f>
        <v>DGEG - Balanço Energético Sintético 2022</v>
      </c>
    </row>
    <row r="30" spans="1:41" ht="14" customHeight="1">
      <c r="A30">
        <v>25</v>
      </c>
      <c r="B30" t="s">
        <v>186</v>
      </c>
      <c r="C30" t="s">
        <v>186</v>
      </c>
      <c r="D30" s="3">
        <v>4940.348</v>
      </c>
      <c r="E30" s="3">
        <v>4780.8879999999999</v>
      </c>
      <c r="F30" s="3">
        <v>4747.7860000000001</v>
      </c>
      <c r="G30" s="3">
        <v>5343.3670000000002</v>
      </c>
      <c r="H30" s="3">
        <v>5268.5360000000001</v>
      </c>
      <c r="I30" s="3">
        <v>5860.59</v>
      </c>
      <c r="J30" s="3">
        <v>5067.402</v>
      </c>
      <c r="K30" s="3">
        <v>5195.0780000000004</v>
      </c>
      <c r="L30" s="3">
        <v>5550.9589999999998</v>
      </c>
      <c r="M30" s="3">
        <v>6123.6419999999998</v>
      </c>
      <c r="N30" s="3">
        <v>5973.12</v>
      </c>
      <c r="O30" s="3">
        <v>6192.8289999999997</v>
      </c>
      <c r="P30" s="3">
        <v>6041.933</v>
      </c>
      <c r="Q30" s="3">
        <v>6037.5990000000002</v>
      </c>
      <c r="R30" s="3">
        <v>6012.6390000000001</v>
      </c>
      <c r="S30" s="3">
        <v>5989.2020000000002</v>
      </c>
      <c r="T30" s="3">
        <v>6396.2550000000001</v>
      </c>
      <c r="U30" s="3">
        <v>6008.3310000000001</v>
      </c>
      <c r="V30" s="3">
        <f t="shared" ca="1" si="1"/>
        <v>6141.6882506174879</v>
      </c>
      <c r="W30" s="16">
        <f t="shared" ca="1" si="6"/>
        <v>2</v>
      </c>
      <c r="X30" t="str">
        <f t="shared" ca="1" si="2"/>
        <v>RES Proxy</v>
      </c>
      <c r="Y30" s="3"/>
      <c r="Z30" s="3"/>
      <c r="AA30" s="13">
        <f t="shared" ca="1" si="3"/>
        <v>6008.3310000000001</v>
      </c>
      <c r="AB30" s="3">
        <f t="shared" ca="1" si="7"/>
        <v>6141.6882506174879</v>
      </c>
      <c r="AC30" s="3">
        <f t="shared" ca="1" si="4"/>
        <v>6186.3292000000074</v>
      </c>
      <c r="AD30" s="3" t="str">
        <f t="shared" si="5"/>
        <v/>
      </c>
      <c r="AE30" s="3"/>
      <c r="AG30" s="3"/>
      <c r="AH30" s="7">
        <f t="shared" ca="1" si="8"/>
        <v>8.854701980156722E-2</v>
      </c>
      <c r="AI30" s="3"/>
      <c r="AN30" s="7" t="str">
        <f>IFERROR(INDEX('MS Stats list'!P:P, MATCH(B30,'MS Stats list'!B:B,0)),"")</f>
        <v/>
      </c>
    </row>
    <row r="31" spans="1:41">
      <c r="A31">
        <v>26</v>
      </c>
      <c r="B31" t="s">
        <v>187</v>
      </c>
      <c r="C31" t="s">
        <v>187</v>
      </c>
      <c r="D31" s="3">
        <v>14583.477000000001</v>
      </c>
      <c r="E31" s="3">
        <v>14166.165999999999</v>
      </c>
      <c r="F31" s="3">
        <v>14957.691000000001</v>
      </c>
      <c r="G31" s="3">
        <v>15365.782999999999</v>
      </c>
      <c r="H31" s="3">
        <v>15573.189</v>
      </c>
      <c r="I31" s="3">
        <v>16751.976999999999</v>
      </c>
      <c r="J31" s="3">
        <v>16255.545009744899</v>
      </c>
      <c r="K31" s="3">
        <v>18349.429524696599</v>
      </c>
      <c r="L31" s="3">
        <v>16979.2316453616</v>
      </c>
      <c r="M31" s="3">
        <v>17137.904798223</v>
      </c>
      <c r="N31" s="3">
        <v>19059.493011082399</v>
      </c>
      <c r="O31" s="3">
        <v>18241.020284799801</v>
      </c>
      <c r="P31" s="3">
        <v>19553.625131556299</v>
      </c>
      <c r="Q31" s="3">
        <v>18580.312642113298</v>
      </c>
      <c r="R31" s="3">
        <v>19790.1796421133</v>
      </c>
      <c r="S31" s="3">
        <v>20829.800324257201</v>
      </c>
      <c r="T31" s="3">
        <v>22217.750212859399</v>
      </c>
      <c r="U31" s="3">
        <v>22014.161660552199</v>
      </c>
      <c r="V31" s="3">
        <f t="shared" ca="1" si="1"/>
        <v>23475.021478666225</v>
      </c>
      <c r="W31" s="16">
        <f t="shared" ca="1" si="6"/>
        <v>3</v>
      </c>
      <c r="X31" t="str">
        <f t="shared" ca="1" si="2"/>
        <v>5yr lin trend</v>
      </c>
      <c r="Y31" s="3"/>
      <c r="Z31" s="3"/>
      <c r="AA31" s="13">
        <f t="shared" ca="1" si="3"/>
        <v>22014.161660552199</v>
      </c>
      <c r="AB31" s="3">
        <f t="shared" ca="1" si="7"/>
        <v>22153.117314387509</v>
      </c>
      <c r="AC31" s="3">
        <f t="shared" ca="1" si="4"/>
        <v>23475.021478666225</v>
      </c>
      <c r="AD31" s="3" t="str">
        <f t="shared" si="5"/>
        <v/>
      </c>
      <c r="AE31" s="3"/>
      <c r="AG31" s="3"/>
      <c r="AH31" s="7">
        <f t="shared" ca="1" si="8"/>
        <v>0.92237290433718555</v>
      </c>
      <c r="AI31" s="3"/>
      <c r="AN31" s="7" t="str">
        <f>IFERROR(INDEX('MS Stats list'!P:P, MATCH(B31,'MS Stats list'!B:B,0)),"")</f>
        <v/>
      </c>
    </row>
    <row r="32" spans="1:41">
      <c r="A32">
        <v>27</v>
      </c>
      <c r="B32" t="s">
        <v>79</v>
      </c>
      <c r="C32" t="s">
        <v>79</v>
      </c>
      <c r="D32" s="3">
        <v>1012.2433003725999</v>
      </c>
      <c r="E32" s="3">
        <v>944.97729578675796</v>
      </c>
      <c r="F32" s="3">
        <v>988.68427925862204</v>
      </c>
      <c r="G32" s="3">
        <v>1091.587361135</v>
      </c>
      <c r="H32" s="3">
        <v>1111.1895895672101</v>
      </c>
      <c r="I32" s="3">
        <v>1154.53452899589</v>
      </c>
      <c r="J32" s="3">
        <v>1072.39134900162</v>
      </c>
      <c r="K32" s="3">
        <v>1098.35847234164</v>
      </c>
      <c r="L32" s="3">
        <v>1200.7467642113299</v>
      </c>
      <c r="M32" s="3">
        <v>1235.06712314894</v>
      </c>
      <c r="N32" s="3">
        <v>1084.06416623674</v>
      </c>
      <c r="O32" s="3">
        <v>1133.50802350244</v>
      </c>
      <c r="P32" s="3">
        <v>1063.3867518868799</v>
      </c>
      <c r="Q32" s="3">
        <v>1113.34959778351</v>
      </c>
      <c r="R32" s="3">
        <v>1103.1886027515</v>
      </c>
      <c r="S32" s="3">
        <v>1145.4058377758699</v>
      </c>
      <c r="T32" s="3">
        <v>1200.0503354351799</v>
      </c>
      <c r="U32" s="3">
        <v>984.01767096589197</v>
      </c>
      <c r="V32" s="3">
        <f t="shared" ca="1" si="1"/>
        <v>1006.303820380627</v>
      </c>
      <c r="W32" s="16">
        <f t="shared" ca="1" si="6"/>
        <v>4</v>
      </c>
      <c r="X32" t="str">
        <f t="shared" ca="1" si="2"/>
        <v>Based on MS Stats</v>
      </c>
      <c r="Y32" s="3"/>
      <c r="Z32" s="3"/>
      <c r="AA32" s="13">
        <f t="shared" ca="1" si="3"/>
        <v>984.01767096589197</v>
      </c>
      <c r="AB32" s="3">
        <f t="shared" ca="1" si="7"/>
        <v>1062.2840511201218</v>
      </c>
      <c r="AC32" s="3">
        <f t="shared" ca="1" si="4"/>
        <v>1060.6617726569202</v>
      </c>
      <c r="AD32" s="3">
        <f t="shared" ca="1" si="5"/>
        <v>1006.303820380627</v>
      </c>
      <c r="AE32" s="3"/>
      <c r="AG32" s="3"/>
      <c r="AH32" s="7">
        <f t="shared" ca="1" si="8"/>
        <v>0.10352454486160899</v>
      </c>
      <c r="AI32" s="3"/>
      <c r="AN32" s="7" t="str">
        <f>IFERROR(INDEX('MS Stats list'!P:P, MATCH(B32,'MS Stats list'!B:B,0)),"")</f>
        <v>Statistical Office of Slovenia - Energy balance</v>
      </c>
    </row>
    <row r="33" spans="1:40">
      <c r="A33">
        <v>28</v>
      </c>
      <c r="B33" t="s">
        <v>188</v>
      </c>
      <c r="C33" t="s">
        <v>188</v>
      </c>
      <c r="D33" s="3">
        <v>808.553</v>
      </c>
      <c r="E33" s="3">
        <v>834.84299999999996</v>
      </c>
      <c r="F33" s="3">
        <v>942.73</v>
      </c>
      <c r="G33" s="3">
        <v>938.56899999999996</v>
      </c>
      <c r="H33" s="3">
        <v>1131.067</v>
      </c>
      <c r="I33" s="3">
        <v>2041.3579999999999</v>
      </c>
      <c r="J33" s="3">
        <v>1961.9870000000001</v>
      </c>
      <c r="K33" s="3">
        <v>2109.1790000000001</v>
      </c>
      <c r="L33" s="3">
        <v>2105.0250000000001</v>
      </c>
      <c r="M33" s="3">
        <v>1793.085</v>
      </c>
      <c r="N33" s="3">
        <v>2161.4119999999998</v>
      </c>
      <c r="O33" s="3">
        <v>2235.2959999999998</v>
      </c>
      <c r="P33" s="3">
        <v>2227.4009999999998</v>
      </c>
      <c r="Q33" s="3">
        <v>2069.7829999999999</v>
      </c>
      <c r="R33" s="3">
        <v>2158.3322063628498</v>
      </c>
      <c r="S33" s="3">
        <v>2095.25983959109</v>
      </c>
      <c r="T33" s="3">
        <v>2255.86733065826</v>
      </c>
      <c r="U33" s="3">
        <v>2061.3867707079398</v>
      </c>
      <c r="V33" s="3">
        <f t="shared" ca="1" si="1"/>
        <v>1998.4138642456821</v>
      </c>
      <c r="W33" s="16">
        <f t="shared" ca="1" si="6"/>
        <v>2</v>
      </c>
      <c r="X33" t="str">
        <f t="shared" ca="1" si="2"/>
        <v>RES Proxy</v>
      </c>
      <c r="Y33" s="3"/>
      <c r="Z33" s="3"/>
      <c r="AA33" s="13">
        <f t="shared" ca="1" si="3"/>
        <v>2061.3867707079398</v>
      </c>
      <c r="AB33" s="3">
        <f t="shared" ca="1" si="7"/>
        <v>1998.4138642456821</v>
      </c>
      <c r="AC33" s="3">
        <f t="shared" ca="1" si="4"/>
        <v>2152.3486291774152</v>
      </c>
      <c r="AD33" s="3" t="str">
        <f t="shared" si="5"/>
        <v/>
      </c>
      <c r="AE33" s="3"/>
      <c r="AG33" s="3"/>
      <c r="AH33" s="7">
        <f t="shared" ca="1" si="8"/>
        <v>2.4913096709139305E-2</v>
      </c>
      <c r="AI33" s="3"/>
      <c r="AN33" s="7" t="str">
        <f>IFERROR(INDEX('MS Stats list'!P:P, MATCH(B33,'MS Stats list'!B:B,0)),"")</f>
        <v/>
      </c>
    </row>
    <row r="34" spans="1:40">
      <c r="A34">
        <v>29</v>
      </c>
      <c r="B34" t="s">
        <v>163</v>
      </c>
      <c r="C34" t="s">
        <v>163</v>
      </c>
      <c r="D34" s="3">
        <v>3904.643</v>
      </c>
      <c r="E34" s="3">
        <v>4202.7219999999998</v>
      </c>
      <c r="F34" s="3">
        <v>4529.9449999999997</v>
      </c>
      <c r="G34" s="3">
        <v>5851.7084637431899</v>
      </c>
      <c r="H34" s="3">
        <v>6566.1238705455198</v>
      </c>
      <c r="I34" s="3">
        <v>7347.1647215056801</v>
      </c>
      <c r="J34" s="3">
        <v>8115.4537706124001</v>
      </c>
      <c r="K34" s="3">
        <v>8787.4128397821696</v>
      </c>
      <c r="L34" s="3">
        <v>10646.910534346</v>
      </c>
      <c r="M34" s="3">
        <v>12349.5143734594</v>
      </c>
      <c r="N34" s="3">
        <v>14736.188038979601</v>
      </c>
      <c r="O34" s="3">
        <v>15405.981388554501</v>
      </c>
      <c r="P34" s="3">
        <v>17036.5366879717</v>
      </c>
      <c r="Q34" s="3">
        <v>19148.1280562721</v>
      </c>
      <c r="R34" s="3">
        <v>20870.111581350899</v>
      </c>
      <c r="S34" s="3">
        <v>0</v>
      </c>
      <c r="T34" s="3">
        <v>0</v>
      </c>
      <c r="U34" s="3">
        <v>0</v>
      </c>
      <c r="V34" s="3">
        <f t="shared" ca="1" si="1"/>
        <v>0</v>
      </c>
      <c r="W34" s="16">
        <f t="shared" ca="1" si="6"/>
        <v>2</v>
      </c>
      <c r="X34" t="str">
        <f t="shared" ca="1" si="2"/>
        <v>RES Proxy</v>
      </c>
      <c r="Y34" s="3"/>
      <c r="Z34" s="3"/>
      <c r="AA34" s="13">
        <f t="shared" ca="1" si="3"/>
        <v>0</v>
      </c>
      <c r="AB34" s="3">
        <f t="shared" ca="1" si="7"/>
        <v>0</v>
      </c>
      <c r="AC34" s="3">
        <f t="shared" ca="1" si="4"/>
        <v>-9746.2623806446791</v>
      </c>
      <c r="AD34" s="3" t="str">
        <f t="shared" si="5"/>
        <v/>
      </c>
      <c r="AE34" s="3"/>
      <c r="AG34" s="3"/>
      <c r="AH34" s="7">
        <f t="shared" ca="1" si="8"/>
        <v>0.72639767808741762</v>
      </c>
      <c r="AI34" s="3"/>
      <c r="AN34" s="7" t="str">
        <f>IFERROR(INDEX('MS Stats list'!P:P, MATCH(B34,'MS Stats list'!B:B,0)),"")</f>
        <v>BEIS - Digest of UK Energy Statistics (DUKES)</v>
      </c>
    </row>
    <row r="35" spans="1:40">
      <c r="B35" s="40" t="s">
        <v>189</v>
      </c>
      <c r="C35" s="40" t="s">
        <v>189</v>
      </c>
      <c r="D35" s="41">
        <f>SUM(D7:D34)</f>
        <v>123193.63385927204</v>
      </c>
      <c r="E35" s="41">
        <f t="shared" ref="E35:V35" si="9">SUM(E7:E34)</f>
        <v>131270.55077758664</v>
      </c>
      <c r="F35" s="41">
        <f t="shared" si="9"/>
        <v>141375.51199464989</v>
      </c>
      <c r="G35" s="41">
        <f t="shared" si="9"/>
        <v>152978.71491554406</v>
      </c>
      <c r="H35" s="41">
        <f t="shared" si="9"/>
        <v>160404.63234537124</v>
      </c>
      <c r="I35" s="41">
        <f t="shared" si="9"/>
        <v>178971.05974806531</v>
      </c>
      <c r="J35" s="41">
        <f t="shared" si="9"/>
        <v>175620.96907729047</v>
      </c>
      <c r="K35" s="41">
        <f t="shared" si="9"/>
        <v>193904.53407041164</v>
      </c>
      <c r="L35" s="41">
        <f t="shared" si="9"/>
        <v>204732.59828374887</v>
      </c>
      <c r="M35" s="41">
        <f t="shared" si="9"/>
        <v>205546.4451492308</v>
      </c>
      <c r="N35" s="41">
        <f t="shared" si="9"/>
        <v>213355.2391595488</v>
      </c>
      <c r="O35" s="41">
        <f t="shared" si="9"/>
        <v>216637.24851313647</v>
      </c>
      <c r="P35" s="41">
        <f t="shared" si="9"/>
        <v>222101.83438349079</v>
      </c>
      <c r="Q35" s="41">
        <f t="shared" si="9"/>
        <v>233097.68553329495</v>
      </c>
      <c r="R35" s="41">
        <f t="shared" ref="R35:S35" si="10">SUM(R7:R34)</f>
        <v>240730.91661746416</v>
      </c>
      <c r="S35" s="41">
        <f t="shared" si="10"/>
        <v>226061.13308502903</v>
      </c>
      <c r="T35" s="41">
        <f t="shared" ref="T35:U35" si="11">SUM(T7:T34)</f>
        <v>236662.21537374577</v>
      </c>
      <c r="U35" s="41">
        <f t="shared" si="11"/>
        <v>232161.54476268261</v>
      </c>
      <c r="V35" s="41">
        <f t="shared" ca="1" si="9"/>
        <v>246693.24953649155</v>
      </c>
      <c r="AA35" s="11"/>
    </row>
    <row r="36" spans="1:40">
      <c r="B36" s="40" t="s">
        <v>190</v>
      </c>
      <c r="C36" s="40" t="s">
        <v>190</v>
      </c>
      <c r="D36" s="41">
        <f>SUM(D7:D33)</f>
        <v>119288.99085927205</v>
      </c>
      <c r="E36" s="41">
        <f t="shared" ref="E36:V36" si="12">SUM(E7:E33)</f>
        <v>127067.82877758665</v>
      </c>
      <c r="F36" s="41">
        <f t="shared" si="12"/>
        <v>136845.56699464988</v>
      </c>
      <c r="G36" s="41">
        <f t="shared" si="12"/>
        <v>147127.00645180087</v>
      </c>
      <c r="H36" s="41">
        <f t="shared" si="12"/>
        <v>153838.50847482571</v>
      </c>
      <c r="I36" s="41">
        <f t="shared" si="12"/>
        <v>171623.89502655962</v>
      </c>
      <c r="J36" s="41">
        <f t="shared" si="12"/>
        <v>167505.51530667808</v>
      </c>
      <c r="K36" s="41">
        <f t="shared" si="12"/>
        <v>185117.12123062948</v>
      </c>
      <c r="L36" s="41">
        <f t="shared" si="12"/>
        <v>194085.68774940286</v>
      </c>
      <c r="M36" s="41">
        <f t="shared" si="12"/>
        <v>193196.93077577141</v>
      </c>
      <c r="N36" s="41">
        <f t="shared" si="12"/>
        <v>198619.0511205692</v>
      </c>
      <c r="O36" s="41">
        <f t="shared" si="12"/>
        <v>201231.26712458197</v>
      </c>
      <c r="P36" s="41">
        <f t="shared" si="12"/>
        <v>205065.29769551908</v>
      </c>
      <c r="Q36" s="41">
        <f t="shared" si="12"/>
        <v>213949.55747702284</v>
      </c>
      <c r="R36" s="41">
        <f t="shared" ref="R36:S36" si="13">SUM(R7:R33)</f>
        <v>219860.80503611325</v>
      </c>
      <c r="S36" s="41">
        <f t="shared" si="13"/>
        <v>226061.13308502903</v>
      </c>
      <c r="T36" s="41">
        <f t="shared" ref="T36:U36" si="14">SUM(T7:T33)</f>
        <v>236662.21537374577</v>
      </c>
      <c r="U36" s="41">
        <f t="shared" si="14"/>
        <v>232161.54476268261</v>
      </c>
      <c r="V36" s="41">
        <f t="shared" ca="1" si="12"/>
        <v>246693.24953649155</v>
      </c>
      <c r="AA36" s="11"/>
    </row>
    <row r="37" spans="1:40">
      <c r="AA37" s="11"/>
    </row>
    <row r="38" spans="1:40">
      <c r="AA38" s="11"/>
    </row>
    <row r="39" spans="1:40">
      <c r="AA39" s="11"/>
    </row>
    <row r="40" spans="1:40">
      <c r="A40" s="5" t="s">
        <v>191</v>
      </c>
      <c r="D40" t="s">
        <v>173</v>
      </c>
      <c r="AA40" t="str">
        <f t="shared" ref="AA40:AC40" si="15">AA5</f>
        <v>No Change</v>
      </c>
      <c r="AB40" t="str">
        <f t="shared" si="15"/>
        <v>RES Proxy</v>
      </c>
      <c r="AC40" t="str">
        <f t="shared" si="15"/>
        <v>5yr lin trend</v>
      </c>
      <c r="AD40" t="str">
        <f>AD5</f>
        <v>Based on MS Stats</v>
      </c>
    </row>
    <row r="41" spans="1:40">
      <c r="A41" t="str">
        <f t="shared" ref="A41:AB41" si="16">A6</f>
        <v>source row</v>
      </c>
      <c r="B41" t="str">
        <f t="shared" si="16"/>
        <v>MS Code 1</v>
      </c>
      <c r="C41" t="str">
        <f t="shared" si="16"/>
        <v>MS Code 2</v>
      </c>
      <c r="D41" s="1">
        <f t="shared" si="16"/>
        <v>2005</v>
      </c>
      <c r="E41" s="1">
        <f t="shared" si="16"/>
        <v>2006</v>
      </c>
      <c r="F41" s="1">
        <f t="shared" si="16"/>
        <v>2007</v>
      </c>
      <c r="G41" s="1">
        <f t="shared" si="16"/>
        <v>2008</v>
      </c>
      <c r="H41" s="1">
        <f t="shared" si="16"/>
        <v>2009</v>
      </c>
      <c r="I41" s="1">
        <f t="shared" si="16"/>
        <v>2010</v>
      </c>
      <c r="J41" s="1">
        <f t="shared" si="16"/>
        <v>2011</v>
      </c>
      <c r="K41" s="1">
        <f t="shared" si="16"/>
        <v>2012</v>
      </c>
      <c r="L41" s="1">
        <f t="shared" si="16"/>
        <v>2013</v>
      </c>
      <c r="M41" s="1">
        <f t="shared" si="16"/>
        <v>2014</v>
      </c>
      <c r="N41" s="1">
        <f t="shared" ref="N41:S41" si="17">N6</f>
        <v>2015</v>
      </c>
      <c r="O41" s="1">
        <f t="shared" si="17"/>
        <v>2016</v>
      </c>
      <c r="P41" s="1">
        <f t="shared" si="17"/>
        <v>2017</v>
      </c>
      <c r="Q41" s="1">
        <f t="shared" si="17"/>
        <v>2018</v>
      </c>
      <c r="R41" s="1">
        <f t="shared" ref="R41" si="18">R6</f>
        <v>2019</v>
      </c>
      <c r="S41" s="1">
        <f t="shared" si="17"/>
        <v>2020</v>
      </c>
      <c r="T41" s="1">
        <f t="shared" ref="T41:U41" si="19">T6</f>
        <v>2021</v>
      </c>
      <c r="U41" s="1">
        <f t="shared" si="19"/>
        <v>2022</v>
      </c>
      <c r="V41" s="2">
        <f>YearProxy</f>
        <v>2023</v>
      </c>
      <c r="W41" s="1"/>
      <c r="X41" s="1"/>
      <c r="Y41" s="1"/>
      <c r="Z41" s="1"/>
      <c r="AA41" s="12">
        <f t="shared" si="16"/>
        <v>2023</v>
      </c>
      <c r="AB41" s="2">
        <f t="shared" si="16"/>
        <v>2023</v>
      </c>
      <c r="AC41" s="2">
        <f>YearProxy</f>
        <v>2023</v>
      </c>
      <c r="AD41" s="2">
        <f>YearProxy</f>
        <v>2023</v>
      </c>
      <c r="AE41" s="2"/>
    </row>
    <row r="42" spans="1:40">
      <c r="A42">
        <f t="shared" ref="A42:C69" si="20">A7</f>
        <v>2</v>
      </c>
      <c r="B42" t="str">
        <f t="shared" si="20"/>
        <v>AT</v>
      </c>
      <c r="C42" t="str">
        <f t="shared" si="20"/>
        <v>AT</v>
      </c>
      <c r="D42" s="8"/>
      <c r="E42" s="8">
        <f t="shared" ref="E42:M42" si="21">IFERROR(E7/D7-1,0)</f>
        <v>7.3067698381935386E-2</v>
      </c>
      <c r="F42" s="8">
        <f t="shared" si="21"/>
        <v>7.5529668720939025E-2</v>
      </c>
      <c r="G42" s="8">
        <f t="shared" si="21"/>
        <v>4.095188630239277E-2</v>
      </c>
      <c r="H42" s="8">
        <f t="shared" si="21"/>
        <v>5.6803079624287989E-2</v>
      </c>
      <c r="I42" s="8">
        <f t="shared" si="21"/>
        <v>3.4688092989255459E-2</v>
      </c>
      <c r="J42" s="8">
        <f t="shared" si="21"/>
        <v>-4.703024223572505E-2</v>
      </c>
      <c r="K42" s="8">
        <f t="shared" si="21"/>
        <v>0.13573989353436966</v>
      </c>
      <c r="L42" s="8">
        <f t="shared" si="21"/>
        <v>-6.9452919070861485E-3</v>
      </c>
      <c r="M42" s="8">
        <f t="shared" si="21"/>
        <v>-1.8541523439950192E-2</v>
      </c>
      <c r="N42" s="8">
        <f t="shared" ref="N42:R69" si="22">IFERROR(N7/M7-1,0)</f>
        <v>-4.4921225171589141E-3</v>
      </c>
      <c r="O42" s="8">
        <f t="shared" si="22"/>
        <v>2.7942011788526955E-2</v>
      </c>
      <c r="P42" s="8">
        <f t="shared" si="22"/>
        <v>1.7510287896655985E-3</v>
      </c>
      <c r="Q42" s="8">
        <f t="shared" si="22"/>
        <v>-4.0125336034288139E-2</v>
      </c>
      <c r="R42" s="8">
        <f t="shared" si="22"/>
        <v>3.8978225817768886E-2</v>
      </c>
      <c r="S42" s="8">
        <f t="shared" ref="S42:S71" si="23">IFERROR(S7/R7-1,0)</f>
        <v>4.0043666155307189E-3</v>
      </c>
      <c r="T42" s="8">
        <f t="shared" ref="T42:T71" si="24">IFERROR(T7/S7-1,0)</f>
        <v>2.9872101997488576E-2</v>
      </c>
      <c r="U42" s="8">
        <f t="shared" ref="U42:V71" si="25">IFERROR(U7/T7-1,0)</f>
        <v>-5.7138687102970098E-2</v>
      </c>
      <c r="V42" s="8">
        <f t="shared" ca="1" si="25"/>
        <v>0.11461240415170826</v>
      </c>
      <c r="W42" s="8"/>
      <c r="X42" s="8"/>
      <c r="Y42" s="8"/>
      <c r="Z42" s="8"/>
      <c r="AA42" s="14">
        <v>0</v>
      </c>
      <c r="AB42" s="8">
        <v>4.8634433010034679E-2</v>
      </c>
      <c r="AC42" s="8">
        <f ca="1">AC7/AA7-1</f>
        <v>3.8795492519626107E-2</v>
      </c>
      <c r="AD42" s="8">
        <v>0.11461240415170826</v>
      </c>
      <c r="AE42" s="8"/>
      <c r="AF42" s="8"/>
      <c r="AG42" s="8"/>
      <c r="AH42" s="8"/>
    </row>
    <row r="43" spans="1:40">
      <c r="A43">
        <f t="shared" si="20"/>
        <v>3</v>
      </c>
      <c r="B43" t="str">
        <f t="shared" si="20"/>
        <v>BE</v>
      </c>
      <c r="C43" t="str">
        <f t="shared" si="20"/>
        <v>BE</v>
      </c>
      <c r="D43" s="8"/>
      <c r="E43" s="8">
        <f t="shared" ref="E43:M43" si="26">IFERROR(E8/D8-1,0)</f>
        <v>0.172669574104104</v>
      </c>
      <c r="F43" s="8">
        <f t="shared" si="26"/>
        <v>0.1681394854472551</v>
      </c>
      <c r="G43" s="8">
        <f t="shared" si="26"/>
        <v>0.20088913291717891</v>
      </c>
      <c r="H43" s="8">
        <f t="shared" si="26"/>
        <v>0.19108380091911514</v>
      </c>
      <c r="I43" s="8">
        <f t="shared" si="26"/>
        <v>0.29189614649448603</v>
      </c>
      <c r="J43" s="8">
        <f t="shared" si="26"/>
        <v>5.2676038328345332E-3</v>
      </c>
      <c r="K43" s="8">
        <f t="shared" si="26"/>
        <v>0.13362028539612214</v>
      </c>
      <c r="L43" s="8">
        <f t="shared" si="26"/>
        <v>6.5056458396144823E-2</v>
      </c>
      <c r="M43" s="8">
        <f t="shared" si="26"/>
        <v>-4.5621908672133227E-2</v>
      </c>
      <c r="N43" s="8">
        <f t="shared" si="22"/>
        <v>7.7824464802924487E-2</v>
      </c>
      <c r="O43" s="8">
        <f t="shared" si="22"/>
        <v>6.0063078922158342E-2</v>
      </c>
      <c r="P43" s="8">
        <f t="shared" si="22"/>
        <v>3.9064584054624873E-2</v>
      </c>
      <c r="Q43" s="8">
        <f t="shared" si="22"/>
        <v>2.2419414371722235E-2</v>
      </c>
      <c r="R43" s="8">
        <f t="shared" si="22"/>
        <v>2.8552384945769838E-2</v>
      </c>
      <c r="S43" s="8">
        <f t="shared" si="23"/>
        <v>0.12308866569662991</v>
      </c>
      <c r="T43" s="8">
        <f t="shared" si="24"/>
        <v>2.7881486532222111E-2</v>
      </c>
      <c r="U43" s="8">
        <f t="shared" si="25"/>
        <v>2.7354077013275635E-2</v>
      </c>
      <c r="V43" s="8">
        <f t="shared" ca="1" si="25"/>
        <v>6.3851633255256113E-2</v>
      </c>
      <c r="W43" s="8"/>
      <c r="X43" s="8"/>
      <c r="Y43" s="8"/>
      <c r="Z43" s="8"/>
      <c r="AA43" s="14">
        <v>0</v>
      </c>
      <c r="AB43" s="8">
        <v>6.3799011065491962E-2</v>
      </c>
      <c r="AC43" s="8">
        <f t="shared" ref="AC43:AC69" ca="1" si="27">AC8/AA8-1</f>
        <v>6.3851633255256113E-2</v>
      </c>
      <c r="AD43" s="8"/>
      <c r="AE43" s="8"/>
      <c r="AF43" s="8"/>
      <c r="AG43" s="8"/>
      <c r="AH43" s="8"/>
    </row>
    <row r="44" spans="1:40">
      <c r="A44">
        <f t="shared" si="20"/>
        <v>4</v>
      </c>
      <c r="B44" t="str">
        <f t="shared" si="20"/>
        <v>BG</v>
      </c>
      <c r="C44" t="str">
        <f t="shared" si="20"/>
        <v>BG</v>
      </c>
      <c r="D44" s="8"/>
      <c r="E44" s="8">
        <f t="shared" ref="E44:M44" si="28">IFERROR(E9/D9-1,0)</f>
        <v>3.9791409464711158E-2</v>
      </c>
      <c r="F44" s="8">
        <f t="shared" si="28"/>
        <v>-0.15859666744573686</v>
      </c>
      <c r="G44" s="8">
        <f t="shared" si="28"/>
        <v>0.10289678003927683</v>
      </c>
      <c r="H44" s="8">
        <f t="shared" si="28"/>
        <v>4.5635023388851614E-2</v>
      </c>
      <c r="I44" s="8">
        <f t="shared" si="28"/>
        <v>0.31072152104032624</v>
      </c>
      <c r="J44" s="8">
        <f t="shared" si="28"/>
        <v>-6.6012727506610136E-2</v>
      </c>
      <c r="K44" s="8">
        <f t="shared" si="28"/>
        <v>0.18619713395226034</v>
      </c>
      <c r="L44" s="8">
        <f t="shared" si="28"/>
        <v>0.13266532289253452</v>
      </c>
      <c r="M44" s="8">
        <f t="shared" si="28"/>
        <v>-1.1921593044314838E-2</v>
      </c>
      <c r="N44" s="8">
        <f t="shared" si="22"/>
        <v>0.1148948246552266</v>
      </c>
      <c r="O44" s="8">
        <f t="shared" si="22"/>
        <v>-2.9978668280132403E-2</v>
      </c>
      <c r="P44" s="8">
        <f t="shared" si="22"/>
        <v>-3.9446526468465248E-2</v>
      </c>
      <c r="Q44" s="8">
        <f t="shared" si="22"/>
        <v>0.31331863272028415</v>
      </c>
      <c r="R44" s="8">
        <f t="shared" si="22"/>
        <v>-3.4782022134062895E-2</v>
      </c>
      <c r="S44" s="8">
        <f t="shared" si="23"/>
        <v>3.1098837287934167E-2</v>
      </c>
      <c r="T44" s="8">
        <f t="shared" si="24"/>
        <v>0.14596725852263925</v>
      </c>
      <c r="U44" s="8">
        <f t="shared" si="25"/>
        <v>-7.1001564635058689E-2</v>
      </c>
      <c r="V44" s="8">
        <f t="shared" ca="1" si="25"/>
        <v>0.15563606377191275</v>
      </c>
      <c r="W44" s="8"/>
      <c r="X44" s="8"/>
      <c r="Y44" s="8"/>
      <c r="Z44" s="8"/>
      <c r="AA44" s="14">
        <v>0</v>
      </c>
      <c r="AB44" s="8">
        <v>0.1556360637719128</v>
      </c>
      <c r="AC44" s="8">
        <f t="shared" ca="1" si="27"/>
        <v>5.7452737311427526E-2</v>
      </c>
      <c r="AD44" s="8"/>
      <c r="AE44" s="8"/>
      <c r="AF44" s="8"/>
      <c r="AG44" s="8"/>
      <c r="AH44" s="8"/>
    </row>
    <row r="45" spans="1:40">
      <c r="A45">
        <f t="shared" si="20"/>
        <v>5</v>
      </c>
      <c r="B45" t="str">
        <f t="shared" si="20"/>
        <v>CY</v>
      </c>
      <c r="C45" t="str">
        <f t="shared" si="20"/>
        <v>CY</v>
      </c>
      <c r="D45" s="8"/>
      <c r="E45" s="8">
        <f t="shared" ref="E45:M45" si="29">IFERROR(E10/D10-1,0)</f>
        <v>3.9824986036119725E-2</v>
      </c>
      <c r="F45" s="8">
        <f t="shared" si="29"/>
        <v>0.30682803081586418</v>
      </c>
      <c r="G45" s="8">
        <f t="shared" si="29"/>
        <v>0.34811560390525731</v>
      </c>
      <c r="H45" s="8">
        <f t="shared" si="29"/>
        <v>7.7581924668234992E-2</v>
      </c>
      <c r="I45" s="8">
        <f t="shared" si="29"/>
        <v>2.5040732535484223E-2</v>
      </c>
      <c r="J45" s="8">
        <f t="shared" si="29"/>
        <v>0.14769306729328568</v>
      </c>
      <c r="K45" s="8">
        <f t="shared" si="29"/>
        <v>7.611576375642426E-2</v>
      </c>
      <c r="L45" s="8">
        <f t="shared" si="29"/>
        <v>3.0254908118766854E-2</v>
      </c>
      <c r="M45" s="8">
        <f t="shared" si="29"/>
        <v>-2.4721412180965907E-2</v>
      </c>
      <c r="N45" s="8">
        <f t="shared" si="22"/>
        <v>0.14485962072541891</v>
      </c>
      <c r="O45" s="8">
        <f t="shared" si="22"/>
        <v>4.0134580263644359E-2</v>
      </c>
      <c r="P45" s="8">
        <f t="shared" si="22"/>
        <v>0.10296854739731143</v>
      </c>
      <c r="Q45" s="8">
        <f t="shared" si="22"/>
        <v>7.6431785888974701E-2</v>
      </c>
      <c r="R45" s="8">
        <f t="shared" si="22"/>
        <v>2.5090423478012491E-2</v>
      </c>
      <c r="S45" s="8">
        <f t="shared" si="23"/>
        <v>0.1750553611821497</v>
      </c>
      <c r="T45" s="8">
        <f t="shared" si="24"/>
        <v>7.8344017013038059E-2</v>
      </c>
      <c r="U45" s="8">
        <f t="shared" si="25"/>
        <v>3.2999281615486931E-2</v>
      </c>
      <c r="V45" s="8">
        <f t="shared" ca="1" si="25"/>
        <v>8.9059917529365817E-2</v>
      </c>
      <c r="W45" s="8"/>
      <c r="X45" s="8"/>
      <c r="Y45" s="8"/>
      <c r="Z45" s="8"/>
      <c r="AA45" s="14">
        <v>0</v>
      </c>
      <c r="AB45" s="8">
        <v>0.27605240516664487</v>
      </c>
      <c r="AC45" s="8">
        <f t="shared" ca="1" si="27"/>
        <v>8.9059917529365817E-2</v>
      </c>
      <c r="AD45" s="8"/>
      <c r="AE45" s="8"/>
      <c r="AF45" s="8"/>
      <c r="AG45" s="8"/>
      <c r="AH45" s="8"/>
    </row>
    <row r="46" spans="1:40">
      <c r="A46">
        <f t="shared" si="20"/>
        <v>6</v>
      </c>
      <c r="B46" t="str">
        <f t="shared" si="20"/>
        <v>CZ</v>
      </c>
      <c r="C46" t="str">
        <f t="shared" si="20"/>
        <v>CZ</v>
      </c>
      <c r="D46" s="8"/>
      <c r="E46" s="8">
        <f t="shared" ref="E46:M46" si="30">IFERROR(E11/D11-1,0)</f>
        <v>6.028185030313904E-2</v>
      </c>
      <c r="F46" s="8">
        <f t="shared" si="30"/>
        <v>4.8281133153938782E-2</v>
      </c>
      <c r="G46" s="8">
        <f t="shared" si="30"/>
        <v>8.5589522974292676E-2</v>
      </c>
      <c r="H46" s="8">
        <f t="shared" si="30"/>
        <v>0.12873066530531263</v>
      </c>
      <c r="I46" s="8">
        <f t="shared" si="30"/>
        <v>0.10098157299422872</v>
      </c>
      <c r="J46" s="8">
        <f t="shared" si="30"/>
        <v>9.9091134317802476E-2</v>
      </c>
      <c r="K46" s="8">
        <f t="shared" si="30"/>
        <v>7.1840956744583018E-2</v>
      </c>
      <c r="L46" s="8">
        <f t="shared" si="30"/>
        <v>9.8053673344927539E-2</v>
      </c>
      <c r="M46" s="8">
        <f t="shared" si="30"/>
        <v>3.1041884532652109E-2</v>
      </c>
      <c r="N46" s="8">
        <f t="shared" si="22"/>
        <v>2.4582147220768347E-2</v>
      </c>
      <c r="O46" s="8">
        <f t="shared" si="22"/>
        <v>7.3268414657543524E-3</v>
      </c>
      <c r="P46" s="8">
        <f t="shared" si="22"/>
        <v>1.978557474011633E-2</v>
      </c>
      <c r="Q46" s="8">
        <f t="shared" si="22"/>
        <v>2.8965125895874522E-4</v>
      </c>
      <c r="R46" s="8">
        <f t="shared" si="22"/>
        <v>7.190886160096599E-2</v>
      </c>
      <c r="S46" s="8">
        <f t="shared" si="23"/>
        <v>3.8103019710541863E-2</v>
      </c>
      <c r="T46" s="8">
        <f t="shared" si="24"/>
        <v>6.8955057390419183E-2</v>
      </c>
      <c r="U46" s="8">
        <f t="shared" si="25"/>
        <v>-3.0678008212063568E-2</v>
      </c>
      <c r="V46" s="8">
        <f t="shared" ca="1" si="25"/>
        <v>3.7914586402993944E-2</v>
      </c>
      <c r="W46" s="8"/>
      <c r="X46" s="8"/>
      <c r="Y46" s="8"/>
      <c r="Z46" s="8"/>
      <c r="AA46" s="14">
        <v>0</v>
      </c>
      <c r="AB46" s="8">
        <v>3.7914586402993992E-2</v>
      </c>
      <c r="AC46" s="8">
        <f t="shared" ca="1" si="27"/>
        <v>6.8953000375442608E-2</v>
      </c>
      <c r="AD46" s="8"/>
      <c r="AE46" s="8"/>
      <c r="AF46" s="8"/>
      <c r="AG46" s="8"/>
      <c r="AH46" s="8"/>
    </row>
    <row r="47" spans="1:40">
      <c r="A47">
        <f t="shared" si="20"/>
        <v>7</v>
      </c>
      <c r="B47" t="str">
        <f t="shared" si="20"/>
        <v>DE</v>
      </c>
      <c r="C47" t="str">
        <f t="shared" si="20"/>
        <v>DE</v>
      </c>
      <c r="D47" s="8"/>
      <c r="E47" s="8">
        <f t="shared" ref="E47:M47" si="31">IFERROR(E12/D12-1,0)</f>
        <v>0.22037299094429796</v>
      </c>
      <c r="F47" s="8">
        <f t="shared" si="31"/>
        <v>0.156121306207609</v>
      </c>
      <c r="G47" s="8">
        <f t="shared" si="31"/>
        <v>3.8806549292012882E-2</v>
      </c>
      <c r="H47" s="8">
        <f t="shared" si="31"/>
        <v>-4.3662259061592046E-3</v>
      </c>
      <c r="I47" s="8">
        <f t="shared" si="31"/>
        <v>0.13558802644007284</v>
      </c>
      <c r="J47" s="8">
        <f t="shared" si="31"/>
        <v>3.5606509243844009E-2</v>
      </c>
      <c r="K47" s="8">
        <f t="shared" si="31"/>
        <v>0.12347441554648886</v>
      </c>
      <c r="L47" s="8">
        <f t="shared" si="31"/>
        <v>3.0633108003228715E-2</v>
      </c>
      <c r="M47" s="8">
        <f t="shared" si="31"/>
        <v>-6.9391915006066229E-3</v>
      </c>
      <c r="N47" s="8">
        <f t="shared" si="22"/>
        <v>6.5528474770029543E-2</v>
      </c>
      <c r="O47" s="8">
        <f t="shared" si="22"/>
        <v>-4.4156590754815817E-3</v>
      </c>
      <c r="P47" s="8">
        <f t="shared" si="22"/>
        <v>6.6763978200325536E-2</v>
      </c>
      <c r="Q47" s="8">
        <f t="shared" si="22"/>
        <v>2.1737760260649885E-2</v>
      </c>
      <c r="R47" s="8">
        <f t="shared" si="22"/>
        <v>4.0293943238119967E-2</v>
      </c>
      <c r="S47" s="8">
        <f t="shared" si="23"/>
        <v>3.6125526561832322E-2</v>
      </c>
      <c r="T47" s="8">
        <f t="shared" si="24"/>
        <v>-1.975418267043838E-3</v>
      </c>
      <c r="U47" s="8">
        <f t="shared" si="25"/>
        <v>4.2650702302672761E-2</v>
      </c>
      <c r="V47" s="8">
        <f t="shared" ca="1" si="25"/>
        <v>3.082191780821919E-2</v>
      </c>
      <c r="W47" s="8"/>
      <c r="X47" s="8"/>
      <c r="Y47" s="8"/>
      <c r="Z47" s="8"/>
      <c r="AA47" s="14">
        <v>0</v>
      </c>
      <c r="AB47" s="8">
        <v>5.2827018686146657E-2</v>
      </c>
      <c r="AC47" s="8">
        <f t="shared" ca="1" si="27"/>
        <v>2.2372069493377778E-2</v>
      </c>
      <c r="AD47" s="8">
        <v>3.082191780821919E-2</v>
      </c>
      <c r="AE47" s="8"/>
      <c r="AF47" s="8"/>
      <c r="AG47" s="8"/>
      <c r="AH47" s="8"/>
    </row>
    <row r="48" spans="1:40">
      <c r="A48">
        <f t="shared" si="20"/>
        <v>8</v>
      </c>
      <c r="B48" t="str">
        <f t="shared" si="20"/>
        <v>DK</v>
      </c>
      <c r="C48" t="str">
        <f t="shared" si="20"/>
        <v>DK</v>
      </c>
      <c r="D48" s="8"/>
      <c r="E48" s="8">
        <f t="shared" ref="E48:M48" si="32">IFERROR(E13/D13-1,0)</f>
        <v>1.6629446942258319E-2</v>
      </c>
      <c r="F48" s="8">
        <f t="shared" si="32"/>
        <v>0.10956443719690712</v>
      </c>
      <c r="G48" s="8">
        <f t="shared" si="32"/>
        <v>-1.3623081465898856E-3</v>
      </c>
      <c r="H48" s="8">
        <f t="shared" si="32"/>
        <v>1.811311265218829E-2</v>
      </c>
      <c r="I48" s="8">
        <f t="shared" si="32"/>
        <v>0.18835741753566593</v>
      </c>
      <c r="J48" s="8">
        <f t="shared" si="32"/>
        <v>3.0133197822053148E-2</v>
      </c>
      <c r="K48" s="8">
        <f t="shared" si="32"/>
        <v>3.9369511303366078E-2</v>
      </c>
      <c r="L48" s="8">
        <f t="shared" si="32"/>
        <v>3.6661059839739885E-2</v>
      </c>
      <c r="M48" s="8">
        <f t="shared" si="32"/>
        <v>4.8044394051265371E-2</v>
      </c>
      <c r="N48" s="8">
        <f t="shared" si="22"/>
        <v>6.1438971440928025E-2</v>
      </c>
      <c r="O48" s="8">
        <f t="shared" si="22"/>
        <v>3.9329690930159478E-2</v>
      </c>
      <c r="P48" s="8">
        <f t="shared" si="22"/>
        <v>0.11345102708529509</v>
      </c>
      <c r="Q48" s="8">
        <f t="shared" si="22"/>
        <v>-1.2410446137602227E-2</v>
      </c>
      <c r="R48" s="8">
        <f t="shared" si="22"/>
        <v>4.6394309512333365E-2</v>
      </c>
      <c r="S48" s="8">
        <f t="shared" si="23"/>
        <v>2.9153587203989195E-2</v>
      </c>
      <c r="T48" s="8">
        <f t="shared" si="24"/>
        <v>0.12995858977324248</v>
      </c>
      <c r="U48" s="8">
        <f t="shared" si="25"/>
        <v>-1.9410575496908833E-2</v>
      </c>
      <c r="V48" s="8">
        <f t="shared" ca="1" si="25"/>
        <v>1.5674488418849331E-2</v>
      </c>
      <c r="W48" s="8"/>
      <c r="X48" s="8"/>
      <c r="Y48" s="8"/>
      <c r="Z48" s="8"/>
      <c r="AA48" s="14">
        <v>0</v>
      </c>
      <c r="AB48" s="8">
        <v>3.1329890714635461E-2</v>
      </c>
      <c r="AC48" s="8">
        <f t="shared" ca="1" si="27"/>
        <v>6.7480947159424653E-2</v>
      </c>
      <c r="AD48" s="8">
        <v>1.5674488418849331E-2</v>
      </c>
      <c r="AE48" s="8"/>
      <c r="AF48" s="8"/>
      <c r="AG48" s="8"/>
      <c r="AH48" s="8"/>
    </row>
    <row r="49" spans="1:34">
      <c r="A49">
        <f t="shared" si="20"/>
        <v>9</v>
      </c>
      <c r="B49" t="str">
        <f t="shared" si="20"/>
        <v>EE</v>
      </c>
      <c r="C49" t="str">
        <f t="shared" si="20"/>
        <v>EE</v>
      </c>
      <c r="D49" s="8"/>
      <c r="E49" s="8">
        <f t="shared" ref="E49:M49" si="33">IFERROR(E14/D14-1,0)</f>
        <v>-9.6469712977337974E-2</v>
      </c>
      <c r="F49" s="8">
        <f t="shared" si="33"/>
        <v>0.13208845375127609</v>
      </c>
      <c r="G49" s="8">
        <f t="shared" si="33"/>
        <v>7.9915045117751271E-2</v>
      </c>
      <c r="H49" s="8">
        <f t="shared" si="33"/>
        <v>0.10606664032094626</v>
      </c>
      <c r="I49" s="8">
        <f t="shared" si="33"/>
        <v>0.18757828737461857</v>
      </c>
      <c r="J49" s="8">
        <f t="shared" si="33"/>
        <v>-2.1148846155196965E-2</v>
      </c>
      <c r="K49" s="8">
        <f t="shared" si="33"/>
        <v>3.0229679548892996E-2</v>
      </c>
      <c r="L49" s="8">
        <f t="shared" si="33"/>
        <v>-1.1961339242804514E-2</v>
      </c>
      <c r="M49" s="8">
        <f t="shared" si="33"/>
        <v>8.3488224001277977E-3</v>
      </c>
      <c r="N49" s="8">
        <f t="shared" si="22"/>
        <v>8.8025083775709501E-2</v>
      </c>
      <c r="O49" s="8">
        <f t="shared" si="22"/>
        <v>7.2045029348108969E-2</v>
      </c>
      <c r="P49" s="8">
        <f t="shared" si="22"/>
        <v>7.4533547238643694E-2</v>
      </c>
      <c r="Q49" s="8">
        <f t="shared" si="22"/>
        <v>7.4752784055466259E-2</v>
      </c>
      <c r="R49" s="8">
        <f t="shared" si="22"/>
        <v>2.0143777857933198E-2</v>
      </c>
      <c r="S49" s="8">
        <f t="shared" si="23"/>
        <v>0.11892126097083477</v>
      </c>
      <c r="T49" s="8">
        <f t="shared" si="24"/>
        <v>1.7050233777649026E-4</v>
      </c>
      <c r="U49" s="8">
        <f t="shared" si="25"/>
        <v>3.401888843850287E-4</v>
      </c>
      <c r="V49" s="8">
        <f t="shared" ca="1" si="25"/>
        <v>4.3627841597211781E-2</v>
      </c>
      <c r="W49" s="8"/>
      <c r="X49" s="8"/>
      <c r="Y49" s="8"/>
      <c r="Z49" s="8"/>
      <c r="AA49" s="14">
        <v>0</v>
      </c>
      <c r="AB49" s="8">
        <v>4.362784159721169E-2</v>
      </c>
      <c r="AC49" s="8">
        <f t="shared" ca="1" si="27"/>
        <v>6.0152358850690923E-2</v>
      </c>
      <c r="AD49" s="8"/>
      <c r="AE49" s="8"/>
      <c r="AF49" s="8"/>
      <c r="AG49" s="8"/>
      <c r="AH49" s="8"/>
    </row>
    <row r="50" spans="1:34">
      <c r="A50">
        <f t="shared" si="20"/>
        <v>11</v>
      </c>
      <c r="B50" t="str">
        <f t="shared" si="20"/>
        <v>ES</v>
      </c>
      <c r="C50" t="str">
        <f t="shared" si="20"/>
        <v>ES</v>
      </c>
      <c r="D50" s="8"/>
      <c r="E50" s="8">
        <f t="shared" ref="E50:M50" si="34">IFERROR(E15/D15-1,0)</f>
        <v>9.1022714274821004E-2</v>
      </c>
      <c r="F50" s="8">
        <f t="shared" si="34"/>
        <v>9.2149862781222058E-2</v>
      </c>
      <c r="G50" s="8">
        <f t="shared" si="34"/>
        <v>5.4451190404528838E-2</v>
      </c>
      <c r="H50" s="8">
        <f t="shared" si="34"/>
        <v>0.19152854232547312</v>
      </c>
      <c r="I50" s="8">
        <f t="shared" si="34"/>
        <v>0.1973225762473807</v>
      </c>
      <c r="J50" s="8">
        <f t="shared" si="34"/>
        <v>-1.5295448223235919E-2</v>
      </c>
      <c r="K50" s="8">
        <f t="shared" si="34"/>
        <v>8.8365075888157563E-2</v>
      </c>
      <c r="L50" s="8">
        <f t="shared" si="34"/>
        <v>9.8783710228975474E-2</v>
      </c>
      <c r="M50" s="8">
        <f t="shared" si="34"/>
        <v>1.91799321788233E-3</v>
      </c>
      <c r="N50" s="8">
        <f t="shared" si="22"/>
        <v>-6.4715240526899698E-2</v>
      </c>
      <c r="O50" s="8">
        <f t="shared" si="22"/>
        <v>2.2925606520458386E-2</v>
      </c>
      <c r="P50" s="8">
        <f t="shared" si="22"/>
        <v>-5.9117710242133192E-2</v>
      </c>
      <c r="Q50" s="8">
        <f t="shared" si="22"/>
        <v>9.1134547110984787E-2</v>
      </c>
      <c r="R50" s="8">
        <f t="shared" si="22"/>
        <v>4.7258736323978479E-3</v>
      </c>
      <c r="S50" s="8">
        <f t="shared" si="23"/>
        <v>3.4981620550049497E-2</v>
      </c>
      <c r="T50" s="8">
        <f t="shared" si="24"/>
        <v>3.441825144147348E-2</v>
      </c>
      <c r="U50" s="8">
        <f t="shared" si="25"/>
        <v>-1.881465228638135E-2</v>
      </c>
      <c r="V50" s="8">
        <f t="shared" ca="1" si="25"/>
        <v>0.20663506176841895</v>
      </c>
      <c r="W50" s="8"/>
      <c r="X50" s="8"/>
      <c r="Y50" s="8"/>
      <c r="Z50" s="8"/>
      <c r="AA50" s="14">
        <v>0</v>
      </c>
      <c r="AB50" s="8">
        <v>9.8344811886535016E-2</v>
      </c>
      <c r="AC50" s="8">
        <f t="shared" ca="1" si="27"/>
        <v>3.2450094456942802E-2</v>
      </c>
      <c r="AD50" s="8">
        <v>0.20663506176841895</v>
      </c>
      <c r="AE50" s="8"/>
      <c r="AF50" s="8"/>
      <c r="AG50" s="8"/>
      <c r="AH50" s="8"/>
    </row>
    <row r="51" spans="1:34">
      <c r="A51">
        <f t="shared" si="20"/>
        <v>12</v>
      </c>
      <c r="B51" t="str">
        <f t="shared" si="20"/>
        <v>FI</v>
      </c>
      <c r="C51" t="str">
        <f t="shared" si="20"/>
        <v>FI</v>
      </c>
      <c r="D51" s="8"/>
      <c r="E51" s="8">
        <f t="shared" ref="E51:M51" si="35">IFERROR(E16/D16-1,0)</f>
        <v>7.4816819985549898E-2</v>
      </c>
      <c r="F51" s="8">
        <f t="shared" si="35"/>
        <v>-3.8851818026898188E-3</v>
      </c>
      <c r="G51" s="8">
        <f t="shared" si="35"/>
        <v>5.0225899474040991E-2</v>
      </c>
      <c r="H51" s="8">
        <f t="shared" si="35"/>
        <v>-0.12018795939308058</v>
      </c>
      <c r="I51" s="8">
        <f t="shared" si="35"/>
        <v>0.16180732868677117</v>
      </c>
      <c r="J51" s="8">
        <f t="shared" si="35"/>
        <v>-2.1085651285103979E-2</v>
      </c>
      <c r="K51" s="8">
        <f t="shared" si="35"/>
        <v>9.4185599411170884E-2</v>
      </c>
      <c r="L51" s="8">
        <f t="shared" si="35"/>
        <v>-9.3127336948549688E-3</v>
      </c>
      <c r="M51" s="8">
        <f t="shared" si="35"/>
        <v>4.2052953505438584E-2</v>
      </c>
      <c r="N51" s="8">
        <f t="shared" si="22"/>
        <v>2.0706631082912264E-2</v>
      </c>
      <c r="O51" s="8">
        <f t="shared" si="22"/>
        <v>1.3945070703043516E-2</v>
      </c>
      <c r="P51" s="8">
        <f t="shared" si="22"/>
        <v>5.6440967803135456E-2</v>
      </c>
      <c r="Q51" s="8">
        <f t="shared" si="22"/>
        <v>2.2446977508746135E-2</v>
      </c>
      <c r="R51" s="8">
        <f t="shared" si="22"/>
        <v>1.0964357211481035E-2</v>
      </c>
      <c r="S51" s="8">
        <f t="shared" si="23"/>
        <v>-1.4198355737996105E-2</v>
      </c>
      <c r="T51" s="8">
        <f t="shared" si="24"/>
        <v>0.13437658350245307</v>
      </c>
      <c r="U51" s="8">
        <f t="shared" si="25"/>
        <v>-6.5748445431189073E-2</v>
      </c>
      <c r="V51" s="8">
        <f t="shared" ca="1" si="25"/>
        <v>2.4883122477246333E-2</v>
      </c>
      <c r="W51" s="8"/>
      <c r="X51" s="8"/>
      <c r="Y51" s="8"/>
      <c r="Z51" s="8"/>
      <c r="AA51" s="14">
        <v>0</v>
      </c>
      <c r="AB51" s="8">
        <v>4.1793877549462316E-2</v>
      </c>
      <c r="AC51" s="8">
        <f t="shared" ca="1" si="27"/>
        <v>4.9470890591785999E-2</v>
      </c>
      <c r="AD51" s="8">
        <v>2.4883122477246333E-2</v>
      </c>
      <c r="AE51" s="8"/>
      <c r="AF51" s="8"/>
      <c r="AG51" s="8"/>
      <c r="AH51" s="8"/>
    </row>
    <row r="52" spans="1:34">
      <c r="A52">
        <f t="shared" si="20"/>
        <v>13</v>
      </c>
      <c r="B52" t="str">
        <f t="shared" si="20"/>
        <v>FR</v>
      </c>
      <c r="C52" t="str">
        <f t="shared" si="20"/>
        <v>FR</v>
      </c>
      <c r="D52" s="8"/>
      <c r="E52" s="8">
        <f t="shared" ref="E52:M52" si="36">IFERROR(E17/D17-1,0)</f>
        <v>-2.3068700113118901E-2</v>
      </c>
      <c r="F52" s="8">
        <f t="shared" si="36"/>
        <v>8.241663578305336E-2</v>
      </c>
      <c r="G52" s="8">
        <f t="shared" si="36"/>
        <v>0.12652534364511836</v>
      </c>
      <c r="H52" s="8">
        <f t="shared" si="36"/>
        <v>8.8532399428584707E-3</v>
      </c>
      <c r="I52" s="8">
        <f t="shared" si="36"/>
        <v>0.11200279893674625</v>
      </c>
      <c r="J52" s="8">
        <f t="shared" si="36"/>
        <v>-0.13446061583016444</v>
      </c>
      <c r="K52" s="8">
        <f t="shared" si="36"/>
        <v>0.17761401170497981</v>
      </c>
      <c r="L52" s="8">
        <f t="shared" si="36"/>
        <v>0.11237711956358876</v>
      </c>
      <c r="M52" s="8">
        <f t="shared" si="36"/>
        <v>-6.7711695432311036E-2</v>
      </c>
      <c r="N52" s="8">
        <f t="shared" si="22"/>
        <v>2.8929630993326017E-2</v>
      </c>
      <c r="O52" s="8">
        <f t="shared" si="22"/>
        <v>7.4238950986833085E-2</v>
      </c>
      <c r="P52" s="8">
        <f t="shared" si="22"/>
        <v>-2.1283507594987872E-2</v>
      </c>
      <c r="Q52" s="8">
        <f t="shared" si="22"/>
        <v>8.1612833824876718E-2</v>
      </c>
      <c r="R52" s="8">
        <f t="shared" si="22"/>
        <v>7.8889286677878978E-3</v>
      </c>
      <c r="S52" s="8">
        <f t="shared" si="23"/>
        <v>-7.6064170223919536E-3</v>
      </c>
      <c r="T52" s="8">
        <f t="shared" si="24"/>
        <v>5.2523594783258964E-2</v>
      </c>
      <c r="U52" s="8">
        <f t="shared" si="25"/>
        <v>-3.4951637526413948E-2</v>
      </c>
      <c r="V52" s="8">
        <f t="shared" ca="1" si="25"/>
        <v>0.10199832658927921</v>
      </c>
      <c r="W52" s="8"/>
      <c r="X52" s="8"/>
      <c r="Y52" s="8"/>
      <c r="Z52" s="8"/>
      <c r="AA52" s="14">
        <v>0</v>
      </c>
      <c r="AB52" s="8">
        <v>6.641845585005629E-2</v>
      </c>
      <c r="AC52" s="8">
        <f t="shared" ca="1" si="27"/>
        <v>2.2089469841527931E-2</v>
      </c>
      <c r="AD52" s="8">
        <v>0.10199832658927921</v>
      </c>
      <c r="AE52" s="8"/>
      <c r="AF52" s="8"/>
      <c r="AG52" s="8"/>
      <c r="AH52" s="8"/>
    </row>
    <row r="53" spans="1:34">
      <c r="A53">
        <f t="shared" si="20"/>
        <v>10</v>
      </c>
      <c r="B53" t="str">
        <f t="shared" si="20"/>
        <v>EL</v>
      </c>
      <c r="C53" t="str">
        <f t="shared" si="20"/>
        <v>GR</v>
      </c>
      <c r="D53" s="8"/>
      <c r="E53" s="8">
        <f t="shared" ref="E53:M53" si="37">IFERROR(E18/D18-1,0)</f>
        <v>8.4430583007575999E-2</v>
      </c>
      <c r="F53" s="8">
        <f t="shared" si="37"/>
        <v>-4.963427829474143E-2</v>
      </c>
      <c r="G53" s="8">
        <f t="shared" si="37"/>
        <v>-5.2884571595113172E-4</v>
      </c>
      <c r="H53" s="8">
        <f t="shared" si="37"/>
        <v>9.494813259692414E-2</v>
      </c>
      <c r="I53" s="8">
        <f t="shared" si="37"/>
        <v>0.13951561305223081</v>
      </c>
      <c r="J53" s="8">
        <f t="shared" si="37"/>
        <v>3.6637711644866844E-3</v>
      </c>
      <c r="K53" s="8">
        <f t="shared" si="37"/>
        <v>0.1401873409546246</v>
      </c>
      <c r="L53" s="8">
        <f t="shared" si="37"/>
        <v>6.7491593169225705E-2</v>
      </c>
      <c r="M53" s="8">
        <f t="shared" si="37"/>
        <v>-6.3575732301377696E-2</v>
      </c>
      <c r="N53" s="8">
        <f t="shared" si="22"/>
        <v>0.1334671481873142</v>
      </c>
      <c r="O53" s="8">
        <f t="shared" si="22"/>
        <v>-4.7989164952126573E-2</v>
      </c>
      <c r="P53" s="8">
        <f t="shared" si="22"/>
        <v>-2.9076291542263877E-2</v>
      </c>
      <c r="Q53" s="8">
        <f t="shared" si="22"/>
        <v>7.3057437651723678E-2</v>
      </c>
      <c r="R53" s="8">
        <f t="shared" si="22"/>
        <v>3.7412483408345576E-3</v>
      </c>
      <c r="S53" s="8">
        <f t="shared" si="23"/>
        <v>4.7890826174868284E-2</v>
      </c>
      <c r="T53" s="8">
        <f t="shared" si="24"/>
        <v>0.14684724968983742</v>
      </c>
      <c r="U53" s="8">
        <f t="shared" si="25"/>
        <v>-5.4518091051086848E-2</v>
      </c>
      <c r="V53" s="8">
        <f t="shared" ca="1" si="25"/>
        <v>5.1655927650837707E-2</v>
      </c>
      <c r="W53" s="8"/>
      <c r="X53" s="8"/>
      <c r="Y53" s="8"/>
      <c r="Z53" s="8"/>
      <c r="AA53" s="14">
        <v>0</v>
      </c>
      <c r="AB53" s="8">
        <v>5.16559276508377E-2</v>
      </c>
      <c r="AC53" s="8">
        <f t="shared" ca="1" si="27"/>
        <v>7.4546768209543091E-2</v>
      </c>
      <c r="AD53" s="8"/>
      <c r="AE53" s="8"/>
      <c r="AF53" s="8"/>
      <c r="AG53" s="8"/>
      <c r="AH53" s="8"/>
    </row>
    <row r="54" spans="1:34">
      <c r="A54">
        <f t="shared" si="20"/>
        <v>14</v>
      </c>
      <c r="B54" t="str">
        <f t="shared" si="20"/>
        <v>HR</v>
      </c>
      <c r="C54" t="str">
        <f t="shared" si="20"/>
        <v>HR</v>
      </c>
      <c r="D54" s="8"/>
      <c r="E54" s="8">
        <f t="shared" ref="E54:M54" si="38">IFERROR(E19/D19-1,0)</f>
        <v>-6.6234484974892371E-2</v>
      </c>
      <c r="F54" s="8">
        <f t="shared" si="38"/>
        <v>-0.11293155459838888</v>
      </c>
      <c r="G54" s="8">
        <f t="shared" si="38"/>
        <v>6.1427433939022835E-2</v>
      </c>
      <c r="H54" s="8">
        <f t="shared" si="38"/>
        <v>0.12126808902738784</v>
      </c>
      <c r="I54" s="8">
        <f t="shared" si="38"/>
        <v>0.12861520693755257</v>
      </c>
      <c r="J54" s="8">
        <f t="shared" si="38"/>
        <v>-0.17445114379570514</v>
      </c>
      <c r="K54" s="8">
        <f t="shared" si="38"/>
        <v>2.5600847749479794E-2</v>
      </c>
      <c r="L54" s="8">
        <f t="shared" si="38"/>
        <v>0.19136819131920979</v>
      </c>
      <c r="M54" s="8">
        <f t="shared" si="38"/>
        <v>-3.7304269756511688E-2</v>
      </c>
      <c r="N54" s="8">
        <f t="shared" si="22"/>
        <v>-2.2265278292671553E-2</v>
      </c>
      <c r="O54" s="8">
        <f t="shared" si="22"/>
        <v>2.1575246544933036E-2</v>
      </c>
      <c r="P54" s="8">
        <f t="shared" si="22"/>
        <v>-5.3904911872337702E-2</v>
      </c>
      <c r="Q54" s="8">
        <f t="shared" si="22"/>
        <v>0.14468965525904265</v>
      </c>
      <c r="R54" s="8">
        <f t="shared" si="22"/>
        <v>-2.145556896084011E-2</v>
      </c>
      <c r="S54" s="8">
        <f t="shared" si="23"/>
        <v>2.6435334469403493E-2</v>
      </c>
      <c r="T54" s="8">
        <f t="shared" si="24"/>
        <v>0.14617321618149703</v>
      </c>
      <c r="U54" s="8">
        <f t="shared" si="25"/>
        <v>-0.11406137557265994</v>
      </c>
      <c r="V54" s="8">
        <f t="shared" ca="1" si="25"/>
        <v>1.1121230386156533E-2</v>
      </c>
      <c r="W54" s="8"/>
      <c r="X54" s="8"/>
      <c r="Y54" s="8"/>
      <c r="Z54" s="8"/>
      <c r="AA54" s="14">
        <v>0</v>
      </c>
      <c r="AB54" s="8">
        <v>1.11212303861565E-2</v>
      </c>
      <c r="AC54" s="8">
        <f t="shared" ca="1" si="27"/>
        <v>7.3201347584914478E-2</v>
      </c>
      <c r="AD54" s="8"/>
      <c r="AE54" s="8"/>
      <c r="AF54" s="8"/>
      <c r="AG54" s="8"/>
      <c r="AH54" s="8"/>
    </row>
    <row r="55" spans="1:34">
      <c r="A55">
        <f t="shared" si="20"/>
        <v>15</v>
      </c>
      <c r="B55" t="str">
        <f t="shared" si="20"/>
        <v>HU</v>
      </c>
      <c r="C55" t="str">
        <f t="shared" si="20"/>
        <v>HU</v>
      </c>
      <c r="D55" s="8"/>
      <c r="E55" s="8">
        <f t="shared" ref="E55:M55" si="39">IFERROR(E20/D20-1,0)</f>
        <v>8.7938791429000851E-3</v>
      </c>
      <c r="F55" s="8">
        <f t="shared" si="39"/>
        <v>0.10474510385982994</v>
      </c>
      <c r="G55" s="8">
        <f t="shared" si="39"/>
        <v>5.8213022031213368E-2</v>
      </c>
      <c r="H55" s="8">
        <f t="shared" si="39"/>
        <v>0.27591605853701617</v>
      </c>
      <c r="I55" s="8">
        <f t="shared" si="39"/>
        <v>9.2417600310869652E-2</v>
      </c>
      <c r="J55" s="8">
        <f t="shared" si="39"/>
        <v>3.9206530137295026E-2</v>
      </c>
      <c r="K55" s="8">
        <f t="shared" si="39"/>
        <v>2.2982803258986273E-2</v>
      </c>
      <c r="L55" s="8">
        <f t="shared" si="39"/>
        <v>5.377584406708702E-2</v>
      </c>
      <c r="M55" s="8">
        <f t="shared" si="39"/>
        <v>-8.0818397554397348E-2</v>
      </c>
      <c r="N55" s="8">
        <f t="shared" si="22"/>
        <v>5.576429141343886E-2</v>
      </c>
      <c r="O55" s="8">
        <f t="shared" si="22"/>
        <v>-4.781485009093922E-3</v>
      </c>
      <c r="P55" s="8">
        <f t="shared" si="22"/>
        <v>-1.2941781621402915E-2</v>
      </c>
      <c r="Q55" s="8">
        <f t="shared" si="22"/>
        <v>-5.9392682548816134E-2</v>
      </c>
      <c r="R55" s="8">
        <f t="shared" si="22"/>
        <v>9.8705163223620218E-3</v>
      </c>
      <c r="S55" s="8">
        <f t="shared" si="23"/>
        <v>4.5988865399342549E-2</v>
      </c>
      <c r="T55" s="8">
        <f t="shared" si="24"/>
        <v>8.9749507539792717E-2</v>
      </c>
      <c r="U55" s="8">
        <f t="shared" si="25"/>
        <v>1.2448182058303781E-2</v>
      </c>
      <c r="V55" s="8">
        <f t="shared" ca="1" si="25"/>
        <v>4.5257191833141031E-2</v>
      </c>
      <c r="W55" s="8"/>
      <c r="X55" s="8"/>
      <c r="Y55" s="8"/>
      <c r="Z55" s="8"/>
      <c r="AA55" s="14">
        <v>0</v>
      </c>
      <c r="AB55" s="8">
        <v>0.24116404978208827</v>
      </c>
      <c r="AC55" s="8">
        <f t="shared" ca="1" si="27"/>
        <v>4.5257191833141031E-2</v>
      </c>
      <c r="AD55" s="52"/>
      <c r="AE55" s="8"/>
      <c r="AF55" s="8"/>
      <c r="AG55" s="8"/>
      <c r="AH55" s="8"/>
    </row>
    <row r="56" spans="1:34">
      <c r="A56">
        <f t="shared" si="20"/>
        <v>16</v>
      </c>
      <c r="B56" t="str">
        <f t="shared" si="20"/>
        <v>IE</v>
      </c>
      <c r="C56" t="str">
        <f t="shared" si="20"/>
        <v>IE</v>
      </c>
      <c r="D56" s="8"/>
      <c r="E56" s="8">
        <f t="shared" ref="E56:M56" si="40">IFERROR(E21/D21-1,0)</f>
        <v>0.15569990318217686</v>
      </c>
      <c r="F56" s="8">
        <f t="shared" si="40"/>
        <v>0.12939634892852725</v>
      </c>
      <c r="G56" s="8">
        <f t="shared" si="40"/>
        <v>0.20300748755840692</v>
      </c>
      <c r="H56" s="8">
        <f t="shared" si="40"/>
        <v>0.15304976200231435</v>
      </c>
      <c r="I56" s="8">
        <f t="shared" si="40"/>
        <v>-3.350603637901628E-4</v>
      </c>
      <c r="J56" s="8">
        <f t="shared" si="40"/>
        <v>0.20548242011949647</v>
      </c>
      <c r="K56" s="8">
        <f t="shared" si="40"/>
        <v>4.7917481460297839E-3</v>
      </c>
      <c r="L56" s="8">
        <f t="shared" si="40"/>
        <v>8.0195620811281065E-2</v>
      </c>
      <c r="M56" s="8">
        <f t="shared" si="40"/>
        <v>0.13152902628704322</v>
      </c>
      <c r="N56" s="8">
        <f t="shared" si="22"/>
        <v>0.13158082119911407</v>
      </c>
      <c r="O56" s="8">
        <f t="shared" si="22"/>
        <v>-6.1928588297517351E-3</v>
      </c>
      <c r="P56" s="8">
        <f t="shared" si="22"/>
        <v>0.17871384656603939</v>
      </c>
      <c r="Q56" s="8">
        <f t="shared" si="22"/>
        <v>0.10546571849997943</v>
      </c>
      <c r="R56" s="8">
        <f t="shared" si="22"/>
        <v>0.10789214928968205</v>
      </c>
      <c r="S56" s="8">
        <f t="shared" si="23"/>
        <v>8.8919893593590871E-2</v>
      </c>
      <c r="T56" s="8">
        <f t="shared" si="24"/>
        <v>-9.8848444893651632E-2</v>
      </c>
      <c r="U56" s="8">
        <f t="shared" si="25"/>
        <v>0.11819014516432258</v>
      </c>
      <c r="V56" s="8">
        <f t="shared" ca="1" si="25"/>
        <v>6.6460611896667965E-2</v>
      </c>
      <c r="W56" s="8"/>
      <c r="X56" s="8"/>
      <c r="Y56" s="8"/>
      <c r="Z56" s="8"/>
      <c r="AA56" s="14">
        <v>0</v>
      </c>
      <c r="AB56" s="8">
        <v>5.0520476372651689E-2</v>
      </c>
      <c r="AC56" s="8">
        <f t="shared" ca="1" si="27"/>
        <v>2.5451579495676668E-2</v>
      </c>
      <c r="AD56" s="8">
        <v>6.6460611896667965E-2</v>
      </c>
      <c r="AE56" s="8"/>
      <c r="AF56" s="8"/>
      <c r="AG56" s="8"/>
      <c r="AH56" s="8"/>
    </row>
    <row r="57" spans="1:34">
      <c r="A57">
        <f t="shared" si="20"/>
        <v>17</v>
      </c>
      <c r="B57" t="str">
        <f t="shared" si="20"/>
        <v>IT</v>
      </c>
      <c r="C57" t="str">
        <f t="shared" si="20"/>
        <v>IT</v>
      </c>
      <c r="D57" s="8"/>
      <c r="E57" s="8">
        <f t="shared" ref="E57:M57" si="41">IFERROR(E22/D22-1,0)</f>
        <v>8.6467596502602495E-2</v>
      </c>
      <c r="F57" s="8">
        <f t="shared" si="41"/>
        <v>0.10566697193330343</v>
      </c>
      <c r="G57" s="8">
        <f t="shared" si="41"/>
        <v>0.16294014232034515</v>
      </c>
      <c r="H57" s="8">
        <f t="shared" si="41"/>
        <v>6.6949105196639325E-2</v>
      </c>
      <c r="I57" s="8">
        <f t="shared" si="41"/>
        <v>3.9842233799856075E-2</v>
      </c>
      <c r="J57" s="8">
        <f t="shared" si="41"/>
        <v>-3.8347851214276196E-2</v>
      </c>
      <c r="K57" s="8">
        <f t="shared" si="41"/>
        <v>0.13597008406745736</v>
      </c>
      <c r="L57" s="8">
        <f t="shared" si="41"/>
        <v>0.10407841994511968</v>
      </c>
      <c r="M57" s="8">
        <f t="shared" si="41"/>
        <v>5.3720757330524282E-3</v>
      </c>
      <c r="N57" s="8">
        <f t="shared" si="22"/>
        <v>-9.1876631861048663E-3</v>
      </c>
      <c r="O57" s="8">
        <f t="shared" si="22"/>
        <v>-9.5468733612869006E-3</v>
      </c>
      <c r="P57" s="8">
        <f t="shared" si="22"/>
        <v>5.8723973842413901E-3</v>
      </c>
      <c r="Q57" s="8">
        <f t="shared" si="22"/>
        <v>1.9672966095072075E-2</v>
      </c>
      <c r="R57" s="8">
        <f t="shared" si="22"/>
        <v>1.2295167194829482E-2</v>
      </c>
      <c r="S57" s="8">
        <f t="shared" si="23"/>
        <v>-5.3433224355075026E-3</v>
      </c>
      <c r="T57" s="8">
        <f t="shared" si="24"/>
        <v>2.6192441282728574E-2</v>
      </c>
      <c r="U57" s="8">
        <f t="shared" si="25"/>
        <v>-9.5064007300099007E-2</v>
      </c>
      <c r="V57" s="8">
        <f t="shared" ca="1" si="25"/>
        <v>1.2933781576642822E-2</v>
      </c>
      <c r="W57" s="8"/>
      <c r="X57" s="8"/>
      <c r="Y57" s="8"/>
      <c r="Z57" s="8"/>
      <c r="AA57" s="14">
        <v>0</v>
      </c>
      <c r="AB57" s="8">
        <v>1.2933781576642801E-2</v>
      </c>
      <c r="AC57" s="8">
        <f t="shared" ca="1" si="27"/>
        <v>3.18390254262646E-2</v>
      </c>
      <c r="AD57" s="8"/>
      <c r="AE57" s="8"/>
      <c r="AF57" s="8"/>
      <c r="AG57" s="8"/>
      <c r="AH57" s="8"/>
    </row>
    <row r="58" spans="1:34">
      <c r="A58">
        <f t="shared" si="20"/>
        <v>18</v>
      </c>
      <c r="B58" t="str">
        <f t="shared" si="20"/>
        <v>LT</v>
      </c>
      <c r="C58" t="str">
        <f t="shared" si="20"/>
        <v>LT</v>
      </c>
      <c r="D58" s="8"/>
      <c r="E58" s="8">
        <f t="shared" ref="E58:M58" si="42">IFERROR(E23/D23-1,0)</f>
        <v>5.6322506985411858E-2</v>
      </c>
      <c r="F58" s="8">
        <f t="shared" si="42"/>
        <v>3.5736809816609982E-2</v>
      </c>
      <c r="G58" s="8">
        <f t="shared" si="42"/>
        <v>5.9220278606779475E-2</v>
      </c>
      <c r="H58" s="8">
        <f t="shared" si="42"/>
        <v>3.0258544706688983E-2</v>
      </c>
      <c r="I58" s="8">
        <f t="shared" si="42"/>
        <v>1.2309921035896343E-2</v>
      </c>
      <c r="J58" s="8">
        <f t="shared" si="42"/>
        <v>-7.8360707152560494E-3</v>
      </c>
      <c r="K58" s="8">
        <f t="shared" si="42"/>
        <v>9.9127202106374712E-2</v>
      </c>
      <c r="L58" s="8">
        <f t="shared" si="42"/>
        <v>4.3856235038834512E-2</v>
      </c>
      <c r="M58" s="8">
        <f t="shared" si="42"/>
        <v>5.3417054918368123E-2</v>
      </c>
      <c r="N58" s="8">
        <f t="shared" si="22"/>
        <v>0.11112364020209409</v>
      </c>
      <c r="O58" s="8">
        <f t="shared" si="22"/>
        <v>3.200567185553127E-2</v>
      </c>
      <c r="P58" s="8">
        <f t="shared" si="22"/>
        <v>7.4466486837163393E-2</v>
      </c>
      <c r="Q58" s="8">
        <f t="shared" si="22"/>
        <v>-6.0060060027266049E-3</v>
      </c>
      <c r="R58" s="8">
        <f t="shared" si="22"/>
        <v>-3.3440984318766631E-4</v>
      </c>
      <c r="S58" s="8">
        <f t="shared" si="23"/>
        <v>3.9705504409732306E-2</v>
      </c>
      <c r="T58" s="8">
        <f t="shared" si="24"/>
        <v>0.11409277481420865</v>
      </c>
      <c r="U58" s="8">
        <f t="shared" si="25"/>
        <v>-5.6906003487505963E-2</v>
      </c>
      <c r="V58" s="8">
        <f t="shared" ca="1" si="25"/>
        <v>-7.4982480728800205E-3</v>
      </c>
      <c r="W58" s="8"/>
      <c r="X58" s="8"/>
      <c r="Y58" s="8"/>
      <c r="Z58" s="8"/>
      <c r="AA58" s="14">
        <v>0</v>
      </c>
      <c r="AB58" s="8">
        <v>0.2487355520746907</v>
      </c>
      <c r="AC58" s="8">
        <f t="shared" ca="1" si="27"/>
        <v>6.2695157741135432E-2</v>
      </c>
      <c r="AD58" s="8">
        <v>-7.4982480728800205E-3</v>
      </c>
      <c r="AE58" s="8"/>
      <c r="AF58" s="8"/>
      <c r="AG58" s="8"/>
      <c r="AH58" s="8"/>
    </row>
    <row r="59" spans="1:34">
      <c r="A59">
        <f t="shared" si="20"/>
        <v>19</v>
      </c>
      <c r="B59" t="str">
        <f t="shared" si="20"/>
        <v>LU</v>
      </c>
      <c r="C59" t="str">
        <f t="shared" si="20"/>
        <v>LU</v>
      </c>
      <c r="D59" s="8"/>
      <c r="E59" s="8">
        <f t="shared" ref="E59:M59" si="43">IFERROR(E24/D24-1,0)</f>
        <v>6.2944155318187311E-2</v>
      </c>
      <c r="F59" s="8">
        <f t="shared" si="43"/>
        <v>0.69920110974206073</v>
      </c>
      <c r="G59" s="8">
        <f t="shared" si="43"/>
        <v>3.5775846839083636E-2</v>
      </c>
      <c r="H59" s="8">
        <f t="shared" si="43"/>
        <v>-6.3122174566906164E-2</v>
      </c>
      <c r="I59" s="8">
        <f t="shared" si="43"/>
        <v>3.2785165852554865E-2</v>
      </c>
      <c r="J59" s="8">
        <f t="shared" si="43"/>
        <v>-2.0274435096430787E-2</v>
      </c>
      <c r="K59" s="8">
        <f t="shared" si="43"/>
        <v>9.0537845403237283E-2</v>
      </c>
      <c r="L59" s="8">
        <f t="shared" si="43"/>
        <v>0.11835705884670555</v>
      </c>
      <c r="M59" s="8">
        <f t="shared" si="43"/>
        <v>0.21904449517010627</v>
      </c>
      <c r="N59" s="8">
        <f t="shared" si="22"/>
        <v>0.10039073143662169</v>
      </c>
      <c r="O59" s="8">
        <f t="shared" si="22"/>
        <v>6.4426436451045843E-2</v>
      </c>
      <c r="P59" s="8">
        <f t="shared" si="22"/>
        <v>0.19539848931208548</v>
      </c>
      <c r="Q59" s="8">
        <f t="shared" si="22"/>
        <v>0.11172569099366658</v>
      </c>
      <c r="R59" s="8">
        <f t="shared" si="22"/>
        <v>9.0488250883529853E-2</v>
      </c>
      <c r="S59" s="8">
        <f t="shared" si="23"/>
        <v>0.23916424215999266</v>
      </c>
      <c r="T59" s="8">
        <f t="shared" si="24"/>
        <v>2.0105962073625028E-2</v>
      </c>
      <c r="U59" s="8">
        <f t="shared" si="25"/>
        <v>-1.2809230279919537E-2</v>
      </c>
      <c r="V59" s="8">
        <f t="shared" ca="1" si="25"/>
        <v>-4.5452538832016831E-2</v>
      </c>
      <c r="W59" s="8"/>
      <c r="X59" s="8"/>
      <c r="Y59" s="8"/>
      <c r="Z59" s="8"/>
      <c r="AA59" s="14">
        <v>0</v>
      </c>
      <c r="AB59" s="8">
        <v>-4.5452538832016963E-2</v>
      </c>
      <c r="AC59" s="8">
        <f t="shared" ca="1" si="27"/>
        <v>0.13101082783447637</v>
      </c>
      <c r="AD59" s="8"/>
      <c r="AE59" s="8"/>
      <c r="AF59" s="8"/>
      <c r="AG59" s="8"/>
      <c r="AH59" s="8"/>
    </row>
    <row r="60" spans="1:34">
      <c r="A60">
        <f t="shared" si="20"/>
        <v>20</v>
      </c>
      <c r="B60" t="str">
        <f t="shared" si="20"/>
        <v>LV</v>
      </c>
      <c r="C60" t="str">
        <f t="shared" si="20"/>
        <v>LV</v>
      </c>
      <c r="D60" s="8"/>
      <c r="E60" s="8">
        <f t="shared" ref="E60:M60" si="44">IFERROR(E25/D25-1,0)</f>
        <v>-3.0769522565716412E-2</v>
      </c>
      <c r="F60" s="8">
        <f t="shared" si="44"/>
        <v>-1.6723719320512087E-2</v>
      </c>
      <c r="G60" s="8">
        <f t="shared" si="44"/>
        <v>-2.0925245555340033E-2</v>
      </c>
      <c r="H60" s="8">
        <f t="shared" si="44"/>
        <v>0.13752647057328904</v>
      </c>
      <c r="I60" s="8">
        <f t="shared" si="44"/>
        <v>-8.4570799125924134E-2</v>
      </c>
      <c r="J60" s="8">
        <f t="shared" si="44"/>
        <v>-1.1683655222368694E-2</v>
      </c>
      <c r="K60" s="8">
        <f t="shared" si="44"/>
        <v>0.16491727789463884</v>
      </c>
      <c r="L60" s="8">
        <f t="shared" si="44"/>
        <v>-2.4255327652199843E-2</v>
      </c>
      <c r="M60" s="8">
        <f t="shared" si="44"/>
        <v>1.2355907222092455E-3</v>
      </c>
      <c r="N60" s="8">
        <f t="shared" si="22"/>
        <v>-4.7257720814743776E-2</v>
      </c>
      <c r="O60" s="8">
        <f t="shared" si="22"/>
        <v>5.6361824240366065E-2</v>
      </c>
      <c r="P60" s="8">
        <f t="shared" si="22"/>
        <v>0.19115354387345507</v>
      </c>
      <c r="Q60" s="8">
        <f t="shared" si="22"/>
        <v>-3.7595961610871531E-2</v>
      </c>
      <c r="R60" s="8">
        <f t="shared" si="22"/>
        <v>-2.255687684093699E-2</v>
      </c>
      <c r="S60" s="8">
        <f t="shared" si="23"/>
        <v>-6.1420000570848732E-3</v>
      </c>
      <c r="T60" s="8">
        <f t="shared" si="24"/>
        <v>5.1975219536914752E-2</v>
      </c>
      <c r="U60" s="8">
        <f t="shared" si="25"/>
        <v>2.3740309148547745E-3</v>
      </c>
      <c r="V60" s="8">
        <f t="shared" ca="1" si="25"/>
        <v>3.541448058761798E-2</v>
      </c>
      <c r="W60" s="8"/>
      <c r="X60" s="8"/>
      <c r="Y60" s="8"/>
      <c r="Z60" s="8"/>
      <c r="AA60" s="14">
        <v>0</v>
      </c>
      <c r="AB60" s="8">
        <v>3.4282759168916946E-2</v>
      </c>
      <c r="AC60" s="8">
        <f t="shared" ca="1" si="27"/>
        <v>2.5748256253521618E-3</v>
      </c>
      <c r="AD60" s="116">
        <v>3.541448058761798E-2</v>
      </c>
      <c r="AE60" s="8"/>
      <c r="AF60" s="8"/>
      <c r="AG60" s="8"/>
      <c r="AH60" s="8"/>
    </row>
    <row r="61" spans="1:34">
      <c r="A61">
        <f t="shared" si="20"/>
        <v>21</v>
      </c>
      <c r="B61" t="str">
        <f t="shared" si="20"/>
        <v>MT</v>
      </c>
      <c r="C61" t="str">
        <f t="shared" si="20"/>
        <v>MT</v>
      </c>
      <c r="D61" s="8"/>
      <c r="E61" s="8">
        <f t="shared" ref="E61:M61" si="45">IFERROR(E26/D26-1,0)</f>
        <v>0.22857142857142865</v>
      </c>
      <c r="F61" s="8">
        <f t="shared" si="45"/>
        <v>0.22170542635658919</v>
      </c>
      <c r="G61" s="8">
        <f t="shared" si="45"/>
        <v>0.15228426395939088</v>
      </c>
      <c r="H61" s="8">
        <f t="shared" si="45"/>
        <v>2.5330396475770955E-2</v>
      </c>
      <c r="I61" s="8">
        <f t="shared" si="45"/>
        <v>4.4328678839957032</v>
      </c>
      <c r="J61" s="8">
        <f t="shared" si="45"/>
        <v>0.63325425069197294</v>
      </c>
      <c r="K61" s="8">
        <f t="shared" si="45"/>
        <v>0.43033531049509777</v>
      </c>
      <c r="L61" s="8">
        <f t="shared" si="45"/>
        <v>7.6083276912660702E-2</v>
      </c>
      <c r="M61" s="8">
        <f t="shared" si="45"/>
        <v>0.46047974832874572</v>
      </c>
      <c r="N61" s="8">
        <f t="shared" si="22"/>
        <v>0.13683360258481425</v>
      </c>
      <c r="O61" s="8">
        <f t="shared" si="22"/>
        <v>0.16474823551702888</v>
      </c>
      <c r="P61" s="8">
        <f t="shared" si="22"/>
        <v>0.20200697926184485</v>
      </c>
      <c r="Q61" s="8">
        <f t="shared" si="22"/>
        <v>0.17693411783000856</v>
      </c>
      <c r="R61" s="8">
        <f t="shared" si="22"/>
        <v>4.5983477296150044E-2</v>
      </c>
      <c r="S61" s="8">
        <f t="shared" si="23"/>
        <v>0.17988515910428893</v>
      </c>
      <c r="T61" s="8">
        <f t="shared" si="24"/>
        <v>-6.5217493432062845E-2</v>
      </c>
      <c r="U61" s="8">
        <f t="shared" si="25"/>
        <v>0.10379132975139016</v>
      </c>
      <c r="V61" s="8">
        <f t="shared" ca="1" si="25"/>
        <v>7.4420438886412699E-2</v>
      </c>
      <c r="W61" s="8"/>
      <c r="X61" s="8"/>
      <c r="Y61" s="8"/>
      <c r="Z61" s="8"/>
      <c r="AA61" s="14">
        <v>0</v>
      </c>
      <c r="AB61" s="8">
        <v>7.4420438886412796E-2</v>
      </c>
      <c r="AC61" s="8">
        <f t="shared" ca="1" si="27"/>
        <v>5.0556111421834693E-2</v>
      </c>
      <c r="AD61" s="8"/>
      <c r="AE61" s="8"/>
      <c r="AF61" s="8"/>
      <c r="AG61" s="8"/>
      <c r="AH61" s="8"/>
    </row>
    <row r="62" spans="1:34">
      <c r="A62">
        <f t="shared" si="20"/>
        <v>22</v>
      </c>
      <c r="B62" t="str">
        <f t="shared" si="20"/>
        <v>NL</v>
      </c>
      <c r="C62" t="str">
        <f t="shared" si="20"/>
        <v>NL</v>
      </c>
      <c r="D62" s="8"/>
      <c r="E62" s="8">
        <f t="shared" ref="E62:M62" si="46">IFERROR(E27/D27-1,0)</f>
        <v>6.5547628279387204E-2</v>
      </c>
      <c r="F62" s="8">
        <f t="shared" si="46"/>
        <v>4.3524174832008322E-2</v>
      </c>
      <c r="G62" s="8">
        <f t="shared" si="46"/>
        <v>0.1569368873279211</v>
      </c>
      <c r="H62" s="8">
        <f t="shared" si="46"/>
        <v>0.12437835436366007</v>
      </c>
      <c r="I62" s="8">
        <f t="shared" si="46"/>
        <v>-3.0367233079933165E-3</v>
      </c>
      <c r="J62" s="8">
        <f t="shared" si="46"/>
        <v>5.7530780779303292E-2</v>
      </c>
      <c r="K62" s="8">
        <f t="shared" si="46"/>
        <v>2.7035088863655909E-2</v>
      </c>
      <c r="L62" s="8">
        <f t="shared" si="46"/>
        <v>-3.305286413551578E-2</v>
      </c>
      <c r="M62" s="8">
        <f t="shared" si="46"/>
        <v>-3.5225750741100237E-3</v>
      </c>
      <c r="N62" s="8">
        <f t="shared" si="22"/>
        <v>5.66079555574035E-2</v>
      </c>
      <c r="O62" s="8">
        <f t="shared" si="22"/>
        <v>2.6579595169200276E-2</v>
      </c>
      <c r="P62" s="8">
        <f t="shared" si="22"/>
        <v>9.127572004573703E-2</v>
      </c>
      <c r="Q62" s="8">
        <f t="shared" si="22"/>
        <v>9.5967309772759801E-2</v>
      </c>
      <c r="R62" s="8">
        <f t="shared" si="22"/>
        <v>0.17364951078946511</v>
      </c>
      <c r="S62" s="8">
        <f t="shared" si="23"/>
        <v>0.24592324291964784</v>
      </c>
      <c r="T62" s="8">
        <f t="shared" si="24"/>
        <v>0.17494573780418454</v>
      </c>
      <c r="U62" s="8">
        <f t="shared" si="25"/>
        <v>5.5334517937312366E-2</v>
      </c>
      <c r="V62" s="8">
        <f t="shared" ca="1" si="25"/>
        <v>0.14974102385247812</v>
      </c>
      <c r="W62" s="8"/>
      <c r="X62" s="8"/>
      <c r="Y62" s="8"/>
      <c r="Z62" s="8"/>
      <c r="AA62" s="14">
        <v>0</v>
      </c>
      <c r="AB62" s="8">
        <v>7.9487822729999394E-2</v>
      </c>
      <c r="AC62" s="8">
        <f t="shared" ca="1" si="27"/>
        <v>0.14974102385247812</v>
      </c>
      <c r="AD62" s="8"/>
      <c r="AE62" s="8"/>
      <c r="AF62" s="8"/>
      <c r="AG62" s="8"/>
      <c r="AH62" s="8"/>
    </row>
    <row r="63" spans="1:34">
      <c r="A63">
        <f t="shared" si="20"/>
        <v>23</v>
      </c>
      <c r="B63" t="str">
        <f t="shared" si="20"/>
        <v>PL</v>
      </c>
      <c r="C63" t="str">
        <f t="shared" si="20"/>
        <v>PL</v>
      </c>
      <c r="D63" s="8"/>
      <c r="E63" s="8">
        <f t="shared" ref="E63:M63" si="47">IFERROR(E28/D28-1,0)</f>
        <v>4.6457004257648649E-2</v>
      </c>
      <c r="F63" s="8">
        <f t="shared" si="47"/>
        <v>2.7433980043212403E-2</v>
      </c>
      <c r="G63" s="8">
        <f t="shared" si="47"/>
        <v>0.15250972014482511</v>
      </c>
      <c r="H63" s="8">
        <f t="shared" si="47"/>
        <v>0.12326859858925232</v>
      </c>
      <c r="I63" s="8">
        <f t="shared" si="47"/>
        <v>0.16402633500763075</v>
      </c>
      <c r="J63" s="8">
        <f t="shared" si="47"/>
        <v>9.18599952284056E-2</v>
      </c>
      <c r="K63" s="8">
        <f t="shared" si="47"/>
        <v>8.4772150386478229E-2</v>
      </c>
      <c r="L63" s="8">
        <f t="shared" si="47"/>
        <v>-4.7748041241698624E-3</v>
      </c>
      <c r="M63" s="8">
        <f t="shared" si="47"/>
        <v>4.6614171159624629E-3</v>
      </c>
      <c r="N63" s="8">
        <f t="shared" si="22"/>
        <v>4.2027005971449594E-2</v>
      </c>
      <c r="O63" s="8">
        <f t="shared" si="22"/>
        <v>-2.4235017062023689E-2</v>
      </c>
      <c r="P63" s="8">
        <f t="shared" si="22"/>
        <v>1.2670780629650213E-2</v>
      </c>
      <c r="Q63" s="8">
        <f t="shared" si="22"/>
        <v>0.36185819698375843</v>
      </c>
      <c r="R63" s="8">
        <f t="shared" si="22"/>
        <v>3.1129845046285576E-2</v>
      </c>
      <c r="S63" s="8">
        <f t="shared" si="23"/>
        <v>1.653895185683707E-2</v>
      </c>
      <c r="T63" s="8">
        <f t="shared" si="24"/>
        <v>4.5991022165323692E-3</v>
      </c>
      <c r="U63" s="8">
        <f t="shared" si="25"/>
        <v>3.2513877509128708E-2</v>
      </c>
      <c r="V63" s="8">
        <f t="shared" ca="1" si="25"/>
        <v>1.4327635645327019E-2</v>
      </c>
      <c r="W63" s="8"/>
      <c r="X63" s="8"/>
      <c r="Y63" s="8"/>
      <c r="Z63" s="8"/>
      <c r="AA63" s="14">
        <v>0</v>
      </c>
      <c r="AB63" s="8">
        <v>0.15212494479926991</v>
      </c>
      <c r="AC63" s="8">
        <f t="shared" ca="1" si="27"/>
        <v>1.4327635645327019E-2</v>
      </c>
      <c r="AD63" s="8"/>
      <c r="AE63" s="8"/>
      <c r="AF63" s="8"/>
      <c r="AG63" s="8"/>
      <c r="AH63" s="8"/>
    </row>
    <row r="64" spans="1:34">
      <c r="A64">
        <f t="shared" si="20"/>
        <v>24</v>
      </c>
      <c r="B64" t="str">
        <f t="shared" si="20"/>
        <v>PT</v>
      </c>
      <c r="C64" t="str">
        <f t="shared" si="20"/>
        <v>PT</v>
      </c>
      <c r="D64" s="8"/>
      <c r="E64" s="8">
        <f t="shared" ref="E64:M64" si="48">IFERROR(E29/D29-1,0)</f>
        <v>0.21240956289138557</v>
      </c>
      <c r="F64" s="8">
        <f t="shared" si="48"/>
        <v>6.36462518759493E-2</v>
      </c>
      <c r="G64" s="8">
        <f t="shared" si="48"/>
        <v>-3.3761872729958897E-2</v>
      </c>
      <c r="H64" s="8">
        <f t="shared" si="48"/>
        <v>0.10538690262396089</v>
      </c>
      <c r="I64" s="8">
        <f t="shared" si="48"/>
        <v>0.14073925481075644</v>
      </c>
      <c r="J64" s="8">
        <f t="shared" si="48"/>
        <v>-5.8851771226174909E-2</v>
      </c>
      <c r="K64" s="8">
        <f t="shared" si="48"/>
        <v>-0.15247023331630283</v>
      </c>
      <c r="L64" s="8">
        <f t="shared" si="48"/>
        <v>0.21734104152438083</v>
      </c>
      <c r="M64" s="8">
        <f t="shared" si="48"/>
        <v>3.9940212896477867E-2</v>
      </c>
      <c r="N64" s="8">
        <f t="shared" si="22"/>
        <v>-9.9231552952590452E-2</v>
      </c>
      <c r="O64" s="8">
        <f t="shared" si="22"/>
        <v>0.13285965045160308</v>
      </c>
      <c r="P64" s="8">
        <f t="shared" si="22"/>
        <v>-0.14104631853419169</v>
      </c>
      <c r="Q64" s="8">
        <f t="shared" si="22"/>
        <v>0.12982775643528899</v>
      </c>
      <c r="R64" s="8">
        <f t="shared" si="22"/>
        <v>-1.4714176265607559E-2</v>
      </c>
      <c r="S64" s="8">
        <f t="shared" si="23"/>
        <v>5.0574492746495281E-2</v>
      </c>
      <c r="T64" s="8">
        <f t="shared" si="24"/>
        <v>4.0903640717206535E-2</v>
      </c>
      <c r="U64" s="8">
        <f t="shared" si="25"/>
        <v>-3.6378248410370517E-2</v>
      </c>
      <c r="V64" s="8">
        <f t="shared" ca="1" si="25"/>
        <v>5.429245298795693E-2</v>
      </c>
      <c r="W64" s="8"/>
      <c r="X64" s="8"/>
      <c r="Y64" s="8"/>
      <c r="Z64" s="8"/>
      <c r="AA64" s="14">
        <v>0</v>
      </c>
      <c r="AB64" s="8">
        <v>5.4292452987956978E-2</v>
      </c>
      <c r="AC64" s="8">
        <f t="shared" ca="1" si="27"/>
        <v>3.8112502157967354E-2</v>
      </c>
      <c r="AD64" s="8"/>
      <c r="AE64" s="8"/>
      <c r="AF64" s="8"/>
      <c r="AG64" s="8"/>
      <c r="AH64" s="8"/>
    </row>
    <row r="65" spans="1:34">
      <c r="A65">
        <f t="shared" si="20"/>
        <v>25</v>
      </c>
      <c r="B65" t="str">
        <f t="shared" si="20"/>
        <v>RO</v>
      </c>
      <c r="C65" t="str">
        <f t="shared" si="20"/>
        <v>RO</v>
      </c>
      <c r="D65" s="8"/>
      <c r="E65" s="8">
        <f t="shared" ref="E65:M65" si="49">IFERROR(E30/D30-1,0)</f>
        <v>-3.2277078456821262E-2</v>
      </c>
      <c r="F65" s="8">
        <f t="shared" si="49"/>
        <v>-6.9238183366772121E-3</v>
      </c>
      <c r="G65" s="8">
        <f t="shared" si="49"/>
        <v>0.12544394376663148</v>
      </c>
      <c r="H65" s="8">
        <f t="shared" si="49"/>
        <v>-1.4004465723578385E-2</v>
      </c>
      <c r="I65" s="8">
        <f t="shared" si="49"/>
        <v>0.11237543029031216</v>
      </c>
      <c r="J65" s="8">
        <f t="shared" si="49"/>
        <v>-0.13534268734035315</v>
      </c>
      <c r="K65" s="8">
        <f t="shared" si="49"/>
        <v>2.5195553855802411E-2</v>
      </c>
      <c r="L65" s="8">
        <f t="shared" si="49"/>
        <v>6.8503495038957807E-2</v>
      </c>
      <c r="M65" s="8">
        <f t="shared" si="49"/>
        <v>0.10316829938754735</v>
      </c>
      <c r="N65" s="8">
        <f t="shared" si="22"/>
        <v>-2.458047024956711E-2</v>
      </c>
      <c r="O65" s="8">
        <f t="shared" si="22"/>
        <v>3.6782954301939341E-2</v>
      </c>
      <c r="P65" s="8">
        <f t="shared" si="22"/>
        <v>-2.4366246831617588E-2</v>
      </c>
      <c r="Q65" s="8">
        <f t="shared" si="22"/>
        <v>-7.1732010268898971E-4</v>
      </c>
      <c r="R65" s="8">
        <f t="shared" si="22"/>
        <v>-4.1340937018176094E-3</v>
      </c>
      <c r="S65" s="8">
        <f t="shared" si="23"/>
        <v>-3.8979556231465429E-3</v>
      </c>
      <c r="T65" s="8">
        <f t="shared" si="24"/>
        <v>6.7964480075976663E-2</v>
      </c>
      <c r="U65" s="8">
        <f t="shared" si="25"/>
        <v>-6.0648613915486482E-2</v>
      </c>
      <c r="V65" s="8">
        <f t="shared" ca="1" si="25"/>
        <v>2.2195390137042637E-2</v>
      </c>
      <c r="W65" s="8"/>
      <c r="X65" s="8"/>
      <c r="Y65" s="8"/>
      <c r="Z65" s="8"/>
      <c r="AA65" s="14">
        <v>0</v>
      </c>
      <c r="AB65" s="8">
        <v>2.219539013704256E-2</v>
      </c>
      <c r="AC65" s="8">
        <f t="shared" ca="1" si="27"/>
        <v>2.9625232031991411E-2</v>
      </c>
      <c r="AD65" s="8"/>
      <c r="AE65" s="8"/>
      <c r="AF65" s="8"/>
      <c r="AG65" s="8"/>
      <c r="AH65" s="8"/>
    </row>
    <row r="66" spans="1:34">
      <c r="A66">
        <f t="shared" si="20"/>
        <v>26</v>
      </c>
      <c r="B66" t="str">
        <f t="shared" si="20"/>
        <v>SE</v>
      </c>
      <c r="C66" t="str">
        <f t="shared" si="20"/>
        <v>SE</v>
      </c>
      <c r="D66" s="8"/>
      <c r="E66" s="8">
        <f t="shared" ref="E66:M66" si="50">IFERROR(E31/D31-1,0)</f>
        <v>-2.8615329526696653E-2</v>
      </c>
      <c r="F66" s="8">
        <f t="shared" si="50"/>
        <v>5.5874327605648588E-2</v>
      </c>
      <c r="G66" s="8">
        <f t="shared" si="50"/>
        <v>2.7283088011378132E-2</v>
      </c>
      <c r="H66" s="8">
        <f t="shared" si="50"/>
        <v>1.3497912862624695E-2</v>
      </c>
      <c r="I66" s="8">
        <f t="shared" si="50"/>
        <v>7.5693424127839082E-2</v>
      </c>
      <c r="J66" s="8">
        <f t="shared" si="50"/>
        <v>-2.9634233037396096E-2</v>
      </c>
      <c r="K66" s="8">
        <f t="shared" si="50"/>
        <v>0.12881047751376262</v>
      </c>
      <c r="L66" s="8">
        <f t="shared" si="50"/>
        <v>-7.4672505621542151E-2</v>
      </c>
      <c r="M66" s="8">
        <f t="shared" si="50"/>
        <v>9.3451315215873354E-3</v>
      </c>
      <c r="N66" s="8">
        <f t="shared" si="22"/>
        <v>0.112125037189998</v>
      </c>
      <c r="O66" s="8">
        <f t="shared" si="22"/>
        <v>-4.2943048160131392E-2</v>
      </c>
      <c r="P66" s="8">
        <f t="shared" si="22"/>
        <v>7.1958959875193296E-2</v>
      </c>
      <c r="Q66" s="8">
        <f t="shared" si="22"/>
        <v>-4.9776575079791052E-2</v>
      </c>
      <c r="R66" s="8">
        <f t="shared" si="22"/>
        <v>6.5115535099111943E-2</v>
      </c>
      <c r="S66" s="8">
        <f t="shared" si="23"/>
        <v>5.2532149831101105E-2</v>
      </c>
      <c r="T66" s="8">
        <f t="shared" si="24"/>
        <v>6.6632894554724542E-2</v>
      </c>
      <c r="U66" s="8">
        <f t="shared" si="25"/>
        <v>-9.1633288859896966E-3</v>
      </c>
      <c r="V66" s="8">
        <f t="shared" ca="1" si="25"/>
        <v>6.6360002285791531E-2</v>
      </c>
      <c r="W66" s="8"/>
      <c r="X66" s="8"/>
      <c r="Y66" s="8"/>
      <c r="Z66" s="8"/>
      <c r="AA66" s="14">
        <v>0</v>
      </c>
      <c r="AB66" s="8">
        <v>6.3121029080254049E-3</v>
      </c>
      <c r="AC66" s="8">
        <f t="shared" ca="1" si="27"/>
        <v>6.6360002285791531E-2</v>
      </c>
      <c r="AD66" s="8"/>
      <c r="AE66" s="8"/>
      <c r="AF66" s="8"/>
      <c r="AG66" s="8"/>
      <c r="AH66" s="8"/>
    </row>
    <row r="67" spans="1:34">
      <c r="A67">
        <f t="shared" si="20"/>
        <v>27</v>
      </c>
      <c r="B67" t="str">
        <f t="shared" si="20"/>
        <v>SI</v>
      </c>
      <c r="C67" t="str">
        <f t="shared" si="20"/>
        <v>SI</v>
      </c>
      <c r="D67" s="8"/>
      <c r="E67" s="8">
        <f t="shared" ref="E67:M67" si="51">IFERROR(E32/D32-1,0)</f>
        <v>-6.6452407796704471E-2</v>
      </c>
      <c r="F67" s="8">
        <f t="shared" si="51"/>
        <v>4.6251887391087987E-2</v>
      </c>
      <c r="G67" s="8">
        <f t="shared" si="51"/>
        <v>0.10408083150016423</v>
      </c>
      <c r="H67" s="8">
        <f t="shared" si="51"/>
        <v>1.7957544334177955E-2</v>
      </c>
      <c r="I67" s="8">
        <f t="shared" si="51"/>
        <v>3.9007690348828783E-2</v>
      </c>
      <c r="J67" s="8">
        <f t="shared" si="51"/>
        <v>-7.1148309497257478E-2</v>
      </c>
      <c r="K67" s="8">
        <f t="shared" si="51"/>
        <v>2.4214223067162033E-2</v>
      </c>
      <c r="L67" s="8">
        <f t="shared" si="51"/>
        <v>9.3219376413060884E-2</v>
      </c>
      <c r="M67" s="8">
        <f t="shared" si="51"/>
        <v>2.8582512117075964E-2</v>
      </c>
      <c r="N67" s="8">
        <f t="shared" si="22"/>
        <v>-0.12226295565798995</v>
      </c>
      <c r="O67" s="8">
        <f t="shared" si="22"/>
        <v>4.5609714632798282E-2</v>
      </c>
      <c r="P67" s="8">
        <f t="shared" si="22"/>
        <v>-6.1862174913320467E-2</v>
      </c>
      <c r="Q67" s="8">
        <f t="shared" si="22"/>
        <v>4.6984642048601533E-2</v>
      </c>
      <c r="R67" s="8">
        <f t="shared" si="22"/>
        <v>-9.1265089170903257E-3</v>
      </c>
      <c r="S67" s="8">
        <f t="shared" si="23"/>
        <v>3.8268374889909529E-2</v>
      </c>
      <c r="T67" s="8">
        <f t="shared" si="24"/>
        <v>4.7707542477186671E-2</v>
      </c>
      <c r="U67" s="8">
        <f t="shared" si="25"/>
        <v>-0.18001966925074608</v>
      </c>
      <c r="V67" s="8">
        <f t="shared" ca="1" si="25"/>
        <v>2.2648119106295495E-2</v>
      </c>
      <c r="W67" s="8"/>
      <c r="X67" s="8"/>
      <c r="Y67" s="8"/>
      <c r="Z67" s="8"/>
      <c r="AA67" s="14">
        <v>0</v>
      </c>
      <c r="AB67" s="8">
        <v>7.9537575862235518E-2</v>
      </c>
      <c r="AC67" s="8">
        <f t="shared" ca="1" si="27"/>
        <v>7.7888948493979759E-2</v>
      </c>
      <c r="AD67" s="8">
        <v>2.2648119106295495E-2</v>
      </c>
      <c r="AE67" s="8"/>
      <c r="AF67" s="8"/>
      <c r="AG67" s="8"/>
      <c r="AH67" s="8"/>
    </row>
    <row r="68" spans="1:34">
      <c r="A68">
        <f t="shared" si="20"/>
        <v>28</v>
      </c>
      <c r="B68" t="str">
        <f t="shared" si="20"/>
        <v>SK</v>
      </c>
      <c r="C68" t="str">
        <f t="shared" si="20"/>
        <v>SK</v>
      </c>
      <c r="D68" s="8"/>
      <c r="E68" s="8">
        <f t="shared" ref="E68:M68" si="52">IFERROR(E33/D33-1,0)</f>
        <v>3.2514875339031635E-2</v>
      </c>
      <c r="F68" s="8">
        <f t="shared" si="52"/>
        <v>0.12923028641313405</v>
      </c>
      <c r="G68" s="8">
        <f t="shared" si="52"/>
        <v>-4.4137770093239936E-3</v>
      </c>
      <c r="H68" s="8">
        <f t="shared" si="52"/>
        <v>0.20509733434622279</v>
      </c>
      <c r="I68" s="8">
        <f t="shared" si="52"/>
        <v>0.80480731910664871</v>
      </c>
      <c r="J68" s="8">
        <f t="shared" si="52"/>
        <v>-3.8881470080211256E-2</v>
      </c>
      <c r="K68" s="8">
        <f t="shared" si="52"/>
        <v>7.5021903814857183E-2</v>
      </c>
      <c r="L68" s="8">
        <f t="shared" si="52"/>
        <v>-1.9694867054905751E-3</v>
      </c>
      <c r="M68" s="8">
        <f t="shared" si="52"/>
        <v>-0.14818826379734207</v>
      </c>
      <c r="N68" s="8">
        <f t="shared" si="22"/>
        <v>0.20541524802226308</v>
      </c>
      <c r="O68" s="8">
        <f t="shared" si="22"/>
        <v>3.4183209864662611E-2</v>
      </c>
      <c r="P68" s="8">
        <f t="shared" si="22"/>
        <v>-3.5319707099193964E-3</v>
      </c>
      <c r="Q68" s="8">
        <f t="shared" si="22"/>
        <v>-7.0763189924041514E-2</v>
      </c>
      <c r="R68" s="8">
        <f t="shared" si="22"/>
        <v>4.2781879241857723E-2</v>
      </c>
      <c r="S68" s="8">
        <f t="shared" si="23"/>
        <v>-2.9222733454015937E-2</v>
      </c>
      <c r="T68" s="8">
        <f t="shared" si="24"/>
        <v>7.6652779780532754E-2</v>
      </c>
      <c r="U68" s="8">
        <f t="shared" si="25"/>
        <v>-8.62109918022399E-2</v>
      </c>
      <c r="V68" s="8">
        <f t="shared" ca="1" si="25"/>
        <v>-3.0548806927984229E-2</v>
      </c>
      <c r="W68" s="8"/>
      <c r="X68" s="8"/>
      <c r="Y68" s="8"/>
      <c r="Z68" s="8"/>
      <c r="AA68" s="14">
        <v>0</v>
      </c>
      <c r="AB68" s="8">
        <v>-3.0548806927984277E-2</v>
      </c>
      <c r="AC68" s="8">
        <f t="shared" ca="1" si="27"/>
        <v>4.4126536447226972E-2</v>
      </c>
      <c r="AD68" s="8"/>
      <c r="AE68" s="8"/>
      <c r="AF68" s="8"/>
      <c r="AG68" s="8"/>
      <c r="AH68" s="8"/>
    </row>
    <row r="69" spans="1:34">
      <c r="A69">
        <f t="shared" si="20"/>
        <v>29</v>
      </c>
      <c r="B69" t="str">
        <f t="shared" si="20"/>
        <v>UK</v>
      </c>
      <c r="C69" t="str">
        <f t="shared" si="20"/>
        <v>UK</v>
      </c>
      <c r="D69" s="8"/>
      <c r="E69" s="8">
        <f t="shared" ref="E69:M71" si="53">IFERROR(E34/D34-1,0)</f>
        <v>7.6339629512864438E-2</v>
      </c>
      <c r="F69" s="8">
        <f t="shared" si="53"/>
        <v>7.7859777544172504E-2</v>
      </c>
      <c r="G69" s="8">
        <f t="shared" si="53"/>
        <v>0.29178355669730882</v>
      </c>
      <c r="H69" s="8">
        <f t="shared" si="53"/>
        <v>0.12208663695889865</v>
      </c>
      <c r="I69" s="8">
        <f t="shared" si="53"/>
        <v>0.11895006344058978</v>
      </c>
      <c r="J69" s="8">
        <f t="shared" si="53"/>
        <v>0.10456946022427971</v>
      </c>
      <c r="K69" s="8">
        <f t="shared" si="53"/>
        <v>8.2799938014934016E-2</v>
      </c>
      <c r="L69" s="8">
        <f t="shared" si="53"/>
        <v>0.21160923339638216</v>
      </c>
      <c r="M69" s="8">
        <f t="shared" si="53"/>
        <v>0.15991529501642288</v>
      </c>
      <c r="N69" s="8">
        <f t="shared" si="22"/>
        <v>0.1932605277701811</v>
      </c>
      <c r="O69" s="8">
        <f t="shared" si="22"/>
        <v>4.5452280318572846E-2</v>
      </c>
      <c r="P69" s="8">
        <f t="shared" si="22"/>
        <v>0.10583910614279857</v>
      </c>
      <c r="Q69" s="8">
        <f t="shared" si="22"/>
        <v>0.12394487253922004</v>
      </c>
      <c r="R69" s="8">
        <f t="shared" si="22"/>
        <v>8.9929601474267873E-2</v>
      </c>
      <c r="S69" s="8">
        <f t="shared" si="23"/>
        <v>-1</v>
      </c>
      <c r="T69" s="8">
        <f t="shared" si="24"/>
        <v>0</v>
      </c>
      <c r="U69" s="8">
        <f t="shared" si="25"/>
        <v>0</v>
      </c>
      <c r="V69" s="8">
        <f t="shared" ca="1" si="25"/>
        <v>0</v>
      </c>
      <c r="W69" s="8"/>
      <c r="X69" s="8"/>
      <c r="Y69" s="8"/>
      <c r="Z69" s="8"/>
      <c r="AA69" s="14">
        <v>0</v>
      </c>
      <c r="AB69" s="8">
        <v>0</v>
      </c>
      <c r="AC69" s="8" t="e">
        <f t="shared" ca="1" si="27"/>
        <v>#DIV/0!</v>
      </c>
      <c r="AD69" s="8"/>
      <c r="AE69" s="8"/>
      <c r="AF69" s="8"/>
      <c r="AG69" s="8"/>
      <c r="AH69" s="8"/>
    </row>
    <row r="70" spans="1:34">
      <c r="B70" s="40" t="s">
        <v>189</v>
      </c>
      <c r="C70" s="40" t="s">
        <v>189</v>
      </c>
      <c r="D70" s="41"/>
      <c r="E70" s="49">
        <f t="shared" si="53"/>
        <v>6.5562778410620748E-2</v>
      </c>
      <c r="F70" s="49">
        <f t="shared" ref="F70:F71" si="54">IFERROR(F35/E35-1,0)</f>
        <v>7.6978127669961705E-2</v>
      </c>
      <c r="G70" s="49">
        <f t="shared" ref="G70:G71" si="55">IFERROR(G35/F35-1,0)</f>
        <v>8.2073640315681207E-2</v>
      </c>
      <c r="H70" s="49">
        <f t="shared" ref="H70:H71" si="56">IFERROR(H35/G35-1,0)</f>
        <v>4.8542161136121864E-2</v>
      </c>
      <c r="I70" s="49">
        <f t="shared" ref="I70:I71" si="57">IFERROR(I35/H35-1,0)</f>
        <v>0.11574745149951915</v>
      </c>
      <c r="J70" s="49">
        <f t="shared" ref="J70:J71" si="58">IFERROR(J35/I35-1,0)</f>
        <v>-1.8718616716527858E-2</v>
      </c>
      <c r="K70" s="49">
        <f t="shared" ref="K70:K71" si="59">IFERROR(K35/J35-1,0)</f>
        <v>0.10410809762172879</v>
      </c>
      <c r="L70" s="49">
        <f t="shared" ref="L70:L71" si="60">IFERROR(L35/K35-1,0)</f>
        <v>5.5842243531063041E-2</v>
      </c>
      <c r="M70" s="49">
        <f t="shared" ref="M70:M71" si="61">IFERROR(M35/L35-1,0)</f>
        <v>3.9751699158039333E-3</v>
      </c>
      <c r="N70" s="49">
        <f t="shared" ref="N70:N71" si="62">IFERROR(N35/M35-1,0)</f>
        <v>3.7990411386821465E-2</v>
      </c>
      <c r="O70" s="49">
        <f t="shared" ref="O70:O71" si="63">IFERROR(O35/N35-1,0)</f>
        <v>1.5382839280235983E-2</v>
      </c>
      <c r="P70" s="49">
        <f t="shared" ref="P70:P71" si="64">IFERROR(P35/O35-1,0)</f>
        <v>2.5224590451826012E-2</v>
      </c>
      <c r="Q70" s="49">
        <f t="shared" ref="Q70:R71" si="65">IFERROR(Q35/P35-1,0)</f>
        <v>4.9508150980951626E-2</v>
      </c>
      <c r="R70" s="49">
        <f t="shared" si="65"/>
        <v>3.2746919244202033E-2</v>
      </c>
      <c r="S70" s="49">
        <f t="shared" si="23"/>
        <v>-6.0938510676409319E-2</v>
      </c>
      <c r="T70" s="49">
        <f t="shared" si="24"/>
        <v>4.6894758705510631E-2</v>
      </c>
      <c r="U70" s="49">
        <f t="shared" si="25"/>
        <v>-1.9017275757161056E-2</v>
      </c>
      <c r="V70" s="49">
        <f t="shared" ca="1" si="25"/>
        <v>6.2593074097018864E-2</v>
      </c>
    </row>
    <row r="71" spans="1:34">
      <c r="B71" s="40" t="s">
        <v>190</v>
      </c>
      <c r="C71" s="40" t="s">
        <v>190</v>
      </c>
      <c r="D71" s="41"/>
      <c r="E71" s="49">
        <f t="shared" si="53"/>
        <v>6.5210023676799178E-2</v>
      </c>
      <c r="F71" s="49">
        <f t="shared" si="54"/>
        <v>7.6948967422570069E-2</v>
      </c>
      <c r="G71" s="49">
        <f t="shared" si="55"/>
        <v>7.5131695406347676E-2</v>
      </c>
      <c r="H71" s="49">
        <f t="shared" si="56"/>
        <v>4.5617063684521675E-2</v>
      </c>
      <c r="I71" s="49">
        <f t="shared" si="57"/>
        <v>0.11561075785289687</v>
      </c>
      <c r="J71" s="49">
        <f t="shared" si="58"/>
        <v>-2.3996540337487438E-2</v>
      </c>
      <c r="K71" s="49">
        <f t="shared" si="59"/>
        <v>0.10514045398270699</v>
      </c>
      <c r="L71" s="49">
        <f t="shared" si="60"/>
        <v>4.8448066062997119E-2</v>
      </c>
      <c r="M71" s="49">
        <f t="shared" si="61"/>
        <v>-4.5791989297994107E-3</v>
      </c>
      <c r="N71" s="49">
        <f t="shared" si="62"/>
        <v>2.8065250948995812E-2</v>
      </c>
      <c r="O71" s="49">
        <f t="shared" si="63"/>
        <v>1.3151890462043569E-2</v>
      </c>
      <c r="P71" s="49">
        <f t="shared" si="64"/>
        <v>1.9052857071975238E-2</v>
      </c>
      <c r="Q71" s="49">
        <f t="shared" si="65"/>
        <v>4.3324052783884959E-2</v>
      </c>
      <c r="R71" s="49">
        <f t="shared" si="65"/>
        <v>2.7629164690958774E-2</v>
      </c>
      <c r="S71" s="49">
        <f t="shared" si="23"/>
        <v>2.8201152305875166E-2</v>
      </c>
      <c r="T71" s="49">
        <f t="shared" si="24"/>
        <v>4.6894758705510631E-2</v>
      </c>
      <c r="U71" s="49">
        <f t="shared" si="25"/>
        <v>-1.9017275757161056E-2</v>
      </c>
      <c r="V71" s="49">
        <f t="shared" ca="1" si="25"/>
        <v>6.2593074097018864E-2</v>
      </c>
    </row>
  </sheetData>
  <conditionalFormatting sqref="AH7:AH34">
    <cfRule type="cellIs" dxfId="6" priority="2" operator="greaterThan">
      <formula>$AH$5</formula>
    </cfRule>
  </conditionalFormatting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AL71"/>
  <sheetViews>
    <sheetView zoomScaleNormal="100" workbookViewId="0">
      <pane xSplit="3" ySplit="6" topLeftCell="D7" activePane="bottomRight" state="frozen"/>
      <selection pane="topRight" activeCell="R3" sqref="R3"/>
      <selection pane="bottomLeft" activeCell="R3" sqref="R3"/>
      <selection pane="bottomRight" activeCell="D6" sqref="D6:V36"/>
    </sheetView>
  </sheetViews>
  <sheetFormatPr baseColWidth="10" defaultColWidth="11.5" defaultRowHeight="13"/>
  <cols>
    <col min="1" max="1" width="13.5" customWidth="1"/>
    <col min="22" max="22" width="15.33203125" customWidth="1"/>
  </cols>
  <sheetData>
    <row r="1" spans="1:38">
      <c r="A1" t="s">
        <v>60</v>
      </c>
    </row>
    <row r="2" spans="1:38">
      <c r="A2" t="s">
        <v>222</v>
      </c>
    </row>
    <row r="5" spans="1:38">
      <c r="D5" t="s">
        <v>173</v>
      </c>
      <c r="V5" t="s">
        <v>174</v>
      </c>
    </row>
    <row r="6" spans="1:38">
      <c r="A6" t="s">
        <v>223</v>
      </c>
      <c r="B6" t="s">
        <v>175</v>
      </c>
      <c r="C6" t="s">
        <v>176</v>
      </c>
      <c r="D6" s="1">
        <v>2005</v>
      </c>
      <c r="E6" s="1">
        <v>2006</v>
      </c>
      <c r="F6" s="1">
        <v>2007</v>
      </c>
      <c r="G6" s="1">
        <v>2008</v>
      </c>
      <c r="H6" s="1">
        <v>2009</v>
      </c>
      <c r="I6" s="1">
        <v>2010</v>
      </c>
      <c r="J6" s="1">
        <v>2011</v>
      </c>
      <c r="K6" s="1">
        <v>2012</v>
      </c>
      <c r="L6" s="1">
        <v>2013</v>
      </c>
      <c r="M6" s="1">
        <v>2014</v>
      </c>
      <c r="N6" s="1">
        <v>2015</v>
      </c>
      <c r="O6" s="1">
        <v>2016</v>
      </c>
      <c r="P6" s="1">
        <v>2017</v>
      </c>
      <c r="Q6" s="1">
        <v>2018</v>
      </c>
      <c r="R6" s="1">
        <v>2019</v>
      </c>
      <c r="S6" s="1">
        <v>2020</v>
      </c>
      <c r="T6" s="1">
        <v>2021</v>
      </c>
      <c r="U6" s="1">
        <v>2022</v>
      </c>
      <c r="V6" s="2">
        <f>YearProxy</f>
        <v>2023</v>
      </c>
    </row>
    <row r="7" spans="1:38">
      <c r="A7" s="18">
        <v>1.022217752821025</v>
      </c>
      <c r="B7" t="s">
        <v>106</v>
      </c>
      <c r="C7" t="s">
        <v>106</v>
      </c>
      <c r="D7" s="3">
        <v>27347.629000000001</v>
      </c>
      <c r="E7" s="3">
        <f>'FEC Total'!E7*'GFEC Total'!$A7</f>
        <v>28494.317562703851</v>
      </c>
      <c r="F7" s="3">
        <f>'FEC Total'!F7*'GFEC Total'!$A7</f>
        <v>28199.254690494694</v>
      </c>
      <c r="G7" s="3">
        <f>'FEC Total'!G7*'GFEC Total'!$A7</f>
        <v>28361.482021762498</v>
      </c>
      <c r="H7" s="3">
        <f>'FEC Total'!H7*'GFEC Total'!$A7</f>
        <v>26984.841126958618</v>
      </c>
      <c r="I7" s="3">
        <f>'FEC Total'!I7*'GFEC Total'!$A7</f>
        <v>28639.450919272957</v>
      </c>
      <c r="J7" s="3">
        <f>'FEC Total'!J7*'GFEC Total'!$A7</f>
        <v>27782.832805317303</v>
      </c>
      <c r="K7" s="3">
        <f>'FEC Total'!K7*'GFEC Total'!$A7</f>
        <v>27822.676833106674</v>
      </c>
      <c r="L7" s="3">
        <f>'FEC Total'!L7*'GFEC Total'!$A7</f>
        <v>28493.610659135655</v>
      </c>
      <c r="M7" s="3">
        <f>'FEC Total'!M7*'GFEC Total'!$A7</f>
        <v>27382.274468214939</v>
      </c>
      <c r="N7" s="3">
        <f>'FEC Total'!N7*'GFEC Total'!$A7</f>
        <v>28115.041756049119</v>
      </c>
      <c r="O7" s="3">
        <f>'FEC Total'!O7*'GFEC Total'!$A7</f>
        <v>28698.390089925055</v>
      </c>
      <c r="P7" s="3">
        <f>'FEC Total'!P7*'GFEC Total'!$A7</f>
        <v>29164.570410157652</v>
      </c>
      <c r="Q7" s="3">
        <f>'FEC Total'!Q7*'GFEC Total'!$A7</f>
        <v>28471.951551168313</v>
      </c>
      <c r="R7" s="3">
        <f>'FEC Total'!R7*'GFEC Total'!$A7</f>
        <v>28964.521474791964</v>
      </c>
      <c r="S7" s="3">
        <f>'FEC Total'!S7*'GFEC Total'!$A7</f>
        <v>26720.346164464489</v>
      </c>
      <c r="T7" s="3">
        <f>'FEC Total'!T7*'GFEC Total'!$A7</f>
        <v>28530.019609766478</v>
      </c>
      <c r="U7" s="3">
        <f>'FEC Total'!U7*'GFEC Total'!$A7</f>
        <v>26924.899225830908</v>
      </c>
      <c r="V7" s="3">
        <f ca="1">'FEC Total'!V7*'GFEC Total'!$A7</f>
        <v>25889.507487557679</v>
      </c>
    </row>
    <row r="8" spans="1:38">
      <c r="A8" s="18">
        <v>1.0103603509024646</v>
      </c>
      <c r="B8" t="s">
        <v>177</v>
      </c>
      <c r="C8" t="s">
        <v>177</v>
      </c>
      <c r="D8" s="3">
        <f>'FEC Total'!D8*'GFEC Total'!$A8</f>
        <v>37223.040324080866</v>
      </c>
      <c r="E8" s="3">
        <f>'FEC Total'!E8*'GFEC Total'!$A8</f>
        <v>36863.263127448714</v>
      </c>
      <c r="F8" s="3">
        <f>'FEC Total'!F8*'GFEC Total'!$A8</f>
        <v>35595.318477606117</v>
      </c>
      <c r="G8" s="3">
        <f>'FEC Total'!G8*'GFEC Total'!$A8</f>
        <v>37310.489033172169</v>
      </c>
      <c r="H8" s="3">
        <f>'FEC Total'!H8*'GFEC Total'!$A8</f>
        <v>35134.927576510388</v>
      </c>
      <c r="I8" s="3">
        <f>'FEC Total'!I8*'GFEC Total'!$A8</f>
        <v>38546.257459529501</v>
      </c>
      <c r="J8" s="3">
        <f>'FEC Total'!J8*'GFEC Total'!$A8</f>
        <v>35745.426729580104</v>
      </c>
      <c r="K8" s="3">
        <f>'FEC Total'!K8*'GFEC Total'!$A8</f>
        <v>35879.05711227782</v>
      </c>
      <c r="L8" s="3">
        <f>'FEC Total'!L8*'GFEC Total'!$A8</f>
        <v>37079.388181889051</v>
      </c>
      <c r="M8" s="3">
        <f>'FEC Total'!M8*'GFEC Total'!$A8</f>
        <v>34730.929443307345</v>
      </c>
      <c r="N8" s="3">
        <f>'FEC Total'!N8*'GFEC Total'!$A8</f>
        <v>36324.862782825621</v>
      </c>
      <c r="O8" s="3">
        <f>'FEC Total'!O8*'GFEC Total'!$A8</f>
        <v>36810.599766315412</v>
      </c>
      <c r="P8" s="3">
        <f>'FEC Total'!P8*'GFEC Total'!$A8</f>
        <v>36491.268498429199</v>
      </c>
      <c r="Q8" s="3">
        <f>'FEC Total'!Q8*'GFEC Total'!$A8</f>
        <v>36768.959162856561</v>
      </c>
      <c r="R8" s="3">
        <f>'FEC Total'!R8*'GFEC Total'!$A8</f>
        <v>36158.205678813574</v>
      </c>
      <c r="S8" s="3">
        <f>'FEC Total'!S8*'GFEC Total'!$A8</f>
        <v>33536.41408133386</v>
      </c>
      <c r="T8" s="3">
        <f>'FEC Total'!T8*'GFEC Total'!$A8</f>
        <v>36226.218565676027</v>
      </c>
      <c r="U8" s="3">
        <f>'FEC Total'!U8*'GFEC Total'!$A8</f>
        <v>33765.627401773156</v>
      </c>
      <c r="V8" s="3">
        <f ca="1">'FEC Total'!V8*'GFEC Total'!$A8</f>
        <v>33733.54390140107</v>
      </c>
    </row>
    <row r="9" spans="1:38">
      <c r="A9" s="18">
        <v>1.0406963696930873</v>
      </c>
      <c r="B9" t="s">
        <v>178</v>
      </c>
      <c r="C9" t="s">
        <v>178</v>
      </c>
      <c r="D9" s="3">
        <f>'FEC Total'!D9*'GFEC Total'!$A9</f>
        <v>10550.30111307116</v>
      </c>
      <c r="E9" s="3">
        <f>'FEC Total'!E9*'GFEC Total'!$A9</f>
        <v>10940.535035414609</v>
      </c>
      <c r="F9" s="3">
        <f>'FEC Total'!F9*'GFEC Total'!$A9</f>
        <v>10755.499828649858</v>
      </c>
      <c r="G9" s="3">
        <f>'FEC Total'!G9*'GFEC Total'!$A9</f>
        <v>10380.384066044569</v>
      </c>
      <c r="H9" s="3">
        <f>'FEC Total'!H9*'GFEC Total'!$A9</f>
        <v>8941.3091756678277</v>
      </c>
      <c r="I9" s="3">
        <f>'FEC Total'!I9*'GFEC Total'!$A9</f>
        <v>9188.3184491712709</v>
      </c>
      <c r="J9" s="3">
        <f>'FEC Total'!J9*'GFEC Total'!$A9</f>
        <v>9628.6340031566779</v>
      </c>
      <c r="K9" s="3">
        <f>'FEC Total'!K9*'GFEC Total'!$A9</f>
        <v>9594.910665029247</v>
      </c>
      <c r="L9" s="3">
        <f>'FEC Total'!L9*'GFEC Total'!$A9</f>
        <v>9132.5889563408637</v>
      </c>
      <c r="M9" s="3">
        <f>'FEC Total'!M9*'GFEC Total'!$A9</f>
        <v>9351.6535574109967</v>
      </c>
      <c r="N9" s="3">
        <f>'FEC Total'!N9*'GFEC Total'!$A9</f>
        <v>9876.5663178658324</v>
      </c>
      <c r="O9" s="3">
        <f>'FEC Total'!O9*'GFEC Total'!$A9</f>
        <v>10042.055324967374</v>
      </c>
      <c r="P9" s="3">
        <f>'FEC Total'!P9*'GFEC Total'!$A9</f>
        <v>10299.210986094284</v>
      </c>
      <c r="Q9" s="3">
        <f>'FEC Total'!Q9*'GFEC Total'!$A9</f>
        <v>10325.097335104572</v>
      </c>
      <c r="R9" s="3">
        <f>'FEC Total'!R9*'GFEC Total'!$A9</f>
        <v>10253.189931952882</v>
      </c>
      <c r="S9" s="3">
        <f>'FEC Total'!S9*'GFEC Total'!$A9</f>
        <v>9913.2787230875492</v>
      </c>
      <c r="T9" s="3">
        <f>'FEC Total'!T9*'GFEC Total'!$A9</f>
        <v>10612.42696556597</v>
      </c>
      <c r="U9" s="3">
        <f>'FEC Total'!U9*'GFEC Total'!$A9</f>
        <v>10322.760670591975</v>
      </c>
      <c r="V9" s="3">
        <f ca="1">'FEC Total'!V9*'GFEC Total'!$A9</f>
        <v>10472.63110648749</v>
      </c>
    </row>
    <row r="10" spans="1:38">
      <c r="A10" s="18">
        <v>1.0114047726062798</v>
      </c>
      <c r="B10" t="s">
        <v>179</v>
      </c>
      <c r="C10" t="s">
        <v>179</v>
      </c>
      <c r="D10" s="3">
        <f>'FEC Total'!D10*'GFEC Total'!$A10</f>
        <v>1854.9163529599173</v>
      </c>
      <c r="E10" s="3">
        <f>'FEC Total'!E10*'GFEC Total'!$A10</f>
        <v>1886.4994897940937</v>
      </c>
      <c r="F10" s="3">
        <f>'FEC Total'!F10*'GFEC Total'!$A10</f>
        <v>1949.9105628622028</v>
      </c>
      <c r="G10" s="3">
        <f>'FEC Total'!G10*'GFEC Total'!$A10</f>
        <v>1997.6845009307631</v>
      </c>
      <c r="H10" s="3">
        <f>'FEC Total'!H10*'GFEC Total'!$A10</f>
        <v>1962.7510464993695</v>
      </c>
      <c r="I10" s="3">
        <f>'FEC Total'!I10*'GFEC Total'!$A10</f>
        <v>1951.4222631834816</v>
      </c>
      <c r="J10" s="3">
        <f>'FEC Total'!J10*'GFEC Total'!$A10</f>
        <v>1944.764574879433</v>
      </c>
      <c r="K10" s="3">
        <f>'FEC Total'!K10*'GFEC Total'!$A10</f>
        <v>1789.5726820298207</v>
      </c>
      <c r="L10" s="3">
        <f>'FEC Total'!L10*'GFEC Total'!$A10</f>
        <v>1636.9608044864863</v>
      </c>
      <c r="M10" s="3">
        <f>'FEC Total'!M10*'GFEC Total'!$A10</f>
        <v>1637.5750773631562</v>
      </c>
      <c r="N10" s="3">
        <f>'FEC Total'!N10*'GFEC Total'!$A10</f>
        <v>1686.8122845031751</v>
      </c>
      <c r="O10" s="3">
        <f>'FEC Total'!O10*'GFEC Total'!$A10</f>
        <v>1786.2161797692384</v>
      </c>
      <c r="P10" s="3">
        <f>'FEC Total'!P10*'GFEC Total'!$A10</f>
        <v>1884.932326167374</v>
      </c>
      <c r="Q10" s="3">
        <f>'FEC Total'!Q10*'GFEC Total'!$A10</f>
        <v>1879.4880242370566</v>
      </c>
      <c r="R10" s="3">
        <f>'FEC Total'!R10*'GFEC Total'!$A10</f>
        <v>1908.2839386208182</v>
      </c>
      <c r="S10" s="3">
        <f>'FEC Total'!S10*'GFEC Total'!$A10</f>
        <v>1590.6884899019362</v>
      </c>
      <c r="T10" s="3">
        <f>'FEC Total'!T10*'GFEC Total'!$A10</f>
        <v>1712.1865463893155</v>
      </c>
      <c r="U10" s="3">
        <f>'FEC Total'!U10*'GFEC Total'!$A10</f>
        <v>1844.4297959759938</v>
      </c>
      <c r="V10" s="3">
        <f ca="1">'FEC Total'!V10*'GFEC Total'!$A10</f>
        <v>1854.1556579307287</v>
      </c>
    </row>
    <row r="11" spans="1:38">
      <c r="A11" s="18">
        <v>1.022215848947845</v>
      </c>
      <c r="B11" t="s">
        <v>180</v>
      </c>
      <c r="C11" t="s">
        <v>180</v>
      </c>
      <c r="D11" s="3">
        <f>'FEC Total'!D11*'GFEC Total'!$A11</f>
        <v>26729.444502483053</v>
      </c>
      <c r="E11" s="3">
        <f>'FEC Total'!E11*'GFEC Total'!$A11</f>
        <v>27131.203356553382</v>
      </c>
      <c r="F11" s="3">
        <f>'FEC Total'!F11*'GFEC Total'!$A11</f>
        <v>26660.441096854884</v>
      </c>
      <c r="G11" s="3">
        <f>'FEC Total'!G11*'GFEC Total'!$A11</f>
        <v>26506.397090281822</v>
      </c>
      <c r="H11" s="3">
        <f>'FEC Total'!H11*'GFEC Total'!$A11</f>
        <v>25497.528224411759</v>
      </c>
      <c r="I11" s="3">
        <f>'FEC Total'!I11*'GFEC Total'!$A11</f>
        <v>25814.42230276496</v>
      </c>
      <c r="J11" s="3">
        <f>'FEC Total'!J11*'GFEC Total'!$A11</f>
        <v>25000.033326922239</v>
      </c>
      <c r="K11" s="3">
        <f>'FEC Total'!K11*'GFEC Total'!$A11</f>
        <v>24959.850155011824</v>
      </c>
      <c r="L11" s="3">
        <f>'FEC Total'!L11*'GFEC Total'!$A11</f>
        <v>24754.233286496616</v>
      </c>
      <c r="M11" s="3">
        <f>'FEC Total'!M11*'GFEC Total'!$A11</f>
        <v>24109.029201420173</v>
      </c>
      <c r="N11" s="3">
        <f>'FEC Total'!N11*'GFEC Total'!$A11</f>
        <v>24738.81824239159</v>
      </c>
      <c r="O11" s="3">
        <f>'FEC Total'!O11*'GFEC Total'!$A11</f>
        <v>25377.393147526171</v>
      </c>
      <c r="P11" s="3">
        <f>'FEC Total'!P11*'GFEC Total'!$A11</f>
        <v>26069.237642319102</v>
      </c>
      <c r="Q11" s="3">
        <f>'FEC Total'!Q11*'GFEC Total'!$A11</f>
        <v>25892.185634818008</v>
      </c>
      <c r="R11" s="3">
        <f>'FEC Total'!R11*'GFEC Total'!$A11</f>
        <v>25831.250289223553</v>
      </c>
      <c r="S11" s="3">
        <f>'FEC Total'!S11*'GFEC Total'!$A11</f>
        <v>25036.949082409254</v>
      </c>
      <c r="T11" s="3">
        <f>'FEC Total'!T11*'GFEC Total'!$A11</f>
        <v>26685.816834858779</v>
      </c>
      <c r="U11" s="3">
        <f>'FEC Total'!U11*'GFEC Total'!$A11</f>
        <v>25472.006399975362</v>
      </c>
      <c r="V11" s="3">
        <f ca="1">'FEC Total'!V11*'GFEC Total'!$A11</f>
        <v>26219.986089877246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18">
        <v>1.0176263232787064</v>
      </c>
      <c r="B12" t="s">
        <v>91</v>
      </c>
      <c r="C12" t="s">
        <v>91</v>
      </c>
      <c r="D12" s="3">
        <f>'FEC Total'!D12*'GFEC Total'!$A12</f>
        <v>223567.10227438362</v>
      </c>
      <c r="E12" s="3">
        <f>'FEC Total'!E12*'GFEC Total'!$A12</f>
        <v>229322.98359504095</v>
      </c>
      <c r="F12" s="3">
        <f>'FEC Total'!F12*'GFEC Total'!$A12</f>
        <v>216705.00232152088</v>
      </c>
      <c r="G12" s="3">
        <f>'FEC Total'!G12*'GFEC Total'!$A12</f>
        <v>225620.72317783887</v>
      </c>
      <c r="H12" s="3">
        <f>'FEC Total'!H12*'GFEC Total'!$A12</f>
        <v>211917.93862587624</v>
      </c>
      <c r="I12" s="3">
        <f>'FEC Total'!I12*'GFEC Total'!$A12</f>
        <v>226953.9972683737</v>
      </c>
      <c r="J12" s="3">
        <f>'FEC Total'!J12*'GFEC Total'!$A12</f>
        <v>215443.37520294258</v>
      </c>
      <c r="K12" s="3">
        <f>'FEC Total'!K12*'GFEC Total'!$A12</f>
        <v>219585.43580224382</v>
      </c>
      <c r="L12" s="3">
        <f>'FEC Total'!L12*'GFEC Total'!$A12</f>
        <v>224905.01256580683</v>
      </c>
      <c r="M12" s="3">
        <f>'FEC Total'!M12*'GFEC Total'!$A12</f>
        <v>213676.38168514872</v>
      </c>
      <c r="N12" s="3">
        <f>'FEC Total'!N12*'GFEC Total'!$A12</f>
        <v>216495.87765037827</v>
      </c>
      <c r="O12" s="3">
        <f>'FEC Total'!O12*'GFEC Total'!$A12</f>
        <v>220689.29909796701</v>
      </c>
      <c r="P12" s="3">
        <f>'FEC Total'!P12*'GFEC Total'!$A12</f>
        <v>222478.25182573247</v>
      </c>
      <c r="Q12" s="3">
        <f>'FEC Total'!Q12*'GFEC Total'!$A12</f>
        <v>218966.38908376131</v>
      </c>
      <c r="R12" s="3">
        <f>'FEC Total'!R12*'GFEC Total'!$A12</f>
        <v>218487.43549617234</v>
      </c>
      <c r="S12" s="3">
        <f>'FEC Total'!S12*'GFEC Total'!$A12</f>
        <v>205831.10021338949</v>
      </c>
      <c r="T12" s="3">
        <f>'FEC Total'!T12*'GFEC Total'!$A12</f>
        <v>211606.54271860275</v>
      </c>
      <c r="U12" s="3">
        <f>'FEC Total'!U12*'GFEC Total'!$A12</f>
        <v>206412.1293922411</v>
      </c>
      <c r="V12" s="3">
        <f ca="1">'FEC Total'!V12*'GFEC Total'!$A12</f>
        <v>200504.74833044468</v>
      </c>
    </row>
    <row r="13" spans="1:38">
      <c r="A13" s="18">
        <v>1.0604961628061611</v>
      </c>
      <c r="B13" t="s">
        <v>115</v>
      </c>
      <c r="C13" t="s">
        <v>115</v>
      </c>
      <c r="D13" s="3">
        <f>'FEC Total'!D13*'GFEC Total'!$A13</f>
        <v>16439.519328510025</v>
      </c>
      <c r="E13" s="3">
        <f>'FEC Total'!E13*'GFEC Total'!$A13</f>
        <v>16614.260433767118</v>
      </c>
      <c r="F13" s="3">
        <f>'FEC Total'!F13*'GFEC Total'!$A13</f>
        <v>16672.338717675309</v>
      </c>
      <c r="G13" s="3">
        <f>'FEC Total'!G13*'GFEC Total'!$A13</f>
        <v>16466.523343727586</v>
      </c>
      <c r="H13" s="3">
        <f>'FEC Total'!H13*'GFEC Total'!$A13</f>
        <v>15690.789826347042</v>
      </c>
      <c r="I13" s="3">
        <f>'FEC Total'!I13*'GFEC Total'!$A13</f>
        <v>16461.460072124119</v>
      </c>
      <c r="J13" s="3">
        <f>'FEC Total'!J13*'GFEC Total'!$A13</f>
        <v>15696.207577632926</v>
      </c>
      <c r="K13" s="3">
        <f>'FEC Total'!K13*'GFEC Total'!$A13</f>
        <v>15159.163035291394</v>
      </c>
      <c r="L13" s="3">
        <f>'FEC Total'!L13*'GFEC Total'!$A13</f>
        <v>14979.244212485377</v>
      </c>
      <c r="M13" s="3">
        <f>'FEC Total'!M13*'GFEC Total'!$A13</f>
        <v>14482.949614027904</v>
      </c>
      <c r="N13" s="3">
        <f>'FEC Total'!N13*'GFEC Total'!$A13</f>
        <v>15007.077266804103</v>
      </c>
      <c r="O13" s="3">
        <f>'FEC Total'!O13*'GFEC Total'!$A13</f>
        <v>15375.323841204645</v>
      </c>
      <c r="P13" s="3">
        <f>'FEC Total'!P13*'GFEC Total'!$A13</f>
        <v>15457.766378550652</v>
      </c>
      <c r="Q13" s="3">
        <f>'FEC Total'!Q13*'GFEC Total'!$A13</f>
        <v>15447.13826047671</v>
      </c>
      <c r="R13" s="3">
        <f>'FEC Total'!R13*'GFEC Total'!$A13</f>
        <v>15174.992505682705</v>
      </c>
      <c r="S13" s="3">
        <f>'FEC Total'!S13*'GFEC Total'!$A13</f>
        <v>13877.842585507053</v>
      </c>
      <c r="T13" s="3">
        <f>'FEC Total'!T13*'GFEC Total'!$A13</f>
        <v>14718.387550186395</v>
      </c>
      <c r="U13" s="3">
        <f>'FEC Total'!U13*'GFEC Total'!$A13</f>
        <v>14157.138733804397</v>
      </c>
      <c r="V13" s="3">
        <f ca="1">'FEC Total'!V13*'GFEC Total'!$A13</f>
        <v>13995.815987278182</v>
      </c>
    </row>
    <row r="14" spans="1:38">
      <c r="A14" s="18">
        <v>1.0321363573642555</v>
      </c>
      <c r="B14" t="s">
        <v>120</v>
      </c>
      <c r="C14" t="s">
        <v>120</v>
      </c>
      <c r="D14" s="3">
        <f>'FEC Total'!D14*'GFEC Total'!$A14</f>
        <v>2952.7976193291033</v>
      </c>
      <c r="E14" s="3">
        <f>'FEC Total'!E14*'GFEC Total'!$A14</f>
        <v>2973.9295791097793</v>
      </c>
      <c r="F14" s="3">
        <f>'FEC Total'!F14*'GFEC Total'!$A14</f>
        <v>3181.7368168924272</v>
      </c>
      <c r="G14" s="3">
        <f>'FEC Total'!G14*'GFEC Total'!$A14</f>
        <v>3155.6836309598384</v>
      </c>
      <c r="H14" s="3">
        <f>'FEC Total'!H14*'GFEC Total'!$A14</f>
        <v>2849.9534884086147</v>
      </c>
      <c r="I14" s="3">
        <f>'FEC Total'!I14*'GFEC Total'!$A14</f>
        <v>3005.716282507527</v>
      </c>
      <c r="J14" s="3">
        <f>'FEC Total'!J14*'GFEC Total'!$A14</f>
        <v>2917.9237960864807</v>
      </c>
      <c r="K14" s="3">
        <f>'FEC Total'!K14*'GFEC Total'!$A14</f>
        <v>2979.7219283473078</v>
      </c>
      <c r="L14" s="3">
        <f>'FEC Total'!L14*'GFEC Total'!$A14</f>
        <v>2980.77057888639</v>
      </c>
      <c r="M14" s="3">
        <f>'FEC Total'!M14*'GFEC Total'!$A14</f>
        <v>2912.7073789363617</v>
      </c>
      <c r="N14" s="3">
        <f>'FEC Total'!N14*'GFEC Total'!$A14</f>
        <v>2890.3203413451306</v>
      </c>
      <c r="O14" s="3">
        <f>'FEC Total'!O14*'GFEC Total'!$A14</f>
        <v>2931.957754137562</v>
      </c>
      <c r="P14" s="3">
        <f>'FEC Total'!P14*'GFEC Total'!$A14</f>
        <v>2959.2030575629065</v>
      </c>
      <c r="Q14" s="3">
        <f>'FEC Total'!Q14*'GFEC Total'!$A14</f>
        <v>3052.5474054502147</v>
      </c>
      <c r="R14" s="3">
        <f>'FEC Total'!R14*'GFEC Total'!$A14</f>
        <v>2987.5610039814896</v>
      </c>
      <c r="S14" s="3">
        <f>'FEC Total'!S14*'GFEC Total'!$A14</f>
        <v>2837.8568503003053</v>
      </c>
      <c r="T14" s="3">
        <f>'FEC Total'!T14*'GFEC Total'!$A14</f>
        <v>2923.7295630966546</v>
      </c>
      <c r="U14" s="3">
        <f>'FEC Total'!U14*'GFEC Total'!$A14</f>
        <v>2867.357371666491</v>
      </c>
      <c r="V14" s="3">
        <f ca="1">'FEC Total'!V14*'GFEC Total'!$A14</f>
        <v>2876.0141583677</v>
      </c>
    </row>
    <row r="15" spans="1:38">
      <c r="A15" s="18">
        <v>1.0310718681785636</v>
      </c>
      <c r="B15" t="s">
        <v>85</v>
      </c>
      <c r="C15" t="s">
        <v>85</v>
      </c>
      <c r="D15" s="3">
        <f>'FEC Total'!D15*'GFEC Total'!$A15</f>
        <v>101166.35074893417</v>
      </c>
      <c r="E15" s="3">
        <f>'FEC Total'!E15*'GFEC Total'!$A15</f>
        <v>98798.363257534831</v>
      </c>
      <c r="F15" s="3">
        <f>'FEC Total'!F15*'GFEC Total'!$A15</f>
        <v>101533.61648623565</v>
      </c>
      <c r="G15" s="3">
        <f>'FEC Total'!G15*'GFEC Total'!$A15</f>
        <v>97954.869138974667</v>
      </c>
      <c r="H15" s="3">
        <f>'FEC Total'!H15*'GFEC Total'!$A15</f>
        <v>90880.669585323514</v>
      </c>
      <c r="I15" s="3">
        <f>'FEC Total'!I15*'GFEC Total'!$A15</f>
        <v>92361.133096175836</v>
      </c>
      <c r="J15" s="3">
        <f>'FEC Total'!J15*'GFEC Total'!$A15</f>
        <v>89769.178235714498</v>
      </c>
      <c r="K15" s="3">
        <f>'FEC Total'!K15*'GFEC Total'!$A15</f>
        <v>86133.356936262368</v>
      </c>
      <c r="L15" s="3">
        <f>'FEC Total'!L15*'GFEC Total'!$A15</f>
        <v>83446.358902064181</v>
      </c>
      <c r="M15" s="3">
        <f>'FEC Total'!M15*'GFEC Total'!$A15</f>
        <v>82014.972552720632</v>
      </c>
      <c r="N15" s="3">
        <f>'FEC Total'!N15*'GFEC Total'!$A15</f>
        <v>82989.086831576264</v>
      </c>
      <c r="O15" s="3">
        <f>'FEC Total'!O15*'GFEC Total'!$A15</f>
        <v>84761.836378623222</v>
      </c>
      <c r="P15" s="3">
        <f>'FEC Total'!P15*'GFEC Total'!$A15</f>
        <v>87385.945542041125</v>
      </c>
      <c r="Q15" s="3">
        <f>'FEC Total'!Q15*'GFEC Total'!$A15</f>
        <v>89414.575773890974</v>
      </c>
      <c r="R15" s="3">
        <f>'FEC Total'!R15*'GFEC Total'!$A15</f>
        <v>89170.310094769869</v>
      </c>
      <c r="S15" s="3">
        <f>'FEC Total'!S15*'GFEC Total'!$A15</f>
        <v>76048.884884393934</v>
      </c>
      <c r="T15" s="3">
        <f>'FEC Total'!T15*'GFEC Total'!$A15</f>
        <v>82825.002841938549</v>
      </c>
      <c r="U15" s="3">
        <f>'FEC Total'!U15*'GFEC Total'!$A15</f>
        <v>83751.97714178059</v>
      </c>
      <c r="V15" s="3">
        <f ca="1">'FEC Total'!V15*'GFEC Total'!$A15</f>
        <v>82359.907135060887</v>
      </c>
    </row>
    <row r="16" spans="1:38">
      <c r="A16" s="18">
        <v>1.0267727485518396</v>
      </c>
      <c r="B16" t="s">
        <v>2</v>
      </c>
      <c r="C16" t="s">
        <v>2</v>
      </c>
      <c r="D16" s="3">
        <f>'FEC Total'!D16*'GFEC Total'!$A16</f>
        <v>25893.719897991999</v>
      </c>
      <c r="E16" s="3">
        <f>'FEC Total'!E16*'GFEC Total'!$A16</f>
        <v>27220.398591577348</v>
      </c>
      <c r="F16" s="3">
        <f>'FEC Total'!F16*'GFEC Total'!$A16</f>
        <v>27256.560501008596</v>
      </c>
      <c r="G16" s="3">
        <f>'FEC Total'!G16*'GFEC Total'!$A16</f>
        <v>26331.538878292748</v>
      </c>
      <c r="H16" s="3">
        <f>'FEC Total'!H16*'GFEC Total'!$A16</f>
        <v>24464.592899874384</v>
      </c>
      <c r="I16" s="3">
        <f>'FEC Total'!I16*'GFEC Total'!$A16</f>
        <v>26927.352515276911</v>
      </c>
      <c r="J16" s="3">
        <f>'FEC Total'!J16*'GFEC Total'!$A16</f>
        <v>25671.634086343973</v>
      </c>
      <c r="K16" s="3">
        <f>'FEC Total'!K16*'GFEC Total'!$A16</f>
        <v>25836.356158075901</v>
      </c>
      <c r="L16" s="3">
        <f>'FEC Total'!L16*'GFEC Total'!$A16</f>
        <v>25342.540072387379</v>
      </c>
      <c r="M16" s="3">
        <f>'FEC Total'!M16*'GFEC Total'!$A16</f>
        <v>25183.15927249342</v>
      </c>
      <c r="N16" s="3">
        <f>'FEC Total'!N16*'GFEC Total'!$A16</f>
        <v>24859.644741652457</v>
      </c>
      <c r="O16" s="3">
        <f>'FEC Total'!O16*'GFEC Total'!$A16</f>
        <v>25867.680941088718</v>
      </c>
      <c r="P16" s="3">
        <f>'FEC Total'!P16*'GFEC Total'!$A16</f>
        <v>25998.402000542574</v>
      </c>
      <c r="Q16" s="3">
        <f>'FEC Total'!Q16*'GFEC Total'!$A16</f>
        <v>26469.126029505329</v>
      </c>
      <c r="R16" s="3">
        <f>'FEC Total'!R16*'GFEC Total'!$A16</f>
        <v>26149.878562167287</v>
      </c>
      <c r="S16" s="3">
        <f>'FEC Total'!S16*'GFEC Total'!$A16</f>
        <v>24004.429167222257</v>
      </c>
      <c r="T16" s="3">
        <f>'FEC Total'!T16*'GFEC Total'!$A16</f>
        <v>25593.719459651973</v>
      </c>
      <c r="U16" s="3">
        <f>'FEC Total'!U16*'GFEC Total'!$A16</f>
        <v>23964.437128911581</v>
      </c>
      <c r="V16" s="3">
        <f ca="1">'FEC Total'!V16*'GFEC Total'!$A16</f>
        <v>23766.956116256781</v>
      </c>
    </row>
    <row r="17" spans="1:23">
      <c r="A17" s="18">
        <v>1.0285256193756076</v>
      </c>
      <c r="B17" t="s">
        <v>82</v>
      </c>
      <c r="C17" t="s">
        <v>82</v>
      </c>
      <c r="D17" s="3">
        <f>'FEC Total'!D17*'GFEC Total'!$A17</f>
        <v>164696.39476359953</v>
      </c>
      <c r="E17" s="3">
        <f>'FEC Total'!E17*'GFEC Total'!$A17</f>
        <v>162238.93894803015</v>
      </c>
      <c r="F17" s="3">
        <f>'FEC Total'!F17*'GFEC Total'!$A17</f>
        <v>158210.02021705298</v>
      </c>
      <c r="G17" s="3">
        <f>'FEC Total'!G17*'GFEC Total'!$A17</f>
        <v>160264.52173902499</v>
      </c>
      <c r="H17" s="3">
        <f>'FEC Total'!H17*'GFEC Total'!$A17</f>
        <v>153792.06982819861</v>
      </c>
      <c r="I17" s="3">
        <f>'FEC Total'!I17*'GFEC Total'!$A17</f>
        <v>158355.65760054439</v>
      </c>
      <c r="J17" s="3">
        <f>'FEC Total'!J17*'GFEC Total'!$A17</f>
        <v>153097.80309706929</v>
      </c>
      <c r="K17" s="3">
        <f>'FEC Total'!K17*'GFEC Total'!$A17</f>
        <v>157530.60207386821</v>
      </c>
      <c r="L17" s="3">
        <f>'FEC Total'!L17*'GFEC Total'!$A17</f>
        <v>160387.52360690432</v>
      </c>
      <c r="M17" s="3">
        <f>'FEC Total'!M17*'GFEC Total'!$A17</f>
        <v>149163.74423637832</v>
      </c>
      <c r="N17" s="3">
        <f>'FEC Total'!N17*'GFEC Total'!$A17</f>
        <v>152403.5638516584</v>
      </c>
      <c r="O17" s="3">
        <f>'FEC Total'!O17*'GFEC Total'!$A17</f>
        <v>154326.43159608898</v>
      </c>
      <c r="P17" s="3">
        <f>'FEC Total'!P17*'GFEC Total'!$A17</f>
        <v>153386.83281401295</v>
      </c>
      <c r="Q17" s="3">
        <f>'FEC Total'!Q17*'GFEC Total'!$A17</f>
        <v>150957.46514834295</v>
      </c>
      <c r="R17" s="3">
        <f>'FEC Total'!R17*'GFEC Total'!$A17</f>
        <v>149681.51843429939</v>
      </c>
      <c r="S17" s="3">
        <f>'FEC Total'!S17*'GFEC Total'!$A17</f>
        <v>133418.61040354735</v>
      </c>
      <c r="T17" s="3">
        <f>'FEC Total'!T17*'GFEC Total'!$A17</f>
        <v>147114.52788964886</v>
      </c>
      <c r="U17" s="3">
        <f>'FEC Total'!U17*'GFEC Total'!$A17</f>
        <v>142485.1981968185</v>
      </c>
      <c r="V17" s="3">
        <f ca="1">'FEC Total'!V17*'GFEC Total'!$A17</f>
        <v>137996.2419195002</v>
      </c>
    </row>
    <row r="18" spans="1:23">
      <c r="A18" s="18">
        <v>1.0337892473674017</v>
      </c>
      <c r="B18" t="s">
        <v>181</v>
      </c>
      <c r="C18" t="s">
        <v>182</v>
      </c>
      <c r="D18" s="3">
        <f>'FEC Total'!D18*'GFEC Total'!$A18</f>
        <v>21732.734175224206</v>
      </c>
      <c r="E18" s="3">
        <f>'FEC Total'!E18*'GFEC Total'!$A18</f>
        <v>22359.161871034226</v>
      </c>
      <c r="F18" s="3">
        <f>'FEC Total'!F18*'GFEC Total'!$A18</f>
        <v>22845.063493081849</v>
      </c>
      <c r="G18" s="3">
        <f>'FEC Total'!G18*'GFEC Total'!$A18</f>
        <v>22160.06439988374</v>
      </c>
      <c r="H18" s="3">
        <f>'FEC Total'!H18*'GFEC Total'!$A18</f>
        <v>21280.161918511705</v>
      </c>
      <c r="I18" s="3">
        <f>'FEC Total'!I18*'GFEC Total'!$A18</f>
        <v>19699.63255188911</v>
      </c>
      <c r="J18" s="3">
        <f>'FEC Total'!J18*'GFEC Total'!$A18</f>
        <v>19564.253714789356</v>
      </c>
      <c r="K18" s="3">
        <f>'FEC Total'!K18*'GFEC Total'!$A18</f>
        <v>17637.805026737409</v>
      </c>
      <c r="L18" s="3">
        <f>'FEC Total'!L18*'GFEC Total'!$A18</f>
        <v>15860.470099725735</v>
      </c>
      <c r="M18" s="3">
        <f>'FEC Total'!M18*'GFEC Total'!$A18</f>
        <v>16108.067793416465</v>
      </c>
      <c r="N18" s="3">
        <f>'FEC Total'!N18*'GFEC Total'!$A18</f>
        <v>17124.414948602283</v>
      </c>
      <c r="O18" s="3">
        <f>'FEC Total'!O18*'GFEC Total'!$A18</f>
        <v>17312.965701851132</v>
      </c>
      <c r="P18" s="3">
        <f>'FEC Total'!P18*'GFEC Total'!$A18</f>
        <v>16959.939816243193</v>
      </c>
      <c r="Q18" s="3">
        <f>'FEC Total'!Q18*'GFEC Total'!$A18</f>
        <v>16444.899473774167</v>
      </c>
      <c r="R18" s="3">
        <f>'FEC Total'!R18*'GFEC Total'!$A18</f>
        <v>16720.377611111267</v>
      </c>
      <c r="S18" s="3">
        <f>'FEC Total'!S18*'GFEC Total'!$A18</f>
        <v>14926.873234185743</v>
      </c>
      <c r="T18" s="3">
        <f>'FEC Total'!T18*'GFEC Total'!$A18</f>
        <v>15681.460750903878</v>
      </c>
      <c r="U18" s="3">
        <f>'FEC Total'!U18*'GFEC Total'!$A18</f>
        <v>16656.152024966905</v>
      </c>
      <c r="V18" s="3">
        <f ca="1">'FEC Total'!V18*'GFEC Total'!$A18</f>
        <v>16666.374301854317</v>
      </c>
    </row>
    <row r="19" spans="1:23">
      <c r="A19" s="18">
        <v>1.0346094945082946</v>
      </c>
      <c r="B19" t="s">
        <v>183</v>
      </c>
      <c r="C19" t="s">
        <v>183</v>
      </c>
      <c r="D19" s="3">
        <f>'FEC Total'!D19*'GFEC Total'!$A19</f>
        <v>7496.2394692212611</v>
      </c>
      <c r="E19" s="3">
        <f>'FEC Total'!E19*'GFEC Total'!$A19</f>
        <v>7509.3652060416398</v>
      </c>
      <c r="F19" s="3">
        <f>'FEC Total'!F19*'GFEC Total'!$A19</f>
        <v>7538.8487945701963</v>
      </c>
      <c r="G19" s="3">
        <f>'FEC Total'!G19*'GFEC Total'!$A19</f>
        <v>7662.1865405802082</v>
      </c>
      <c r="H19" s="3">
        <f>'FEC Total'!H19*'GFEC Total'!$A19</f>
        <v>7426.5412148877231</v>
      </c>
      <c r="I19" s="3">
        <f>'FEC Total'!I19*'GFEC Total'!$A19</f>
        <v>7463.1271213553418</v>
      </c>
      <c r="J19" s="3">
        <f>'FEC Total'!J19*'GFEC Total'!$A19</f>
        <v>7206.2919430866887</v>
      </c>
      <c r="K19" s="3">
        <f>'FEC Total'!K19*'GFEC Total'!$A19</f>
        <v>6884.5552508263054</v>
      </c>
      <c r="L19" s="3">
        <f>'FEC Total'!L19*'GFEC Total'!$A19</f>
        <v>6801.093144609069</v>
      </c>
      <c r="M19" s="3">
        <f>'FEC Total'!M19*'GFEC Total'!$A19</f>
        <v>6454.8228298280756</v>
      </c>
      <c r="N19" s="3">
        <f>'FEC Total'!N19*'GFEC Total'!$A19</f>
        <v>6814.6397160836068</v>
      </c>
      <c r="O19" s="3">
        <f>'FEC Total'!O19*'GFEC Total'!$A19</f>
        <v>6871.1566854130051</v>
      </c>
      <c r="P19" s="3">
        <f>'FEC Total'!P19*'GFEC Total'!$A19</f>
        <v>7164.6889917045473</v>
      </c>
      <c r="Q19" s="3">
        <f>'FEC Total'!Q19*'GFEC Total'!$A19</f>
        <v>7089.2626446660734</v>
      </c>
      <c r="R19" s="3">
        <f>'FEC Total'!R19*'GFEC Total'!$A19</f>
        <v>7151.2179932805366</v>
      </c>
      <c r="S19" s="3">
        <f>'FEC Total'!S19*'GFEC Total'!$A19</f>
        <v>6695.780402458322</v>
      </c>
      <c r="T19" s="3">
        <f>'FEC Total'!T19*'GFEC Total'!$A19</f>
        <v>7211.1926954588889</v>
      </c>
      <c r="U19" s="3">
        <f>'FEC Total'!U19*'GFEC Total'!$A19</f>
        <v>7129.4965413695782</v>
      </c>
      <c r="V19" s="3">
        <f ca="1">'FEC Total'!V19*'GFEC Total'!$A19</f>
        <v>7082.0145560528763</v>
      </c>
    </row>
    <row r="20" spans="1:23">
      <c r="A20" s="18">
        <v>1.0250285500143821</v>
      </c>
      <c r="B20" t="s">
        <v>88</v>
      </c>
      <c r="C20" t="s">
        <v>88</v>
      </c>
      <c r="D20" s="3">
        <f>'FEC Total'!D20*'GFEC Total'!$A20</f>
        <v>19210.628946664794</v>
      </c>
      <c r="E20" s="3">
        <f>'FEC Total'!E20*'GFEC Total'!$A20</f>
        <v>18920.637094551676</v>
      </c>
      <c r="F20" s="3">
        <f>'FEC Total'!F20*'GFEC Total'!$A20</f>
        <v>17881.121816039937</v>
      </c>
      <c r="G20" s="3">
        <f>'FEC Total'!G20*'GFEC Total'!$A20</f>
        <v>17876.020248946515</v>
      </c>
      <c r="H20" s="3">
        <f>'FEC Total'!H20*'GFEC Total'!$A20</f>
        <v>17495.56962729463</v>
      </c>
      <c r="I20" s="3">
        <f>'FEC Total'!I20*'GFEC Total'!$A20</f>
        <v>17886.823024835117</v>
      </c>
      <c r="J20" s="3">
        <f>'FEC Total'!J20*'GFEC Total'!$A20</f>
        <v>17931.08888276749</v>
      </c>
      <c r="K20" s="3">
        <f>'FEC Total'!K20*'GFEC Total'!$A20</f>
        <v>16884.84121673926</v>
      </c>
      <c r="L20" s="3">
        <f>'FEC Total'!L20*'GFEC Total'!$A20</f>
        <v>16999.546011600072</v>
      </c>
      <c r="M20" s="3">
        <f>'FEC Total'!M20*'GFEC Total'!$A20</f>
        <v>16626.874331614239</v>
      </c>
      <c r="N20" s="3">
        <f>'FEC Total'!N20*'GFEC Total'!$A20</f>
        <v>17835.323540425296</v>
      </c>
      <c r="O20" s="3">
        <f>'FEC Total'!O20*'GFEC Total'!$A20</f>
        <v>18188.339272936049</v>
      </c>
      <c r="P20" s="3">
        <f>'FEC Total'!P20*'GFEC Total'!$A20</f>
        <v>18961.140396138231</v>
      </c>
      <c r="Q20" s="3">
        <f>'FEC Total'!Q20*'GFEC Total'!$A20</f>
        <v>18991.418086063211</v>
      </c>
      <c r="R20" s="3">
        <f>'FEC Total'!R20*'GFEC Total'!$A20</f>
        <v>19067.955276159897</v>
      </c>
      <c r="S20" s="3">
        <f>'FEC Total'!S20*'GFEC Total'!$A20</f>
        <v>18463.506472930716</v>
      </c>
      <c r="T20" s="3">
        <f>'FEC Total'!T20*'GFEC Total'!$A20</f>
        <v>19572.828136368229</v>
      </c>
      <c r="U20" s="3">
        <f>'FEC Total'!U20*'GFEC Total'!$A20</f>
        <v>18771.629604589132</v>
      </c>
      <c r="V20" s="3">
        <f ca="1">'FEC Total'!V20*'GFEC Total'!$A20</f>
        <v>18120.042486199869</v>
      </c>
    </row>
    <row r="21" spans="1:23">
      <c r="A21" s="18">
        <v>1.0229225622091664</v>
      </c>
      <c r="B21" t="s">
        <v>133</v>
      </c>
      <c r="C21" t="s">
        <v>133</v>
      </c>
      <c r="D21" s="3">
        <f>'FEC Total'!D21*'GFEC Total'!$A21</f>
        <v>12904.057965519494</v>
      </c>
      <c r="E21" s="3">
        <f>'FEC Total'!E21*'GFEC Total'!$A21</f>
        <v>13437.01829733763</v>
      </c>
      <c r="F21" s="3">
        <f>'FEC Total'!F21*'GFEC Total'!$A21</f>
        <v>13504.154739115414</v>
      </c>
      <c r="G21" s="3">
        <f>'FEC Total'!G21*'GFEC Total'!$A21</f>
        <v>13516.01990787447</v>
      </c>
      <c r="H21" s="3">
        <f>'FEC Total'!H21*'GFEC Total'!$A21</f>
        <v>12059.460421304877</v>
      </c>
      <c r="I21" s="3">
        <f>'FEC Total'!I21*'GFEC Total'!$A21</f>
        <v>12185.660292693768</v>
      </c>
      <c r="J21" s="3">
        <f>'FEC Total'!J21*'GFEC Total'!$A21</f>
        <v>11292.528984479244</v>
      </c>
      <c r="K21" s="3">
        <f>'FEC Total'!K21*'GFEC Total'!$A21</f>
        <v>10983.156444257358</v>
      </c>
      <c r="L21" s="3">
        <f>'FEC Total'!L21*'GFEC Total'!$A21</f>
        <v>11118.723099785737</v>
      </c>
      <c r="M21" s="3">
        <f>'FEC Total'!M21*'GFEC Total'!$A21</f>
        <v>11158.226436658013</v>
      </c>
      <c r="N21" s="3">
        <f>'FEC Total'!N21*'GFEC Total'!$A21</f>
        <v>11583.834676082492</v>
      </c>
      <c r="O21" s="3">
        <f>'FEC Total'!O21*'GFEC Total'!$A21</f>
        <v>12024.770873768533</v>
      </c>
      <c r="P21" s="3">
        <f>'FEC Total'!P21*'GFEC Total'!$A21</f>
        <v>12120.714226974944</v>
      </c>
      <c r="Q21" s="3">
        <f>'FEC Total'!Q21*'GFEC Total'!$A21</f>
        <v>12675.078137125074</v>
      </c>
      <c r="R21" s="3">
        <f>'FEC Total'!R21*'GFEC Total'!$A21</f>
        <v>12659.704783852907</v>
      </c>
      <c r="S21" s="3">
        <f>'FEC Total'!S21*'GFEC Total'!$A21</f>
        <v>11439.086357057147</v>
      </c>
      <c r="T21" s="3">
        <f>'FEC Total'!T21*'GFEC Total'!$A21</f>
        <v>11684.432557879038</v>
      </c>
      <c r="U21" s="3">
        <f>'FEC Total'!U21*'GFEC Total'!$A21</f>
        <v>12236.856683468121</v>
      </c>
      <c r="V21" s="3">
        <f ca="1">'FEC Total'!V21*'GFEC Total'!$A21</f>
        <v>12044.767553722842</v>
      </c>
    </row>
    <row r="22" spans="1:23">
      <c r="A22" s="18">
        <v>1.0246398048129222</v>
      </c>
      <c r="B22" t="s">
        <v>157</v>
      </c>
      <c r="C22" t="s">
        <v>157</v>
      </c>
      <c r="D22" s="3">
        <f>'FEC Total'!D22*'GFEC Total'!$A22</f>
        <v>140596.69982910244</v>
      </c>
      <c r="E22" s="3">
        <f>'FEC Total'!E22*'GFEC Total'!$A22</f>
        <v>139002.07236902835</v>
      </c>
      <c r="F22" s="3">
        <f>'FEC Total'!F22*'GFEC Total'!$A22</f>
        <v>137941.08961497855</v>
      </c>
      <c r="G22" s="3">
        <f>'FEC Total'!G22*'GFEC Total'!$A22</f>
        <v>137587.65445926558</v>
      </c>
      <c r="H22" s="3">
        <f>'FEC Total'!H22*'GFEC Total'!$A22</f>
        <v>129282.42832423603</v>
      </c>
      <c r="I22" s="3">
        <f>'FEC Total'!I22*'GFEC Total'!$A22</f>
        <v>131672.25312083025</v>
      </c>
      <c r="J22" s="3">
        <f>'FEC Total'!J22*'GFEC Total'!$A22</f>
        <v>126219.72564174053</v>
      </c>
      <c r="K22" s="3">
        <f>'FEC Total'!K22*'GFEC Total'!$A22</f>
        <v>124818.00916699822</v>
      </c>
      <c r="L22" s="3">
        <f>'FEC Total'!L22*'GFEC Total'!$A22</f>
        <v>121475.18225754454</v>
      </c>
      <c r="M22" s="3">
        <f>'FEC Total'!M22*'GFEC Total'!$A22</f>
        <v>116101.6770494816</v>
      </c>
      <c r="N22" s="3">
        <f>'FEC Total'!N22*'GFEC Total'!$A22</f>
        <v>119088.11476666505</v>
      </c>
      <c r="O22" s="3">
        <f>'FEC Total'!O22*'GFEC Total'!$A22</f>
        <v>118776.46749611177</v>
      </c>
      <c r="P22" s="3">
        <f>'FEC Total'!P22*'GFEC Total'!$A22</f>
        <v>118023.66214289494</v>
      </c>
      <c r="Q22" s="3">
        <f>'FEC Total'!Q22*'GFEC Total'!$A22</f>
        <v>119191.83396536534</v>
      </c>
      <c r="R22" s="3">
        <f>'FEC Total'!R22*'GFEC Total'!$A22</f>
        <v>118197.87953188618</v>
      </c>
      <c r="S22" s="3">
        <f>'FEC Total'!S22*'GFEC Total'!$A22</f>
        <v>105269.50653368367</v>
      </c>
      <c r="T22" s="3">
        <f>'FEC Total'!T22*'GFEC Total'!$A22</f>
        <v>117164.63016619961</v>
      </c>
      <c r="U22" s="3">
        <f>'FEC Total'!U22*'GFEC Total'!$A22</f>
        <v>114701.2010775761</v>
      </c>
      <c r="V22" s="3">
        <f ca="1">'FEC Total'!V22*'GFEC Total'!$A22</f>
        <v>113243.79687093206</v>
      </c>
    </row>
    <row r="23" spans="1:23">
      <c r="A23" s="18">
        <v>1.0336105743768789</v>
      </c>
      <c r="B23" t="s">
        <v>137</v>
      </c>
      <c r="C23" t="s">
        <v>137</v>
      </c>
      <c r="D23" s="3">
        <f>'FEC Total'!D23*'GFEC Total'!$A23</f>
        <v>4825.7644612948952</v>
      </c>
      <c r="E23" s="3">
        <f>'FEC Total'!E23*'GFEC Total'!$A23</f>
        <v>5094.5166475703509</v>
      </c>
      <c r="F23" s="3">
        <f>'FEC Total'!F23*'GFEC Total'!$A23</f>
        <v>5387.2454983396274</v>
      </c>
      <c r="G23" s="3">
        <f>'FEC Total'!G23*'GFEC Total'!$A23</f>
        <v>5302.9731609895307</v>
      </c>
      <c r="H23" s="3">
        <f>'FEC Total'!H23*'GFEC Total'!$A23</f>
        <v>4798.3169324923183</v>
      </c>
      <c r="I23" s="3">
        <f>'FEC Total'!I23*'GFEC Total'!$A23</f>
        <v>4967.231639778136</v>
      </c>
      <c r="J23" s="3">
        <f>'FEC Total'!J23*'GFEC Total'!$A23</f>
        <v>4944.6999628672947</v>
      </c>
      <c r="K23" s="3">
        <f>'FEC Total'!K23*'GFEC Total'!$A23</f>
        <v>5066.6050276198785</v>
      </c>
      <c r="L23" s="3">
        <f>'FEC Total'!L23*'GFEC Total'!$A23</f>
        <v>4943.1433453422833</v>
      </c>
      <c r="M23" s="3">
        <f>'FEC Total'!M23*'GFEC Total'!$A23</f>
        <v>5041.7973402242578</v>
      </c>
      <c r="N23" s="3">
        <f>'FEC Total'!N23*'GFEC Total'!$A23</f>
        <v>5024.4833294928712</v>
      </c>
      <c r="O23" s="3">
        <f>'FEC Total'!O23*'GFEC Total'!$A23</f>
        <v>5270.5601669876469</v>
      </c>
      <c r="P23" s="3">
        <f>'FEC Total'!P23*'GFEC Total'!$A23</f>
        <v>5524.5875370205295</v>
      </c>
      <c r="Q23" s="3">
        <f>'FEC Total'!Q23*'GFEC Total'!$A23</f>
        <v>5755.2823681889004</v>
      </c>
      <c r="R23" s="3">
        <f>'FEC Total'!R23*'GFEC Total'!$A23</f>
        <v>5744.4397946461831</v>
      </c>
      <c r="S23" s="3">
        <f>'FEC Total'!S23*'GFEC Total'!$A23</f>
        <v>5486.6484968975237</v>
      </c>
      <c r="T23" s="3">
        <f>'FEC Total'!T23*'GFEC Total'!$A23</f>
        <v>5851.0403090858008</v>
      </c>
      <c r="U23" s="3">
        <f>'FEC Total'!U23*'GFEC Total'!$A23</f>
        <v>5575.4846029464215</v>
      </c>
      <c r="V23" s="3">
        <f ca="1">'FEC Total'!V23*'GFEC Total'!$A23</f>
        <v>5549.3277311598431</v>
      </c>
    </row>
    <row r="24" spans="1:23">
      <c r="A24" s="18">
        <v>1.0073534769141095</v>
      </c>
      <c r="B24" t="s">
        <v>184</v>
      </c>
      <c r="C24" t="s">
        <v>184</v>
      </c>
      <c r="D24" s="3">
        <f>'FEC Total'!D24*'GFEC Total'!$A24</f>
        <v>4511.3155440868859</v>
      </c>
      <c r="E24" s="3">
        <f>'FEC Total'!E24*'GFEC Total'!$A24</f>
        <v>4443.2774598276419</v>
      </c>
      <c r="F24" s="3">
        <f>'FEC Total'!F24*'GFEC Total'!$A24</f>
        <v>4374.776806493328</v>
      </c>
      <c r="G24" s="3">
        <f>'FEC Total'!G24*'GFEC Total'!$A24</f>
        <v>4415.5673435130111</v>
      </c>
      <c r="H24" s="3">
        <f>'FEC Total'!H24*'GFEC Total'!$A24</f>
        <v>4109.2017029123272</v>
      </c>
      <c r="I24" s="3">
        <f>'FEC Total'!I24*'GFEC Total'!$A24</f>
        <v>4357.8104080635185</v>
      </c>
      <c r="J24" s="3">
        <f>'FEC Total'!J24*'GFEC Total'!$A24</f>
        <v>4323.6849727281888</v>
      </c>
      <c r="K24" s="3">
        <f>'FEC Total'!K24*'GFEC Total'!$A24</f>
        <v>4201.482175518131</v>
      </c>
      <c r="L24" s="3">
        <f>'FEC Total'!L24*'GFEC Total'!$A24</f>
        <v>4156.5636282932928</v>
      </c>
      <c r="M24" s="3">
        <f>'FEC Total'!M24*'GFEC Total'!$A24</f>
        <v>4031.1385953595936</v>
      </c>
      <c r="N24" s="3">
        <f>'FEC Total'!N24*'GFEC Total'!$A24</f>
        <v>4020.3540981853289</v>
      </c>
      <c r="O24" s="3">
        <f>'FEC Total'!O24*'GFEC Total'!$A24</f>
        <v>4069.5662322092307</v>
      </c>
      <c r="P24" s="3">
        <f>'FEC Total'!P24*'GFEC Total'!$A24</f>
        <v>4211.0467448227619</v>
      </c>
      <c r="Q24" s="3">
        <f>'FEC Total'!Q24*'GFEC Total'!$A24</f>
        <v>4380.8618205934781</v>
      </c>
      <c r="R24" s="3">
        <f>'FEC Total'!R24*'GFEC Total'!$A24</f>
        <v>4421.2113143547258</v>
      </c>
      <c r="S24" s="3">
        <f>'FEC Total'!S24*'GFEC Total'!$A24</f>
        <v>3840.7644962771924</v>
      </c>
      <c r="T24" s="3">
        <f>'FEC Total'!T24*'GFEC Total'!$A24</f>
        <v>4088.2696264943738</v>
      </c>
      <c r="U24" s="3">
        <f>'FEC Total'!U24*'GFEC Total'!$A24</f>
        <v>3699.896255262734</v>
      </c>
      <c r="V24" s="3">
        <f ca="1">'FEC Total'!V24*'GFEC Total'!$A24</f>
        <v>3624.1433635804588</v>
      </c>
    </row>
    <row r="25" spans="1:23">
      <c r="A25" s="18">
        <v>1.0300534104853722</v>
      </c>
      <c r="B25" t="s">
        <v>93</v>
      </c>
      <c r="C25" t="s">
        <v>93</v>
      </c>
      <c r="D25" s="3">
        <f>'FEC Total'!D25*'GFEC Total'!$A25</f>
        <v>4139.0327177510571</v>
      </c>
      <c r="E25" s="3">
        <f>'FEC Total'!E25*'GFEC Total'!$A25</f>
        <v>4319.5866598613966</v>
      </c>
      <c r="F25" s="3">
        <f>'FEC Total'!F25*'GFEC Total'!$A25</f>
        <v>4485.311953074387</v>
      </c>
      <c r="G25" s="3">
        <f>'FEC Total'!G25*'GFEC Total'!$A25</f>
        <v>4278.1218598223068</v>
      </c>
      <c r="H25" s="3">
        <f>'FEC Total'!H25*'GFEC Total'!$A25</f>
        <v>4161.0521695070029</v>
      </c>
      <c r="I25" s="3">
        <f>'FEC Total'!I25*'GFEC Total'!$A25</f>
        <v>4243.7077753779904</v>
      </c>
      <c r="J25" s="3">
        <f>'FEC Total'!J25*'GFEC Total'!$A25</f>
        <v>3985.086085286966</v>
      </c>
      <c r="K25" s="3">
        <f>'FEC Total'!K25*'GFEC Total'!$A25</f>
        <v>4147.9921223154579</v>
      </c>
      <c r="L25" s="3">
        <f>'FEC Total'!L25*'GFEC Total'!$A25</f>
        <v>3970.9166705723287</v>
      </c>
      <c r="M25" s="3">
        <f>'FEC Total'!M25*'GFEC Total'!$A25</f>
        <v>4002.2344144647259</v>
      </c>
      <c r="N25" s="3">
        <f>'FEC Total'!N25*'GFEC Total'!$A25</f>
        <v>3901.3283222667583</v>
      </c>
      <c r="O25" s="3">
        <f>'FEC Total'!O25*'GFEC Total'!$A25</f>
        <v>3935.0697818340268</v>
      </c>
      <c r="P25" s="3">
        <f>'FEC Total'!P25*'GFEC Total'!$A25</f>
        <v>4134.7465675924595</v>
      </c>
      <c r="Q25" s="3">
        <f>'FEC Total'!Q25*'GFEC Total'!$A25</f>
        <v>4302.5494785343999</v>
      </c>
      <c r="R25" s="3">
        <f>'FEC Total'!R25*'GFEC Total'!$A25</f>
        <v>4203.1884664521604</v>
      </c>
      <c r="S25" s="3">
        <f>'FEC Total'!S25*'GFEC Total'!$A25</f>
        <v>3971.1596652596359</v>
      </c>
      <c r="T25" s="3">
        <f>'FEC Total'!T25*'GFEC Total'!$A25</f>
        <v>4179.3818364047484</v>
      </c>
      <c r="U25" s="3">
        <f>'FEC Total'!U25*'GFEC Total'!$A25</f>
        <v>4081.3176615663101</v>
      </c>
      <c r="V25" s="3">
        <f ca="1">'FEC Total'!V25*'GFEC Total'!$A25</f>
        <v>4016.2512757622994</v>
      </c>
    </row>
    <row r="26" spans="1:23">
      <c r="A26" s="18">
        <v>1.0140759224275242</v>
      </c>
      <c r="B26" t="s">
        <v>141</v>
      </c>
      <c r="C26" t="s">
        <v>141</v>
      </c>
      <c r="D26" s="3">
        <f>'FEC Total'!D26*'GFEC Total'!$A26</f>
        <v>470.88108419960878</v>
      </c>
      <c r="E26" s="3">
        <f>'FEC Total'!E26*'GFEC Total'!$A26</f>
        <v>472.84737741319566</v>
      </c>
      <c r="F26" s="3">
        <f>'FEC Total'!F26*'GFEC Total'!$A26</f>
        <v>487.0890596677678</v>
      </c>
      <c r="G26" s="3">
        <f>'FEC Total'!G26*'GFEC Total'!$A26</f>
        <v>508.21530335970044</v>
      </c>
      <c r="H26" s="3">
        <f>'FEC Total'!H26*'GFEC Total'!$A26</f>
        <v>459.25064744528743</v>
      </c>
      <c r="I26" s="3">
        <f>'FEC Total'!I26*'GFEC Total'!$A26</f>
        <v>510.10858310687269</v>
      </c>
      <c r="J26" s="3">
        <f>'FEC Total'!J26*'GFEC Total'!$A26</f>
        <v>500.16151238378109</v>
      </c>
      <c r="K26" s="3">
        <f>'FEC Total'!K26*'GFEC Total'!$A26</f>
        <v>514.01480356006346</v>
      </c>
      <c r="L26" s="3">
        <f>'FEC Total'!L26*'GFEC Total'!$A26</f>
        <v>533.27413347880713</v>
      </c>
      <c r="M26" s="3">
        <f>'FEC Total'!M26*'GFEC Total'!$A26</f>
        <v>555.37186190442515</v>
      </c>
      <c r="N26" s="3">
        <f>'FEC Total'!N26*'GFEC Total'!$A26</f>
        <v>586.53948538023519</v>
      </c>
      <c r="O26" s="3">
        <f>'FEC Total'!O26*'GFEC Total'!$A26</f>
        <v>591.23769912884188</v>
      </c>
      <c r="P26" s="3">
        <f>'FEC Total'!P26*'GFEC Total'!$A26</f>
        <v>631.02511966429677</v>
      </c>
      <c r="Q26" s="3">
        <f>'FEC Total'!Q26+12.549</f>
        <v>673.21364087130996</v>
      </c>
      <c r="R26" s="3">
        <f>'FEC Total'!R26+13.904</f>
        <v>711.59520559854798</v>
      </c>
      <c r="S26" s="3">
        <f>'FEC Total'!S26+11.088</f>
        <v>556.561364096685</v>
      </c>
      <c r="T26" s="3">
        <f>'FEC Total'!T26+11.088</f>
        <v>596.84355335817293</v>
      </c>
      <c r="U26" s="3">
        <f>'FEC Total'!U26*'GFEC Total'!$A26</f>
        <v>708.56603678609144</v>
      </c>
      <c r="V26" s="127">
        <f ca="1">'FEC Total'!V26*'GFEC Total'!$A26</f>
        <v>687.88054453349832</v>
      </c>
      <c r="W26" t="s">
        <v>224</v>
      </c>
    </row>
    <row r="27" spans="1:23">
      <c r="A27" s="18">
        <v>1.013205350986542</v>
      </c>
      <c r="B27" t="s">
        <v>145</v>
      </c>
      <c r="C27" t="s">
        <v>145</v>
      </c>
      <c r="D27" s="3">
        <f>'FEC Total'!D27*'GFEC Total'!$A27</f>
        <v>55125.698687307035</v>
      </c>
      <c r="E27" s="3">
        <f>'FEC Total'!E27*'GFEC Total'!$A27</f>
        <v>54794.371811887759</v>
      </c>
      <c r="F27" s="3">
        <f>'FEC Total'!F27*'GFEC Total'!$A27</f>
        <v>54059.698077729488</v>
      </c>
      <c r="G27" s="3">
        <f>'FEC Total'!G27*'GFEC Total'!$A27</f>
        <v>54905.077513369375</v>
      </c>
      <c r="H27" s="3">
        <f>'FEC Total'!H27*'GFEC Total'!$A27</f>
        <v>52673.651286279433</v>
      </c>
      <c r="I27" s="3">
        <f>'FEC Total'!I27*'GFEC Total'!$A27</f>
        <v>56369.129805477794</v>
      </c>
      <c r="J27" s="3">
        <f>'FEC Total'!J27*'GFEC Total'!$A27</f>
        <v>52670.065720780585</v>
      </c>
      <c r="K27" s="3">
        <f>'FEC Total'!K27*'GFEC Total'!$A27</f>
        <v>52780.492756717191</v>
      </c>
      <c r="L27" s="3">
        <f>'FEC Total'!L27*'GFEC Total'!$A27</f>
        <v>52601.378395984982</v>
      </c>
      <c r="M27" s="3">
        <f>'FEC Total'!M27*'GFEC Total'!$A27</f>
        <v>48151.364002446491</v>
      </c>
      <c r="N27" s="3">
        <f>'FEC Total'!N27*'GFEC Total'!$A27</f>
        <v>49267.195940721118</v>
      </c>
      <c r="O27" s="3">
        <f>'FEC Total'!O27*'GFEC Total'!$A27</f>
        <v>50320.733564493654</v>
      </c>
      <c r="P27" s="3">
        <f>'FEC Total'!P27*'GFEC Total'!$A27</f>
        <v>50693.705360548403</v>
      </c>
      <c r="Q27" s="3">
        <f>'FEC Total'!Q27*'GFEC Total'!$A27</f>
        <v>51051.103255657792</v>
      </c>
      <c r="R27" s="3">
        <f>'FEC Total'!R27*'GFEC Total'!$A27</f>
        <v>50133.725251756725</v>
      </c>
      <c r="S27" s="3">
        <f>'FEC Total'!S27*'GFEC Total'!$A27</f>
        <v>45735.37517142087</v>
      </c>
      <c r="T27" s="3">
        <f>'FEC Total'!T27*'GFEC Total'!$A27</f>
        <v>47402.515860646199</v>
      </c>
      <c r="U27" s="3">
        <f>'FEC Total'!U27*'GFEC Total'!$A27</f>
        <v>44015.648117372381</v>
      </c>
      <c r="V27" s="3">
        <f ca="1">'FEC Total'!V27*'GFEC Total'!$A27</f>
        <v>43721.135646819552</v>
      </c>
    </row>
    <row r="28" spans="1:23">
      <c r="A28" s="18">
        <v>1.0203976218903605</v>
      </c>
      <c r="B28" t="s">
        <v>185</v>
      </c>
      <c r="C28" t="s">
        <v>185</v>
      </c>
      <c r="D28" s="3">
        <f>'FEC Total'!D28*'GFEC Total'!$A28</f>
        <v>59683.892610019517</v>
      </c>
      <c r="E28" s="3">
        <f>'FEC Total'!E28*'GFEC Total'!$A28</f>
        <v>62465.99142013926</v>
      </c>
      <c r="F28" s="3">
        <f>'FEC Total'!F28*'GFEC Total'!$A28</f>
        <v>62873.256600578621</v>
      </c>
      <c r="G28" s="3">
        <f>'FEC Total'!G28*'GFEC Total'!$A28</f>
        <v>63761.523954808021</v>
      </c>
      <c r="H28" s="3">
        <f>'FEC Total'!H28*'GFEC Total'!$A28</f>
        <v>62773.04952301686</v>
      </c>
      <c r="I28" s="3">
        <f>'FEC Total'!I28*'GFEC Total'!$A28</f>
        <v>67634.77231733012</v>
      </c>
      <c r="J28" s="3">
        <f>'FEC Total'!J28*'GFEC Total'!$A28</f>
        <v>65991.420285705302</v>
      </c>
      <c r="K28" s="3">
        <f>'FEC Total'!K28*'GFEC Total'!$A28</f>
        <v>65741.083861095249</v>
      </c>
      <c r="L28" s="3">
        <f>'FEC Total'!L28*'GFEC Total'!$A28</f>
        <v>64536.964716914728</v>
      </c>
      <c r="M28" s="3">
        <f>'FEC Total'!M28*'GFEC Total'!$A28</f>
        <v>62802.858328456889</v>
      </c>
      <c r="N28" s="3">
        <f>'FEC Total'!N28*'GFEC Total'!$A28</f>
        <v>63569.261026009757</v>
      </c>
      <c r="O28" s="3">
        <f>'FEC Total'!O28*'GFEC Total'!$A28</f>
        <v>67959.871652535599</v>
      </c>
      <c r="P28" s="3">
        <f>'FEC Total'!P28*'GFEC Total'!$A28</f>
        <v>72344.697793708227</v>
      </c>
      <c r="Q28" s="3">
        <f>'FEC Total'!Q28*'GFEC Total'!$A28</f>
        <v>76406.574422167774</v>
      </c>
      <c r="R28" s="3">
        <f>'FEC Total'!R28*'GFEC Total'!$A28</f>
        <v>75234.380491431453</v>
      </c>
      <c r="S28" s="3">
        <f>'FEC Total'!S28*'GFEC Total'!$A28</f>
        <v>72576.230952617421</v>
      </c>
      <c r="T28" s="3">
        <f>'FEC Total'!T28*'GFEC Total'!$A28</f>
        <v>76695.104131573855</v>
      </c>
      <c r="U28" s="3">
        <f>'FEC Total'!U28*'GFEC Total'!$A28</f>
        <v>73909.61344586371</v>
      </c>
      <c r="V28" s="3">
        <f ca="1">'FEC Total'!V28*'GFEC Total'!$A28</f>
        <v>73035.568343892242</v>
      </c>
    </row>
    <row r="29" spans="1:23">
      <c r="A29" s="18">
        <v>1.027559150762448</v>
      </c>
      <c r="B29" t="s">
        <v>149</v>
      </c>
      <c r="C29" t="s">
        <v>149</v>
      </c>
      <c r="D29" s="3">
        <f>'FEC Total'!D29*'GFEC Total'!$A29</f>
        <v>19535.246586040786</v>
      </c>
      <c r="E29" s="3">
        <f>'FEC Total'!E29*'GFEC Total'!$A29</f>
        <v>19260.283060447415</v>
      </c>
      <c r="F29" s="3">
        <f>'FEC Total'!F29*'GFEC Total'!$A29</f>
        <v>19481.214443216242</v>
      </c>
      <c r="G29" s="3">
        <f>'FEC Total'!G29*'GFEC Total'!$A29</f>
        <v>18953.997476820499</v>
      </c>
      <c r="H29" s="3">
        <f>'FEC Total'!H29*'GFEC Total'!$A29</f>
        <v>18740.613516014018</v>
      </c>
      <c r="I29" s="3">
        <f>'FEC Total'!I29*'GFEC Total'!$A29</f>
        <v>18647.818759345268</v>
      </c>
      <c r="J29" s="3">
        <f>'FEC Total'!J29*'GFEC Total'!$A29</f>
        <v>17834.669073421759</v>
      </c>
      <c r="K29" s="3">
        <f>'FEC Total'!K29*'GFEC Total'!$A29</f>
        <v>16476.803088765024</v>
      </c>
      <c r="L29" s="3">
        <f>'FEC Total'!L29*'GFEC Total'!$A29</f>
        <v>16278.484172667871</v>
      </c>
      <c r="M29" s="3">
        <f>'FEC Total'!M29*'GFEC Total'!$A29</f>
        <v>16192.051685871804</v>
      </c>
      <c r="N29" s="3">
        <f>'FEC Total'!N29*'GFEC Total'!$A29</f>
        <v>16437.394589643256</v>
      </c>
      <c r="O29" s="3">
        <f>'FEC Total'!O29*'GFEC Total'!$A29</f>
        <v>16631.624576141319</v>
      </c>
      <c r="P29" s="3">
        <f>'FEC Total'!P29*'GFEC Total'!$A29</f>
        <v>17013.105071693481</v>
      </c>
      <c r="Q29" s="3">
        <f>'FEC Total'!Q29*'GFEC Total'!$A29</f>
        <v>17331.517951809408</v>
      </c>
      <c r="R29" s="3">
        <f>'FEC Total'!R29*'GFEC Total'!$A29</f>
        <v>17603.80788453099</v>
      </c>
      <c r="S29" s="3">
        <f>'FEC Total'!S29*'GFEC Total'!$A29</f>
        <v>15373.411223538622</v>
      </c>
      <c r="T29" s="3">
        <f>'FEC Total'!T29*'GFEC Total'!$A29</f>
        <v>16115.315475863337</v>
      </c>
      <c r="U29" s="3">
        <f>'FEC Total'!U29*'GFEC Total'!$A29</f>
        <v>17171.306867405347</v>
      </c>
      <c r="V29" s="3">
        <f ca="1">'FEC Total'!V29*'GFEC Total'!$A29</f>
        <v>17595.091012919976</v>
      </c>
    </row>
    <row r="30" spans="1:23">
      <c r="A30" s="18">
        <v>1.0338708693379275</v>
      </c>
      <c r="B30" t="s">
        <v>186</v>
      </c>
      <c r="C30" t="s">
        <v>186</v>
      </c>
      <c r="D30" s="3">
        <f>'FEC Total'!D30*'GFEC Total'!$A30</f>
        <v>25433.262672806053</v>
      </c>
      <c r="E30" s="3">
        <f>'FEC Total'!E30*'GFEC Total'!$A30</f>
        <v>25607.132872386086</v>
      </c>
      <c r="F30" s="3">
        <f>'FEC Total'!F30*'GFEC Total'!$A30</f>
        <v>24953.344984613734</v>
      </c>
      <c r="G30" s="3">
        <f>'FEC Total'!G30*'GFEC Total'!$A30</f>
        <v>25518.972635615908</v>
      </c>
      <c r="H30" s="3">
        <f>'FEC Total'!H30*'GFEC Total'!$A30</f>
        <v>22997.520801414576</v>
      </c>
      <c r="I30" s="3">
        <f>'FEC Total'!I30*'GFEC Total'!$A30</f>
        <v>23303.187825546942</v>
      </c>
      <c r="J30" s="3">
        <f>'FEC Total'!J30*'GFEC Total'!$A30</f>
        <v>23505.994003018008</v>
      </c>
      <c r="K30" s="3">
        <f>'FEC Total'!K30*'GFEC Total'!$A30</f>
        <v>23533.638676193237</v>
      </c>
      <c r="L30" s="3">
        <f>'FEC Total'!L30*'GFEC Total'!$A30</f>
        <v>22534.718845464144</v>
      </c>
      <c r="M30" s="3">
        <f>'FEC Total'!M30*'GFEC Total'!$A30</f>
        <v>22420.135970886295</v>
      </c>
      <c r="N30" s="3">
        <f>'FEC Total'!N30*'GFEC Total'!$A30</f>
        <v>22589.876890214196</v>
      </c>
      <c r="O30" s="3">
        <f>'FEC Total'!O30*'GFEC Total'!$A30</f>
        <v>22989.684060224994</v>
      </c>
      <c r="P30" s="3">
        <f>'FEC Total'!P30*'GFEC Total'!$A30</f>
        <v>24115.471219201412</v>
      </c>
      <c r="Q30" s="3">
        <f>'FEC Total'!Q30*'GFEC Total'!$A30</f>
        <v>24391.291425206862</v>
      </c>
      <c r="R30" s="3">
        <f>'FEC Total'!R30*'GFEC Total'!$A30</f>
        <v>24684.215990874636</v>
      </c>
      <c r="S30" s="3">
        <f>'FEC Total'!S30*'GFEC Total'!$A30</f>
        <v>24326.303336231147</v>
      </c>
      <c r="T30" s="3">
        <f>'FEC Total'!T30*'GFEC Total'!$A30</f>
        <v>26232.084033870869</v>
      </c>
      <c r="U30" s="3">
        <f>'FEC Total'!U30*'GFEC Total'!$A30</f>
        <v>24833.144055731897</v>
      </c>
      <c r="V30" s="3">
        <f ca="1">'FEC Total'!V30*'GFEC Total'!$A30</f>
        <v>24232.770877804396</v>
      </c>
    </row>
    <row r="31" spans="1:23">
      <c r="A31" s="18">
        <v>1.0514277621852197</v>
      </c>
      <c r="B31" t="s">
        <v>187</v>
      </c>
      <c r="C31" t="s">
        <v>187</v>
      </c>
      <c r="D31" s="3">
        <f>'FEC Total'!D31*'GFEC Total'!$A31</f>
        <v>34953.494194787971</v>
      </c>
      <c r="E31" s="3">
        <f>'FEC Total'!E31*'GFEC Total'!$A31</f>
        <v>34854.188945505099</v>
      </c>
      <c r="F31" s="3">
        <f>'FEC Total'!F31*'GFEC Total'!$A31</f>
        <v>35003.299276454927</v>
      </c>
      <c r="G31" s="3">
        <f>'FEC Total'!G31*'GFEC Total'!$A31</f>
        <v>34369.945478208596</v>
      </c>
      <c r="H31" s="3">
        <f>'FEC Total'!H31*'GFEC Total'!$A31</f>
        <v>33008.977382836056</v>
      </c>
      <c r="I31" s="3">
        <f>'FEC Total'!I31*'GFEC Total'!$A31</f>
        <v>35740.084126522925</v>
      </c>
      <c r="J31" s="3">
        <f>'FEC Total'!J31*'GFEC Total'!$A31</f>
        <v>34214.578668298403</v>
      </c>
      <c r="K31" s="3">
        <f>'FEC Total'!K31*'GFEC Total'!$A31</f>
        <v>34249.254045199712</v>
      </c>
      <c r="L31" s="3">
        <f>'FEC Total'!L31*'GFEC Total'!$A31</f>
        <v>33676.314899831305</v>
      </c>
      <c r="M31" s="3">
        <f>'FEC Total'!M31*'GFEC Total'!$A31</f>
        <v>32825.232470321855</v>
      </c>
      <c r="N31" s="3">
        <f>'FEC Total'!N31*'GFEC Total'!$A31</f>
        <v>33437.72278748313</v>
      </c>
      <c r="O31" s="3">
        <f>'FEC Total'!O31*'GFEC Total'!$A31</f>
        <v>33918.069905079326</v>
      </c>
      <c r="P31" s="3">
        <f>'FEC Total'!P31*'GFEC Total'!$A31</f>
        <v>33769.438687370042</v>
      </c>
      <c r="Q31" s="3">
        <f>'FEC Total'!Q31*'GFEC Total'!$A31</f>
        <v>33576.587216567175</v>
      </c>
      <c r="R31" s="3">
        <f>'FEC Total'!R31*'GFEC Total'!$A31</f>
        <v>33156.487151330541</v>
      </c>
      <c r="S31" s="3">
        <f>'FEC Total'!S31*'GFEC Total'!$A31</f>
        <v>32097.494330233803</v>
      </c>
      <c r="T31" s="3">
        <f>'FEC Total'!T31*'GFEC Total'!$A31</f>
        <v>33334.699523787473</v>
      </c>
      <c r="U31" s="3">
        <f>'FEC Total'!U31*'GFEC Total'!$A31</f>
        <v>32562.252640903775</v>
      </c>
      <c r="V31" s="3">
        <f ca="1">'FEC Total'!V31*'GFEC Total'!$A31</f>
        <v>32515.105117553678</v>
      </c>
    </row>
    <row r="32" spans="1:23">
      <c r="A32" s="18">
        <v>1.0209238086077448</v>
      </c>
      <c r="B32" t="s">
        <v>79</v>
      </c>
      <c r="C32" t="s">
        <v>79</v>
      </c>
      <c r="D32" s="3">
        <f>'FEC Total'!D32*'GFEC Total'!$A32</f>
        <v>5239.063785128008</v>
      </c>
      <c r="E32" s="3">
        <f>'FEC Total'!E32*'GFEC Total'!$A32</f>
        <v>5228.2909924177857</v>
      </c>
      <c r="F32" s="3">
        <f>'FEC Total'!F32*'GFEC Total'!$A32</f>
        <v>5252.2336807032834</v>
      </c>
      <c r="G32" s="3">
        <f>'FEC Total'!G32*'GFEC Total'!$A32</f>
        <v>5617.3395994985558</v>
      </c>
      <c r="H32" s="3">
        <f>'FEC Total'!H32*'GFEC Total'!$A32</f>
        <v>4965.8842667426024</v>
      </c>
      <c r="I32" s="3">
        <f>'FEC Total'!I32*'GFEC Total'!$A32</f>
        <v>5172.8254609086889</v>
      </c>
      <c r="J32" s="3">
        <f>'FEC Total'!J32*'GFEC Total'!$A32</f>
        <v>5155.9667622967136</v>
      </c>
      <c r="K32" s="3">
        <f>'FEC Total'!K32*'GFEC Total'!$A32</f>
        <v>5020.6015795103676</v>
      </c>
      <c r="L32" s="3">
        <f>'FEC Total'!L32*'GFEC Total'!$A32</f>
        <v>4910.9311791950122</v>
      </c>
      <c r="M32" s="3">
        <f>'FEC Total'!M32*'GFEC Total'!$A32</f>
        <v>4709.722776823507</v>
      </c>
      <c r="N32" s="3">
        <f>'FEC Total'!N32*'GFEC Total'!$A32</f>
        <v>4811.1250571790242</v>
      </c>
      <c r="O32" s="3">
        <f>'FEC Total'!O32*'GFEC Total'!$A32</f>
        <v>4983.5987587605623</v>
      </c>
      <c r="P32" s="3">
        <f>'FEC Total'!P32*'GFEC Total'!$A32</f>
        <v>5052.5353407141993</v>
      </c>
      <c r="Q32" s="3">
        <f>'FEC Total'!Q32*'GFEC Total'!$A32</f>
        <v>5053.7010783758305</v>
      </c>
      <c r="R32" s="3">
        <f>'FEC Total'!R32*'GFEC Total'!$A32</f>
        <v>4952.0548462913566</v>
      </c>
      <c r="S32" s="3">
        <f>'FEC Total'!S32*'GFEC Total'!$A32</f>
        <v>4499.7858390201</v>
      </c>
      <c r="T32" s="3">
        <f>'FEC Total'!T32*'GFEC Total'!$A32</f>
        <v>4818.7423424537619</v>
      </c>
      <c r="U32" s="3">
        <f>'FEC Total'!U32*'GFEC Total'!$A32</f>
        <v>4815.1081962464086</v>
      </c>
      <c r="V32" s="3">
        <f ca="1">'FEC Total'!V32*'GFEC Total'!$A32</f>
        <v>4615.6994061805326</v>
      </c>
    </row>
    <row r="33" spans="1:22">
      <c r="A33" s="18">
        <v>1.0313760066724849</v>
      </c>
      <c r="B33" t="s">
        <v>188</v>
      </c>
      <c r="C33" t="s">
        <v>188</v>
      </c>
      <c r="D33" s="3">
        <f>'FEC Total'!D33*'GFEC Total'!$A33</f>
        <v>11920.148824637377</v>
      </c>
      <c r="E33" s="3">
        <f>'FEC Total'!E33*'GFEC Total'!$A33</f>
        <v>11724.999076286857</v>
      </c>
      <c r="F33" s="3">
        <f>'FEC Total'!F33*'GFEC Total'!$A33</f>
        <v>11555.291311268931</v>
      </c>
      <c r="G33" s="3">
        <f>'FEC Total'!G33*'GFEC Total'!$A33</f>
        <v>11806.645895103071</v>
      </c>
      <c r="H33" s="3">
        <f>'FEC Total'!H33*'GFEC Total'!$A33</f>
        <v>10958.882664770466</v>
      </c>
      <c r="I33" s="3">
        <f>'FEC Total'!I33*'GFEC Total'!$A33</f>
        <v>12639.75533513287</v>
      </c>
      <c r="J33" s="3">
        <f>'FEC Total'!J33*'GFEC Total'!$A33</f>
        <v>11794.238441742798</v>
      </c>
      <c r="K33" s="3">
        <f>'FEC Total'!K33*'GFEC Total'!$A33</f>
        <v>11438.424033200861</v>
      </c>
      <c r="L33" s="3">
        <f>'FEC Total'!L33*'GFEC Total'!$A33</f>
        <v>11639.715625671113</v>
      </c>
      <c r="M33" s="3">
        <f>'FEC Total'!M33*'GFEC Total'!$A33</f>
        <v>10654.070831134488</v>
      </c>
      <c r="N33" s="3">
        <f>'FEC Total'!N33*'GFEC Total'!$A33</f>
        <v>10984.635092281074</v>
      </c>
      <c r="O33" s="3">
        <f>'FEC Total'!O33*'GFEC Total'!$A33</f>
        <v>11408.618297984031</v>
      </c>
      <c r="P33" s="3">
        <f>'FEC Total'!P33*'GFEC Total'!$A33</f>
        <v>12131.563372613124</v>
      </c>
      <c r="Q33" s="3">
        <f>'FEC Total'!Q33*'GFEC Total'!$A33</f>
        <v>11965.52214929892</v>
      </c>
      <c r="R33" s="3">
        <f>'FEC Total'!R33*'GFEC Total'!$A33</f>
        <v>11513.741849265563</v>
      </c>
      <c r="S33" s="3">
        <f>'FEC Total'!S33*'GFEC Total'!$A33</f>
        <v>10696.340261186197</v>
      </c>
      <c r="T33" s="3">
        <f>'FEC Total'!T33*'GFEC Total'!$A33</f>
        <v>11950.475586832041</v>
      </c>
      <c r="U33" s="3">
        <f>'FEC Total'!U33*'GFEC Total'!$A33</f>
        <v>10976.971277026054</v>
      </c>
      <c r="V33" s="3">
        <f ca="1">'FEC Total'!V33*'GFEC Total'!$A33</f>
        <v>10953.676197723367</v>
      </c>
    </row>
    <row r="34" spans="1:22">
      <c r="A34" s="18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>
      <c r="B35" s="40"/>
      <c r="C35" s="40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</row>
    <row r="36" spans="1:22">
      <c r="B36" s="40" t="s">
        <v>190</v>
      </c>
      <c r="C36" s="40" t="s">
        <v>190</v>
      </c>
      <c r="D36" s="41">
        <f>SUM(D7:D33)</f>
        <v>1066199.3774791348</v>
      </c>
      <c r="E36" s="41">
        <f t="shared" ref="E36:V36" si="0">SUM(E7:E33)</f>
        <v>1071978.4341387111</v>
      </c>
      <c r="F36" s="41">
        <f t="shared" si="0"/>
        <v>1054342.7398667799</v>
      </c>
      <c r="G36" s="41">
        <f t="shared" si="0"/>
        <v>1062590.6223986696</v>
      </c>
      <c r="H36" s="41">
        <f t="shared" si="0"/>
        <v>1005307.9338037426</v>
      </c>
      <c r="I36" s="41">
        <f t="shared" si="0"/>
        <v>1050699.1163771194</v>
      </c>
      <c r="J36" s="41">
        <f t="shared" si="0"/>
        <v>1009832.2680910387</v>
      </c>
      <c r="K36" s="41">
        <f t="shared" si="0"/>
        <v>1007649.4626567981</v>
      </c>
      <c r="L36" s="41">
        <f t="shared" si="0"/>
        <v>1005175.6520535641</v>
      </c>
      <c r="M36" s="41">
        <f t="shared" si="0"/>
        <v>962481.02320631489</v>
      </c>
      <c r="N36" s="41">
        <f t="shared" si="0"/>
        <v>982463.91633376549</v>
      </c>
      <c r="O36" s="41">
        <f t="shared" si="0"/>
        <v>1001919.5188430732</v>
      </c>
      <c r="P36" s="41">
        <f t="shared" si="0"/>
        <v>1014427.6898705151</v>
      </c>
      <c r="Q36" s="41">
        <f t="shared" si="0"/>
        <v>1016925.6205238777</v>
      </c>
      <c r="R36" s="41">
        <f t="shared" ref="R36:S36" si="1">SUM(R7:R33)</f>
        <v>1010923.1308532995</v>
      </c>
      <c r="S36" s="41">
        <f t="shared" si="1"/>
        <v>928771.22878265218</v>
      </c>
      <c r="T36" s="41">
        <f t="shared" ref="T36" si="2">SUM(T7:T33)</f>
        <v>991127.59513256198</v>
      </c>
      <c r="U36" s="41">
        <f t="shared" ref="U36" si="3">SUM(U7:U33)</f>
        <v>963812.60654845112</v>
      </c>
      <c r="V36" s="41">
        <f t="shared" ca="1" si="0"/>
        <v>947373.1531768546</v>
      </c>
    </row>
    <row r="40" spans="1:22">
      <c r="A40" s="5" t="s">
        <v>191</v>
      </c>
      <c r="D40" t="s">
        <v>173</v>
      </c>
    </row>
    <row r="41" spans="1:22">
      <c r="A41" t="str">
        <f t="shared" ref="A41:P56" si="4">A6</f>
        <v>GFEC/FEC</v>
      </c>
      <c r="B41" t="str">
        <f t="shared" si="4"/>
        <v>MS Code 1</v>
      </c>
      <c r="C41" t="str">
        <f t="shared" si="4"/>
        <v>MS Code 2</v>
      </c>
      <c r="D41" s="1">
        <f t="shared" si="4"/>
        <v>2005</v>
      </c>
      <c r="E41" s="1">
        <f t="shared" si="4"/>
        <v>2006</v>
      </c>
      <c r="F41" s="1">
        <f t="shared" si="4"/>
        <v>2007</v>
      </c>
      <c r="G41" s="1">
        <f t="shared" si="4"/>
        <v>2008</v>
      </c>
      <c r="H41" s="1">
        <f t="shared" si="4"/>
        <v>2009</v>
      </c>
      <c r="I41" s="1">
        <f t="shared" si="4"/>
        <v>2010</v>
      </c>
      <c r="J41" s="1">
        <f>J6</f>
        <v>2011</v>
      </c>
      <c r="K41" s="1">
        <f t="shared" si="4"/>
        <v>2012</v>
      </c>
      <c r="L41" s="1">
        <f t="shared" si="4"/>
        <v>2013</v>
      </c>
      <c r="M41" s="1">
        <f t="shared" si="4"/>
        <v>2014</v>
      </c>
      <c r="N41" s="1">
        <f t="shared" si="4"/>
        <v>2015</v>
      </c>
      <c r="O41" s="1">
        <f t="shared" si="4"/>
        <v>2016</v>
      </c>
      <c r="P41" s="1">
        <f t="shared" si="4"/>
        <v>2017</v>
      </c>
      <c r="Q41" s="1">
        <f t="shared" ref="Q41:S41" si="5">Q6</f>
        <v>2018</v>
      </c>
      <c r="R41" s="1">
        <f t="shared" si="5"/>
        <v>2019</v>
      </c>
      <c r="S41" s="1">
        <f t="shared" si="5"/>
        <v>2020</v>
      </c>
      <c r="T41" s="1">
        <f t="shared" ref="T41:U41" si="6">T6</f>
        <v>2021</v>
      </c>
      <c r="U41" s="1">
        <f t="shared" si="6"/>
        <v>2022</v>
      </c>
      <c r="V41" s="2">
        <f>YearProxy</f>
        <v>2023</v>
      </c>
    </row>
    <row r="42" spans="1:22">
      <c r="A42" s="42">
        <f>A7</f>
        <v>1.022217752821025</v>
      </c>
      <c r="B42" t="str">
        <f t="shared" si="4"/>
        <v>AT</v>
      </c>
      <c r="C42" t="str">
        <f t="shared" si="4"/>
        <v>AT</v>
      </c>
      <c r="D42" s="3"/>
      <c r="E42" s="4">
        <f t="shared" ref="E42:N57" si="7">IFERROR(E7/D7-1,0)</f>
        <v>4.1930090637980033E-2</v>
      </c>
      <c r="F42" s="4">
        <f t="shared" si="7"/>
        <v>-1.0355147883778892E-2</v>
      </c>
      <c r="G42" s="4">
        <f t="shared" si="7"/>
        <v>5.7528942891702517E-3</v>
      </c>
      <c r="H42" s="4">
        <f t="shared" si="7"/>
        <v>-4.8539102919500032E-2</v>
      </c>
      <c r="I42" s="4">
        <f t="shared" si="7"/>
        <v>6.1316269550363955E-2</v>
      </c>
      <c r="J42" s="4">
        <f t="shared" si="7"/>
        <v>-2.9910423784668017E-2</v>
      </c>
      <c r="K42" s="4">
        <f t="shared" si="7"/>
        <v>1.4341240171069636E-3</v>
      </c>
      <c r="L42" s="4">
        <f t="shared" si="7"/>
        <v>2.4114639653601833E-2</v>
      </c>
      <c r="M42" s="4">
        <f t="shared" si="7"/>
        <v>-3.900299629328996E-2</v>
      </c>
      <c r="N42" s="4">
        <f t="shared" si="7"/>
        <v>2.6760643593897626E-2</v>
      </c>
      <c r="O42" s="4">
        <f t="shared" ref="O42:R68" si="8">IFERROR(O7/N7-1,0)</f>
        <v>2.0748620576045429E-2</v>
      </c>
      <c r="P42" s="4">
        <f t="shared" si="8"/>
        <v>1.6244127937903308E-2</v>
      </c>
      <c r="Q42" s="4">
        <f t="shared" si="8"/>
        <v>-2.3748639162128993E-2</v>
      </c>
      <c r="R42" s="4">
        <f t="shared" si="8"/>
        <v>1.7300181293805172E-2</v>
      </c>
      <c r="S42" s="4">
        <f t="shared" ref="S42:T71" si="9">IFERROR(S7/R7-1,0)</f>
        <v>-7.7480144537536932E-2</v>
      </c>
      <c r="T42" s="4">
        <f t="shared" ref="T42:T68" si="10">IFERROR(T7/S7-1,0)</f>
        <v>6.772642218642666E-2</v>
      </c>
      <c r="U42" s="4">
        <f t="shared" ref="U42:V68" si="11">IFERROR(U7/T7-1,0)</f>
        <v>-5.6260752915364254E-2</v>
      </c>
      <c r="V42" s="4">
        <f t="shared" ca="1" si="11"/>
        <v>-3.8454804587714331E-2</v>
      </c>
    </row>
    <row r="43" spans="1:22">
      <c r="A43" s="42">
        <f>A8</f>
        <v>1.0103603509024646</v>
      </c>
      <c r="B43" t="str">
        <f t="shared" si="4"/>
        <v>BE</v>
      </c>
      <c r="C43" t="str">
        <f t="shared" si="4"/>
        <v>BE</v>
      </c>
      <c r="D43" s="3"/>
      <c r="E43" s="4">
        <f t="shared" si="7"/>
        <v>-9.6654435935314975E-3</v>
      </c>
      <c r="F43" s="4">
        <f t="shared" si="7"/>
        <v>-3.4395887457355223E-2</v>
      </c>
      <c r="G43" s="4">
        <f t="shared" si="7"/>
        <v>4.818528472066097E-2</v>
      </c>
      <c r="H43" s="4">
        <f t="shared" si="7"/>
        <v>-5.8309647314660595E-2</v>
      </c>
      <c r="I43" s="4">
        <f t="shared" si="7"/>
        <v>9.7092270237089329E-2</v>
      </c>
      <c r="J43" s="4">
        <f t="shared" si="7"/>
        <v>-7.2661547827050255E-2</v>
      </c>
      <c r="K43" s="4">
        <f t="shared" si="7"/>
        <v>3.7383910313522062E-3</v>
      </c>
      <c r="L43" s="4">
        <f t="shared" si="7"/>
        <v>3.3454922348014504E-2</v>
      </c>
      <c r="M43" s="4">
        <f t="shared" si="7"/>
        <v>-6.3335962477632846E-2</v>
      </c>
      <c r="N43" s="4">
        <f t="shared" si="7"/>
        <v>4.5893771490340241E-2</v>
      </c>
      <c r="O43" s="4">
        <f t="shared" si="8"/>
        <v>1.337202528179815E-2</v>
      </c>
      <c r="P43" s="4">
        <f t="shared" si="8"/>
        <v>-8.6749813888776783E-3</v>
      </c>
      <c r="Q43" s="4">
        <f t="shared" si="8"/>
        <v>7.6097838155260167E-3</v>
      </c>
      <c r="R43" s="4">
        <f t="shared" si="8"/>
        <v>-1.6610573101562331E-2</v>
      </c>
      <c r="S43" s="4">
        <f t="shared" si="9"/>
        <v>-7.2508896618615037E-2</v>
      </c>
      <c r="T43" s="4">
        <f t="shared" si="10"/>
        <v>8.0205488810423997E-2</v>
      </c>
      <c r="U43" s="4">
        <f t="shared" si="11"/>
        <v>-6.7922937069513911E-2</v>
      </c>
      <c r="V43" s="4">
        <f t="shared" ca="1" si="11"/>
        <v>-9.5018226643117654E-4</v>
      </c>
    </row>
    <row r="44" spans="1:22">
      <c r="A44" s="42">
        <f t="shared" ref="A44:A68" si="12">A9</f>
        <v>1.0406963696930873</v>
      </c>
      <c r="B44" t="str">
        <f t="shared" si="4"/>
        <v>BG</v>
      </c>
      <c r="C44" t="str">
        <f t="shared" si="4"/>
        <v>BG</v>
      </c>
      <c r="D44" s="3"/>
      <c r="E44" s="4">
        <f t="shared" si="7"/>
        <v>3.6987941686325243E-2</v>
      </c>
      <c r="F44" s="4">
        <f t="shared" si="7"/>
        <v>-1.6912811500149671E-2</v>
      </c>
      <c r="G44" s="4">
        <f t="shared" si="7"/>
        <v>-3.4876646235080355E-2</v>
      </c>
      <c r="H44" s="4">
        <f t="shared" si="7"/>
        <v>-0.13863406991694283</v>
      </c>
      <c r="I44" s="4">
        <f t="shared" si="7"/>
        <v>2.7625627148162524E-2</v>
      </c>
      <c r="J44" s="4">
        <f t="shared" si="7"/>
        <v>4.7921233512005834E-2</v>
      </c>
      <c r="K44" s="4">
        <f t="shared" si="7"/>
        <v>-3.5024010795690064E-3</v>
      </c>
      <c r="L44" s="4">
        <f t="shared" si="7"/>
        <v>-4.8184055571607987E-2</v>
      </c>
      <c r="M44" s="4">
        <f t="shared" si="7"/>
        <v>2.3987130277886237E-2</v>
      </c>
      <c r="N44" s="4">
        <f t="shared" si="7"/>
        <v>5.6130475453600726E-2</v>
      </c>
      <c r="O44" s="4">
        <f t="shared" si="8"/>
        <v>1.6755722765936065E-2</v>
      </c>
      <c r="P44" s="4">
        <f t="shared" si="8"/>
        <v>2.5607871377440805E-2</v>
      </c>
      <c r="Q44" s="4">
        <f t="shared" si="8"/>
        <v>2.5134303050242668E-3</v>
      </c>
      <c r="R44" s="4">
        <f t="shared" si="8"/>
        <v>-6.9643317460272858E-3</v>
      </c>
      <c r="S44" s="4">
        <f t="shared" si="9"/>
        <v>-3.3151751905622917E-2</v>
      </c>
      <c r="T44" s="4">
        <f t="shared" si="10"/>
        <v>7.0526438528368818E-2</v>
      </c>
      <c r="U44" s="4">
        <f t="shared" si="11"/>
        <v>-2.7295009512326662E-2</v>
      </c>
      <c r="V44" s="4">
        <f t="shared" ca="1" si="11"/>
        <v>1.4518445276220815E-2</v>
      </c>
    </row>
    <row r="45" spans="1:22">
      <c r="A45" s="42">
        <f t="shared" si="12"/>
        <v>1.0114047726062798</v>
      </c>
      <c r="B45" t="str">
        <f t="shared" si="4"/>
        <v>CY</v>
      </c>
      <c r="C45" t="str">
        <f t="shared" si="4"/>
        <v>CY</v>
      </c>
      <c r="D45" s="3"/>
      <c r="E45" s="4">
        <f t="shared" si="7"/>
        <v>1.7026717557252047E-2</v>
      </c>
      <c r="F45" s="4">
        <f t="shared" si="7"/>
        <v>3.3613087843999523E-2</v>
      </c>
      <c r="G45" s="4">
        <f t="shared" si="7"/>
        <v>2.45005791437094E-2</v>
      </c>
      <c r="H45" s="4">
        <f t="shared" si="7"/>
        <v>-1.7486972750260232E-2</v>
      </c>
      <c r="I45" s="4">
        <f t="shared" si="7"/>
        <v>-5.7718900907444137E-3</v>
      </c>
      <c r="J45" s="4">
        <f t="shared" si="7"/>
        <v>-3.4117107453655038E-3</v>
      </c>
      <c r="K45" s="4">
        <f t="shared" si="7"/>
        <v>-7.9799835339572356E-2</v>
      </c>
      <c r="L45" s="4">
        <f t="shared" si="7"/>
        <v>-8.5278390241314228E-2</v>
      </c>
      <c r="M45" s="4">
        <f t="shared" si="7"/>
        <v>3.7525203718158373E-4</v>
      </c>
      <c r="N45" s="4">
        <f t="shared" si="7"/>
        <v>3.0067144902633292E-2</v>
      </c>
      <c r="O45" s="4">
        <f t="shared" si="8"/>
        <v>5.8930028064943407E-2</v>
      </c>
      <c r="P45" s="4">
        <f t="shared" si="8"/>
        <v>5.5265509021919623E-2</v>
      </c>
      <c r="Q45" s="4">
        <f t="shared" si="8"/>
        <v>-2.8883275302447053E-3</v>
      </c>
      <c r="R45" s="4">
        <f t="shared" si="8"/>
        <v>1.5321148106517413E-2</v>
      </c>
      <c r="S45" s="4">
        <f t="shared" si="9"/>
        <v>-0.16642987046698043</v>
      </c>
      <c r="T45" s="4">
        <f t="shared" si="10"/>
        <v>7.6380798162982488E-2</v>
      </c>
      <c r="U45" s="4">
        <f t="shared" si="11"/>
        <v>7.7236472781283538E-2</v>
      </c>
      <c r="V45" s="4">
        <f t="shared" ca="1" si="11"/>
        <v>5.2730995649461487E-3</v>
      </c>
    </row>
    <row r="46" spans="1:22">
      <c r="A46" s="42">
        <f t="shared" si="12"/>
        <v>1.022215848947845</v>
      </c>
      <c r="B46" t="str">
        <f t="shared" si="4"/>
        <v>CZ</v>
      </c>
      <c r="C46" t="str">
        <f t="shared" si="4"/>
        <v>CZ</v>
      </c>
      <c r="D46" s="3"/>
      <c r="E46" s="4">
        <f t="shared" si="7"/>
        <v>1.5030572522111596E-2</v>
      </c>
      <c r="F46" s="4">
        <f t="shared" si="7"/>
        <v>-1.7351322516433454E-2</v>
      </c>
      <c r="G46" s="4">
        <f t="shared" si="7"/>
        <v>-5.7779991716353507E-3</v>
      </c>
      <c r="H46" s="4">
        <f t="shared" si="7"/>
        <v>-3.806133524800881E-2</v>
      </c>
      <c r="I46" s="4">
        <f t="shared" si="7"/>
        <v>1.2428423475566719E-2</v>
      </c>
      <c r="J46" s="4">
        <f t="shared" si="7"/>
        <v>-3.1547828817981793E-2</v>
      </c>
      <c r="K46" s="4">
        <f t="shared" si="7"/>
        <v>-1.6073247337291541E-3</v>
      </c>
      <c r="L46" s="4">
        <f t="shared" si="7"/>
        <v>-8.2379047645813053E-3</v>
      </c>
      <c r="M46" s="4">
        <f t="shared" si="7"/>
        <v>-2.6064393819395737E-2</v>
      </c>
      <c r="N46" s="4">
        <f t="shared" si="7"/>
        <v>2.6122538394632633E-2</v>
      </c>
      <c r="O46" s="4">
        <f t="shared" si="8"/>
        <v>2.5812668126577787E-2</v>
      </c>
      <c r="P46" s="4">
        <f t="shared" si="8"/>
        <v>2.7262236541438112E-2</v>
      </c>
      <c r="Q46" s="4">
        <f t="shared" si="8"/>
        <v>-6.7916066411424225E-3</v>
      </c>
      <c r="R46" s="4">
        <f t="shared" si="8"/>
        <v>-2.3534261052304828E-3</v>
      </c>
      <c r="S46" s="4">
        <f t="shared" si="9"/>
        <v>-3.0749622953623379E-2</v>
      </c>
      <c r="T46" s="4">
        <f t="shared" si="10"/>
        <v>6.585737531447089E-2</v>
      </c>
      <c r="U46" s="4">
        <f t="shared" si="11"/>
        <v>-4.548522694264534E-2</v>
      </c>
      <c r="V46" s="4">
        <f t="shared" ca="1" si="11"/>
        <v>2.9364773161434377E-2</v>
      </c>
    </row>
    <row r="47" spans="1:22">
      <c r="A47" s="42">
        <f t="shared" si="12"/>
        <v>1.0176263232787064</v>
      </c>
      <c r="B47" t="str">
        <f t="shared" si="4"/>
        <v>DE</v>
      </c>
      <c r="C47" t="str">
        <f t="shared" si="4"/>
        <v>DE</v>
      </c>
      <c r="D47" s="3"/>
      <c r="E47" s="4">
        <f t="shared" si="7"/>
        <v>2.5745654267116391E-2</v>
      </c>
      <c r="F47" s="4">
        <f t="shared" si="7"/>
        <v>-5.5022750339765447E-2</v>
      </c>
      <c r="G47" s="4">
        <f t="shared" si="7"/>
        <v>4.1142201429618552E-2</v>
      </c>
      <c r="H47" s="4">
        <f t="shared" si="7"/>
        <v>-6.0733714345742151E-2</v>
      </c>
      <c r="I47" s="4">
        <f t="shared" si="7"/>
        <v>7.0952269260425416E-2</v>
      </c>
      <c r="J47" s="4">
        <f t="shared" si="7"/>
        <v>-5.0717864430560256E-2</v>
      </c>
      <c r="K47" s="4">
        <f t="shared" si="7"/>
        <v>1.9225750596413294E-2</v>
      </c>
      <c r="L47" s="4">
        <f t="shared" si="7"/>
        <v>2.4225544577345159E-2</v>
      </c>
      <c r="M47" s="4">
        <f t="shared" si="7"/>
        <v>-4.9926103258248311E-2</v>
      </c>
      <c r="N47" s="4">
        <f t="shared" si="7"/>
        <v>1.3195168988700212E-2</v>
      </c>
      <c r="O47" s="4">
        <f t="shared" si="8"/>
        <v>1.9369520995502487E-2</v>
      </c>
      <c r="P47" s="4">
        <f t="shared" si="8"/>
        <v>8.1062051267439816E-3</v>
      </c>
      <c r="Q47" s="4">
        <f t="shared" si="8"/>
        <v>-1.578519569059722E-2</v>
      </c>
      <c r="R47" s="4">
        <f t="shared" si="8"/>
        <v>-2.1873383837267557E-3</v>
      </c>
      <c r="S47" s="4">
        <f t="shared" si="9"/>
        <v>-5.7927062277247421E-2</v>
      </c>
      <c r="T47" s="4">
        <f t="shared" si="10"/>
        <v>2.8059134403040753E-2</v>
      </c>
      <c r="U47" s="4">
        <f t="shared" si="11"/>
        <v>-2.4547508123457518E-2</v>
      </c>
      <c r="V47" s="4">
        <f t="shared" ca="1" si="11"/>
        <v>-2.8619350418941369E-2</v>
      </c>
    </row>
    <row r="48" spans="1:22">
      <c r="A48" s="42">
        <f t="shared" si="12"/>
        <v>1.0604961628061611</v>
      </c>
      <c r="B48" t="str">
        <f t="shared" si="4"/>
        <v>DK</v>
      </c>
      <c r="C48" t="str">
        <f t="shared" si="4"/>
        <v>DK</v>
      </c>
      <c r="D48" s="3"/>
      <c r="E48" s="4">
        <f t="shared" si="7"/>
        <v>1.0629331780646956E-2</v>
      </c>
      <c r="F48" s="4">
        <f t="shared" si="7"/>
        <v>3.4956887873354159E-3</v>
      </c>
      <c r="G48" s="4">
        <f t="shared" si="7"/>
        <v>-1.2344721243548573E-2</v>
      </c>
      <c r="H48" s="4">
        <f t="shared" si="7"/>
        <v>-4.7109732952586802E-2</v>
      </c>
      <c r="I48" s="4">
        <f t="shared" si="7"/>
        <v>4.9116090031555482E-2</v>
      </c>
      <c r="J48" s="4">
        <f t="shared" si="7"/>
        <v>-4.6487522439584428E-2</v>
      </c>
      <c r="K48" s="4">
        <f t="shared" si="7"/>
        <v>-3.4214923553051002E-2</v>
      </c>
      <c r="L48" s="4">
        <f t="shared" si="7"/>
        <v>-1.1868651480768211E-2</v>
      </c>
      <c r="M48" s="4">
        <f t="shared" si="7"/>
        <v>-3.3132152157837491E-2</v>
      </c>
      <c r="N48" s="4">
        <f t="shared" si="7"/>
        <v>3.6189289250066814E-2</v>
      </c>
      <c r="O48" s="4">
        <f t="shared" si="8"/>
        <v>2.4538194070281127E-2</v>
      </c>
      <c r="P48" s="4">
        <f t="shared" si="8"/>
        <v>5.3620033111152487E-3</v>
      </c>
      <c r="Q48" s="4">
        <f t="shared" si="8"/>
        <v>-6.8755846178980562E-4</v>
      </c>
      <c r="R48" s="4">
        <f t="shared" si="8"/>
        <v>-1.7617875246855319E-2</v>
      </c>
      <c r="S48" s="4">
        <f t="shared" si="9"/>
        <v>-8.5479443873853533E-2</v>
      </c>
      <c r="T48" s="4">
        <f t="shared" si="10"/>
        <v>6.0567408766917685E-2</v>
      </c>
      <c r="U48" s="4">
        <f t="shared" si="11"/>
        <v>-3.8132493418064017E-2</v>
      </c>
      <c r="V48" s="4">
        <f t="shared" ca="1" si="11"/>
        <v>-1.1395151913077495E-2</v>
      </c>
    </row>
    <row r="49" spans="1:22">
      <c r="A49" s="42">
        <f t="shared" si="12"/>
        <v>1.0321363573642555</v>
      </c>
      <c r="B49" t="str">
        <f t="shared" si="4"/>
        <v>EE</v>
      </c>
      <c r="C49" t="str">
        <f t="shared" si="4"/>
        <v>EE</v>
      </c>
      <c r="D49" s="3"/>
      <c r="E49" s="4">
        <f t="shared" si="7"/>
        <v>7.1565892773501893E-3</v>
      </c>
      <c r="F49" s="4">
        <f t="shared" si="7"/>
        <v>6.9876314235003845E-2</v>
      </c>
      <c r="G49" s="4">
        <f t="shared" si="7"/>
        <v>-8.1883535414580821E-3</v>
      </c>
      <c r="H49" s="4">
        <f t="shared" si="7"/>
        <v>-9.6882380588396377E-2</v>
      </c>
      <c r="I49" s="4">
        <f t="shared" si="7"/>
        <v>5.4654503918198483E-2</v>
      </c>
      <c r="J49" s="4">
        <f t="shared" si="7"/>
        <v>-2.9208507446952137E-2</v>
      </c>
      <c r="K49" s="4">
        <f t="shared" si="7"/>
        <v>2.1178802662259688E-2</v>
      </c>
      <c r="L49" s="4">
        <f t="shared" si="7"/>
        <v>3.5192899347613604E-4</v>
      </c>
      <c r="M49" s="4">
        <f t="shared" si="7"/>
        <v>-2.2834095462474835E-2</v>
      </c>
      <c r="N49" s="4">
        <f t="shared" si="7"/>
        <v>-7.6859892459936185E-3</v>
      </c>
      <c r="O49" s="4">
        <f t="shared" si="8"/>
        <v>1.4405812461968814E-2</v>
      </c>
      <c r="P49" s="4">
        <f t="shared" si="8"/>
        <v>9.2925293302388301E-3</v>
      </c>
      <c r="Q49" s="4">
        <f t="shared" si="8"/>
        <v>3.1543745417789371E-2</v>
      </c>
      <c r="R49" s="4">
        <f t="shared" si="8"/>
        <v>-2.128923578801567E-2</v>
      </c>
      <c r="S49" s="4">
        <f t="shared" si="9"/>
        <v>-5.0109153748383761E-2</v>
      </c>
      <c r="T49" s="4">
        <f t="shared" si="10"/>
        <v>3.0259705589893438E-2</v>
      </c>
      <c r="U49" s="4">
        <f t="shared" si="11"/>
        <v>-1.9280918502755484E-2</v>
      </c>
      <c r="V49" s="4">
        <f t="shared" ca="1" si="11"/>
        <v>3.0190818859030522E-3</v>
      </c>
    </row>
    <row r="50" spans="1:22">
      <c r="A50" s="42">
        <f t="shared" si="12"/>
        <v>1.0310718681785636</v>
      </c>
      <c r="B50" t="str">
        <f t="shared" si="4"/>
        <v>ES</v>
      </c>
      <c r="C50" t="str">
        <f t="shared" si="4"/>
        <v>ES</v>
      </c>
      <c r="D50" s="3"/>
      <c r="E50" s="4">
        <f t="shared" si="7"/>
        <v>-2.3406868725313723E-2</v>
      </c>
      <c r="F50" s="4">
        <f t="shared" si="7"/>
        <v>2.7685207917573562E-2</v>
      </c>
      <c r="G50" s="4">
        <f t="shared" si="7"/>
        <v>-3.5246920883056809E-2</v>
      </c>
      <c r="H50" s="4">
        <f t="shared" si="7"/>
        <v>-7.2218967937311529E-2</v>
      </c>
      <c r="I50" s="4">
        <f t="shared" si="7"/>
        <v>1.6290191496249662E-2</v>
      </c>
      <c r="J50" s="4">
        <f t="shared" si="7"/>
        <v>-2.8063263989651643E-2</v>
      </c>
      <c r="K50" s="4">
        <f t="shared" si="7"/>
        <v>-4.0501889077175779E-2</v>
      </c>
      <c r="L50" s="4">
        <f t="shared" si="7"/>
        <v>-3.1195789062146151E-2</v>
      </c>
      <c r="M50" s="4">
        <f t="shared" si="7"/>
        <v>-1.7153370958024383E-2</v>
      </c>
      <c r="N50" s="4">
        <f t="shared" si="7"/>
        <v>1.187727372864078E-2</v>
      </c>
      <c r="O50" s="4">
        <f t="shared" si="8"/>
        <v>2.1361236937631256E-2</v>
      </c>
      <c r="P50" s="4">
        <f t="shared" si="8"/>
        <v>3.0958616230260194E-2</v>
      </c>
      <c r="Q50" s="4">
        <f t="shared" si="8"/>
        <v>2.3214605269378019E-2</v>
      </c>
      <c r="R50" s="4">
        <f t="shared" si="8"/>
        <v>-2.7318328919749835E-3</v>
      </c>
      <c r="S50" s="4">
        <f t="shared" si="9"/>
        <v>-0.1471501578993113</v>
      </c>
      <c r="T50" s="4">
        <f t="shared" si="10"/>
        <v>8.9102134342211148E-2</v>
      </c>
      <c r="U50" s="4">
        <f t="shared" si="11"/>
        <v>1.1191962185755244E-2</v>
      </c>
      <c r="V50" s="4">
        <f t="shared" ca="1" si="11"/>
        <v>-1.6621339032547477E-2</v>
      </c>
    </row>
    <row r="51" spans="1:22">
      <c r="A51" s="42">
        <f t="shared" si="12"/>
        <v>1.0267727485518396</v>
      </c>
      <c r="B51" t="str">
        <f t="shared" si="4"/>
        <v>FI</v>
      </c>
      <c r="C51" t="str">
        <f t="shared" si="4"/>
        <v>FI</v>
      </c>
      <c r="D51" s="3"/>
      <c r="E51" s="4">
        <f t="shared" si="7"/>
        <v>5.1235538918771972E-2</v>
      </c>
      <c r="F51" s="4">
        <f t="shared" si="7"/>
        <v>1.3284856689217417E-3</v>
      </c>
      <c r="G51" s="4">
        <f t="shared" si="7"/>
        <v>-3.393757707182532E-2</v>
      </c>
      <c r="H51" s="4">
        <f t="shared" si="7"/>
        <v>-7.0901514227770468E-2</v>
      </c>
      <c r="I51" s="4">
        <f t="shared" si="7"/>
        <v>0.10066628230773356</v>
      </c>
      <c r="J51" s="4">
        <f t="shared" si="7"/>
        <v>-4.6633564447916664E-2</v>
      </c>
      <c r="K51" s="4">
        <f t="shared" si="7"/>
        <v>6.4165012315891001E-3</v>
      </c>
      <c r="L51" s="4">
        <f t="shared" si="7"/>
        <v>-1.9113224893912317E-2</v>
      </c>
      <c r="M51" s="4">
        <f t="shared" si="7"/>
        <v>-6.2890617688168282E-3</v>
      </c>
      <c r="N51" s="4">
        <f t="shared" si="7"/>
        <v>-1.2846463278907372E-2</v>
      </c>
      <c r="O51" s="4">
        <f t="shared" si="8"/>
        <v>4.0549099148922796E-2</v>
      </c>
      <c r="P51" s="4">
        <f t="shared" si="8"/>
        <v>5.0534510515867215E-3</v>
      </c>
      <c r="Q51" s="4">
        <f t="shared" si="8"/>
        <v>1.8105883159777791E-2</v>
      </c>
      <c r="R51" s="4">
        <f t="shared" si="8"/>
        <v>-1.2061126120377907E-2</v>
      </c>
      <c r="S51" s="4">
        <f t="shared" si="9"/>
        <v>-8.2044334922801165E-2</v>
      </c>
      <c r="T51" s="4">
        <f t="shared" si="10"/>
        <v>6.6208210216465835E-2</v>
      </c>
      <c r="U51" s="4">
        <f t="shared" si="11"/>
        <v>-6.3659458849227635E-2</v>
      </c>
      <c r="V51" s="4">
        <f t="shared" ca="1" si="11"/>
        <v>-8.2405863151507885E-3</v>
      </c>
    </row>
    <row r="52" spans="1:22">
      <c r="A52" s="42">
        <f t="shared" si="12"/>
        <v>1.0285256193756076</v>
      </c>
      <c r="B52" t="str">
        <f t="shared" si="4"/>
        <v>FR</v>
      </c>
      <c r="C52" t="str">
        <f t="shared" si="4"/>
        <v>FR</v>
      </c>
      <c r="D52" s="3"/>
      <c r="E52" s="4">
        <f t="shared" si="7"/>
        <v>-1.4921126956644937E-2</v>
      </c>
      <c r="F52" s="4">
        <f t="shared" si="7"/>
        <v>-2.4833241372884896E-2</v>
      </c>
      <c r="G52" s="4">
        <f t="shared" si="7"/>
        <v>1.2985912770590469E-2</v>
      </c>
      <c r="H52" s="4">
        <f t="shared" si="7"/>
        <v>-4.0386055757032246E-2</v>
      </c>
      <c r="I52" s="4">
        <f t="shared" si="7"/>
        <v>2.9673752212606042E-2</v>
      </c>
      <c r="J52" s="4">
        <f t="shared" si="7"/>
        <v>-3.320282068316216E-2</v>
      </c>
      <c r="K52" s="4">
        <f t="shared" si="7"/>
        <v>2.8954033873290541E-2</v>
      </c>
      <c r="L52" s="4">
        <f t="shared" si="7"/>
        <v>1.8135660598163961E-2</v>
      </c>
      <c r="M52" s="4">
        <f t="shared" si="7"/>
        <v>-6.9979130035291881E-2</v>
      </c>
      <c r="N52" s="4">
        <f t="shared" si="7"/>
        <v>2.1719886637774133E-2</v>
      </c>
      <c r="O52" s="4">
        <f t="shared" si="8"/>
        <v>1.2616947372058762E-2</v>
      </c>
      <c r="P52" s="4">
        <f t="shared" si="8"/>
        <v>-6.0883853294502188E-3</v>
      </c>
      <c r="Q52" s="4">
        <f t="shared" si="8"/>
        <v>-1.5838176074837507E-2</v>
      </c>
      <c r="R52" s="4">
        <f t="shared" si="8"/>
        <v>-8.452359164813128E-3</v>
      </c>
      <c r="S52" s="4">
        <f t="shared" si="9"/>
        <v>-0.10865007384255265</v>
      </c>
      <c r="T52" s="4">
        <f t="shared" si="10"/>
        <v>0.10265372607821255</v>
      </c>
      <c r="U52" s="4">
        <f t="shared" si="11"/>
        <v>-3.1467522339485354E-2</v>
      </c>
      <c r="V52" s="4">
        <f t="shared" ca="1" si="11"/>
        <v>-3.1504720027954014E-2</v>
      </c>
    </row>
    <row r="53" spans="1:22">
      <c r="A53" s="42">
        <f t="shared" si="12"/>
        <v>1.0337892473674017</v>
      </c>
      <c r="B53" t="str">
        <f t="shared" si="4"/>
        <v>EL</v>
      </c>
      <c r="C53" t="str">
        <f t="shared" si="4"/>
        <v>GR</v>
      </c>
      <c r="D53" s="3"/>
      <c r="E53" s="4">
        <f t="shared" si="7"/>
        <v>2.8824154878964059E-2</v>
      </c>
      <c r="F53" s="4">
        <f t="shared" si="7"/>
        <v>2.1731656349654793E-2</v>
      </c>
      <c r="G53" s="4">
        <f t="shared" si="7"/>
        <v>-2.9984556331198009E-2</v>
      </c>
      <c r="H53" s="4">
        <f t="shared" si="7"/>
        <v>-3.9706675282796144E-2</v>
      </c>
      <c r="I53" s="4">
        <f t="shared" si="7"/>
        <v>-7.4272431416402274E-2</v>
      </c>
      <c r="J53" s="4">
        <f t="shared" si="7"/>
        <v>-6.8721503684479046E-3</v>
      </c>
      <c r="K53" s="4">
        <f t="shared" si="7"/>
        <v>-9.8467782933916448E-2</v>
      </c>
      <c r="L53" s="4">
        <f t="shared" si="7"/>
        <v>-0.10076848702644037</v>
      </c>
      <c r="M53" s="4">
        <f t="shared" si="7"/>
        <v>1.5610993377492166E-2</v>
      </c>
      <c r="N53" s="4">
        <f t="shared" si="7"/>
        <v>6.3095534996519653E-2</v>
      </c>
      <c r="O53" s="4">
        <f t="shared" si="8"/>
        <v>1.1010639126345145E-2</v>
      </c>
      <c r="P53" s="4">
        <f t="shared" si="8"/>
        <v>-2.0390838385949794E-2</v>
      </c>
      <c r="Q53" s="4">
        <f t="shared" si="8"/>
        <v>-3.0368052484228358E-2</v>
      </c>
      <c r="R53" s="4">
        <f t="shared" si="8"/>
        <v>1.6751585363986354E-2</v>
      </c>
      <c r="S53" s="4">
        <f t="shared" si="9"/>
        <v>-0.10726458568338071</v>
      </c>
      <c r="T53" s="4">
        <f t="shared" si="10"/>
        <v>5.0552282777478696E-2</v>
      </c>
      <c r="U53" s="4">
        <f t="shared" si="11"/>
        <v>6.2155642866806637E-2</v>
      </c>
      <c r="V53" s="4">
        <f t="shared" ca="1" si="11"/>
        <v>6.137237983954158E-4</v>
      </c>
    </row>
    <row r="54" spans="1:22">
      <c r="A54" s="42">
        <f t="shared" si="12"/>
        <v>1.0346094945082946</v>
      </c>
      <c r="B54" t="str">
        <f t="shared" si="4"/>
        <v>HR</v>
      </c>
      <c r="C54" t="str">
        <f t="shared" si="4"/>
        <v>HR</v>
      </c>
      <c r="D54" s="3"/>
      <c r="E54" s="4">
        <f t="shared" si="7"/>
        <v>1.7509761893641507E-3</v>
      </c>
      <c r="F54" s="4">
        <f t="shared" si="7"/>
        <v>3.9262424611916646E-3</v>
      </c>
      <c r="G54" s="4">
        <f t="shared" si="7"/>
        <v>1.6360289133116046E-2</v>
      </c>
      <c r="H54" s="4">
        <f t="shared" si="7"/>
        <v>-3.0754318554432003E-2</v>
      </c>
      <c r="I54" s="4">
        <f t="shared" si="7"/>
        <v>4.9263722383006137E-3</v>
      </c>
      <c r="J54" s="4">
        <f t="shared" si="7"/>
        <v>-3.4413882289869191E-2</v>
      </c>
      <c r="K54" s="4">
        <f t="shared" si="7"/>
        <v>-4.4646635856744554E-2</v>
      </c>
      <c r="L54" s="4">
        <f t="shared" si="7"/>
        <v>-1.2123093384604489E-2</v>
      </c>
      <c r="M54" s="4">
        <f t="shared" si="7"/>
        <v>-5.0913920368149457E-2</v>
      </c>
      <c r="N54" s="4">
        <f t="shared" si="7"/>
        <v>5.5743882634980757E-2</v>
      </c>
      <c r="O54" s="4">
        <f t="shared" si="8"/>
        <v>8.293464025106001E-3</v>
      </c>
      <c r="P54" s="4">
        <f t="shared" si="8"/>
        <v>4.2719489560570034E-2</v>
      </c>
      <c r="Q54" s="4">
        <f t="shared" si="8"/>
        <v>-1.0527511679265467E-2</v>
      </c>
      <c r="R54" s="4">
        <f t="shared" si="8"/>
        <v>8.7393219464195759E-3</v>
      </c>
      <c r="S54" s="4">
        <f t="shared" si="9"/>
        <v>-6.3686716199975346E-2</v>
      </c>
      <c r="T54" s="4">
        <f t="shared" si="10"/>
        <v>7.6975686480299732E-2</v>
      </c>
      <c r="U54" s="4">
        <f t="shared" si="11"/>
        <v>-1.132907655355786E-2</v>
      </c>
      <c r="V54" s="4">
        <f t="shared" ca="1" si="11"/>
        <v>-6.6599352480477547E-3</v>
      </c>
    </row>
    <row r="55" spans="1:22">
      <c r="A55" s="42">
        <f t="shared" si="12"/>
        <v>1.0250285500143821</v>
      </c>
      <c r="B55" t="str">
        <f t="shared" si="4"/>
        <v>HU</v>
      </c>
      <c r="C55" t="str">
        <f t="shared" si="4"/>
        <v>HU</v>
      </c>
      <c r="D55" s="3"/>
      <c r="E55" s="4">
        <f t="shared" si="7"/>
        <v>-1.5095385628353664E-2</v>
      </c>
      <c r="F55" s="4">
        <f t="shared" si="7"/>
        <v>-5.4940817971244393E-2</v>
      </c>
      <c r="G55" s="4">
        <f t="shared" si="7"/>
        <v>-2.8530464396503419E-4</v>
      </c>
      <c r="H55" s="4">
        <f t="shared" si="7"/>
        <v>-2.1282736109806466E-2</v>
      </c>
      <c r="I55" s="4">
        <f t="shared" si="7"/>
        <v>2.2362998511926024E-2</v>
      </c>
      <c r="J55" s="4">
        <f t="shared" si="7"/>
        <v>2.4747747473607973E-3</v>
      </c>
      <c r="K55" s="4">
        <f t="shared" si="7"/>
        <v>-5.8348250508853172E-2</v>
      </c>
      <c r="L55" s="4">
        <f t="shared" si="7"/>
        <v>6.7933594037647982E-3</v>
      </c>
      <c r="M55" s="4">
        <f t="shared" si="7"/>
        <v>-2.1922448971962605E-2</v>
      </c>
      <c r="N55" s="4">
        <f t="shared" si="7"/>
        <v>7.2680480089593269E-2</v>
      </c>
      <c r="O55" s="4">
        <f t="shared" si="8"/>
        <v>1.9793065806213983E-2</v>
      </c>
      <c r="P55" s="4">
        <f t="shared" si="8"/>
        <v>4.2488822734470189E-2</v>
      </c>
      <c r="Q55" s="4">
        <f t="shared" si="8"/>
        <v>1.5968285288971984E-3</v>
      </c>
      <c r="R55" s="4">
        <f t="shared" si="8"/>
        <v>4.0300934743178196E-3</v>
      </c>
      <c r="S55" s="4">
        <f t="shared" si="9"/>
        <v>-3.1699717902365032E-2</v>
      </c>
      <c r="T55" s="4">
        <f t="shared" si="10"/>
        <v>6.0081852007032754E-2</v>
      </c>
      <c r="U55" s="4">
        <f t="shared" si="11"/>
        <v>-4.0934224027154853E-2</v>
      </c>
      <c r="V55" s="4">
        <f t="shared" ca="1" si="11"/>
        <v>-3.471127079078784E-2</v>
      </c>
    </row>
    <row r="56" spans="1:22">
      <c r="A56" s="42">
        <f t="shared" si="12"/>
        <v>1.0229225622091664</v>
      </c>
      <c r="B56" t="str">
        <f t="shared" si="4"/>
        <v>IE</v>
      </c>
      <c r="C56" t="str">
        <f t="shared" si="4"/>
        <v>IE</v>
      </c>
      <c r="D56" s="3"/>
      <c r="E56" s="4">
        <f t="shared" si="7"/>
        <v>4.1301762069129166E-2</v>
      </c>
      <c r="F56" s="4">
        <f t="shared" si="7"/>
        <v>4.996379426757569E-3</v>
      </c>
      <c r="G56" s="4">
        <f t="shared" si="7"/>
        <v>8.7863098344742596E-4</v>
      </c>
      <c r="H56" s="4">
        <f t="shared" si="7"/>
        <v>-0.1077654144117528</v>
      </c>
      <c r="I56" s="4">
        <f t="shared" si="7"/>
        <v>1.0464802485353308E-2</v>
      </c>
      <c r="J56" s="4">
        <f t="shared" si="7"/>
        <v>-7.329363257812338E-2</v>
      </c>
      <c r="K56" s="4">
        <f t="shared" si="7"/>
        <v>-2.7396213961203508E-2</v>
      </c>
      <c r="L56" s="4">
        <f t="shared" si="7"/>
        <v>1.2343141629313825E-2</v>
      </c>
      <c r="M56" s="4">
        <f t="shared" si="7"/>
        <v>3.5528663244646097E-3</v>
      </c>
      <c r="N56" s="4">
        <f t="shared" si="7"/>
        <v>3.8143000757381307E-2</v>
      </c>
      <c r="O56" s="4">
        <f t="shared" si="8"/>
        <v>3.8064786835783959E-2</v>
      </c>
      <c r="P56" s="4">
        <f t="shared" si="8"/>
        <v>7.9788092607824268E-3</v>
      </c>
      <c r="Q56" s="4">
        <f t="shared" si="8"/>
        <v>4.5736901288900844E-2</v>
      </c>
      <c r="R56" s="4">
        <f t="shared" si="8"/>
        <v>-1.2128803551229028E-3</v>
      </c>
      <c r="S56" s="4">
        <f t="shared" si="9"/>
        <v>-9.6417605910733672E-2</v>
      </c>
      <c r="T56" s="4">
        <f t="shared" si="10"/>
        <v>2.1448059151203847E-2</v>
      </c>
      <c r="U56" s="4">
        <f t="shared" si="11"/>
        <v>4.7278643858196912E-2</v>
      </c>
      <c r="V56" s="4">
        <f t="shared" ca="1" si="11"/>
        <v>-1.569758760064488E-2</v>
      </c>
    </row>
    <row r="57" spans="1:22">
      <c r="A57" s="42">
        <f t="shared" si="12"/>
        <v>1.0246398048129222</v>
      </c>
      <c r="B57" t="str">
        <f t="shared" ref="B57:C68" si="13">B22</f>
        <v>IT</v>
      </c>
      <c r="C57" t="str">
        <f t="shared" si="13"/>
        <v>IT</v>
      </c>
      <c r="D57" s="3"/>
      <c r="E57" s="4">
        <f t="shared" si="7"/>
        <v>-1.1341855548617996E-2</v>
      </c>
      <c r="F57" s="4">
        <f t="shared" si="7"/>
        <v>-7.6328556543606707E-3</v>
      </c>
      <c r="G57" s="4">
        <f t="shared" si="7"/>
        <v>-2.5622180939666173E-3</v>
      </c>
      <c r="H57" s="4">
        <f t="shared" si="7"/>
        <v>-6.0363163887559579E-2</v>
      </c>
      <c r="I57" s="4">
        <f t="shared" si="7"/>
        <v>1.8485302508401524E-2</v>
      </c>
      <c r="J57" s="4">
        <f t="shared" si="7"/>
        <v>-4.1409844138431851E-2</v>
      </c>
      <c r="K57" s="4">
        <f t="shared" si="7"/>
        <v>-1.1105367783169728E-2</v>
      </c>
      <c r="L57" s="4">
        <f t="shared" si="7"/>
        <v>-2.6781607331849089E-2</v>
      </c>
      <c r="M57" s="4">
        <f t="shared" si="7"/>
        <v>-4.4235415894831487E-2</v>
      </c>
      <c r="N57" s="4">
        <f t="shared" si="7"/>
        <v>2.5722606193798958E-2</v>
      </c>
      <c r="O57" s="4">
        <f t="shared" si="8"/>
        <v>-2.6169468814238872E-3</v>
      </c>
      <c r="P57" s="4">
        <f t="shared" si="8"/>
        <v>-6.338000860662607E-3</v>
      </c>
      <c r="Q57" s="4">
        <f t="shared" si="8"/>
        <v>9.8977764395757895E-3</v>
      </c>
      <c r="R57" s="4">
        <f t="shared" si="8"/>
        <v>-8.3391151928073892E-3</v>
      </c>
      <c r="S57" s="4">
        <f t="shared" si="9"/>
        <v>-0.10937906034697376</v>
      </c>
      <c r="T57" s="4">
        <f t="shared" si="10"/>
        <v>0.11299685943440596</v>
      </c>
      <c r="U57" s="4">
        <f t="shared" si="11"/>
        <v>-2.1025364780557942E-2</v>
      </c>
      <c r="V57" s="4">
        <f t="shared" ca="1" si="11"/>
        <v>-1.2706093684741404E-2</v>
      </c>
    </row>
    <row r="58" spans="1:22">
      <c r="A58" s="42">
        <f t="shared" si="12"/>
        <v>1.0336105743768789</v>
      </c>
      <c r="B58" t="str">
        <f t="shared" si="13"/>
        <v>LT</v>
      </c>
      <c r="C58" t="str">
        <f t="shared" si="13"/>
        <v>LT</v>
      </c>
      <c r="D58" s="3"/>
      <c r="E58" s="4">
        <f t="shared" ref="E58:N71" si="14">IFERROR(E23/D23-1,0)</f>
        <v>5.5691111414779115E-2</v>
      </c>
      <c r="F58" s="4">
        <f t="shared" si="14"/>
        <v>5.7459592542284277E-2</v>
      </c>
      <c r="G58" s="4">
        <f t="shared" si="14"/>
        <v>-1.5642936149108055E-2</v>
      </c>
      <c r="H58" s="4">
        <f t="shared" si="14"/>
        <v>-9.5164771379503632E-2</v>
      </c>
      <c r="I58" s="4">
        <f t="shared" si="14"/>
        <v>3.5202907532429384E-2</v>
      </c>
      <c r="J58" s="4">
        <f t="shared" si="14"/>
        <v>-4.5360632531016298E-3</v>
      </c>
      <c r="K58" s="4">
        <f t="shared" si="14"/>
        <v>2.4653682866107474E-2</v>
      </c>
      <c r="L58" s="4">
        <f t="shared" si="14"/>
        <v>-2.4367733739764863E-2</v>
      </c>
      <c r="M58" s="4">
        <f t="shared" si="14"/>
        <v>1.9957745100581015E-2</v>
      </c>
      <c r="N58" s="4">
        <f t="shared" si="14"/>
        <v>-3.4340949393686371E-3</v>
      </c>
      <c r="O58" s="4">
        <f t="shared" si="8"/>
        <v>4.8975550590514727E-2</v>
      </c>
      <c r="P58" s="4">
        <f t="shared" si="8"/>
        <v>4.8197413934099931E-2</v>
      </c>
      <c r="Q58" s="4">
        <f t="shared" si="8"/>
        <v>4.1757837960295419E-2</v>
      </c>
      <c r="R58" s="4">
        <f t="shared" si="8"/>
        <v>-1.8839342449377128E-3</v>
      </c>
      <c r="S58" s="4">
        <f t="shared" si="9"/>
        <v>-4.4876664559862056E-2</v>
      </c>
      <c r="T58" s="4">
        <f t="shared" si="10"/>
        <v>6.6414280483673371E-2</v>
      </c>
      <c r="U58" s="4">
        <f t="shared" si="11"/>
        <v>-4.7095164549025959E-2</v>
      </c>
      <c r="V58" s="4">
        <f t="shared" ca="1" si="11"/>
        <v>-4.6914077697848278E-3</v>
      </c>
    </row>
    <row r="59" spans="1:22">
      <c r="A59" s="42">
        <f t="shared" si="12"/>
        <v>1.0073534769141095</v>
      </c>
      <c r="B59" t="str">
        <f t="shared" si="13"/>
        <v>LU</v>
      </c>
      <c r="C59" t="str">
        <f t="shared" si="13"/>
        <v>LU</v>
      </c>
      <c r="D59" s="3"/>
      <c r="E59" s="4">
        <f t="shared" si="14"/>
        <v>-1.5081650484064069E-2</v>
      </c>
      <c r="F59" s="4">
        <f t="shared" si="14"/>
        <v>-1.5416694985545876E-2</v>
      </c>
      <c r="G59" s="4">
        <f t="shared" si="14"/>
        <v>9.3240269901631034E-3</v>
      </c>
      <c r="H59" s="4">
        <f t="shared" si="14"/>
        <v>-6.9383075099233027E-2</v>
      </c>
      <c r="I59" s="4">
        <f t="shared" si="14"/>
        <v>6.0500487229671496E-2</v>
      </c>
      <c r="J59" s="4">
        <f t="shared" si="14"/>
        <v>-7.8308673714178045E-3</v>
      </c>
      <c r="K59" s="4">
        <f t="shared" si="14"/>
        <v>-2.826357562608206E-2</v>
      </c>
      <c r="L59" s="4">
        <f t="shared" si="14"/>
        <v>-1.0691119311793562E-2</v>
      </c>
      <c r="M59" s="4">
        <f t="shared" si="14"/>
        <v>-3.0175174531178572E-2</v>
      </c>
      <c r="N59" s="4">
        <f t="shared" si="14"/>
        <v>-2.675298037799867E-3</v>
      </c>
      <c r="O59" s="4">
        <f t="shared" si="8"/>
        <v>1.2240746168630912E-2</v>
      </c>
      <c r="P59" s="4">
        <f t="shared" si="8"/>
        <v>3.4765501908719632E-2</v>
      </c>
      <c r="Q59" s="4">
        <f t="shared" si="8"/>
        <v>4.0326096113631138E-2</v>
      </c>
      <c r="R59" s="4">
        <f t="shared" si="8"/>
        <v>9.2104009242139906E-3</v>
      </c>
      <c r="S59" s="4">
        <f t="shared" si="9"/>
        <v>-0.13128682996737728</v>
      </c>
      <c r="T59" s="4">
        <f t="shared" si="10"/>
        <v>6.4441631466101379E-2</v>
      </c>
      <c r="U59" s="4">
        <f t="shared" si="11"/>
        <v>-9.4997005264709999E-2</v>
      </c>
      <c r="V59" s="4">
        <f t="shared" ca="1" si="11"/>
        <v>-2.0474328590842084E-2</v>
      </c>
    </row>
    <row r="60" spans="1:22">
      <c r="A60" s="42">
        <f t="shared" si="12"/>
        <v>1.0300534104853722</v>
      </c>
      <c r="B60" t="str">
        <f t="shared" si="13"/>
        <v>LV</v>
      </c>
      <c r="C60" t="str">
        <f t="shared" si="13"/>
        <v>LV</v>
      </c>
      <c r="D60" s="3"/>
      <c r="E60" s="4">
        <f t="shared" si="14"/>
        <v>4.3622255348694905E-2</v>
      </c>
      <c r="F60" s="4">
        <f t="shared" si="14"/>
        <v>3.8366007274017289E-2</v>
      </c>
      <c r="G60" s="4">
        <f t="shared" si="14"/>
        <v>-4.6193017435513073E-2</v>
      </c>
      <c r="H60" s="4">
        <f t="shared" si="14"/>
        <v>-2.7364739516832381E-2</v>
      </c>
      <c r="I60" s="4">
        <f t="shared" si="14"/>
        <v>1.9864111888984182E-2</v>
      </c>
      <c r="J60" s="4">
        <f t="shared" si="14"/>
        <v>-6.0942389009806086E-2</v>
      </c>
      <c r="K60" s="4">
        <f t="shared" si="14"/>
        <v>4.0878925459087334E-2</v>
      </c>
      <c r="L60" s="4">
        <f t="shared" si="14"/>
        <v>-4.2689437810282893E-2</v>
      </c>
      <c r="M60" s="4">
        <f t="shared" si="14"/>
        <v>7.8867794241281874E-3</v>
      </c>
      <c r="N60" s="4">
        <f t="shared" si="14"/>
        <v>-2.5212439289731936E-2</v>
      </c>
      <c r="O60" s="4">
        <f t="shared" si="8"/>
        <v>8.6487105877990356E-3</v>
      </c>
      <c r="P60" s="4">
        <f t="shared" si="8"/>
        <v>5.0742883056414056E-2</v>
      </c>
      <c r="Q60" s="4">
        <f t="shared" si="8"/>
        <v>4.0583602452724632E-2</v>
      </c>
      <c r="R60" s="4">
        <f t="shared" si="8"/>
        <v>-2.3093519918354399E-2</v>
      </c>
      <c r="S60" s="4">
        <f t="shared" si="9"/>
        <v>-5.5203044794319256E-2</v>
      </c>
      <c r="T60" s="4">
        <f t="shared" si="10"/>
        <v>5.2433593382475774E-2</v>
      </c>
      <c r="U60" s="4">
        <f t="shared" si="11"/>
        <v>-2.3463798876724895E-2</v>
      </c>
      <c r="V60" s="4">
        <f t="shared" ca="1" si="11"/>
        <v>-1.5942494850802569E-2</v>
      </c>
    </row>
    <row r="61" spans="1:22">
      <c r="A61" s="42">
        <f t="shared" si="12"/>
        <v>1.0140759224275242</v>
      </c>
      <c r="B61" t="str">
        <f t="shared" si="13"/>
        <v>MT</v>
      </c>
      <c r="C61" t="str">
        <f t="shared" si="13"/>
        <v>MT</v>
      </c>
      <c r="D61" s="3"/>
      <c r="E61" s="4">
        <f t="shared" si="14"/>
        <v>4.1757744780279715E-3</v>
      </c>
      <c r="F61" s="4">
        <f t="shared" si="14"/>
        <v>3.0118983280575717E-2</v>
      </c>
      <c r="G61" s="4">
        <f t="shared" si="14"/>
        <v>4.3372445495578171E-2</v>
      </c>
      <c r="H61" s="4">
        <f t="shared" si="14"/>
        <v>-9.634628392871758E-2</v>
      </c>
      <c r="I61" s="4">
        <f t="shared" si="14"/>
        <v>0.1107411300223462</v>
      </c>
      <c r="J61" s="4">
        <f t="shared" si="14"/>
        <v>-1.949990855379824E-2</v>
      </c>
      <c r="K61" s="4">
        <f t="shared" si="14"/>
        <v>2.769763533035019E-2</v>
      </c>
      <c r="L61" s="4">
        <f t="shared" si="14"/>
        <v>3.7468434343434609E-2</v>
      </c>
      <c r="M61" s="4">
        <f t="shared" si="14"/>
        <v>4.1437840387013924E-2</v>
      </c>
      <c r="N61" s="4">
        <f t="shared" si="14"/>
        <v>5.6120278346355468E-2</v>
      </c>
      <c r="O61" s="4">
        <f t="shared" si="8"/>
        <v>8.0100553598041468E-3</v>
      </c>
      <c r="P61" s="4">
        <f t="shared" si="8"/>
        <v>6.7295134586443872E-2</v>
      </c>
      <c r="Q61" s="4">
        <f t="shared" si="8"/>
        <v>6.6857118508146574E-2</v>
      </c>
      <c r="R61" s="4">
        <f t="shared" si="8"/>
        <v>5.7012458448647108E-2</v>
      </c>
      <c r="S61" s="4">
        <f t="shared" si="9"/>
        <v>-0.21786802423922813</v>
      </c>
      <c r="T61" s="4">
        <f t="shared" si="10"/>
        <v>7.2376905513136247E-2</v>
      </c>
      <c r="U61" s="4">
        <f t="shared" si="11"/>
        <v>0.18718889196223332</v>
      </c>
      <c r="V61" s="4">
        <f t="shared" ca="1" si="11"/>
        <v>-2.9193457177849269E-2</v>
      </c>
    </row>
    <row r="62" spans="1:22">
      <c r="A62" s="42">
        <f t="shared" si="12"/>
        <v>1.013205350986542</v>
      </c>
      <c r="B62" t="str">
        <f t="shared" si="13"/>
        <v>NL</v>
      </c>
      <c r="C62" t="str">
        <f t="shared" si="13"/>
        <v>NL</v>
      </c>
      <c r="D62" s="3"/>
      <c r="E62" s="4">
        <f t="shared" si="14"/>
        <v>-6.0103886809431684E-3</v>
      </c>
      <c r="F62" s="4">
        <f t="shared" si="14"/>
        <v>-1.3407832043050849E-2</v>
      </c>
      <c r="G62" s="4">
        <f t="shared" si="14"/>
        <v>1.5637886738182782E-2</v>
      </c>
      <c r="H62" s="4">
        <f t="shared" si="14"/>
        <v>-4.0641527671945954E-2</v>
      </c>
      <c r="I62" s="4">
        <f t="shared" si="14"/>
        <v>7.0158009345385297E-2</v>
      </c>
      <c r="J62" s="4">
        <f t="shared" si="14"/>
        <v>-6.5622160524070106E-2</v>
      </c>
      <c r="K62" s="4">
        <f t="shared" si="14"/>
        <v>2.0965805609967081E-3</v>
      </c>
      <c r="L62" s="4">
        <f t="shared" si="14"/>
        <v>-3.3935712112012073E-3</v>
      </c>
      <c r="M62" s="4">
        <f t="shared" si="14"/>
        <v>-8.4598817164801887E-2</v>
      </c>
      <c r="N62" s="4">
        <f t="shared" si="14"/>
        <v>2.3173423253761483E-2</v>
      </c>
      <c r="O62" s="4">
        <f t="shared" si="8"/>
        <v>2.1384160467345481E-2</v>
      </c>
      <c r="P62" s="4">
        <f t="shared" si="8"/>
        <v>7.4118910762048795E-3</v>
      </c>
      <c r="Q62" s="4">
        <f t="shared" si="8"/>
        <v>7.05014345602617E-3</v>
      </c>
      <c r="R62" s="4">
        <f t="shared" si="8"/>
        <v>-1.7969797818216504E-2</v>
      </c>
      <c r="S62" s="4">
        <f t="shared" si="9"/>
        <v>-8.7732360965570466E-2</v>
      </c>
      <c r="T62" s="4">
        <f t="shared" si="10"/>
        <v>3.6451886159820868E-2</v>
      </c>
      <c r="U62" s="4">
        <f t="shared" si="11"/>
        <v>-7.1449113655286278E-2</v>
      </c>
      <c r="V62" s="4">
        <f t="shared" ca="1" si="11"/>
        <v>-6.6910856286264142E-3</v>
      </c>
    </row>
    <row r="63" spans="1:22">
      <c r="A63" s="42">
        <f t="shared" si="12"/>
        <v>1.0203976218903605</v>
      </c>
      <c r="B63" t="str">
        <f t="shared" si="13"/>
        <v>PL</v>
      </c>
      <c r="C63" t="str">
        <f t="shared" si="13"/>
        <v>PL</v>
      </c>
      <c r="D63" s="3"/>
      <c r="E63" s="4">
        <f t="shared" si="14"/>
        <v>4.6613896789511555E-2</v>
      </c>
      <c r="F63" s="4">
        <f t="shared" si="14"/>
        <v>6.5197905481102492E-3</v>
      </c>
      <c r="G63" s="4">
        <f t="shared" si="14"/>
        <v>1.4127904330968333E-2</v>
      </c>
      <c r="H63" s="4">
        <f t="shared" si="14"/>
        <v>-1.5502678896002542E-2</v>
      </c>
      <c r="I63" s="4">
        <f t="shared" si="14"/>
        <v>7.7449205212351879E-2</v>
      </c>
      <c r="J63" s="4">
        <f t="shared" si="14"/>
        <v>-2.4297443095017912E-2</v>
      </c>
      <c r="K63" s="4">
        <f t="shared" si="14"/>
        <v>-3.7934692650384294E-3</v>
      </c>
      <c r="L63" s="4">
        <f t="shared" si="14"/>
        <v>-1.8316082934146771E-2</v>
      </c>
      <c r="M63" s="4">
        <f t="shared" si="14"/>
        <v>-2.6869971280247373E-2</v>
      </c>
      <c r="N63" s="4">
        <f t="shared" si="14"/>
        <v>1.2203309179728894E-2</v>
      </c>
      <c r="O63" s="4">
        <f t="shared" si="8"/>
        <v>6.9068140098866193E-2</v>
      </c>
      <c r="P63" s="4">
        <f t="shared" si="8"/>
        <v>6.452081256997233E-2</v>
      </c>
      <c r="Q63" s="4">
        <f t="shared" si="8"/>
        <v>5.6146155175629264E-2</v>
      </c>
      <c r="R63" s="4">
        <f t="shared" si="8"/>
        <v>-1.5341532317096451E-2</v>
      </c>
      <c r="S63" s="4">
        <f t="shared" si="9"/>
        <v>-3.5331580076169766E-2</v>
      </c>
      <c r="T63" s="4">
        <f t="shared" si="10"/>
        <v>5.6752370919419981E-2</v>
      </c>
      <c r="U63" s="4">
        <f t="shared" si="11"/>
        <v>-3.6319015630143947E-2</v>
      </c>
      <c r="V63" s="4">
        <f t="shared" ca="1" si="11"/>
        <v>-1.1825864880374182E-2</v>
      </c>
    </row>
    <row r="64" spans="1:22">
      <c r="A64" s="42">
        <f t="shared" si="12"/>
        <v>1.027559150762448</v>
      </c>
      <c r="B64" t="str">
        <f t="shared" si="13"/>
        <v>PT</v>
      </c>
      <c r="C64" t="str">
        <f t="shared" si="13"/>
        <v>PT</v>
      </c>
      <c r="D64" s="3"/>
      <c r="E64" s="4">
        <f t="shared" si="14"/>
        <v>-1.4075252358977219E-2</v>
      </c>
      <c r="F64" s="4">
        <f t="shared" si="14"/>
        <v>1.1470827405570594E-2</v>
      </c>
      <c r="G64" s="4">
        <f t="shared" si="14"/>
        <v>-2.7062838814924661E-2</v>
      </c>
      <c r="H64" s="4">
        <f t="shared" si="14"/>
        <v>-1.1257992466625288E-2</v>
      </c>
      <c r="I64" s="4">
        <f t="shared" si="14"/>
        <v>-4.9515324879549905E-3</v>
      </c>
      <c r="J64" s="4">
        <f t="shared" si="14"/>
        <v>-4.3605619317594546E-2</v>
      </c>
      <c r="K64" s="4">
        <f t="shared" si="14"/>
        <v>-7.6136315121221099E-2</v>
      </c>
      <c r="L64" s="4">
        <f t="shared" si="14"/>
        <v>-1.2036249691688039E-2</v>
      </c>
      <c r="M64" s="4">
        <f t="shared" si="14"/>
        <v>-5.3096151877083386E-3</v>
      </c>
      <c r="N64" s="4">
        <f t="shared" si="14"/>
        <v>1.5152057844869837E-2</v>
      </c>
      <c r="O64" s="4">
        <f t="shared" si="8"/>
        <v>1.1816348718697967E-2</v>
      </c>
      <c r="P64" s="4">
        <f t="shared" si="8"/>
        <v>2.2937055475591217E-2</v>
      </c>
      <c r="Q64" s="4">
        <f t="shared" si="8"/>
        <v>1.87157417046524E-2</v>
      </c>
      <c r="R64" s="4">
        <f t="shared" si="8"/>
        <v>1.5710680015373679E-2</v>
      </c>
      <c r="S64" s="4">
        <f t="shared" si="9"/>
        <v>-0.12669967064070764</v>
      </c>
      <c r="T64" s="4">
        <f t="shared" si="10"/>
        <v>4.8258921948875377E-2</v>
      </c>
      <c r="U64" s="4">
        <f t="shared" si="11"/>
        <v>6.5527193254368399E-2</v>
      </c>
      <c r="V64" s="4">
        <f t="shared" ca="1" si="11"/>
        <v>2.4679784059945975E-2</v>
      </c>
    </row>
    <row r="65" spans="1:22">
      <c r="A65" s="42">
        <f t="shared" si="12"/>
        <v>1.0338708693379275</v>
      </c>
      <c r="B65" t="str">
        <f t="shared" si="13"/>
        <v>RO</v>
      </c>
      <c r="C65" t="str">
        <f t="shared" si="13"/>
        <v>RO</v>
      </c>
      <c r="D65" s="3"/>
      <c r="E65" s="4">
        <f t="shared" si="14"/>
        <v>6.8363309032284381E-3</v>
      </c>
      <c r="F65" s="4">
        <f t="shared" si="14"/>
        <v>-2.5531475586529906E-2</v>
      </c>
      <c r="G65" s="4">
        <f t="shared" si="14"/>
        <v>2.2667407970792697E-2</v>
      </c>
      <c r="H65" s="4">
        <f t="shared" si="14"/>
        <v>-9.8806949253209098E-2</v>
      </c>
      <c r="I65" s="4">
        <f t="shared" si="14"/>
        <v>1.3291303300552393E-2</v>
      </c>
      <c r="J65" s="4">
        <f t="shared" si="14"/>
        <v>8.70293708265657E-3</v>
      </c>
      <c r="K65" s="4">
        <f t="shared" si="14"/>
        <v>1.1760690984470301E-3</v>
      </c>
      <c r="L65" s="4">
        <f t="shared" si="14"/>
        <v>-4.2446467563879375E-2</v>
      </c>
      <c r="M65" s="4">
        <f t="shared" si="14"/>
        <v>-5.0847261669259014E-3</v>
      </c>
      <c r="N65" s="4">
        <f t="shared" si="14"/>
        <v>7.5709139118655955E-3</v>
      </c>
      <c r="O65" s="4">
        <f t="shared" si="8"/>
        <v>1.7698510352838204E-2</v>
      </c>
      <c r="P65" s="4">
        <f t="shared" si="8"/>
        <v>4.89692314181982E-2</v>
      </c>
      <c r="Q65" s="4">
        <f t="shared" si="8"/>
        <v>1.1437479429629915E-2</v>
      </c>
      <c r="R65" s="4">
        <f t="shared" si="8"/>
        <v>1.200939140783075E-2</v>
      </c>
      <c r="S65" s="4">
        <f t="shared" si="9"/>
        <v>-1.4499656573083164E-2</v>
      </c>
      <c r="T65" s="4">
        <f t="shared" si="10"/>
        <v>7.8342388126077855E-2</v>
      </c>
      <c r="U65" s="4">
        <f t="shared" si="11"/>
        <v>-5.3329349522236225E-2</v>
      </c>
      <c r="V65" s="4">
        <f t="shared" ca="1" si="11"/>
        <v>-2.4176285394233998E-2</v>
      </c>
    </row>
    <row r="66" spans="1:22">
      <c r="A66" s="42">
        <f t="shared" si="12"/>
        <v>1.0514277621852197</v>
      </c>
      <c r="B66" t="str">
        <f t="shared" si="13"/>
        <v>SE</v>
      </c>
      <c r="C66" t="str">
        <f t="shared" si="13"/>
        <v>SE</v>
      </c>
      <c r="D66" s="3"/>
      <c r="E66" s="4">
        <f t="shared" si="14"/>
        <v>-2.8410678694801295E-3</v>
      </c>
      <c r="F66" s="4">
        <f t="shared" si="14"/>
        <v>4.2781179382187506E-3</v>
      </c>
      <c r="G66" s="4">
        <f t="shared" si="14"/>
        <v>-1.8094117164331402E-2</v>
      </c>
      <c r="H66" s="4">
        <f t="shared" si="14"/>
        <v>-3.9597621597492139E-2</v>
      </c>
      <c r="I66" s="4">
        <f t="shared" si="14"/>
        <v>8.2738302129498287E-2</v>
      </c>
      <c r="J66" s="4">
        <f t="shared" si="14"/>
        <v>-4.2683320297291494E-2</v>
      </c>
      <c r="K66" s="4">
        <f t="shared" si="14"/>
        <v>1.0134678914937023E-3</v>
      </c>
      <c r="L66" s="4">
        <f t="shared" si="14"/>
        <v>-1.6728514571800135E-2</v>
      </c>
      <c r="M66" s="4">
        <f t="shared" si="14"/>
        <v>-2.5272433520144855E-2</v>
      </c>
      <c r="N66" s="4">
        <f t="shared" si="14"/>
        <v>1.865913113380202E-2</v>
      </c>
      <c r="O66" s="4">
        <f t="shared" si="8"/>
        <v>1.4365425559901057E-2</v>
      </c>
      <c r="P66" s="4">
        <f t="shared" si="8"/>
        <v>-4.3820659054372157E-3</v>
      </c>
      <c r="Q66" s="4">
        <f t="shared" si="8"/>
        <v>-5.7108284383475816E-3</v>
      </c>
      <c r="R66" s="4">
        <f t="shared" si="8"/>
        <v>-1.2511696395080651E-2</v>
      </c>
      <c r="S66" s="4">
        <f t="shared" si="9"/>
        <v>-3.1939234583668541E-2</v>
      </c>
      <c r="T66" s="4">
        <f t="shared" si="10"/>
        <v>3.8545226640582353E-2</v>
      </c>
      <c r="U66" s="4">
        <f t="shared" si="11"/>
        <v>-2.3172456746834769E-2</v>
      </c>
      <c r="V66" s="4">
        <f t="shared" ca="1" si="11"/>
        <v>-1.4479195856024196E-3</v>
      </c>
    </row>
    <row r="67" spans="1:22">
      <c r="A67" s="42">
        <f t="shared" si="12"/>
        <v>1.0209238086077448</v>
      </c>
      <c r="B67" t="str">
        <f t="shared" si="13"/>
        <v>SI</v>
      </c>
      <c r="C67" t="str">
        <f t="shared" si="13"/>
        <v>SI</v>
      </c>
      <c r="D67" s="3"/>
      <c r="E67" s="4">
        <f t="shared" si="14"/>
        <v>-2.0562438542555128E-3</v>
      </c>
      <c r="F67" s="4">
        <f t="shared" si="14"/>
        <v>4.5794482977745687E-3</v>
      </c>
      <c r="G67" s="4">
        <f t="shared" si="14"/>
        <v>6.9514408724172361E-2</v>
      </c>
      <c r="H67" s="4">
        <f t="shared" si="14"/>
        <v>-0.11597221802543445</v>
      </c>
      <c r="I67" s="4">
        <f t="shared" si="14"/>
        <v>4.1672576937003436E-2</v>
      </c>
      <c r="J67" s="4">
        <f t="shared" si="14"/>
        <v>-3.2590890103246783E-3</v>
      </c>
      <c r="K67" s="4">
        <f t="shared" si="14"/>
        <v>-2.6254083671797712E-2</v>
      </c>
      <c r="L67" s="4">
        <f t="shared" si="14"/>
        <v>-2.1844075571129218E-2</v>
      </c>
      <c r="M67" s="4">
        <f t="shared" si="14"/>
        <v>-4.0971537785729373E-2</v>
      </c>
      <c r="N67" s="4">
        <f t="shared" si="14"/>
        <v>2.15304138185195E-2</v>
      </c>
      <c r="O67" s="4">
        <f t="shared" si="8"/>
        <v>3.5848933364178048E-2</v>
      </c>
      <c r="P67" s="4">
        <f t="shared" si="8"/>
        <v>1.3832691051312018E-2</v>
      </c>
      <c r="Q67" s="4">
        <f t="shared" si="8"/>
        <v>2.3072330681928044E-4</v>
      </c>
      <c r="R67" s="4">
        <f t="shared" si="8"/>
        <v>-2.0113226031394205E-2</v>
      </c>
      <c r="S67" s="4">
        <f t="shared" si="9"/>
        <v>-9.1329563445761375E-2</v>
      </c>
      <c r="T67" s="4">
        <f t="shared" si="10"/>
        <v>7.0882596382213503E-2</v>
      </c>
      <c r="U67" s="4">
        <f t="shared" si="11"/>
        <v>-7.541690235927101E-4</v>
      </c>
      <c r="V67" s="4">
        <f t="shared" ca="1" si="11"/>
        <v>-4.1413148352787643E-2</v>
      </c>
    </row>
    <row r="68" spans="1:22">
      <c r="A68" s="42">
        <f t="shared" si="12"/>
        <v>1.0313760066724849</v>
      </c>
      <c r="B68" t="str">
        <f t="shared" si="13"/>
        <v>SK</v>
      </c>
      <c r="C68" t="str">
        <f t="shared" si="13"/>
        <v>SK</v>
      </c>
      <c r="D68" s="3"/>
      <c r="E68" s="4">
        <f t="shared" si="14"/>
        <v>-1.6371418781883973E-2</v>
      </c>
      <c r="F68" s="4">
        <f t="shared" si="14"/>
        <v>-1.4474010949915517E-2</v>
      </c>
      <c r="G68" s="4">
        <f t="shared" si="14"/>
        <v>2.175233640271923E-2</v>
      </c>
      <c r="H68" s="4">
        <f t="shared" si="14"/>
        <v>-7.1803900774581764E-2</v>
      </c>
      <c r="I68" s="4">
        <f t="shared" si="14"/>
        <v>0.15337993131050731</v>
      </c>
      <c r="J68" s="4">
        <f t="shared" si="14"/>
        <v>-6.6893454103491456E-2</v>
      </c>
      <c r="K68" s="4">
        <f t="shared" si="14"/>
        <v>-3.0168493735264867E-2</v>
      </c>
      <c r="L68" s="4">
        <f t="shared" si="14"/>
        <v>1.7597843189410378E-2</v>
      </c>
      <c r="M68" s="4">
        <f t="shared" si="14"/>
        <v>-8.4679456632326122E-2</v>
      </c>
      <c r="N68" s="4">
        <f t="shared" si="14"/>
        <v>3.1027038057657386E-2</v>
      </c>
      <c r="O68" s="4">
        <f t="shared" si="8"/>
        <v>3.8597841634347096E-2</v>
      </c>
      <c r="P68" s="4">
        <f t="shared" si="8"/>
        <v>6.3368328727138046E-2</v>
      </c>
      <c r="Q68" s="4">
        <f t="shared" si="8"/>
        <v>-1.3686712768532394E-2</v>
      </c>
      <c r="R68" s="4">
        <f t="shared" si="8"/>
        <v>-3.7756839559218713E-2</v>
      </c>
      <c r="S68" s="4">
        <f t="shared" si="9"/>
        <v>-7.099356566966164E-2</v>
      </c>
      <c r="T68" s="4">
        <f t="shared" si="10"/>
        <v>0.11724901181357561</v>
      </c>
      <c r="U68" s="4">
        <f t="shared" si="11"/>
        <v>-8.1461553787756324E-2</v>
      </c>
      <c r="V68" s="4">
        <f t="shared" ca="1" si="11"/>
        <v>-2.1221773032641389E-3</v>
      </c>
    </row>
    <row r="69" spans="1:22">
      <c r="A69" s="42"/>
      <c r="D69" s="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>
      <c r="B70" s="40"/>
      <c r="C70" s="40"/>
      <c r="D70" s="41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</row>
    <row r="71" spans="1:22">
      <c r="B71" s="40" t="s">
        <v>190</v>
      </c>
      <c r="C71" s="40" t="s">
        <v>190</v>
      </c>
      <c r="D71" s="41"/>
      <c r="E71" s="49">
        <f t="shared" si="14"/>
        <v>5.4202401367369202E-3</v>
      </c>
      <c r="F71" s="49">
        <f t="shared" ref="F71" si="15">IFERROR(F36/E36-1,0)</f>
        <v>-1.645153830552637E-2</v>
      </c>
      <c r="G71" s="49">
        <f t="shared" ref="G71" si="16">IFERROR(G36/F36-1,0)</f>
        <v>7.8227716851655416E-3</v>
      </c>
      <c r="H71" s="49">
        <f t="shared" ref="H71" si="17">IFERROR(H36/G36-1,0)</f>
        <v>-5.3908520729853859E-2</v>
      </c>
      <c r="I71" s="49">
        <f t="shared" ref="I71" si="18">IFERROR(I36/H36-1,0)</f>
        <v>4.5151521287245755E-2</v>
      </c>
      <c r="J71" s="49">
        <f t="shared" ref="J71" si="19">IFERROR(J36/I36-1,0)</f>
        <v>-3.8894910682891193E-2</v>
      </c>
      <c r="K71" s="49">
        <f t="shared" ref="K71" si="20">IFERROR(K36/J36-1,0)</f>
        <v>-2.1615524708543665E-3</v>
      </c>
      <c r="L71" s="49">
        <f t="shared" ref="L71" si="21">IFERROR(L36/K36-1,0)</f>
        <v>-2.4550309357694866E-3</v>
      </c>
      <c r="M71" s="49">
        <f t="shared" ref="M71" si="22">IFERROR(M36/L36-1,0)</f>
        <v>-4.2474794091982293E-2</v>
      </c>
      <c r="N71" s="49">
        <f t="shared" ref="N71" si="23">IFERROR(N36/M36-1,0)</f>
        <v>2.0761856749010654E-2</v>
      </c>
      <c r="O71" s="49">
        <f t="shared" ref="O71" si="24">IFERROR(O36/N36-1,0)</f>
        <v>1.9802867246167866E-2</v>
      </c>
      <c r="P71" s="49">
        <f t="shared" ref="P71:R71" si="25">IFERROR(P36/O36-1,0)</f>
        <v>1.2484207356181054E-2</v>
      </c>
      <c r="Q71" s="49">
        <f t="shared" ref="Q71" si="26">IFERROR(Q36/P36-1,0)</f>
        <v>2.4624038542178095E-3</v>
      </c>
      <c r="R71" s="49">
        <f t="shared" si="25"/>
        <v>-5.9025847608067394E-3</v>
      </c>
      <c r="S71" s="49">
        <f t="shared" si="9"/>
        <v>-8.1264242120273389E-2</v>
      </c>
      <c r="T71" s="49">
        <f t="shared" si="9"/>
        <v>6.7138563746899083E-2</v>
      </c>
      <c r="U71" s="49">
        <f t="shared" ref="U71" si="27">IFERROR(U36/T36-1,0)</f>
        <v>-2.7559507694322138E-2</v>
      </c>
      <c r="V71" s="49">
        <f t="shared" ref="V71" ca="1" si="28">IFERROR(V36/U36-1,0)</f>
        <v>-1.7056690543267083E-2</v>
      </c>
    </row>
  </sheetData>
  <pageMargins left="0.7" right="0.7" top="0.78740157499999996" bottom="0.78740157499999996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L71"/>
  <sheetViews>
    <sheetView zoomScaleNormal="100" workbookViewId="0">
      <selection activeCell="D6" sqref="D6:V36"/>
    </sheetView>
  </sheetViews>
  <sheetFormatPr baseColWidth="10" defaultColWidth="11.5" defaultRowHeight="13"/>
  <cols>
    <col min="1" max="1" width="13.5" customWidth="1"/>
    <col min="22" max="22" width="19.1640625" bestFit="1" customWidth="1"/>
  </cols>
  <sheetData>
    <row r="1" spans="1:38">
      <c r="A1" t="s">
        <v>62</v>
      </c>
    </row>
    <row r="5" spans="1:38">
      <c r="D5" t="s">
        <v>173</v>
      </c>
      <c r="V5" t="s">
        <v>174</v>
      </c>
    </row>
    <row r="6" spans="1:38">
      <c r="A6" t="s">
        <v>212</v>
      </c>
      <c r="B6" t="s">
        <v>175</v>
      </c>
      <c r="C6" t="s">
        <v>176</v>
      </c>
      <c r="D6" s="1">
        <v>2005</v>
      </c>
      <c r="E6" s="1">
        <v>2006</v>
      </c>
      <c r="F6" s="1">
        <v>2007</v>
      </c>
      <c r="G6" s="1">
        <v>2008</v>
      </c>
      <c r="H6" s="1">
        <v>2009</v>
      </c>
      <c r="I6" s="1">
        <v>2010</v>
      </c>
      <c r="J6" s="1">
        <v>2011</v>
      </c>
      <c r="K6" s="1">
        <v>2012</v>
      </c>
      <c r="L6" s="1">
        <v>2013</v>
      </c>
      <c r="M6" s="1">
        <v>2014</v>
      </c>
      <c r="N6" s="1">
        <v>2015</v>
      </c>
      <c r="O6" s="1">
        <v>2016</v>
      </c>
      <c r="P6" s="1">
        <v>2017</v>
      </c>
      <c r="Q6" s="1">
        <v>2018</v>
      </c>
      <c r="R6" s="1">
        <v>2019</v>
      </c>
      <c r="S6" s="1">
        <v>2020</v>
      </c>
      <c r="T6" s="1">
        <v>2021</v>
      </c>
      <c r="U6" s="1">
        <v>2022</v>
      </c>
      <c r="V6" s="2">
        <f>YearProxy</f>
        <v>2023</v>
      </c>
    </row>
    <row r="7" spans="1:38">
      <c r="A7">
        <v>2</v>
      </c>
      <c r="B7" t="s">
        <v>106</v>
      </c>
      <c r="C7" t="s">
        <v>106</v>
      </c>
      <c r="D7" s="3">
        <f>'FEC Industry'!D7+'FEC Transport'!D7+'FEC Other'!D7</f>
        <v>27853.5180278017</v>
      </c>
      <c r="E7" s="3">
        <f>'FEC Industry'!E7+'FEC Transport'!E7+'FEC Other'!E7</f>
        <v>27874.997752746698</v>
      </c>
      <c r="F7" s="3">
        <f>'FEC Industry'!F7+'FEC Transport'!F7+'FEC Other'!F7</f>
        <v>27586.348028757002</v>
      </c>
      <c r="G7" s="3">
        <f>'FEC Industry'!G7+'FEC Transport'!G7+'FEC Other'!G7</f>
        <v>27745.049372790701</v>
      </c>
      <c r="H7" s="3">
        <f>'FEC Industry'!H7+'FEC Transport'!H7+'FEC Other'!H7</f>
        <v>26398.3295657782</v>
      </c>
      <c r="I7" s="3">
        <f>'FEC Industry'!I7+'FEC Transport'!I7+'FEC Other'!I7</f>
        <v>28016.976657112798</v>
      </c>
      <c r="J7" s="3">
        <f>'FEC Industry'!J7+'FEC Transport'!J7+'FEC Other'!J7</f>
        <v>27178.9770121334</v>
      </c>
      <c r="K7" s="3">
        <f>'FEC Industry'!K7+'FEC Transport'!K7+'FEC Other'!K7</f>
        <v>27217.955035826901</v>
      </c>
      <c r="L7" s="3">
        <f>'FEC Industry'!L7+'FEC Transport'!L7+'FEC Other'!L7</f>
        <v>27874.3062136238</v>
      </c>
      <c r="M7" s="3">
        <f>'FEC Industry'!M7+'FEC Transport'!M7+'FEC Other'!M7</f>
        <v>26787.124751695799</v>
      </c>
      <c r="N7" s="3">
        <f>'FEC Industry'!N7+'FEC Transport'!N7+'FEC Other'!N7</f>
        <v>27503.965450081203</v>
      </c>
      <c r="O7" s="3">
        <f>'FEC Industry'!O7+'FEC Transport'!O7+'FEC Other'!O7</f>
        <v>28074.634793541598</v>
      </c>
      <c r="P7" s="3">
        <f>'FEC Industry'!P7+'FEC Transport'!P7+'FEC Other'!P7</f>
        <v>28530.682752937799</v>
      </c>
      <c r="Q7" s="3">
        <f>'FEC Industry'!Q7+'FEC Transport'!Q7+'FEC Other'!Q7</f>
        <v>27853.117863189102</v>
      </c>
      <c r="R7" s="3">
        <f>'FEC Industry'!R7+'FEC Transport'!R7+'FEC Other'!R7</f>
        <v>28334.981851819997</v>
      </c>
      <c r="S7" s="3">
        <f>'FEC Industry'!S7+'FEC Transport'!S7+'FEC Other'!S7</f>
        <v>26139.583362472498</v>
      </c>
      <c r="T7" s="3">
        <f>'FEC Industry'!T7+'FEC Transport'!T7+'FEC Other'!T7</f>
        <v>27909.923821056604</v>
      </c>
      <c r="U7" s="3">
        <f>'FEC Industry'!U7+'FEC Transport'!U7+'FEC Other'!U7</f>
        <v>26339.6904930735</v>
      </c>
      <c r="V7" s="3">
        <f ca="1">'FEC Industry'!V7+'FEC Transport'!V7+'FEC Other'!V7</f>
        <v>25326.802842261481</v>
      </c>
      <c r="W7" s="3"/>
      <c r="Y7" s="3"/>
    </row>
    <row r="8" spans="1:38">
      <c r="A8">
        <v>3</v>
      </c>
      <c r="B8" t="s">
        <v>177</v>
      </c>
      <c r="C8" t="s">
        <v>177</v>
      </c>
      <c r="D8" s="3">
        <f>'FEC Industry'!D8+'FEC Transport'!D8+'FEC Other'!D8</f>
        <v>36841.351000000002</v>
      </c>
      <c r="E8" s="3">
        <f>'FEC Industry'!E8+'FEC Transport'!E8+'FEC Other'!E8</f>
        <v>36485.263000000006</v>
      </c>
      <c r="F8" s="3">
        <f>'FEC Industry'!F8+'FEC Transport'!F8+'FEC Other'!F8</f>
        <v>35230.32</v>
      </c>
      <c r="G8" s="3">
        <f>'FEC Industry'!G8+'FEC Transport'!G8+'FEC Other'!G8</f>
        <v>36927.902999999998</v>
      </c>
      <c r="H8" s="3">
        <f>'FEC Industry'!H8+'FEC Transport'!H8+'FEC Other'!H8</f>
        <v>34774.65</v>
      </c>
      <c r="I8" s="3">
        <f>'FEC Industry'!I8+'FEC Transport'!I8+'FEC Other'!I8</f>
        <v>38150.999715200203</v>
      </c>
      <c r="J8" s="3">
        <f>'FEC Industry'!J8+'FEC Transport'!J8+'FEC Other'!J8</f>
        <v>35378.8890247444</v>
      </c>
      <c r="K8" s="3">
        <f>'FEC Industry'!K8+'FEC Transport'!K8+'FEC Other'!K8</f>
        <v>35511.149146173702</v>
      </c>
      <c r="L8" s="3">
        <f>'FEC Industry'!L8+'FEC Transport'!L8+'FEC Other'!L8</f>
        <v>36699.171883347706</v>
      </c>
      <c r="M8" s="3">
        <f>'FEC Industry'!M8+'FEC Transport'!M8+'FEC Other'!M8</f>
        <v>34374.794509983803</v>
      </c>
      <c r="N8" s="3">
        <f>'FEC Industry'!N8+'FEC Transport'!N8+'FEC Other'!N8</f>
        <v>35952.383474252398</v>
      </c>
      <c r="O8" s="3">
        <f>'FEC Industry'!O8+'FEC Transport'!O8+'FEC Other'!O8</f>
        <v>36433.139655011</v>
      </c>
      <c r="P8" s="3">
        <f>'FEC Industry'!P8+'FEC Transport'!P8+'FEC Other'!P8</f>
        <v>36117.082846565398</v>
      </c>
      <c r="Q8" s="3">
        <f>'FEC Industry'!Q8+'FEC Transport'!Q8+'FEC Other'!Q8</f>
        <v>36391.926039075202</v>
      </c>
      <c r="R8" s="3">
        <f>'FEC Industry'!R8+'FEC Transport'!R8+'FEC Other'!R8</f>
        <v>35787.435291296497</v>
      </c>
      <c r="S8" s="3">
        <f>'FEC Industry'!S8+'FEC Transport'!S8+'FEC Other'!S8</f>
        <v>33192.527845514502</v>
      </c>
      <c r="T8" s="3">
        <f>'FEC Industry'!T8+'FEC Transport'!T8+'FEC Other'!T8</f>
        <v>35854.750766217599</v>
      </c>
      <c r="U8" s="3">
        <f>'FEC Industry'!U8+'FEC Transport'!U8+'FEC Other'!U8</f>
        <v>33419.390786280695</v>
      </c>
      <c r="V8" s="3">
        <f ca="1">'FEC Industry'!V8+'FEC Transport'!V8+'FEC Other'!V8</f>
        <v>33387.636273800643</v>
      </c>
      <c r="Y8" s="3"/>
    </row>
    <row r="9" spans="1:38">
      <c r="A9">
        <v>4</v>
      </c>
      <c r="B9" t="s">
        <v>178</v>
      </c>
      <c r="C9" t="s">
        <v>178</v>
      </c>
      <c r="D9" s="3">
        <f>'FEC Industry'!D9+'FEC Transport'!D9+'FEC Other'!D9</f>
        <v>10137.732215</v>
      </c>
      <c r="E9" s="3">
        <f>'FEC Industry'!E9+'FEC Transport'!E9+'FEC Other'!E9</f>
        <v>10512.706063</v>
      </c>
      <c r="F9" s="3">
        <f>'FEC Industry'!F9+'FEC Transport'!F9+'FEC Other'!F9</f>
        <v>10334.906647</v>
      </c>
      <c r="G9" s="3">
        <f>'FEC Industry'!G9+'FEC Transport'!G9+'FEC Other'!G9</f>
        <v>9974.4597640000011</v>
      </c>
      <c r="H9" s="3">
        <f>'FEC Industry'!H9+'FEC Transport'!H9+'FEC Other'!H9</f>
        <v>8591.6598116938912</v>
      </c>
      <c r="I9" s="3">
        <f>'FEC Industry'!I9+'FEC Transport'!I9+'FEC Other'!I9</f>
        <v>8829.0098022355996</v>
      </c>
      <c r="J9" s="3">
        <f>'FEC Industry'!J9+'FEC Transport'!J9+'FEC Other'!J9</f>
        <v>9252.1068426483198</v>
      </c>
      <c r="K9" s="3">
        <f>'FEC Industry'!K9+'FEC Transport'!K9+'FEC Other'!K9</f>
        <v>9219.7022536543391</v>
      </c>
      <c r="L9" s="3">
        <f>'FEC Industry'!L9+'FEC Transport'!L9+'FEC Other'!L9</f>
        <v>8775.4596079105795</v>
      </c>
      <c r="M9" s="3">
        <f>'FEC Industry'!M9+'FEC Transport'!M9+'FEC Other'!M9</f>
        <v>8985.957700773859</v>
      </c>
      <c r="N9" s="3">
        <f>'FEC Industry'!N9+'FEC Transport'!N9+'FEC Other'!N9</f>
        <v>9490.3437789242398</v>
      </c>
      <c r="O9" s="3">
        <f>'FEC Industry'!O9+'FEC Transport'!O9+'FEC Other'!O9</f>
        <v>9649.3613482373203</v>
      </c>
      <c r="P9" s="3">
        <f>'FEC Industry'!P9+'FEC Transport'!P9+'FEC Other'!P9</f>
        <v>9896.460952517431</v>
      </c>
      <c r="Q9" s="3">
        <f>'FEC Industry'!Q9+'FEC Transport'!Q9+'FEC Other'!Q9</f>
        <v>9921.335017387979</v>
      </c>
      <c r="R9" s="3">
        <f>'FEC Industry'!R9+'FEC Transport'!R9+'FEC Other'!R9</f>
        <v>9852.2395489634109</v>
      </c>
      <c r="S9" s="3">
        <f>'FEC Industry'!S9+'FEC Transport'!S9+'FEC Other'!S9</f>
        <v>9525.6205477214098</v>
      </c>
      <c r="T9" s="3">
        <f>'FEC Industry'!T9+'FEC Transport'!T9+'FEC Other'!T9</f>
        <v>10197.428639724851</v>
      </c>
      <c r="U9" s="3">
        <f>'FEC Industry'!U9+'FEC Transport'!U9+'FEC Other'!U9</f>
        <v>9919.0897280022891</v>
      </c>
      <c r="V9" s="3">
        <f ca="1">'FEC Industry'!V9+'FEC Transport'!V9+'FEC Other'!V9</f>
        <v>10063.099489408214</v>
      </c>
      <c r="Y9" s="3"/>
    </row>
    <row r="10" spans="1:38">
      <c r="A10">
        <v>5</v>
      </c>
      <c r="B10" t="s">
        <v>179</v>
      </c>
      <c r="C10" t="s">
        <v>179</v>
      </c>
      <c r="D10" s="3">
        <f>'FEC Industry'!D10+'FEC Transport'!D10+'FEC Other'!D10</f>
        <v>1834</v>
      </c>
      <c r="E10" s="3">
        <f>'FEC Industry'!E10+'FEC Transport'!E10+'FEC Other'!E10</f>
        <v>1865.2270000000003</v>
      </c>
      <c r="F10" s="3">
        <f>'FEC Industry'!F10+'FEC Transport'!F10+'FEC Other'!F10</f>
        <v>1927.9230389999998</v>
      </c>
      <c r="G10" s="3">
        <f>'FEC Industry'!G10+'FEC Transport'!G10+'FEC Other'!G10</f>
        <v>1975.1582700000001</v>
      </c>
      <c r="H10" s="3">
        <f>'FEC Industry'!H10+'FEC Transport'!H10+'FEC Other'!H10</f>
        <v>1940.6187311550589</v>
      </c>
      <c r="I10" s="3">
        <f>'FEC Industry'!I10+'FEC Transport'!I10+'FEC Other'!I10</f>
        <v>1929.417693130792</v>
      </c>
      <c r="J10" s="3">
        <f>'FEC Industry'!J10+'FEC Transport'!J10+'FEC Other'!J10</f>
        <v>1922.8350780548392</v>
      </c>
      <c r="K10" s="3">
        <f>'FEC Industry'!K10+'FEC Transport'!K10+'FEC Other'!K10</f>
        <v>1769.3931554409091</v>
      </c>
      <c r="L10" s="3">
        <f>'FEC Industry'!L10+'FEC Transport'!L10+'FEC Other'!L10</f>
        <v>1618.5021554409091</v>
      </c>
      <c r="M10" s="3">
        <f>'FEC Industry'!M10+'FEC Transport'!M10+'FEC Other'!M10</f>
        <v>1619.109501671921</v>
      </c>
      <c r="N10" s="3">
        <f>'FEC Industry'!N10+'FEC Transport'!N10+'FEC Other'!N10</f>
        <v>1667.791501671921</v>
      </c>
      <c r="O10" s="3">
        <f>'FEC Industry'!O10+'FEC Transport'!O10+'FEC Other'!O10</f>
        <v>1766.0745016719211</v>
      </c>
      <c r="P10" s="3">
        <f>'FEC Industry'!P10+'FEC Transport'!P10+'FEC Other'!P10</f>
        <v>1863.6775079774529</v>
      </c>
      <c r="Q10" s="3">
        <f>'FEC Industry'!Q10+'FEC Transport'!Q10+'FEC Other'!Q10</f>
        <v>1858.2945969236639</v>
      </c>
      <c r="R10" s="3">
        <f>'FEC Industry'!R10+'FEC Transport'!R10+'FEC Other'!R10</f>
        <v>1886.7658036686721</v>
      </c>
      <c r="S10" s="3">
        <f>'FEC Industry'!S10+'FEC Transport'!S10+'FEC Other'!S10</f>
        <v>1572.751615362567</v>
      </c>
      <c r="T10" s="3">
        <f>'FEC Industry'!T10+'FEC Transport'!T10+'FEC Other'!T10</f>
        <v>1692.8796390560799</v>
      </c>
      <c r="U10" s="3">
        <f>'FEC Industry'!U10+'FEC Transport'!U10+'FEC Other'!U10</f>
        <v>1823.6316912200239</v>
      </c>
      <c r="V10" s="3">
        <f ca="1">'FEC Industry'!V10+'FEC Transport'!V10+'FEC Other'!V10</f>
        <v>1833.2478826976185</v>
      </c>
      <c r="Y10" s="3"/>
    </row>
    <row r="11" spans="1:38">
      <c r="A11">
        <v>6</v>
      </c>
      <c r="B11" t="s">
        <v>180</v>
      </c>
      <c r="C11" t="s">
        <v>180</v>
      </c>
      <c r="D11" s="3">
        <f>'FEC Industry'!D11+'FEC Transport'!D11+'FEC Other'!D11</f>
        <v>26148.532650902802</v>
      </c>
      <c r="E11" s="3">
        <f>'FEC Industry'!E11+'FEC Transport'!E11+'FEC Other'!E11</f>
        <v>26541.560067259001</v>
      </c>
      <c r="F11" s="3">
        <f>'FEC Industry'!F11+'FEC Transport'!F11+'FEC Other'!F11</f>
        <v>26081.028898442699</v>
      </c>
      <c r="G11" s="3">
        <f>'FEC Industry'!G11+'FEC Transport'!G11+'FEC Other'!G11</f>
        <v>25930.332735072101</v>
      </c>
      <c r="H11" s="3">
        <f>'FEC Industry'!H11+'FEC Transport'!H11+'FEC Other'!H11</f>
        <v>24943.3896477501</v>
      </c>
      <c r="I11" s="3">
        <f>'FEC Industry'!I11+'FEC Transport'!I11+'FEC Other'!I11</f>
        <v>25253.396657208403</v>
      </c>
      <c r="J11" s="3">
        <f>'FEC Industry'!J11+'FEC Transport'!J11+'FEC Other'!J11</f>
        <v>24456.706822394201</v>
      </c>
      <c r="K11" s="3">
        <f>'FEC Industry'!K11+'FEC Transport'!K11+'FEC Other'!K11</f>
        <v>24417.396952613002</v>
      </c>
      <c r="L11" s="3">
        <f>'FEC Industry'!L11+'FEC Transport'!L11+'FEC Other'!L11</f>
        <v>24216.248761918399</v>
      </c>
      <c r="M11" s="3">
        <f>'FEC Industry'!M11+'FEC Transport'!M11+'FEC Other'!M11</f>
        <v>23585.066917359301</v>
      </c>
      <c r="N11" s="3">
        <f>'FEC Industry'!N11+'FEC Transport'!N11+'FEC Other'!N11</f>
        <v>24201.168733448001</v>
      </c>
      <c r="O11" s="3">
        <f>'FEC Industry'!O11+'FEC Transport'!O11+'FEC Other'!O11</f>
        <v>24825.865470239802</v>
      </c>
      <c r="P11" s="3">
        <f>'FEC Industry'!P11+'FEC Transport'!P11+'FEC Other'!P11</f>
        <v>25502.674087035401</v>
      </c>
      <c r="Q11" s="3">
        <f>'FEC Industry'!Q11+'FEC Transport'!Q11+'FEC Other'!Q11</f>
        <v>25329.469956339002</v>
      </c>
      <c r="R11" s="3">
        <f>'FEC Industry'!R11+'FEC Transport'!R11+'FEC Other'!R11</f>
        <v>25269.858920512102</v>
      </c>
      <c r="S11" s="3">
        <f>'FEC Industry'!S11+'FEC Transport'!S11+'FEC Other'!S11</f>
        <v>24492.8202866151</v>
      </c>
      <c r="T11" s="3">
        <f>'FEC Industry'!T11+'FEC Transport'!T11+'FEC Other'!T11</f>
        <v>26105.853144740599</v>
      </c>
      <c r="U11" s="3">
        <f>'FEC Industry'!U11+'FEC Transport'!U11+'FEC Other'!U11</f>
        <v>24918.4224899207</v>
      </c>
      <c r="V11" s="3">
        <f ca="1">'FEC Industry'!V11+'FEC Transport'!V11+'FEC Other'!V11</f>
        <v>25650.146313878009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>
        <v>7</v>
      </c>
      <c r="B12" t="s">
        <v>91</v>
      </c>
      <c r="C12" t="s">
        <v>91</v>
      </c>
      <c r="D12" s="3">
        <f>'FEC Industry'!D12+'FEC Transport'!D12+'FEC Other'!D12</f>
        <v>219694.69260000001</v>
      </c>
      <c r="E12" s="3">
        <f>'FEC Industry'!E12+'FEC Transport'!E12+'FEC Other'!E12</f>
        <v>225350.8762</v>
      </c>
      <c r="F12" s="3">
        <f>'FEC Industry'!F12+'FEC Transport'!F12+'FEC Other'!F12</f>
        <v>212951.45120000001</v>
      </c>
      <c r="G12" s="3">
        <f>'FEC Industry'!G12+'FEC Transport'!G12+'FEC Other'!G12</f>
        <v>221712.7427</v>
      </c>
      <c r="H12" s="3">
        <f>'FEC Industry'!H12+'FEC Transport'!H12+'FEC Other'!H12</f>
        <v>208247.30431804719</v>
      </c>
      <c r="I12" s="3">
        <f>'FEC Industry'!I12+'FEC Transport'!I12+'FEC Other'!I12</f>
        <v>223022.923126779</v>
      </c>
      <c r="J12" s="3">
        <f>'FEC Industry'!J12+'FEC Transport'!J12+'FEC Other'!J12</f>
        <v>211711.67674672778</v>
      </c>
      <c r="K12" s="3">
        <f>'FEC Industry'!K12+'FEC Transport'!K12+'FEC Other'!K12</f>
        <v>215781.99264220882</v>
      </c>
      <c r="L12" s="3">
        <f>'FEC Industry'!L12+'FEC Transport'!L12+'FEC Other'!L12</f>
        <v>221009.428923951</v>
      </c>
      <c r="M12" s="3">
        <f>'FEC Industry'!M12+'FEC Transport'!M12+'FEC Other'!M12</f>
        <v>209975.2893544473</v>
      </c>
      <c r="N12" s="3">
        <f>'FEC Industry'!N12+'FEC Transport'!N12+'FEC Other'!N12</f>
        <v>212745.94878093048</v>
      </c>
      <c r="O12" s="3">
        <f>'FEC Industry'!O12+'FEC Transport'!O12+'FEC Other'!O12</f>
        <v>216866.7359025508</v>
      </c>
      <c r="P12" s="3">
        <f>'FEC Industry'!P12+'FEC Transport'!P12+'FEC Other'!P12</f>
        <v>218624.70214894428</v>
      </c>
      <c r="Q12" s="3">
        <f>'FEC Industry'!Q12+'FEC Transport'!Q12+'FEC Other'!Q12</f>
        <v>215173.66844272468</v>
      </c>
      <c r="R12" s="3">
        <f>'FEC Industry'!R12+'FEC Transport'!R12+'FEC Other'!R12</f>
        <v>214703.0108185726</v>
      </c>
      <c r="S12" s="3">
        <f>'FEC Industry'!S12+'FEC Transport'!S12+'FEC Other'!S12</f>
        <v>202265.89613977261</v>
      </c>
      <c r="T12" s="3">
        <f>'FEC Industry'!T12+'FEC Transport'!T12+'FEC Other'!T12</f>
        <v>207941.30210470999</v>
      </c>
      <c r="U12" s="3">
        <f>'FEC Industry'!U12+'FEC Transport'!U12+'FEC Other'!U12</f>
        <v>202836.86130209229</v>
      </c>
      <c r="V12" s="3">
        <f ca="1">'FEC Industry'!V12+'FEC Transport'!V12+'FEC Other'!V12</f>
        <v>197031.8020906095</v>
      </c>
      <c r="Y12" s="3"/>
    </row>
    <row r="13" spans="1:38">
      <c r="A13">
        <v>8</v>
      </c>
      <c r="B13" t="s">
        <v>115</v>
      </c>
      <c r="C13" t="s">
        <v>115</v>
      </c>
      <c r="D13" s="3">
        <f>'FEC Industry'!D13+'FEC Transport'!D13+'FEC Other'!D13</f>
        <v>15501.724480557939</v>
      </c>
      <c r="E13" s="3">
        <f>'FEC Industry'!E13+'FEC Transport'!E13+'FEC Other'!E13</f>
        <v>15666.497453233969</v>
      </c>
      <c r="F13" s="3">
        <f>'FEC Industry'!F13+'FEC Transport'!F13+'FEC Other'!F13</f>
        <v>15721.262652718058</v>
      </c>
      <c r="G13" s="3">
        <f>'FEC Industry'!G13+'FEC Transport'!G13+'FEC Other'!G13</f>
        <v>15527.188047673641</v>
      </c>
      <c r="H13" s="3">
        <f>'FEC Industry'!H13+'FEC Transport'!H13+'FEC Other'!H13</f>
        <v>14795.706365243139</v>
      </c>
      <c r="I13" s="3">
        <f>'FEC Industry'!I13+'FEC Transport'!I13+'FEC Other'!I13</f>
        <v>15522.413611158881</v>
      </c>
      <c r="J13" s="3">
        <f>'FEC Industry'!J13+'FEC Transport'!J13+'FEC Other'!J13</f>
        <v>14800.815060093621</v>
      </c>
      <c r="K13" s="3">
        <f>'FEC Industry'!K13+'FEC Transport'!K13+'FEC Other'!K13</f>
        <v>14294.406304289671</v>
      </c>
      <c r="L13" s="3">
        <f>'FEC Industry'!L13+'FEC Transport'!L13+'FEC Other'!L13</f>
        <v>14124.750977739561</v>
      </c>
      <c r="M13" s="3">
        <f>'FEC Industry'!M13+'FEC Transport'!M13+'FEC Other'!M13</f>
        <v>13656.767579153529</v>
      </c>
      <c r="N13" s="3">
        <f>'FEC Industry'!N13+'FEC Transport'!N13+'FEC Other'!N13</f>
        <v>14150.996291296451</v>
      </c>
      <c r="O13" s="3">
        <f>'FEC Industry'!O13+'FEC Transport'!O13+'FEC Other'!O13</f>
        <v>14498.23618458011</v>
      </c>
      <c r="P13" s="3">
        <f>'FEC Industry'!P13+'FEC Transport'!P13+'FEC Other'!P13</f>
        <v>14575.975775007159</v>
      </c>
      <c r="Q13" s="3">
        <f>'FEC Industry'!Q13+'FEC Transport'!Q13+'FEC Other'!Q13</f>
        <v>14565.95393952421</v>
      </c>
      <c r="R13" s="3">
        <f>'FEC Industry'!R13+'FEC Transport'!R13+'FEC Other'!R13</f>
        <v>14309.332780166231</v>
      </c>
      <c r="S13" s="3">
        <f>'FEC Industry'!S13+'FEC Transport'!S13+'FEC Other'!S13</f>
        <v>13086.178971911719</v>
      </c>
      <c r="T13" s="3">
        <f>'FEC Industry'!T13+'FEC Transport'!T13+'FEC Other'!T13</f>
        <v>13878.774922900539</v>
      </c>
      <c r="U13" s="3">
        <f>'FEC Industry'!U13+'FEC Transport'!U13+'FEC Other'!U13</f>
        <v>13349.542629502241</v>
      </c>
      <c r="V13" s="3">
        <f ca="1">'FEC Industry'!V13+'FEC Transport'!V13+'FEC Other'!V13</f>
        <v>13197.422563268959</v>
      </c>
      <c r="Y13" s="3"/>
    </row>
    <row r="14" spans="1:38">
      <c r="A14">
        <v>9</v>
      </c>
      <c r="B14" t="s">
        <v>120</v>
      </c>
      <c r="C14" t="s">
        <v>120</v>
      </c>
      <c r="D14" s="3">
        <f>'FEC Industry'!D14+'FEC Transport'!D14+'FEC Other'!D14</f>
        <v>2860.8599999999997</v>
      </c>
      <c r="E14" s="3">
        <f>'FEC Industry'!E14+'FEC Transport'!E14+'FEC Other'!E14</f>
        <v>2881.3339999999998</v>
      </c>
      <c r="F14" s="3">
        <f>'FEC Industry'!F14+'FEC Transport'!F14+'FEC Other'!F14</f>
        <v>3082.6710000000003</v>
      </c>
      <c r="G14" s="3">
        <f>'FEC Industry'!G14+'FEC Transport'!G14+'FEC Other'!G14</f>
        <v>3057.4290000000001</v>
      </c>
      <c r="H14" s="3">
        <f>'FEC Industry'!H14+'FEC Transport'!H14+'FEC Other'!H14</f>
        <v>2761.2179999999998</v>
      </c>
      <c r="I14" s="3">
        <f>'FEC Industry'!I14+'FEC Transport'!I14+'FEC Other'!I14</f>
        <v>2912.1310000000003</v>
      </c>
      <c r="J14" s="3">
        <f>'FEC Industry'!J14+'FEC Transport'!J14+'FEC Other'!J14</f>
        <v>2827.0720000000001</v>
      </c>
      <c r="K14" s="3">
        <f>'FEC Industry'!K14+'FEC Transport'!K14+'FEC Other'!K14</f>
        <v>2886.9459999999999</v>
      </c>
      <c r="L14" s="3">
        <f>'FEC Industry'!L14+'FEC Transport'!L14+'FEC Other'!L14</f>
        <v>2887.962</v>
      </c>
      <c r="M14" s="3">
        <f>'FEC Industry'!M14+'FEC Transport'!M14+'FEC Other'!M14</f>
        <v>2822.018</v>
      </c>
      <c r="N14" s="3">
        <f>'FEC Industry'!N14+'FEC Transport'!N14+'FEC Other'!N14</f>
        <v>2800.328</v>
      </c>
      <c r="O14" s="3">
        <f>'FEC Industry'!O14+'FEC Transport'!O14+'FEC Other'!O14</f>
        <v>2840.6689999999999</v>
      </c>
      <c r="P14" s="3">
        <f>'FEC Industry'!P14+'FEC Transport'!P14+'FEC Other'!P14</f>
        <v>2867.0659999999998</v>
      </c>
      <c r="Q14" s="3">
        <f>'FEC Industry'!Q14+'FEC Transport'!Q14+'FEC Other'!Q14</f>
        <v>2957.5039999999999</v>
      </c>
      <c r="R14" s="3">
        <f>'FEC Industry'!R14+'FEC Transport'!R14+'FEC Other'!R14</f>
        <v>2894.5410000000002</v>
      </c>
      <c r="S14" s="3">
        <f>'FEC Industry'!S14+'FEC Transport'!S14+'FEC Other'!S14</f>
        <v>2749.4979999999996</v>
      </c>
      <c r="T14" s="3">
        <f>'FEC Industry'!T14+'FEC Transport'!T14+'FEC Other'!T14</f>
        <v>2832.6970000000001</v>
      </c>
      <c r="U14" s="3">
        <f>'FEC Industry'!U14+'FEC Transport'!U14+'FEC Other'!U14</f>
        <v>2778.08</v>
      </c>
      <c r="V14" s="3">
        <f ca="1">'FEC Industry'!V14+'FEC Transport'!V14+'FEC Other'!V14</f>
        <v>2786.4672510055898</v>
      </c>
      <c r="Y14" s="3"/>
    </row>
    <row r="15" spans="1:38">
      <c r="A15">
        <v>11</v>
      </c>
      <c r="B15" t="s">
        <v>85</v>
      </c>
      <c r="C15" t="s">
        <v>85</v>
      </c>
      <c r="D15" s="3">
        <f>'FEC Industry'!D15+'FEC Transport'!D15+'FEC Other'!D15</f>
        <v>98117.652000000002</v>
      </c>
      <c r="E15" s="3">
        <f>'FEC Industry'!E15+'FEC Transport'!E15+'FEC Other'!E15</f>
        <v>95821.024999999994</v>
      </c>
      <c r="F15" s="3">
        <f>'FEC Industry'!F15+'FEC Transport'!F15+'FEC Other'!F15</f>
        <v>98473.85</v>
      </c>
      <c r="G15" s="3">
        <f>'FEC Industry'!G15+'FEC Transport'!G15+'FEC Other'!G15</f>
        <v>95002.95</v>
      </c>
      <c r="H15" s="3">
        <f>'FEC Industry'!H15+'FEC Transport'!H15+'FEC Other'!H15</f>
        <v>88141.934999999998</v>
      </c>
      <c r="I15" s="3">
        <f>'FEC Industry'!I15+'FEC Transport'!I15+'FEC Other'!I15</f>
        <v>89577.784</v>
      </c>
      <c r="J15" s="3">
        <f>'FEC Industry'!J15+'FEC Transport'!J15+'FEC Other'!J15</f>
        <v>87063.938999999998</v>
      </c>
      <c r="K15" s="3">
        <f>'FEC Industry'!K15+'FEC Transport'!K15+'FEC Other'!K15</f>
        <v>83537.684999999998</v>
      </c>
      <c r="L15" s="3">
        <f>'FEC Industry'!L15+'FEC Transport'!L15+'FEC Other'!L15</f>
        <v>80931.660999999993</v>
      </c>
      <c r="M15" s="3">
        <f>'FEC Industry'!M15+'FEC Transport'!M15+'FEC Other'!M15</f>
        <v>79543.410196617915</v>
      </c>
      <c r="N15" s="3">
        <f>'FEC Industry'!N15+'FEC Transport'!N15+'FEC Other'!N15</f>
        <v>80488.169052832702</v>
      </c>
      <c r="O15" s="3">
        <f>'FEC Industry'!O15+'FEC Transport'!O15+'FEC Other'!O15</f>
        <v>82207.495902646391</v>
      </c>
      <c r="P15" s="3">
        <f>'FEC Industry'!P15+'FEC Transport'!P15+'FEC Other'!P15</f>
        <v>84752.5262195471</v>
      </c>
      <c r="Q15" s="3">
        <f>'FEC Industry'!Q15+'FEC Transport'!Q15+'FEC Other'!Q15</f>
        <v>86720.0226613165</v>
      </c>
      <c r="R15" s="3">
        <f>'FEC Industry'!R15+'FEC Transport'!R15+'FEC Other'!R15</f>
        <v>86483.118051017504</v>
      </c>
      <c r="S15" s="3">
        <f>'FEC Industry'!S15+'FEC Transport'!S15+'FEC Other'!S15</f>
        <v>73757.113574185496</v>
      </c>
      <c r="T15" s="3">
        <f>'FEC Industry'!T15+'FEC Transport'!T15+'FEC Other'!T15</f>
        <v>80329.029816566297</v>
      </c>
      <c r="U15" s="3">
        <f>'FEC Industry'!U15+'FEC Transport'!U15+'FEC Other'!U15</f>
        <v>81228.069280691707</v>
      </c>
      <c r="V15" s="3">
        <f ca="1">'FEC Industry'!V15+'FEC Transport'!V15+'FEC Other'!V15</f>
        <v>79877.950002218073</v>
      </c>
      <c r="Y15" s="3"/>
    </row>
    <row r="16" spans="1:38">
      <c r="A16">
        <v>12</v>
      </c>
      <c r="B16" t="s">
        <v>2</v>
      </c>
      <c r="C16" t="s">
        <v>2</v>
      </c>
      <c r="D16" s="3">
        <f>'FEC Industry'!D16+'FEC Transport'!D16+'FEC Other'!D16</f>
        <v>25218.550000000003</v>
      </c>
      <c r="E16" s="3">
        <f>'FEC Industry'!E16+'FEC Transport'!E16+'FEC Other'!E16</f>
        <v>26510.635999999999</v>
      </c>
      <c r="F16" s="3">
        <f>'FEC Industry'!F16+'FEC Transport'!F16+'FEC Other'!F16</f>
        <v>26545.855</v>
      </c>
      <c r="G16" s="3">
        <f>'FEC Industry'!G16+'FEC Transport'!G16+'FEC Other'!G16</f>
        <v>25644.953000000001</v>
      </c>
      <c r="H16" s="3">
        <f>'FEC Industry'!H16+'FEC Transport'!H16+'FEC Other'!H16</f>
        <v>23826.686999999998</v>
      </c>
      <c r="I16" s="3">
        <f>'FEC Industry'!I16+'FEC Transport'!I16+'FEC Other'!I16</f>
        <v>26225.231</v>
      </c>
      <c r="J16" s="3">
        <f>'FEC Industry'!J16+'FEC Transport'!J16+'FEC Other'!J16</f>
        <v>25002.254999999997</v>
      </c>
      <c r="K16" s="3">
        <f>'FEC Industry'!K16+'FEC Transport'!K16+'FEC Other'!K16</f>
        <v>25162.682000000001</v>
      </c>
      <c r="L16" s="3">
        <f>'FEC Industry'!L16+'FEC Transport'!L16+'FEC Other'!L16</f>
        <v>24681.741999999998</v>
      </c>
      <c r="M16" s="3">
        <f>'FEC Industry'!M16+'FEC Transport'!M16+'FEC Other'!M16</f>
        <v>24526.517</v>
      </c>
      <c r="N16" s="3">
        <f>'FEC Industry'!N16+'FEC Transport'!N16+'FEC Other'!N16</f>
        <v>24211.438000000002</v>
      </c>
      <c r="O16" s="3">
        <f>'FEC Industry'!O16+'FEC Transport'!O16+'FEC Other'!O16</f>
        <v>25193.19</v>
      </c>
      <c r="P16" s="3">
        <f>'FEC Industry'!P16+'FEC Transport'!P16+'FEC Other'!P16</f>
        <v>25320.502552498321</v>
      </c>
      <c r="Q16" s="3">
        <f>'FEC Industry'!Q16+'FEC Transport'!Q16+'FEC Other'!Q16</f>
        <v>25778.95261326071</v>
      </c>
      <c r="R16" s="3">
        <f>'FEC Industry'!R16+'FEC Transport'!R16+'FEC Other'!R16</f>
        <v>25468.029414540928</v>
      </c>
      <c r="S16" s="3">
        <f>'FEC Industry'!S16+'FEC Transport'!S16+'FEC Other'!S16</f>
        <v>23378.52187943058</v>
      </c>
      <c r="T16" s="3">
        <f>'FEC Industry'!T16+'FEC Transport'!T16+'FEC Other'!T16</f>
        <v>24926.371970574168</v>
      </c>
      <c r="U16" s="3">
        <f>'FEC Industry'!U16+'FEC Transport'!U16+'FEC Other'!U16</f>
        <v>23339.572619852857</v>
      </c>
      <c r="V16" s="3">
        <f ca="1">'FEC Industry'!V16+'FEC Transport'!V16+'FEC Other'!V16</f>
        <v>23147.240857120232</v>
      </c>
      <c r="Y16" s="3"/>
    </row>
    <row r="17" spans="1:25">
      <c r="A17">
        <v>13</v>
      </c>
      <c r="B17" t="s">
        <v>82</v>
      </c>
      <c r="C17" t="s">
        <v>82</v>
      </c>
      <c r="D17" s="3">
        <f>'FEC Industry'!D17+'FEC Transport'!D17+'FEC Other'!D17</f>
        <v>160128.62651256332</v>
      </c>
      <c r="E17" s="3">
        <f>'FEC Industry'!E17+'FEC Transport'!E17+'FEC Other'!E17</f>
        <v>157739.32694697619</v>
      </c>
      <c r="F17" s="3">
        <f>'FEC Industry'!F17+'FEC Transport'!F17+'FEC Other'!F17</f>
        <v>153822.14816690551</v>
      </c>
      <c r="G17" s="3">
        <f>'FEC Industry'!G17+'FEC Transport'!G17+'FEC Other'!G17</f>
        <v>155819.6691651858</v>
      </c>
      <c r="H17" s="3">
        <f>'FEC Industry'!H17+'FEC Transport'!H17+'FEC Other'!H17</f>
        <v>149526.72731823829</v>
      </c>
      <c r="I17" s="3">
        <f>'FEC Industry'!I17+'FEC Transport'!I17+'FEC Other'!I17</f>
        <v>153963.7463738416</v>
      </c>
      <c r="J17" s="3">
        <f>'FEC Industry'!J17+'FEC Transport'!J17+'FEC Other'!J17</f>
        <v>148851.71571128309</v>
      </c>
      <c r="K17" s="3">
        <f>'FEC Industry'!K17+'FEC Transport'!K17+'FEC Other'!K17</f>
        <v>153161.573330085</v>
      </c>
      <c r="L17" s="3">
        <f>'FEC Industry'!L17+'FEC Transport'!L17+'FEC Other'!L17</f>
        <v>155939.25964068022</v>
      </c>
      <c r="M17" s="3">
        <f>'FEC Industry'!M17+'FEC Transport'!M17+'FEC Other'!M17</f>
        <v>145026.76591267792</v>
      </c>
      <c r="N17" s="3">
        <f>'FEC Industry'!N17+'FEC Transport'!N17+'FEC Other'!N17</f>
        <v>148176.73082774429</v>
      </c>
      <c r="O17" s="3">
        <f>'FEC Industry'!O17+'FEC Transport'!O17+'FEC Other'!O17</f>
        <v>150046.26884236169</v>
      </c>
      <c r="P17" s="3">
        <f>'FEC Industry'!P17+'FEC Transport'!P17+'FEC Other'!P17</f>
        <v>149132.72934040311</v>
      </c>
      <c r="Q17" s="3">
        <f>'FEC Industry'!Q17+'FEC Transport'!Q17+'FEC Other'!Q17</f>
        <v>146770.7389145887</v>
      </c>
      <c r="R17" s="3">
        <f>'FEC Industry'!R17+'FEC Transport'!R17+'FEC Other'!R17</f>
        <v>145530.17991439759</v>
      </c>
      <c r="S17" s="3">
        <f>'FEC Industry'!S17+'FEC Transport'!S17+'FEC Other'!S17</f>
        <v>129718.31512037831</v>
      </c>
      <c r="T17" s="3">
        <f>'FEC Industry'!T17+'FEC Transport'!T17+'FEC Other'!T17</f>
        <v>143034.38350807287</v>
      </c>
      <c r="U17" s="3">
        <f>'FEC Industry'!U17+'FEC Transport'!U17+'FEC Other'!U17</f>
        <v>138533.44584971809</v>
      </c>
      <c r="V17" s="3">
        <f ca="1">'FEC Industry'!V17+'FEC Transport'!V17+'FEC Other'!V17</f>
        <v>134168.988423715</v>
      </c>
      <c r="Y17" s="3"/>
    </row>
    <row r="18" spans="1:25">
      <c r="A18">
        <v>10</v>
      </c>
      <c r="B18" t="s">
        <v>181</v>
      </c>
      <c r="C18" t="s">
        <v>182</v>
      </c>
      <c r="D18" s="3">
        <f>'FEC Industry'!D18+'FEC Transport'!D18+'FEC Other'!D18</f>
        <v>21022.402999999998</v>
      </c>
      <c r="E18" s="3">
        <f>'FEC Industry'!E18+'FEC Transport'!E18+'FEC Other'!E18</f>
        <v>21628.356</v>
      </c>
      <c r="F18" s="3">
        <f>'FEC Industry'!F18+'FEC Transport'!F18+'FEC Other'!F18</f>
        <v>22098.375999999997</v>
      </c>
      <c r="G18" s="3">
        <f>'FEC Industry'!G18+'FEC Transport'!G18+'FEC Other'!G18</f>
        <v>21435.766</v>
      </c>
      <c r="H18" s="3">
        <f>'FEC Industry'!H18+'FEC Transport'!H18+'FEC Other'!H18</f>
        <v>20584.623</v>
      </c>
      <c r="I18" s="3">
        <f>'FEC Industry'!I18+'FEC Transport'!I18+'FEC Other'!I18</f>
        <v>19055.753000000001</v>
      </c>
      <c r="J18" s="3">
        <f>'FEC Industry'!J18+'FEC Transport'!J18+'FEC Other'!J18</f>
        <v>18924.798999999999</v>
      </c>
      <c r="K18" s="3">
        <f>'FEC Industry'!K18+'FEC Transport'!K18+'FEC Other'!K18</f>
        <v>17061.315999999999</v>
      </c>
      <c r="L18" s="3">
        <f>'FEC Industry'!L18+'FEC Transport'!L18+'FEC Other'!L18</f>
        <v>15342.073</v>
      </c>
      <c r="M18" s="3">
        <f>'FEC Industry'!M18+'FEC Transport'!M18+'FEC Other'!M18</f>
        <v>15581.578</v>
      </c>
      <c r="N18" s="3">
        <f>'FEC Industry'!N18+'FEC Transport'!N18+'FEC Other'!N18</f>
        <v>16564.705999999998</v>
      </c>
      <c r="O18" s="3">
        <f>'FEC Industry'!O18+'FEC Transport'!O18+'FEC Other'!O18</f>
        <v>16747.094000000001</v>
      </c>
      <c r="P18" s="3">
        <f>'FEC Industry'!P18+'FEC Transport'!P18+'FEC Other'!P18</f>
        <v>16405.606712811692</v>
      </c>
      <c r="Q18" s="3">
        <f>'FEC Industry'!Q18+'FEC Transport'!Q18+'FEC Other'!Q18</f>
        <v>15907.400387121419</v>
      </c>
      <c r="R18" s="3">
        <f>'FEC Industry'!R18+'FEC Transport'!R18+'FEC Other'!R18</f>
        <v>16173.874562625391</v>
      </c>
      <c r="S18" s="3">
        <f>'FEC Industry'!S18+'FEC Transport'!S18+'FEC Other'!S18</f>
        <v>14438.990608770409</v>
      </c>
      <c r="T18" s="3">
        <f>'FEC Industry'!T18+'FEC Transport'!T18+'FEC Other'!T18</f>
        <v>15168.914545046329</v>
      </c>
      <c r="U18" s="3">
        <f>'FEC Industry'!U18+'FEC Transport'!U18+'FEC Other'!U18</f>
        <v>16111.748180185339</v>
      </c>
      <c r="V18" s="3">
        <f ca="1">'FEC Industry'!V18+'FEC Transport'!V18+'FEC Other'!V18</f>
        <v>16121.63634347727</v>
      </c>
      <c r="Y18" s="3"/>
    </row>
    <row r="19" spans="1:25">
      <c r="A19">
        <v>14</v>
      </c>
      <c r="B19" t="s">
        <v>183</v>
      </c>
      <c r="C19" t="s">
        <v>183</v>
      </c>
      <c r="D19" s="3">
        <f>'FEC Industry'!D19+'FEC Transport'!D19+'FEC Other'!D19</f>
        <v>7245.477167</v>
      </c>
      <c r="E19" s="3">
        <f>'FEC Industry'!E19+'FEC Transport'!E19+'FEC Other'!E19</f>
        <v>7258.1638249999996</v>
      </c>
      <c r="F19" s="3">
        <f>'FEC Industry'!F19+'FEC Transport'!F19+'FEC Other'!F19</f>
        <v>7286.6611360000006</v>
      </c>
      <c r="G19" s="3">
        <f>'FEC Industry'!G19+'FEC Transport'!G19+'FEC Other'!G19</f>
        <v>7405.8730190000006</v>
      </c>
      <c r="H19" s="3">
        <f>'FEC Industry'!H19+'FEC Transport'!H19+'FEC Other'!H19</f>
        <v>7178.1104410000007</v>
      </c>
      <c r="I19" s="3">
        <f>'FEC Industry'!I19+'FEC Transport'!I19+'FEC Other'!I19</f>
        <v>7213.4724850000002</v>
      </c>
      <c r="J19" s="3">
        <f>'FEC Industry'!J19+'FEC Transport'!J19+'FEC Other'!J19</f>
        <v>6965.2288919999992</v>
      </c>
      <c r="K19" s="3">
        <f>'FEC Industry'!K19+'FEC Transport'!K19+'FEC Other'!K19</f>
        <v>6654.2548539999998</v>
      </c>
      <c r="L19" s="3">
        <f>'FEC Industry'!L19+'FEC Transport'!L19+'FEC Other'!L19</f>
        <v>6573.5847009999998</v>
      </c>
      <c r="M19" s="3">
        <f>'FEC Industry'!M19+'FEC Transport'!M19+'FEC Other'!M19</f>
        <v>6238.8977329999998</v>
      </c>
      <c r="N19" s="3">
        <f>'FEC Industry'!N19+'FEC Transport'!N19+'FEC Other'!N19</f>
        <v>6586.678116</v>
      </c>
      <c r="O19" s="3">
        <f>'FEC Industry'!O19+'FEC Transport'!O19+'FEC Other'!O19</f>
        <v>6641.304494</v>
      </c>
      <c r="P19" s="3">
        <f>'FEC Industry'!P19+'FEC Transport'!P19+'FEC Other'!P19</f>
        <v>6925.017632</v>
      </c>
      <c r="Q19" s="3">
        <f>'FEC Industry'!Q19+'FEC Transport'!Q19+'FEC Other'!Q19</f>
        <v>6852.1144280000008</v>
      </c>
      <c r="R19" s="3">
        <f>'FEC Industry'!R19+'FEC Transport'!R19+'FEC Other'!R19</f>
        <v>6911.9972619999999</v>
      </c>
      <c r="S19" s="3">
        <f>'FEC Industry'!S19+'FEC Transport'!S19+'FEC Other'!S19</f>
        <v>6471.7948539999998</v>
      </c>
      <c r="T19" s="3">
        <f>'FEC Industry'!T19+'FEC Transport'!T19+'FEC Other'!T19</f>
        <v>6969.9657056463202</v>
      </c>
      <c r="U19" s="3">
        <f>'FEC Industry'!U19+'FEC Transport'!U19+'FEC Other'!U19</f>
        <v>6891.0024305913803</v>
      </c>
      <c r="V19" s="3">
        <f ca="1">'FEC Industry'!V19+'FEC Transport'!V19+'FEC Other'!V19</f>
        <v>6845.1088006095024</v>
      </c>
      <c r="Y19" s="3"/>
    </row>
    <row r="20" spans="1:25">
      <c r="A20">
        <v>15</v>
      </c>
      <c r="B20" t="s">
        <v>88</v>
      </c>
      <c r="C20" t="s">
        <v>88</v>
      </c>
      <c r="D20" s="3">
        <f>'FEC Industry'!D20+'FEC Transport'!D20+'FEC Other'!D20</f>
        <v>18741.555</v>
      </c>
      <c r="E20" s="3">
        <f>'FEC Industry'!E20+'FEC Transport'!E20+'FEC Other'!E20</f>
        <v>18458.644</v>
      </c>
      <c r="F20" s="3">
        <f>'FEC Industry'!F20+'FEC Transport'!F20+'FEC Other'!F20</f>
        <v>17444.510999999999</v>
      </c>
      <c r="G20" s="3">
        <f>'FEC Industry'!G20+'FEC Transport'!G20+'FEC Other'!G20</f>
        <v>17439.534</v>
      </c>
      <c r="H20" s="3">
        <f>'FEC Industry'!H20+'FEC Transport'!H20+'FEC Other'!H20</f>
        <v>17068.373</v>
      </c>
      <c r="I20" s="3">
        <f>'FEC Industry'!I20+'FEC Transport'!I20+'FEC Other'!I20</f>
        <v>17450.073</v>
      </c>
      <c r="J20" s="3">
        <f>'FEC Industry'!J20+'FEC Transport'!J20+'FEC Other'!J20</f>
        <v>17493.258000000002</v>
      </c>
      <c r="K20" s="3">
        <f>'FEC Industry'!K20+'FEC Transport'!K20+'FEC Other'!K20</f>
        <v>16472.557000000001</v>
      </c>
      <c r="L20" s="3">
        <f>'FEC Industry'!L20+'FEC Transport'!L20+'FEC Other'!L20</f>
        <v>16584.461000000003</v>
      </c>
      <c r="M20" s="3">
        <f>'FEC Industry'!M20+'FEC Transport'!M20+'FEC Other'!M20</f>
        <v>16220.888999999999</v>
      </c>
      <c r="N20" s="3">
        <f>'FEC Industry'!N20+'FEC Transport'!N20+'FEC Other'!N20</f>
        <v>17399.830999999998</v>
      </c>
      <c r="O20" s="3">
        <f>'FEC Industry'!O20+'FEC Transport'!O20+'FEC Other'!O20</f>
        <v>17744.226999999999</v>
      </c>
      <c r="P20" s="3">
        <f>'FEC Industry'!P20+'FEC Transport'!P20+'FEC Other'!P20</f>
        <v>18498.1583155632</v>
      </c>
      <c r="Q20" s="3">
        <f>'FEC Industry'!Q20+'FEC Transport'!Q20+'FEC Other'!Q20</f>
        <v>18527.696702493551</v>
      </c>
      <c r="R20" s="3">
        <f>'FEC Industry'!R20+'FEC Transport'!R20+'FEC Other'!R20</f>
        <v>18602.36505206841</v>
      </c>
      <c r="S20" s="3">
        <f>'FEC Industry'!S20+'FEC Transport'!S20+'FEC Other'!S20</f>
        <v>18012.675327601028</v>
      </c>
      <c r="T20" s="3">
        <f>'FEC Industry'!T20+'FEC Transport'!T20+'FEC Other'!T20</f>
        <v>19094.910220884682</v>
      </c>
      <c r="U20" s="3">
        <f>'FEC Industry'!U20+'FEC Transport'!U20+'FEC Other'!U20</f>
        <v>18313.274888124579</v>
      </c>
      <c r="V20" s="3">
        <f ca="1">'FEC Industry'!V20+'FEC Transport'!V20+'FEC Other'!V20</f>
        <v>17677.597844416752</v>
      </c>
      <c r="Y20" s="3"/>
    </row>
    <row r="21" spans="1:25">
      <c r="A21">
        <v>16</v>
      </c>
      <c r="B21" t="s">
        <v>133</v>
      </c>
      <c r="C21" t="s">
        <v>133</v>
      </c>
      <c r="D21" s="3">
        <f>'FEC Industry'!D21+'FEC Transport'!D21+'FEC Other'!D21</f>
        <v>12614.89231174166</v>
      </c>
      <c r="E21" s="3">
        <f>'FEC Industry'!E21+'FEC Transport'!E21+'FEC Other'!E21</f>
        <v>13135.9095925289</v>
      </c>
      <c r="F21" s="3">
        <f>'FEC Industry'!F21+'FEC Transport'!F21+'FEC Other'!F21</f>
        <v>13201.54158096876</v>
      </c>
      <c r="G21" s="3">
        <f>'FEC Industry'!G21+'FEC Transport'!G21+'FEC Other'!G21</f>
        <v>13213.140864431069</v>
      </c>
      <c r="H21" s="3">
        <f>'FEC Industry'!H21+'FEC Transport'!H21+'FEC Other'!H21</f>
        <v>11789.22126349479</v>
      </c>
      <c r="I21" s="3">
        <f>'FEC Industry'!I21+'FEC Transport'!I21+'FEC Other'!I21</f>
        <v>11912.593135473391</v>
      </c>
      <c r="J21" s="3">
        <f>'FEC Industry'!J21+'FEC Transport'!J21+'FEC Other'!J21</f>
        <v>11039.475911149329</v>
      </c>
      <c r="K21" s="3">
        <f>'FEC Industry'!K21+'FEC Transport'!K21+'FEC Other'!K21</f>
        <v>10737.036067067929</v>
      </c>
      <c r="L21" s="3">
        <f>'FEC Industry'!L21+'FEC Transport'!L21+'FEC Other'!L21</f>
        <v>10869.564823922799</v>
      </c>
      <c r="M21" s="3">
        <f>'FEC Industry'!M21+'FEC Transport'!M21+'FEC Other'!M21</f>
        <v>10908.182934747299</v>
      </c>
      <c r="N21" s="3">
        <f>'FEC Industry'!N21+'FEC Transport'!N21+'FEC Other'!N21</f>
        <v>11324.25376468902</v>
      </c>
      <c r="O21" s="3">
        <f>'FEC Industry'!O21+'FEC Transport'!O21+'FEC Other'!O21</f>
        <v>11755.309070316231</v>
      </c>
      <c r="P21" s="3">
        <f>'FEC Industry'!P21+'FEC Transport'!P21+'FEC Other'!P21</f>
        <v>11849.10243918983</v>
      </c>
      <c r="Q21" s="3">
        <f>'FEC Industry'!Q21+'FEC Transport'!Q21+'FEC Other'!Q21</f>
        <v>12391.04366781313</v>
      </c>
      <c r="R21" s="3">
        <f>'FEC Industry'!R21+'FEC Transport'!R21+'FEC Other'!R21</f>
        <v>12376.014814368969</v>
      </c>
      <c r="S21" s="3">
        <f>'FEC Industry'!S21+'FEC Transport'!S21+'FEC Other'!S21</f>
        <v>11182.74909525174</v>
      </c>
      <c r="T21" s="3">
        <f>'FEC Industry'!T21+'FEC Transport'!T21+'FEC Other'!T21</f>
        <v>11422.59735931977</v>
      </c>
      <c r="U21" s="3">
        <f>'FEC Industry'!U21+'FEC Transport'!U21+'FEC Other'!U21</f>
        <v>11962.64227180663</v>
      </c>
      <c r="V21" s="3">
        <f ca="1">'FEC Industry'!V21+'FEC Transport'!V21+'FEC Other'!V21</f>
        <v>11774.857646809767</v>
      </c>
      <c r="Y21" s="3"/>
    </row>
    <row r="22" spans="1:25">
      <c r="A22">
        <v>17</v>
      </c>
      <c r="B22" t="s">
        <v>157</v>
      </c>
      <c r="C22" t="s">
        <v>157</v>
      </c>
      <c r="D22" s="3">
        <f>'FEC Industry'!D22+'FEC Transport'!D22+'FEC Other'!D22</f>
        <v>137215.731</v>
      </c>
      <c r="E22" s="3">
        <f>'FEC Industry'!E22+'FEC Transport'!E22+'FEC Other'!E22</f>
        <v>135659.44999999998</v>
      </c>
      <c r="F22" s="3">
        <f>'FEC Industry'!F22+'FEC Transport'!F22+'FEC Other'!F22</f>
        <v>134623.981</v>
      </c>
      <c r="G22" s="3">
        <f>'FEC Industry'!G22+'FEC Transport'!G22+'FEC Other'!G22</f>
        <v>134279.04499999998</v>
      </c>
      <c r="H22" s="3">
        <f>'FEC Industry'!H22+'FEC Transport'!H22+'FEC Other'!H22</f>
        <v>126173.53700000001</v>
      </c>
      <c r="I22" s="3">
        <f>'FEC Industry'!I22+'FEC Transport'!I22+'FEC Other'!I22</f>
        <v>128505.893</v>
      </c>
      <c r="J22" s="3">
        <f>'FEC Industry'!J22+'FEC Transport'!J22+'FEC Other'!J22</f>
        <v>123184.484</v>
      </c>
      <c r="K22" s="3">
        <f>'FEC Industry'!K22+'FEC Transport'!K22+'FEC Other'!K22</f>
        <v>121816.47500000001</v>
      </c>
      <c r="L22" s="3">
        <f>'FEC Industry'!L22+'FEC Transport'!L22+'FEC Other'!L22</f>
        <v>118554.034</v>
      </c>
      <c r="M22" s="3">
        <f>'FEC Industry'!M22+'FEC Transport'!M22+'FEC Other'!M22</f>
        <v>113309.747</v>
      </c>
      <c r="N22" s="3">
        <f>'FEC Industry'!N22+'FEC Transport'!N22+'FEC Other'!N22</f>
        <v>116224.36900000001</v>
      </c>
      <c r="O22" s="3">
        <f>'FEC Industry'!O22+'FEC Transport'!O22+'FEC Other'!O22</f>
        <v>115920.216</v>
      </c>
      <c r="P22" s="3">
        <f>'FEC Industry'!P22+'FEC Transport'!P22+'FEC Other'!P22</f>
        <v>115185.5135712238</v>
      </c>
      <c r="Q22" s="3">
        <f>'FEC Industry'!Q22+'FEC Transport'!Q22+'FEC Other'!Q22</f>
        <v>116325.59403362949</v>
      </c>
      <c r="R22" s="3">
        <f>'FEC Industry'!R22+'FEC Transport'!R22+'FEC Other'!R22</f>
        <v>115355.54150511129</v>
      </c>
      <c r="S22" s="3">
        <f>'FEC Industry'!S22+'FEC Transport'!S22+'FEC Other'!S22</f>
        <v>102738.0607694659</v>
      </c>
      <c r="T22" s="3">
        <f>'FEC Industry'!T22+'FEC Transport'!T22+'FEC Other'!T22</f>
        <v>114347.13898079669</v>
      </c>
      <c r="U22" s="3">
        <f>'FEC Industry'!U22+'FEC Transport'!U22+'FEC Other'!U22</f>
        <v>111942.9486721123</v>
      </c>
      <c r="V22" s="3">
        <f ca="1">'FEC Industry'!V22+'FEC Transport'!V22+'FEC Other'!V22</f>
        <v>110520.59107893823</v>
      </c>
      <c r="Y22" s="3"/>
    </row>
    <row r="23" spans="1:25">
      <c r="A23">
        <v>18</v>
      </c>
      <c r="B23" t="s">
        <v>137</v>
      </c>
      <c r="C23" t="s">
        <v>137</v>
      </c>
      <c r="D23" s="3">
        <f>'FEC Industry'!D23+'FEC Transport'!D23+'FEC Other'!D23</f>
        <v>4668.8419999999996</v>
      </c>
      <c r="E23" s="3">
        <f>'FEC Industry'!E23+'FEC Transport'!E23+'FEC Other'!E23</f>
        <v>4928.8549999999996</v>
      </c>
      <c r="F23" s="3">
        <f>'FEC Industry'!F23+'FEC Transport'!F23+'FEC Other'!F23</f>
        <v>5212.0650000000005</v>
      </c>
      <c r="G23" s="3">
        <f>'FEC Industry'!G23+'FEC Transport'!G23+'FEC Other'!G23</f>
        <v>5130.5329999999994</v>
      </c>
      <c r="H23" s="3">
        <f>'FEC Industry'!H23+'FEC Transport'!H23+'FEC Other'!H23</f>
        <v>4642.2870000000003</v>
      </c>
      <c r="I23" s="3">
        <f>'FEC Industry'!I23+'FEC Transport'!I23+'FEC Other'!I23</f>
        <v>4805.7089999999998</v>
      </c>
      <c r="J23" s="3">
        <f>'FEC Industry'!J23+'FEC Transport'!J23+'FEC Other'!J23</f>
        <v>4783.91</v>
      </c>
      <c r="K23" s="3">
        <f>'FEC Industry'!K23+'FEC Transport'!K23+'FEC Other'!K23</f>
        <v>4901.8510000000006</v>
      </c>
      <c r="L23" s="3">
        <f>'FEC Industry'!L23+'FEC Transport'!L23+'FEC Other'!L23</f>
        <v>4782.4040000000005</v>
      </c>
      <c r="M23" s="3">
        <f>'FEC Industry'!M23+'FEC Transport'!M23+'FEC Other'!M23</f>
        <v>4877.8499999999995</v>
      </c>
      <c r="N23" s="3">
        <f>'FEC Industry'!N23+'FEC Transport'!N23+'FEC Other'!N23</f>
        <v>4861.0990000000002</v>
      </c>
      <c r="O23" s="3">
        <f>'FEC Industry'!O23+'FEC Transport'!O23+'FEC Other'!O23</f>
        <v>5099.174</v>
      </c>
      <c r="P23" s="3">
        <f>'FEC Industry'!P23+'FEC Transport'!P23+'FEC Other'!P23</f>
        <v>5344.9409999999998</v>
      </c>
      <c r="Q23" s="3">
        <f>'FEC Industry'!Q23+'FEC Transport'!Q23+'FEC Other'!Q23</f>
        <v>5568.1341801853396</v>
      </c>
      <c r="R23" s="3">
        <f>'FEC Industry'!R23+'FEC Transport'!R23+'FEC Other'!R23</f>
        <v>5557.64418152288</v>
      </c>
      <c r="S23" s="3">
        <f>'FEC Industry'!S23+'FEC Transport'!S23+'FEC Other'!S23</f>
        <v>5308.2356478456095</v>
      </c>
      <c r="T23" s="3">
        <f>'FEC Industry'!T23+'FEC Transport'!T23+'FEC Other'!T23</f>
        <v>5660.7782990350606</v>
      </c>
      <c r="U23" s="3">
        <f>'FEC Industry'!U23+'FEC Transport'!U23+'FEC Other'!U23</f>
        <v>5394.1830135664495</v>
      </c>
      <c r="V23" s="3">
        <f ca="1">'FEC Industry'!V23+'FEC Transport'!V23+'FEC Other'!V23</f>
        <v>5368.8767014649629</v>
      </c>
      <c r="Y23" s="3"/>
    </row>
    <row r="24" spans="1:25">
      <c r="A24">
        <v>19</v>
      </c>
      <c r="B24" t="s">
        <v>184</v>
      </c>
      <c r="C24" t="s">
        <v>184</v>
      </c>
      <c r="D24" s="3">
        <f>'FEC Industry'!D24+'FEC Transport'!D24+'FEC Other'!D24</f>
        <v>4478.3838518200064</v>
      </c>
      <c r="E24" s="3">
        <f>'FEC Industry'!E24+'FEC Transport'!E24+'FEC Other'!E24</f>
        <v>4410.8424318333809</v>
      </c>
      <c r="F24" s="3">
        <f>'FEC Industry'!F24+'FEC Transport'!F24+'FEC Other'!F24</f>
        <v>4342.8418194325022</v>
      </c>
      <c r="G24" s="3">
        <f>'FEC Industry'!G24+'FEC Transport'!G24+'FEC Other'!G24</f>
        <v>4383.3345937708991</v>
      </c>
      <c r="H24" s="3">
        <f>'FEC Industry'!H24+'FEC Transport'!H24+'FEC Other'!H24</f>
        <v>4079.2053604662269</v>
      </c>
      <c r="I24" s="3">
        <f>'FEC Industry'!I24+'FEC Transport'!I24+'FEC Other'!I24</f>
        <v>4325.9992722843217</v>
      </c>
      <c r="J24" s="3">
        <f>'FEC Industry'!J24+'FEC Transport'!J24+'FEC Other'!J24</f>
        <v>4292.1229457342124</v>
      </c>
      <c r="K24" s="3">
        <f>'FEC Industry'!K24+'FEC Transport'!K24+'FEC Other'!K24</f>
        <v>4170.8122042610112</v>
      </c>
      <c r="L24" s="3">
        <f>'FEC Industry'!L24+'FEC Transport'!L24+'FEC Other'!L24</f>
        <v>4126.221553358173</v>
      </c>
      <c r="M24" s="3">
        <f>'FEC Industry'!M24+'FEC Transport'!M24+'FEC Other'!M24</f>
        <v>4001.7120978312787</v>
      </c>
      <c r="N24" s="3">
        <f>'FEC Industry'!N24+'FEC Transport'!N24+'FEC Other'!N24</f>
        <v>3991.0063253081107</v>
      </c>
      <c r="O24" s="3">
        <f>'FEC Industry'!O24+'FEC Transport'!O24+'FEC Other'!O24</f>
        <v>4039.8592206936078</v>
      </c>
      <c r="P24" s="3">
        <f>'FEC Industry'!P24+'FEC Transport'!P24+'FEC Other'!P24</f>
        <v>4180.3069541415907</v>
      </c>
      <c r="Q24" s="3">
        <f>'FEC Industry'!Q24+'FEC Transport'!Q24+'FEC Other'!Q24</f>
        <v>4348.8824141587847</v>
      </c>
      <c r="R24" s="3">
        <f>'FEC Industry'!R24+'FEC Transport'!R24+'FEC Other'!R24</f>
        <v>4388.9373647654502</v>
      </c>
      <c r="S24" s="3">
        <f>'FEC Industry'!S24+'FEC Transport'!S24+'FEC Other'!S24</f>
        <v>3812.72769122002</v>
      </c>
      <c r="T24" s="3">
        <f>'FEC Industry'!T24+'FEC Transport'!T24+'FEC Other'!T24</f>
        <v>4058.42608397822</v>
      </c>
      <c r="U24" s="3">
        <f>'FEC Industry'!U24+'FEC Transport'!U24+'FEC Other'!U24</f>
        <v>3672.8877599121051</v>
      </c>
      <c r="V24" s="3">
        <f ca="1">'FEC Industry'!V24+'FEC Transport'!V24+'FEC Other'!V24</f>
        <v>3597.6878490383829</v>
      </c>
      <c r="Y24" s="3"/>
    </row>
    <row r="25" spans="1:25">
      <c r="A25">
        <v>20</v>
      </c>
      <c r="B25" t="s">
        <v>93</v>
      </c>
      <c r="C25" t="s">
        <v>93</v>
      </c>
      <c r="D25" s="3">
        <f>'FEC Industry'!D25+'FEC Transport'!D25+'FEC Other'!D25</f>
        <v>4018.2700000000004</v>
      </c>
      <c r="E25" s="3">
        <f>'FEC Industry'!E25+'FEC Transport'!E25+'FEC Other'!E25</f>
        <v>4193.5560000000005</v>
      </c>
      <c r="F25" s="3">
        <f>'FEC Industry'!F25+'FEC Transport'!F25+'FEC Other'!F25</f>
        <v>4354.4459999999999</v>
      </c>
      <c r="G25" s="3">
        <f>'FEC Industry'!G25+'FEC Transport'!G25+'FEC Other'!G25</f>
        <v>4153.3009999999995</v>
      </c>
      <c r="H25" s="3">
        <f>'FEC Industry'!H25+'FEC Transport'!H25+'FEC Other'!H25</f>
        <v>4039.6469999999999</v>
      </c>
      <c r="I25" s="3">
        <f>'FEC Industry'!I25+'FEC Transport'!I25+'FEC Other'!I25</f>
        <v>4119.8909999999996</v>
      </c>
      <c r="J25" s="3">
        <f>'FEC Industry'!J25+'FEC Transport'!J25+'FEC Other'!J25</f>
        <v>3868.8150000000005</v>
      </c>
      <c r="K25" s="3">
        <f>'FEC Industry'!K25+'FEC Transport'!K25+'FEC Other'!K25</f>
        <v>4026.9679999999998</v>
      </c>
      <c r="L25" s="3">
        <f>'FEC Industry'!L25+'FEC Transport'!L25+'FEC Other'!L25</f>
        <v>3855.0590000000002</v>
      </c>
      <c r="M25" s="3">
        <f>'FEC Industry'!M25+'FEC Transport'!M25+'FEC Other'!M25</f>
        <v>3885.4630000000002</v>
      </c>
      <c r="N25" s="3">
        <f>'FEC Industry'!N25+'FEC Transport'!N25+'FEC Other'!N25</f>
        <v>3787.5010000000002</v>
      </c>
      <c r="O25" s="3">
        <f>'FEC Industry'!O25+'FEC Transport'!O25+'FEC Other'!O25</f>
        <v>3820.2579999999998</v>
      </c>
      <c r="P25" s="3">
        <f>'FEC Industry'!P25+'FEC Transport'!P25+'FEC Other'!P25</f>
        <v>4014.1089049393299</v>
      </c>
      <c r="Q25" s="3">
        <f>'FEC Industry'!Q25+'FEC Transport'!Q25+'FEC Other'!Q25</f>
        <v>4177.0159049393296</v>
      </c>
      <c r="R25" s="3">
        <f>'FEC Industry'!R25+'FEC Transport'!R25+'FEC Other'!R25</f>
        <v>4080.5539049393301</v>
      </c>
      <c r="S25" s="3">
        <f>'FEC Industry'!S25+'FEC Transport'!S25+'FEC Other'!S25</f>
        <v>3855.2949049393301</v>
      </c>
      <c r="T25" s="3">
        <f>'FEC Industry'!T25+'FEC Transport'!T25+'FEC Other'!T25</f>
        <v>4057.4418703544497</v>
      </c>
      <c r="U25" s="3">
        <f>'FEC Industry'!U25+'FEC Transport'!U25+'FEC Other'!U25</f>
        <v>3962.2388703544502</v>
      </c>
      <c r="V25" s="3">
        <f ca="1">'FEC Industry'!V25+'FEC Transport'!V25+'FEC Other'!V25</f>
        <v>3899.0708975661746</v>
      </c>
      <c r="Y25" s="3"/>
    </row>
    <row r="26" spans="1:25">
      <c r="A26">
        <v>21</v>
      </c>
      <c r="B26" t="s">
        <v>141</v>
      </c>
      <c r="C26" t="s">
        <v>141</v>
      </c>
      <c r="D26" s="3">
        <f>'FEC Industry'!D26+'FEC Transport'!D26+'FEC Other'!D26</f>
        <v>464.34500000000003</v>
      </c>
      <c r="E26" s="3">
        <f>'FEC Industry'!E26+'FEC Transport'!E26+'FEC Other'!E26</f>
        <v>466.28399999999999</v>
      </c>
      <c r="F26" s="3">
        <f>'FEC Industry'!F26+'FEC Transport'!F26+'FEC Other'!F26</f>
        <v>480.32799999999997</v>
      </c>
      <c r="G26" s="3">
        <f>'FEC Industry'!G26+'FEC Transport'!G26+'FEC Other'!G26</f>
        <v>501.161</v>
      </c>
      <c r="H26" s="3">
        <f>'FEC Industry'!H26+'FEC Transport'!H26+'FEC Other'!H26</f>
        <v>452.87599999999998</v>
      </c>
      <c r="I26" s="3">
        <f>'FEC Industry'!I26+'FEC Transport'!I26+'FEC Other'!I26</f>
        <v>503.02800000000002</v>
      </c>
      <c r="J26" s="3">
        <f>'FEC Industry'!J26+'FEC Transport'!J26+'FEC Other'!J26</f>
        <v>493.21900000000005</v>
      </c>
      <c r="K26" s="3">
        <f>'FEC Industry'!K26+'FEC Transport'!K26+'FEC Other'!K26</f>
        <v>506.88</v>
      </c>
      <c r="L26" s="3">
        <f>'FEC Industry'!L26+'FEC Transport'!L26+'FEC Other'!L26</f>
        <v>525.87200000000007</v>
      </c>
      <c r="M26" s="3">
        <f>'FEC Industry'!M26+'FEC Transport'!M26+'FEC Other'!M26</f>
        <v>547.66300000000001</v>
      </c>
      <c r="N26" s="3">
        <f>'FEC Industry'!N26+'FEC Transport'!N26+'FEC Other'!N26</f>
        <v>578.39800000000002</v>
      </c>
      <c r="O26" s="3">
        <f>'FEC Industry'!O26+'FEC Transport'!O26+'FEC Other'!O26</f>
        <v>583.03100000000006</v>
      </c>
      <c r="P26" s="3">
        <f>'FEC Industry'!P26+'FEC Transport'!P26+'FEC Other'!P26</f>
        <v>622.26614961306905</v>
      </c>
      <c r="Q26" s="3">
        <f>'FEC Industry'!Q26+'FEC Transport'!Q26+'FEC Other'!Q26</f>
        <v>660.66464087130998</v>
      </c>
      <c r="R26" s="3">
        <f>'FEC Industry'!R26+'FEC Transport'!R26+'FEC Other'!R26</f>
        <v>697.69120559854798</v>
      </c>
      <c r="S26" s="3">
        <f>'FEC Industry'!S26+'FEC Transport'!S26+'FEC Other'!S26</f>
        <v>545.47336409668503</v>
      </c>
      <c r="T26" s="3">
        <f>'FEC Industry'!T26+'FEC Transport'!T26+'FEC Other'!T26</f>
        <v>585.75555335817296</v>
      </c>
      <c r="U26" s="3">
        <f>'FEC Industry'!U26+'FEC Transport'!U26+'FEC Other'!U26</f>
        <v>698.73075685487697</v>
      </c>
      <c r="V26" s="3">
        <f ca="1">'FEC Industry'!V26+'FEC Transport'!V26+'FEC Other'!V26</f>
        <v>678.33239042578782</v>
      </c>
      <c r="X26" s="3"/>
      <c r="Y26" s="3"/>
    </row>
    <row r="27" spans="1:25">
      <c r="A27">
        <v>22</v>
      </c>
      <c r="B27" t="s">
        <v>145</v>
      </c>
      <c r="C27" t="s">
        <v>145</v>
      </c>
      <c r="D27" s="3">
        <f>'FEC Industry'!D27+'FEC Transport'!D27+'FEC Other'!D27</f>
        <v>54407.232091334707</v>
      </c>
      <c r="E27" s="3">
        <f>'FEC Industry'!E27+'FEC Transport'!E27+'FEC Other'!E27</f>
        <v>54080.223479411499</v>
      </c>
      <c r="F27" s="3">
        <f>'FEC Industry'!F27+'FEC Transport'!F27+'FEC Other'!F27</f>
        <v>53355.124926148899</v>
      </c>
      <c r="G27" s="3">
        <f>'FEC Industry'!G27+'FEC Transport'!G27+'FEC Other'!G27</f>
        <v>54189.486326645601</v>
      </c>
      <c r="H27" s="3">
        <f>'FEC Industry'!H27+'FEC Transport'!H27+'FEC Other'!H27</f>
        <v>51987.142818572698</v>
      </c>
      <c r="I27" s="3">
        <f>'FEC Industry'!I27+'FEC Transport'!I27+'FEC Other'!I27</f>
        <v>55634.457270277999</v>
      </c>
      <c r="J27" s="3">
        <f>'FEC Industry'!J27+'FEC Transport'!J27+'FEC Other'!J27</f>
        <v>51983.603984618298</v>
      </c>
      <c r="K27" s="3">
        <f>'FEC Industry'!K27+'FEC Transport'!K27+'FEC Other'!K27</f>
        <v>52092.591798223002</v>
      </c>
      <c r="L27" s="3">
        <f>'FEC Industry'!L27+'FEC Transport'!L27+'FEC Other'!L27</f>
        <v>51915.811878379696</v>
      </c>
      <c r="M27" s="3">
        <f>'FEC Industry'!M27+'FEC Transport'!M27+'FEC Other'!M27</f>
        <v>47523.795601318401</v>
      </c>
      <c r="N27" s="3">
        <f>'FEC Industry'!N27+'FEC Transport'!N27+'FEC Other'!N27</f>
        <v>48625.084631413003</v>
      </c>
      <c r="O27" s="3">
        <f>'FEC Industry'!O27+'FEC Transport'!O27+'FEC Other'!O27</f>
        <v>49664.891243909398</v>
      </c>
      <c r="P27" s="3">
        <f>'FEC Industry'!P27+'FEC Transport'!P27+'FEC Other'!P27</f>
        <v>50033.002008120806</v>
      </c>
      <c r="Q27" s="3">
        <f>'FEC Industry'!Q27+'FEC Transport'!Q27+'FEC Other'!Q27</f>
        <v>50385.741849813705</v>
      </c>
      <c r="R27" s="3">
        <f>'FEC Industry'!R27+'FEC Transport'!R27+'FEC Other'!R27</f>
        <v>49480.3202558517</v>
      </c>
      <c r="S27" s="3">
        <f>'FEC Industry'!S27+'FEC Transport'!S27+'FEC Other'!S27</f>
        <v>45139.294938473293</v>
      </c>
      <c r="T27" s="3">
        <f>'FEC Industry'!T27+'FEC Transport'!T27+'FEC Other'!T27</f>
        <v>46784.707378905099</v>
      </c>
      <c r="U27" s="3">
        <f>'FEC Industry'!U27+'FEC Transport'!U27+'FEC Other'!U27</f>
        <v>43441.981504060401</v>
      </c>
      <c r="V27" s="3">
        <f ca="1">'FEC Industry'!V27+'FEC Transport'!V27+'FEC Other'!V27</f>
        <v>43151.307485939527</v>
      </c>
      <c r="Y27" s="3"/>
    </row>
    <row r="28" spans="1:25">
      <c r="A28">
        <v>23</v>
      </c>
      <c r="B28" t="s">
        <v>185</v>
      </c>
      <c r="C28" t="s">
        <v>185</v>
      </c>
      <c r="D28" s="3">
        <f>'FEC Industry'!D28+'FEC Transport'!D28+'FEC Other'!D28</f>
        <v>58490.819000000003</v>
      </c>
      <c r="E28" s="3">
        <f>'FEC Industry'!E28+'FEC Transport'!E28+'FEC Other'!E28</f>
        <v>61217.304000000004</v>
      </c>
      <c r="F28" s="3">
        <f>'FEC Industry'!F28+'FEC Transport'!F28+'FEC Other'!F28</f>
        <v>61616.428</v>
      </c>
      <c r="G28" s="3">
        <f>'FEC Industry'!G28+'FEC Transport'!G28+'FEC Other'!G28</f>
        <v>62486.938999999998</v>
      </c>
      <c r="H28" s="3">
        <f>'FEC Industry'!H28+'FEC Transport'!H28+'FEC Other'!H28</f>
        <v>61518.224049488897</v>
      </c>
      <c r="I28" s="3">
        <f>'FEC Industry'!I28+'FEC Transport'!I28+'FEC Other'!I28</f>
        <v>66282.761608197208</v>
      </c>
      <c r="J28" s="3">
        <f>'FEC Industry'!J28+'FEC Transport'!J28+'FEC Other'!J28</f>
        <v>64672.259979841401</v>
      </c>
      <c r="K28" s="3">
        <f>'FEC Industry'!K28+'FEC Transport'!K28+'FEC Other'!K28</f>
        <v>64426.927749307302</v>
      </c>
      <c r="L28" s="3">
        <f>'FEC Industry'!L28+'FEC Transport'!L28+'FEC Other'!L28</f>
        <v>63246.878797458703</v>
      </c>
      <c r="M28" s="3">
        <f>'FEC Industry'!M28+'FEC Transport'!M28+'FEC Other'!M28</f>
        <v>61547.4369806057</v>
      </c>
      <c r="N28" s="3">
        <f>'FEC Industry'!N28+'FEC Transport'!N28+'FEC Other'!N28</f>
        <v>62298.519383299907</v>
      </c>
      <c r="O28" s="3">
        <f>'FEC Industry'!O28+'FEC Transport'!O28+'FEC Other'!O28</f>
        <v>66601.362248017598</v>
      </c>
      <c r="P28" s="3">
        <f>'FEC Industry'!P28+'FEC Transport'!P28+'FEC Other'!P28</f>
        <v>70898.536258526787</v>
      </c>
      <c r="Q28" s="3">
        <f>'FEC Industry'!Q28+'FEC Transport'!Q28+'FEC Other'!Q28</f>
        <v>74879.216477023001</v>
      </c>
      <c r="R28" s="3">
        <f>'FEC Industry'!R28+'FEC Transport'!R28+'FEC Other'!R28</f>
        <v>73730.454557561898</v>
      </c>
      <c r="S28" s="3">
        <f>'FEC Industry'!S28+'FEC Transport'!S28+'FEC Other'!S28</f>
        <v>71125.441098309006</v>
      </c>
      <c r="T28" s="3">
        <f>'FEC Industry'!T28+'FEC Transport'!T28+'FEC Other'!T28</f>
        <v>75161.978513327602</v>
      </c>
      <c r="U28" s="3">
        <f>'FEC Industry'!U28+'FEC Transport'!U28+'FEC Other'!U28</f>
        <v>72432.169440909507</v>
      </c>
      <c r="V28" s="3">
        <f ca="1">'FEC Industry'!V28+'FEC Transport'!V28+'FEC Other'!V28</f>
        <v>71575.596392108957</v>
      </c>
      <c r="Y28" s="3"/>
    </row>
    <row r="29" spans="1:25">
      <c r="A29">
        <v>24</v>
      </c>
      <c r="B29" t="s">
        <v>149</v>
      </c>
      <c r="C29" t="s">
        <v>149</v>
      </c>
      <c r="D29" s="3">
        <f>'FEC Industry'!D29+'FEC Transport'!D29+'FEC Other'!D29</f>
        <v>19011.311000000002</v>
      </c>
      <c r="E29" s="3">
        <f>'FEC Industry'!E29+'FEC Transport'!E29+'FEC Other'!E29</f>
        <v>18743.722000000002</v>
      </c>
      <c r="F29" s="3">
        <f>'FEC Industry'!F29+'FEC Transport'!F29+'FEC Other'!F29</f>
        <v>18958.727999999999</v>
      </c>
      <c r="G29" s="3">
        <f>'FEC Industry'!G29+'FEC Transport'!G29+'FEC Other'!G29</f>
        <v>18445.651000000002</v>
      </c>
      <c r="H29" s="3">
        <f>'FEC Industry'!H29+'FEC Transport'!H29+'FEC Other'!H29</f>
        <v>18237.990000000002</v>
      </c>
      <c r="I29" s="3">
        <f>'FEC Industry'!I29+'FEC Transport'!I29+'FEC Other'!I29</f>
        <v>18147.684000000001</v>
      </c>
      <c r="J29" s="3">
        <f>'FEC Industry'!J29+'FEC Transport'!J29+'FEC Other'!J29</f>
        <v>17356.343000000001</v>
      </c>
      <c r="K29" s="3">
        <f>'FEC Industry'!K29+'FEC Transport'!K29+'FEC Other'!K29</f>
        <v>16034.895</v>
      </c>
      <c r="L29" s="3">
        <f>'FEC Industry'!L29+'FEC Transport'!L29+'FEC Other'!L29</f>
        <v>15841.895</v>
      </c>
      <c r="M29" s="3">
        <f>'FEC Industry'!M29+'FEC Transport'!M29+'FEC Other'!M29</f>
        <v>15757.780633705919</v>
      </c>
      <c r="N29" s="3">
        <f>'FEC Industry'!N29+'FEC Transport'!N29+'FEC Other'!N29</f>
        <v>15996.543437374601</v>
      </c>
      <c r="O29" s="3">
        <f>'FEC Industry'!O29+'FEC Transport'!O29+'FEC Other'!O29</f>
        <v>16185.56417292442</v>
      </c>
      <c r="P29" s="3">
        <f>'FEC Industry'!P29+'FEC Transport'!P29+'FEC Other'!P29</f>
        <v>16556.81335626253</v>
      </c>
      <c r="Q29" s="3">
        <f>'FEC Industry'!Q29+'FEC Transport'!Q29+'FEC Other'!Q29</f>
        <v>16866.686398490478</v>
      </c>
      <c r="R29" s="3">
        <f>'FEC Industry'!R29+'FEC Transport'!R29+'FEC Other'!R29</f>
        <v>17131.673511416819</v>
      </c>
      <c r="S29" s="3">
        <f>'FEC Industry'!S29+'FEC Transport'!S29+'FEC Other'!S29</f>
        <v>14961.096119996171</v>
      </c>
      <c r="T29" s="3">
        <f>'FEC Industry'!T29+'FEC Transport'!T29+'FEC Other'!T29</f>
        <v>15683.10248992069</v>
      </c>
      <c r="U29" s="3">
        <f>'FEC Industry'!U29+'FEC Transport'!U29+'FEC Other'!U29</f>
        <v>16710.772177605788</v>
      </c>
      <c r="V29" s="3">
        <f ca="1">'FEC Industry'!V29+'FEC Transport'!V29+'FEC Other'!V29</f>
        <v>17123.190426424051</v>
      </c>
      <c r="Y29" s="3"/>
    </row>
    <row r="30" spans="1:25">
      <c r="A30">
        <v>25</v>
      </c>
      <c r="B30" t="s">
        <v>186</v>
      </c>
      <c r="C30" t="s">
        <v>186</v>
      </c>
      <c r="D30" s="3">
        <f>'FEC Industry'!D30+'FEC Transport'!D30+'FEC Other'!D30</f>
        <v>24600.038</v>
      </c>
      <c r="E30" s="3">
        <f>'FEC Industry'!E30+'FEC Transport'!E30+'FEC Other'!E30</f>
        <v>24768.212</v>
      </c>
      <c r="F30" s="3">
        <f>'FEC Industry'!F30+'FEC Transport'!F30+'FEC Other'!F30</f>
        <v>24135.843000000001</v>
      </c>
      <c r="G30" s="3">
        <f>'FEC Industry'!G30+'FEC Transport'!G30+'FEC Other'!G30</f>
        <v>24682.940000000002</v>
      </c>
      <c r="H30" s="3">
        <f>'FEC Industry'!H30+'FEC Transport'!H30+'FEC Other'!H30</f>
        <v>22244.093999999997</v>
      </c>
      <c r="I30" s="3">
        <f>'FEC Industry'!I30+'FEC Transport'!I30+'FEC Other'!I30</f>
        <v>22539.746999999999</v>
      </c>
      <c r="J30" s="3">
        <f>'FEC Industry'!J30+'FEC Transport'!J30+'FEC Other'!J30</f>
        <v>22735.909</v>
      </c>
      <c r="K30" s="3">
        <f>'FEC Industry'!K30+'FEC Transport'!K30+'FEC Other'!K30</f>
        <v>22762.648000000001</v>
      </c>
      <c r="L30" s="3">
        <f>'FEC Industry'!L30+'FEC Transport'!L30+'FEC Other'!L30</f>
        <v>21796.453999999998</v>
      </c>
      <c r="M30" s="3">
        <f>'FEC Industry'!M30+'FEC Transport'!M30+'FEC Other'!M30</f>
        <v>21685.625</v>
      </c>
      <c r="N30" s="3">
        <f>'FEC Industry'!N30+'FEC Transport'!N30+'FEC Other'!N30</f>
        <v>21849.805</v>
      </c>
      <c r="O30" s="3">
        <f>'FEC Industry'!O30+'FEC Transport'!O30+'FEC Other'!O30</f>
        <v>22236.513999999999</v>
      </c>
      <c r="P30" s="3">
        <f>'FEC Industry'!P30+'FEC Transport'!P30+'FEC Other'!P30</f>
        <v>23325.419000000002</v>
      </c>
      <c r="Q30" s="3">
        <f>'FEC Industry'!Q30+'FEC Transport'!Q30+'FEC Other'!Q30</f>
        <v>23592.203000000001</v>
      </c>
      <c r="R30" s="3">
        <f>'FEC Industry'!R30+'FEC Transport'!R30+'FEC Other'!R30</f>
        <v>23875.530999999999</v>
      </c>
      <c r="S30" s="3">
        <f>'FEC Industry'!S30+'FEC Transport'!S30+'FEC Other'!S30</f>
        <v>23529.343999999997</v>
      </c>
      <c r="T30" s="3">
        <f>'FEC Industry'!T30+'FEC Transport'!T30+'FEC Other'!T30</f>
        <v>25372.688999999998</v>
      </c>
      <c r="U30" s="3">
        <f>'FEC Industry'!U30+'FEC Transport'!U30+'FEC Other'!U30</f>
        <v>24019.58</v>
      </c>
      <c r="V30" s="3">
        <f ca="1">'FEC Industry'!V30+'FEC Transport'!V30+'FEC Other'!V30</f>
        <v>23438.875778870366</v>
      </c>
      <c r="Y30" s="3"/>
    </row>
    <row r="31" spans="1:25">
      <c r="A31">
        <v>26</v>
      </c>
      <c r="B31" t="s">
        <v>187</v>
      </c>
      <c r="C31" t="s">
        <v>187</v>
      </c>
      <c r="D31" s="3">
        <f>'FEC Industry'!D31+'FEC Transport'!D31+'FEC Other'!D31</f>
        <v>33243.838000000003</v>
      </c>
      <c r="E31" s="3">
        <f>'FEC Industry'!E31+'FEC Transport'!E31+'FEC Other'!E31</f>
        <v>33149.39</v>
      </c>
      <c r="F31" s="3">
        <f>'FEC Industry'!F31+'FEC Transport'!F31+'FEC Other'!F31</f>
        <v>33291.207000000002</v>
      </c>
      <c r="G31" s="3">
        <f>'FEC Industry'!G31+'FEC Transport'!G31+'FEC Other'!G31</f>
        <v>32688.831999999995</v>
      </c>
      <c r="H31" s="3">
        <f>'FEC Industry'!H31+'FEC Transport'!H31+'FEC Other'!H31</f>
        <v>31394.432000000001</v>
      </c>
      <c r="I31" s="3">
        <f>'FEC Industry'!I31+'FEC Transport'!I31+'FEC Other'!I31</f>
        <v>33991.953999999998</v>
      </c>
      <c r="J31" s="3">
        <f>'FEC Industry'!J31+'FEC Transport'!J31+'FEC Other'!J31</f>
        <v>32541.0645398872</v>
      </c>
      <c r="K31" s="3">
        <f>'FEC Industry'!K31+'FEC Transport'!K31+'FEC Other'!K31</f>
        <v>32574.0438639534</v>
      </c>
      <c r="L31" s="3">
        <f>'FEC Industry'!L31+'FEC Transport'!L31+'FEC Other'!L31</f>
        <v>32029.1284965128</v>
      </c>
      <c r="M31" s="3">
        <f>'FEC Industry'!M31+'FEC Transport'!M31+'FEC Other'!M31</f>
        <v>31219.674475876502</v>
      </c>
      <c r="N31" s="3">
        <f>'FEC Industry'!N31+'FEC Transport'!N31+'FEC Other'!N31</f>
        <v>31802.206475876497</v>
      </c>
      <c r="O31" s="3">
        <f>'FEC Industry'!O31+'FEC Transport'!O31+'FEC Other'!O31</f>
        <v>32259.058705646305</v>
      </c>
      <c r="P31" s="3">
        <f>'FEC Industry'!P31+'FEC Transport'!P31+'FEC Other'!P31</f>
        <v>32117.697384350799</v>
      </c>
      <c r="Q31" s="3">
        <f>'FEC Industry'!Q31+'FEC Transport'!Q31+'FEC Other'!Q31</f>
        <v>31934.278724754004</v>
      </c>
      <c r="R31" s="3">
        <f>'FEC Industry'!R31+'FEC Transport'!R31+'FEC Other'!R31</f>
        <v>31534.726724754</v>
      </c>
      <c r="S31" s="3">
        <f>'FEC Industry'!S31+'FEC Transport'!S31+'FEC Other'!S31</f>
        <v>30527.5316903602</v>
      </c>
      <c r="T31" s="3">
        <f>'FEC Industry'!T31+'FEC Transport'!T31+'FEC Other'!T31</f>
        <v>31704.222318142696</v>
      </c>
      <c r="U31" s="3">
        <f>'FEC Industry'!U31+'FEC Transport'!U31+'FEC Other'!U31</f>
        <v>30969.5575977835</v>
      </c>
      <c r="V31" s="3">
        <f ca="1">'FEC Industry'!V31+'FEC Transport'!V31+'FEC Other'!V31</f>
        <v>30924.716168780229</v>
      </c>
      <c r="Y31" s="3"/>
    </row>
    <row r="32" spans="1:25">
      <c r="A32">
        <v>27</v>
      </c>
      <c r="B32" t="s">
        <v>79</v>
      </c>
      <c r="C32" t="s">
        <v>79</v>
      </c>
      <c r="D32" s="3">
        <f>'FEC Industry'!D32+'FEC Transport'!D32+'FEC Other'!D32</f>
        <v>5131.6893003726</v>
      </c>
      <c r="E32" s="3">
        <f>'FEC Industry'!E32+'FEC Transport'!E32+'FEC Other'!E32</f>
        <v>5121.1372957867598</v>
      </c>
      <c r="F32" s="3">
        <f>'FEC Industry'!F32+'FEC Transport'!F32+'FEC Other'!F32</f>
        <v>5144.5892792586201</v>
      </c>
      <c r="G32" s="3">
        <f>'FEC Industry'!G32+'FEC Transport'!G32+'FEC Other'!G32</f>
        <v>5502.2123611349998</v>
      </c>
      <c r="H32" s="3">
        <f>'FEC Industry'!H32+'FEC Transport'!H32+'FEC Other'!H32</f>
        <v>4864.1085895672104</v>
      </c>
      <c r="I32" s="3">
        <f>'FEC Industry'!I32+'FEC Transport'!I32+'FEC Other'!I32</f>
        <v>5066.8085289958899</v>
      </c>
      <c r="J32" s="3">
        <f>'FEC Industry'!J32+'FEC Transport'!J32+'FEC Other'!J32</f>
        <v>5050.2953490016198</v>
      </c>
      <c r="K32" s="3">
        <f>'FEC Industry'!K32+'FEC Transport'!K32+'FEC Other'!K32</f>
        <v>4917.7044723416402</v>
      </c>
      <c r="L32" s="3">
        <f>'FEC Industry'!L32+'FEC Transport'!L32+'FEC Other'!L32</f>
        <v>4810.2817642113296</v>
      </c>
      <c r="M32" s="3">
        <f>'FEC Industry'!M32+'FEC Transport'!M32+'FEC Other'!M32</f>
        <v>4613.1971231489397</v>
      </c>
      <c r="N32" s="3">
        <f>'FEC Industry'!N32+'FEC Transport'!N32+'FEC Other'!N32</f>
        <v>4712.5211662367401</v>
      </c>
      <c r="O32" s="3">
        <f>'FEC Industry'!O32+'FEC Transport'!O32+'FEC Other'!O32</f>
        <v>4881.46002350244</v>
      </c>
      <c r="P32" s="3">
        <f>'FEC Industry'!P32+'FEC Transport'!P32+'FEC Other'!P32</f>
        <v>4948.9837518868799</v>
      </c>
      <c r="Q32" s="3">
        <f>'FEC Industry'!Q32+'FEC Transport'!Q32+'FEC Other'!Q32</f>
        <v>4950.1255977835099</v>
      </c>
      <c r="R32" s="3">
        <f>'FEC Industry'!R32+'FEC Transport'!R32+'FEC Other'!R32</f>
        <v>4850.5626027515</v>
      </c>
      <c r="S32" s="3">
        <f>'FEC Industry'!S32+'FEC Transport'!S32+'FEC Other'!S32</f>
        <v>4407.5628377758694</v>
      </c>
      <c r="T32" s="3">
        <f>'FEC Industry'!T32+'FEC Transport'!T32+'FEC Other'!T32</f>
        <v>4719.9823354351802</v>
      </c>
      <c r="U32" s="3">
        <f>'FEC Industry'!U32+'FEC Transport'!U32+'FEC Other'!U32</f>
        <v>4716.4226709658897</v>
      </c>
      <c r="V32" s="3">
        <f ca="1">'FEC Industry'!V32+'FEC Transport'!V32+'FEC Other'!V32</f>
        <v>4521.1007591987291</v>
      </c>
      <c r="Y32" s="3"/>
    </row>
    <row r="33" spans="1:25">
      <c r="A33">
        <v>28</v>
      </c>
      <c r="B33" t="s">
        <v>188</v>
      </c>
      <c r="C33" t="s">
        <v>188</v>
      </c>
      <c r="D33" s="3">
        <f>'FEC Industry'!D33+'FEC Transport'!D33+'FEC Other'!D33</f>
        <v>11557.52</v>
      </c>
      <c r="E33" s="3">
        <f>'FEC Industry'!E33+'FEC Transport'!E33+'FEC Other'!E33</f>
        <v>11368.307000000001</v>
      </c>
      <c r="F33" s="3">
        <f>'FEC Industry'!F33+'FEC Transport'!F33+'FEC Other'!F33</f>
        <v>11203.761999999999</v>
      </c>
      <c r="G33" s="3">
        <f>'FEC Industry'!G33+'FEC Transport'!G33+'FEC Other'!G33</f>
        <v>11447.470000000001</v>
      </c>
      <c r="H33" s="3">
        <f>'FEC Industry'!H33+'FEC Transport'!H33+'FEC Other'!H33</f>
        <v>10625.496999999999</v>
      </c>
      <c r="I33" s="3">
        <f>'FEC Industry'!I33+'FEC Transport'!I33+'FEC Other'!I33</f>
        <v>12255.235000000001</v>
      </c>
      <c r="J33" s="3">
        <f>'FEC Industry'!J33+'FEC Transport'!J33+'FEC Other'!J33</f>
        <v>11435.439999999999</v>
      </c>
      <c r="K33" s="3">
        <f>'FEC Industry'!K33+'FEC Transport'!K33+'FEC Other'!K33</f>
        <v>11090.45</v>
      </c>
      <c r="L33" s="3">
        <f>'FEC Industry'!L33+'FEC Transport'!L33+'FEC Other'!L33</f>
        <v>11285.617999999999</v>
      </c>
      <c r="M33" s="3">
        <f>'FEC Industry'!M33+'FEC Transport'!M33+'FEC Other'!M33</f>
        <v>10329.957999999999</v>
      </c>
      <c r="N33" s="3">
        <f>'FEC Industry'!N33+'FEC Transport'!N33+'FEC Other'!N33</f>
        <v>10650.466</v>
      </c>
      <c r="O33" s="3">
        <f>'FEC Industry'!O33+'FEC Transport'!O33+'FEC Other'!O33</f>
        <v>11061.550999999999</v>
      </c>
      <c r="P33" s="3">
        <f>'FEC Industry'!P33+'FEC Transport'!P33+'FEC Other'!P33</f>
        <v>11762.503000000001</v>
      </c>
      <c r="Q33" s="3">
        <f>'FEC Industry'!Q33+'FEC Transport'!Q33+'FEC Other'!Q33</f>
        <v>11601.513000000001</v>
      </c>
      <c r="R33" s="3">
        <f>'FEC Industry'!R33+'FEC Transport'!R33+'FEC Other'!R33</f>
        <v>11163.47653501481</v>
      </c>
      <c r="S33" s="3">
        <f>'FEC Industry'!S33+'FEC Transport'!S33+'FEC Other'!S33</f>
        <v>10370.941530524509</v>
      </c>
      <c r="T33" s="3">
        <f>'FEC Industry'!T33+'FEC Transport'!T33+'FEC Other'!T33</f>
        <v>11586.92417655488</v>
      </c>
      <c r="U33" s="3">
        <f>'FEC Industry'!U33+'FEC Transport'!U33+'FEC Other'!U33</f>
        <v>10643.0353295118</v>
      </c>
      <c r="V33" s="3">
        <f ca="1">'FEC Industry'!V33+'FEC Transport'!V33+'FEC Other'!V33</f>
        <v>10620.448921497671</v>
      </c>
      <c r="Y33" s="3"/>
    </row>
    <row r="34" spans="1:25">
      <c r="A34">
        <v>29</v>
      </c>
      <c r="B34" t="s">
        <v>163</v>
      </c>
      <c r="C34" t="s">
        <v>163</v>
      </c>
      <c r="D34" s="3">
        <f>'FEC Industry'!D34+'FEC Transport'!D34+'FEC Other'!D34</f>
        <v>152974.63099999999</v>
      </c>
      <c r="E34" s="3">
        <f>'FEC Industry'!E34+'FEC Transport'!E34+'FEC Other'!E34</f>
        <v>150891.60999999999</v>
      </c>
      <c r="F34" s="3">
        <f>'FEC Industry'!F34+'FEC Transport'!F34+'FEC Other'!F34</f>
        <v>148730.204</v>
      </c>
      <c r="G34" s="3">
        <f>'FEC Industry'!G34+'FEC Transport'!G34+'FEC Other'!G34</f>
        <v>148289.34746374321</v>
      </c>
      <c r="H34" s="3">
        <f>'FEC Industry'!H34+'FEC Transport'!H34+'FEC Other'!H34</f>
        <v>138011.53287054549</v>
      </c>
      <c r="I34" s="3">
        <f>'FEC Industry'!I34+'FEC Transport'!I34+'FEC Other'!I34</f>
        <v>143109.3457215057</v>
      </c>
      <c r="J34" s="3">
        <f>'FEC Industry'!J34+'FEC Transport'!J34+'FEC Other'!J34</f>
        <v>132162.39677061239</v>
      </c>
      <c r="K34" s="3">
        <f>'FEC Industry'!K34+'FEC Transport'!K34+'FEC Other'!K34</f>
        <v>135763.8248397822</v>
      </c>
      <c r="L34" s="3">
        <f>'FEC Industry'!L34+'FEC Transport'!L34+'FEC Other'!L34</f>
        <v>136913.19053434601</v>
      </c>
      <c r="M34" s="3">
        <f>'FEC Industry'!M34+'FEC Transport'!M34+'FEC Other'!M34</f>
        <v>130116.87137345941</v>
      </c>
      <c r="N34" s="3">
        <f>'FEC Industry'!N34+'FEC Transport'!N34+'FEC Other'!N34</f>
        <v>132625.3750389796</v>
      </c>
      <c r="O34" s="3">
        <f>'FEC Industry'!O34+'FEC Transport'!O34+'FEC Other'!O34</f>
        <v>133767.86238855449</v>
      </c>
      <c r="P34" s="3">
        <f>'FEC Industry'!P34+'FEC Transport'!P34+'FEC Other'!P34</f>
        <v>133591.5156879717</v>
      </c>
      <c r="Q34" s="3">
        <f>'FEC Industry'!Q34+'FEC Transport'!Q34+'FEC Other'!Q34</f>
        <v>135131.9330562721</v>
      </c>
      <c r="R34" s="3">
        <f>'FEC Industry'!R34+'FEC Transport'!R34+'FEC Other'!R34</f>
        <v>134114.84258135091</v>
      </c>
      <c r="S34" s="3">
        <f>'FEC Industry'!S34+'FEC Transport'!S34+'FEC Other'!S34</f>
        <v>0</v>
      </c>
      <c r="T34" s="3">
        <f>'FEC Industry'!T34+'FEC Transport'!T34+'FEC Other'!T34</f>
        <v>0</v>
      </c>
      <c r="U34" s="3">
        <f>'FEC Industry'!U34+'FEC Transport'!U34+'FEC Other'!U34</f>
        <v>0</v>
      </c>
      <c r="V34" s="3">
        <f ca="1">'FEC Industry'!V34+'FEC Transport'!V34+'FEC Other'!V34</f>
        <v>0</v>
      </c>
      <c r="Y34" s="3"/>
    </row>
    <row r="35" spans="1:25">
      <c r="B35" s="40" t="s">
        <v>189</v>
      </c>
      <c r="C35" s="40" t="s">
        <v>189</v>
      </c>
      <c r="D35" s="41">
        <f>SUM(D7:D34)</f>
        <v>1194224.2172090949</v>
      </c>
      <c r="E35" s="41">
        <f t="shared" ref="E35:P35" si="0">SUM(E7:E34)</f>
        <v>1196729.4161077763</v>
      </c>
      <c r="F35" s="41">
        <f t="shared" si="0"/>
        <v>1177238.402374632</v>
      </c>
      <c r="G35" s="41">
        <f t="shared" si="0"/>
        <v>1184992.4016834481</v>
      </c>
      <c r="H35" s="41">
        <f t="shared" si="0"/>
        <v>1118839.1271510413</v>
      </c>
      <c r="I35" s="41">
        <f t="shared" si="0"/>
        <v>1168324.4346584021</v>
      </c>
      <c r="J35" s="41">
        <f t="shared" si="0"/>
        <v>1117429.6136709242</v>
      </c>
      <c r="K35" s="41">
        <f t="shared" si="0"/>
        <v>1118972.1176692289</v>
      </c>
      <c r="L35" s="41">
        <f t="shared" si="0"/>
        <v>1117811.0257138016</v>
      </c>
      <c r="M35" s="41">
        <f t="shared" si="0"/>
        <v>1069269.1433780745</v>
      </c>
      <c r="N35" s="41">
        <f t="shared" si="0"/>
        <v>1091267.6272303592</v>
      </c>
      <c r="O35" s="41">
        <f t="shared" si="0"/>
        <v>1111410.4081684053</v>
      </c>
      <c r="P35" s="41">
        <f t="shared" si="0"/>
        <v>1123443.5723100356</v>
      </c>
      <c r="Q35" s="41">
        <f t="shared" ref="Q35:R35" si="1">SUM(Q7:Q34)</f>
        <v>1127421.228507679</v>
      </c>
      <c r="R35" s="41">
        <f t="shared" si="1"/>
        <v>1120545.7010166573</v>
      </c>
      <c r="S35" s="41">
        <f t="shared" ref="S35" si="2">SUM(S7:S34)</f>
        <v>906306.0418219947</v>
      </c>
      <c r="T35" s="41">
        <f t="shared" ref="T35:V35" si="3">SUM(T7:T34)</f>
        <v>967082.9301643254</v>
      </c>
      <c r="U35" s="41">
        <f t="shared" si="3"/>
        <v>940368.97243469942</v>
      </c>
      <c r="V35" s="41">
        <f t="shared" ca="1" si="3"/>
        <v>924309.79947554995</v>
      </c>
    </row>
    <row r="36" spans="1:25">
      <c r="B36" s="40" t="s">
        <v>190</v>
      </c>
      <c r="C36" s="40" t="s">
        <v>190</v>
      </c>
      <c r="D36" s="41">
        <f>SUM(D7:D33)</f>
        <v>1041249.586209095</v>
      </c>
      <c r="E36" s="41">
        <f t="shared" ref="E36:P36" si="4">SUM(E7:E33)</f>
        <v>1045837.8061077764</v>
      </c>
      <c r="F36" s="41">
        <f t="shared" si="4"/>
        <v>1028508.1983746319</v>
      </c>
      <c r="G36" s="41">
        <f t="shared" si="4"/>
        <v>1036703.0542197048</v>
      </c>
      <c r="H36" s="41">
        <f t="shared" si="4"/>
        <v>980827.59428049577</v>
      </c>
      <c r="I36" s="41">
        <f t="shared" si="4"/>
        <v>1025215.0889368963</v>
      </c>
      <c r="J36" s="41">
        <f t="shared" si="4"/>
        <v>985267.21690031188</v>
      </c>
      <c r="K36" s="41">
        <f t="shared" si="4"/>
        <v>983208.29282944673</v>
      </c>
      <c r="L36" s="41">
        <f t="shared" si="4"/>
        <v>980897.83517945569</v>
      </c>
      <c r="M36" s="41">
        <f t="shared" si="4"/>
        <v>939152.27200461517</v>
      </c>
      <c r="N36" s="41">
        <f t="shared" si="4"/>
        <v>958642.25219137967</v>
      </c>
      <c r="O36" s="41">
        <f t="shared" si="4"/>
        <v>977642.54577985068</v>
      </c>
      <c r="P36" s="41">
        <f t="shared" si="4"/>
        <v>989852.05662206386</v>
      </c>
      <c r="Q36" s="41">
        <f t="shared" ref="Q36:R36" si="5">SUM(Q7:Q33)</f>
        <v>992289.29545140697</v>
      </c>
      <c r="R36" s="41">
        <f t="shared" si="5"/>
        <v>986430.85843530635</v>
      </c>
      <c r="S36" s="41">
        <f t="shared" ref="S36" si="6">SUM(S7:S33)</f>
        <v>906306.0418219947</v>
      </c>
      <c r="T36" s="41">
        <f t="shared" ref="T36:V36" si="7">SUM(T7:T33)</f>
        <v>967082.9301643254</v>
      </c>
      <c r="U36" s="41">
        <f t="shared" si="7"/>
        <v>940368.97243469942</v>
      </c>
      <c r="V36" s="41">
        <f t="shared" ca="1" si="7"/>
        <v>924309.79947554995</v>
      </c>
    </row>
    <row r="40" spans="1:25">
      <c r="A40" s="5" t="s">
        <v>191</v>
      </c>
      <c r="D40" t="s">
        <v>173</v>
      </c>
    </row>
    <row r="41" spans="1:25">
      <c r="A41" t="str">
        <f t="shared" ref="A41:M41" si="8">A6</f>
        <v>source row</v>
      </c>
      <c r="B41" t="str">
        <f t="shared" si="8"/>
        <v>MS Code 1</v>
      </c>
      <c r="C41" t="str">
        <f t="shared" si="8"/>
        <v>MS Code 2</v>
      </c>
      <c r="D41" s="1">
        <f t="shared" si="8"/>
        <v>2005</v>
      </c>
      <c r="E41" s="1">
        <f t="shared" si="8"/>
        <v>2006</v>
      </c>
      <c r="F41" s="1">
        <f t="shared" si="8"/>
        <v>2007</v>
      </c>
      <c r="G41" s="1">
        <f t="shared" si="8"/>
        <v>2008</v>
      </c>
      <c r="H41" s="1">
        <f t="shared" si="8"/>
        <v>2009</v>
      </c>
      <c r="I41" s="1">
        <f t="shared" si="8"/>
        <v>2010</v>
      </c>
      <c r="J41" s="1">
        <f t="shared" si="8"/>
        <v>2011</v>
      </c>
      <c r="K41" s="1">
        <f t="shared" si="8"/>
        <v>2012</v>
      </c>
      <c r="L41" s="1">
        <f t="shared" si="8"/>
        <v>2013</v>
      </c>
      <c r="M41" s="1">
        <f t="shared" si="8"/>
        <v>2014</v>
      </c>
      <c r="N41" s="1">
        <f t="shared" ref="N41:S41" si="9">N6</f>
        <v>2015</v>
      </c>
      <c r="O41" s="1">
        <f t="shared" si="9"/>
        <v>2016</v>
      </c>
      <c r="P41" s="1">
        <f t="shared" si="9"/>
        <v>2017</v>
      </c>
      <c r="Q41" s="1">
        <f t="shared" si="9"/>
        <v>2018</v>
      </c>
      <c r="R41" s="1">
        <f t="shared" ref="R41" si="10">R6</f>
        <v>2019</v>
      </c>
      <c r="S41" s="1">
        <f t="shared" si="9"/>
        <v>2020</v>
      </c>
      <c r="T41" s="1">
        <f t="shared" ref="T41:U41" si="11">T6</f>
        <v>2021</v>
      </c>
      <c r="U41" s="1">
        <f t="shared" si="11"/>
        <v>2022</v>
      </c>
      <c r="V41" s="2">
        <f>YearProxy</f>
        <v>2023</v>
      </c>
    </row>
    <row r="42" spans="1:25">
      <c r="A42">
        <f t="shared" ref="A42:C69" si="12">A7</f>
        <v>2</v>
      </c>
      <c r="B42" t="str">
        <f t="shared" si="12"/>
        <v>AT</v>
      </c>
      <c r="C42" t="str">
        <f t="shared" si="12"/>
        <v>AT</v>
      </c>
      <c r="D42" s="3"/>
      <c r="E42" s="4">
        <f t="shared" ref="E42:N42" si="13">IFERROR(E7/D7-1,0)</f>
        <v>7.7116739521221334E-4</v>
      </c>
      <c r="F42" s="4">
        <f t="shared" si="13"/>
        <v>-1.0355147883778892E-2</v>
      </c>
      <c r="G42" s="4">
        <f t="shared" si="13"/>
        <v>5.7528942891702517E-3</v>
      </c>
      <c r="H42" s="4">
        <f t="shared" si="13"/>
        <v>-4.8539102919500143E-2</v>
      </c>
      <c r="I42" s="4">
        <f t="shared" si="13"/>
        <v>6.1316269550363955E-2</v>
      </c>
      <c r="J42" s="4">
        <f t="shared" si="13"/>
        <v>-2.9910423784668128E-2</v>
      </c>
      <c r="K42" s="4">
        <f t="shared" si="13"/>
        <v>1.4341240171069636E-3</v>
      </c>
      <c r="L42" s="4">
        <f t="shared" si="13"/>
        <v>2.4114639653601611E-2</v>
      </c>
      <c r="M42" s="4">
        <f t="shared" si="13"/>
        <v>-3.9002996293290071E-2</v>
      </c>
      <c r="N42" s="4">
        <f t="shared" si="13"/>
        <v>2.6760643593897626E-2</v>
      </c>
      <c r="O42" s="4">
        <f t="shared" ref="O42:R69" si="14">IFERROR(O7/N7-1,0)</f>
        <v>2.0748620576045429E-2</v>
      </c>
      <c r="P42" s="4">
        <f t="shared" si="14"/>
        <v>1.6244127937903308E-2</v>
      </c>
      <c r="Q42" s="4">
        <f>IFERROR(Q7/P7-1,0)</f>
        <v>-2.3748639162128993E-2</v>
      </c>
      <c r="R42" s="4">
        <f t="shared" si="14"/>
        <v>1.7300181293805172E-2</v>
      </c>
      <c r="S42" s="4">
        <f t="shared" ref="S42:S71" si="15">IFERROR(S7/R7-1,0)</f>
        <v>-7.7480144537536932E-2</v>
      </c>
      <c r="T42" s="4">
        <f t="shared" ref="T42:T71" si="16">IFERROR(T7/S7-1,0)</f>
        <v>6.772642218642666E-2</v>
      </c>
      <c r="U42" s="4">
        <f t="shared" ref="U42:V71" si="17">IFERROR(U7/T7-1,0)</f>
        <v>-5.6260752915364254E-2</v>
      </c>
      <c r="V42" s="4">
        <f t="shared" ca="1" si="17"/>
        <v>-3.8454804587714331E-2</v>
      </c>
    </row>
    <row r="43" spans="1:25">
      <c r="A43">
        <f t="shared" si="12"/>
        <v>3</v>
      </c>
      <c r="B43" t="str">
        <f t="shared" si="12"/>
        <v>BE</v>
      </c>
      <c r="C43" t="str">
        <f t="shared" si="12"/>
        <v>BE</v>
      </c>
      <c r="D43" s="3"/>
      <c r="E43" s="4">
        <f t="shared" ref="E43:N43" si="18">IFERROR(E8/D8-1,0)</f>
        <v>-9.6654435935314975E-3</v>
      </c>
      <c r="F43" s="4">
        <f t="shared" si="18"/>
        <v>-3.4395887457355223E-2</v>
      </c>
      <c r="G43" s="4">
        <f t="shared" si="18"/>
        <v>4.818528472066097E-2</v>
      </c>
      <c r="H43" s="4">
        <f t="shared" si="18"/>
        <v>-5.8309647314660595E-2</v>
      </c>
      <c r="I43" s="4">
        <f t="shared" si="18"/>
        <v>9.7092270237089329E-2</v>
      </c>
      <c r="J43" s="4">
        <f t="shared" si="18"/>
        <v>-7.2661547827050366E-2</v>
      </c>
      <c r="K43" s="4">
        <f t="shared" si="18"/>
        <v>3.7383910313519841E-3</v>
      </c>
      <c r="L43" s="4">
        <f t="shared" si="18"/>
        <v>3.3454922348014504E-2</v>
      </c>
      <c r="M43" s="4">
        <f t="shared" si="18"/>
        <v>-6.3335962477632735E-2</v>
      </c>
      <c r="N43" s="4">
        <f t="shared" si="18"/>
        <v>4.5893771490340018E-2</v>
      </c>
      <c r="O43" s="4">
        <f t="shared" si="14"/>
        <v>1.337202528179815E-2</v>
      </c>
      <c r="P43" s="4">
        <f t="shared" si="14"/>
        <v>-8.6749813888776783E-3</v>
      </c>
      <c r="Q43" s="4">
        <f t="shared" si="14"/>
        <v>7.6097838155260167E-3</v>
      </c>
      <c r="R43" s="4">
        <f t="shared" si="14"/>
        <v>-1.661057310156222E-2</v>
      </c>
      <c r="S43" s="4">
        <f t="shared" si="15"/>
        <v>-7.2508896618615148E-2</v>
      </c>
      <c r="T43" s="4">
        <f t="shared" si="16"/>
        <v>8.0205488810423997E-2</v>
      </c>
      <c r="U43" s="4">
        <f t="shared" si="17"/>
        <v>-6.7922937069513911E-2</v>
      </c>
      <c r="V43" s="4">
        <f t="shared" ca="1" si="17"/>
        <v>-9.5018226643106551E-4</v>
      </c>
    </row>
    <row r="44" spans="1:25">
      <c r="A44">
        <f t="shared" si="12"/>
        <v>4</v>
      </c>
      <c r="B44" t="str">
        <f t="shared" si="12"/>
        <v>BG</v>
      </c>
      <c r="C44" t="str">
        <f t="shared" si="12"/>
        <v>BG</v>
      </c>
      <c r="D44" s="3"/>
      <c r="E44" s="4">
        <f t="shared" ref="E44:N44" si="19">IFERROR(E9/D9-1,0)</f>
        <v>3.6987941686325021E-2</v>
      </c>
      <c r="F44" s="4">
        <f t="shared" si="19"/>
        <v>-1.6912811500149671E-2</v>
      </c>
      <c r="G44" s="4">
        <f t="shared" si="19"/>
        <v>-3.4876646235080244E-2</v>
      </c>
      <c r="H44" s="4">
        <f t="shared" si="19"/>
        <v>-0.13863406991694294</v>
      </c>
      <c r="I44" s="4">
        <f t="shared" si="19"/>
        <v>2.7625627148162524E-2</v>
      </c>
      <c r="J44" s="4">
        <f t="shared" si="19"/>
        <v>4.7921233512005834E-2</v>
      </c>
      <c r="K44" s="4">
        <f t="shared" si="19"/>
        <v>-3.5024010795691174E-3</v>
      </c>
      <c r="L44" s="4">
        <f t="shared" si="19"/>
        <v>-4.8184055571607987E-2</v>
      </c>
      <c r="M44" s="4">
        <f t="shared" si="19"/>
        <v>2.3987130277886237E-2</v>
      </c>
      <c r="N44" s="4">
        <f t="shared" si="19"/>
        <v>5.6130475453600726E-2</v>
      </c>
      <c r="O44" s="4">
        <f t="shared" si="14"/>
        <v>1.6755722765936065E-2</v>
      </c>
      <c r="P44" s="4">
        <f t="shared" si="14"/>
        <v>2.5607871377440805E-2</v>
      </c>
      <c r="Q44" s="4">
        <f t="shared" si="14"/>
        <v>2.5134303050244888E-3</v>
      </c>
      <c r="R44" s="4">
        <f t="shared" si="14"/>
        <v>-6.9643317460273968E-3</v>
      </c>
      <c r="S44" s="4">
        <f t="shared" si="15"/>
        <v>-3.3151751905622917E-2</v>
      </c>
      <c r="T44" s="4">
        <f t="shared" si="16"/>
        <v>7.0526438528368818E-2</v>
      </c>
      <c r="U44" s="4">
        <f t="shared" si="17"/>
        <v>-2.7295009512326551E-2</v>
      </c>
      <c r="V44" s="4">
        <f t="shared" ca="1" si="17"/>
        <v>1.4518445276220815E-2</v>
      </c>
    </row>
    <row r="45" spans="1:25">
      <c r="A45">
        <f t="shared" si="12"/>
        <v>5</v>
      </c>
      <c r="B45" t="str">
        <f t="shared" si="12"/>
        <v>CY</v>
      </c>
      <c r="C45" t="str">
        <f t="shared" si="12"/>
        <v>CY</v>
      </c>
      <c r="D45" s="3"/>
      <c r="E45" s="4">
        <f t="shared" ref="E45:N45" si="20">IFERROR(E10/D10-1,0)</f>
        <v>1.7026717557252047E-2</v>
      </c>
      <c r="F45" s="4">
        <f t="shared" si="20"/>
        <v>3.3613087843999301E-2</v>
      </c>
      <c r="G45" s="4">
        <f t="shared" si="20"/>
        <v>2.45005791437094E-2</v>
      </c>
      <c r="H45" s="4">
        <f t="shared" si="20"/>
        <v>-1.7486972750260343E-2</v>
      </c>
      <c r="I45" s="4">
        <f t="shared" si="20"/>
        <v>-5.7718900907444137E-3</v>
      </c>
      <c r="J45" s="4">
        <f t="shared" si="20"/>
        <v>-3.4117107453656148E-3</v>
      </c>
      <c r="K45" s="4">
        <f t="shared" si="20"/>
        <v>-7.9799835339572467E-2</v>
      </c>
      <c r="L45" s="4">
        <f t="shared" si="20"/>
        <v>-8.5278390241314117E-2</v>
      </c>
      <c r="M45" s="4">
        <f t="shared" si="20"/>
        <v>3.7525203718158373E-4</v>
      </c>
      <c r="N45" s="4">
        <f t="shared" si="20"/>
        <v>3.0067144902633292E-2</v>
      </c>
      <c r="O45" s="4">
        <f t="shared" si="14"/>
        <v>5.8930028064943185E-2</v>
      </c>
      <c r="P45" s="4">
        <f t="shared" si="14"/>
        <v>5.5265509021919623E-2</v>
      </c>
      <c r="Q45" s="4">
        <f t="shared" si="14"/>
        <v>-2.8883275302447053E-3</v>
      </c>
      <c r="R45" s="4">
        <f t="shared" si="14"/>
        <v>1.5321148106517191E-2</v>
      </c>
      <c r="S45" s="4">
        <f t="shared" si="15"/>
        <v>-0.16642987046698032</v>
      </c>
      <c r="T45" s="4">
        <f t="shared" si="16"/>
        <v>7.6380798162982488E-2</v>
      </c>
      <c r="U45" s="4">
        <f t="shared" si="17"/>
        <v>7.7236472781283538E-2</v>
      </c>
      <c r="V45" s="4">
        <f t="shared" ca="1" si="17"/>
        <v>5.2730995649463708E-3</v>
      </c>
    </row>
    <row r="46" spans="1:25">
      <c r="A46">
        <f t="shared" si="12"/>
        <v>6</v>
      </c>
      <c r="B46" t="str">
        <f t="shared" si="12"/>
        <v>CZ</v>
      </c>
      <c r="C46" t="str">
        <f t="shared" si="12"/>
        <v>CZ</v>
      </c>
      <c r="D46" s="3"/>
      <c r="E46" s="4">
        <f t="shared" ref="E46:N46" si="21">IFERROR(E11/D11-1,0)</f>
        <v>1.5030572522111596E-2</v>
      </c>
      <c r="F46" s="4">
        <f t="shared" si="21"/>
        <v>-1.7351322516433454E-2</v>
      </c>
      <c r="G46" s="4">
        <f t="shared" si="21"/>
        <v>-5.7779991716352397E-3</v>
      </c>
      <c r="H46" s="4">
        <f t="shared" si="21"/>
        <v>-3.8061335248009032E-2</v>
      </c>
      <c r="I46" s="4">
        <f t="shared" si="21"/>
        <v>1.2428423475566719E-2</v>
      </c>
      <c r="J46" s="4">
        <f t="shared" si="21"/>
        <v>-3.1547828817981682E-2</v>
      </c>
      <c r="K46" s="4">
        <f t="shared" si="21"/>
        <v>-1.6073247337292651E-3</v>
      </c>
      <c r="L46" s="4">
        <f t="shared" si="21"/>
        <v>-8.2379047645813053E-3</v>
      </c>
      <c r="M46" s="4">
        <f t="shared" si="21"/>
        <v>-2.6064393819395848E-2</v>
      </c>
      <c r="N46" s="4">
        <f t="shared" si="21"/>
        <v>2.6122538394632633E-2</v>
      </c>
      <c r="O46" s="4">
        <f t="shared" si="14"/>
        <v>2.5812668126577565E-2</v>
      </c>
      <c r="P46" s="4">
        <f t="shared" si="14"/>
        <v>2.7262236541438112E-2</v>
      </c>
      <c r="Q46" s="4">
        <f t="shared" si="14"/>
        <v>-6.7916066411423115E-3</v>
      </c>
      <c r="R46" s="4">
        <f t="shared" si="14"/>
        <v>-2.3534261052304828E-3</v>
      </c>
      <c r="S46" s="4">
        <f t="shared" si="15"/>
        <v>-3.0749622953623268E-2</v>
      </c>
      <c r="T46" s="4">
        <f t="shared" si="16"/>
        <v>6.585737531447089E-2</v>
      </c>
      <c r="U46" s="4">
        <f t="shared" si="17"/>
        <v>-4.548522694264534E-2</v>
      </c>
      <c r="V46" s="4">
        <f t="shared" ca="1" si="17"/>
        <v>2.9364773161434599E-2</v>
      </c>
    </row>
    <row r="47" spans="1:25">
      <c r="A47">
        <f t="shared" si="12"/>
        <v>7</v>
      </c>
      <c r="B47" t="str">
        <f t="shared" si="12"/>
        <v>DE</v>
      </c>
      <c r="C47" t="str">
        <f t="shared" si="12"/>
        <v>DE</v>
      </c>
      <c r="D47" s="3"/>
      <c r="E47" s="4">
        <f t="shared" ref="E47:N47" si="22">IFERROR(E12/D12-1,0)</f>
        <v>2.5745654267116169E-2</v>
      </c>
      <c r="F47" s="4">
        <f t="shared" si="22"/>
        <v>-5.5022750339765447E-2</v>
      </c>
      <c r="G47" s="4">
        <f t="shared" si="22"/>
        <v>4.1142201429618552E-2</v>
      </c>
      <c r="H47" s="4">
        <f t="shared" si="22"/>
        <v>-6.073371434574204E-2</v>
      </c>
      <c r="I47" s="4">
        <f t="shared" si="22"/>
        <v>7.0952269260425416E-2</v>
      </c>
      <c r="J47" s="4">
        <f t="shared" si="22"/>
        <v>-5.0717864430560144E-2</v>
      </c>
      <c r="K47" s="4">
        <f t="shared" si="22"/>
        <v>1.9225750596413071E-2</v>
      </c>
      <c r="L47" s="4">
        <f t="shared" si="22"/>
        <v>2.4225544577345159E-2</v>
      </c>
      <c r="M47" s="4">
        <f t="shared" si="22"/>
        <v>-4.9926103258248422E-2</v>
      </c>
      <c r="N47" s="4">
        <f t="shared" si="22"/>
        <v>1.3195168988700212E-2</v>
      </c>
      <c r="O47" s="4">
        <f t="shared" si="14"/>
        <v>1.9369520995502487E-2</v>
      </c>
      <c r="P47" s="4">
        <f t="shared" si="14"/>
        <v>8.1062051267439816E-3</v>
      </c>
      <c r="Q47" s="4">
        <f t="shared" si="14"/>
        <v>-1.578519569059722E-2</v>
      </c>
      <c r="R47" s="4">
        <f t="shared" si="14"/>
        <v>-2.1873383837268667E-3</v>
      </c>
      <c r="S47" s="4">
        <f t="shared" si="15"/>
        <v>-5.7927062277247421E-2</v>
      </c>
      <c r="T47" s="4">
        <f t="shared" si="16"/>
        <v>2.8059134403040753E-2</v>
      </c>
      <c r="U47" s="4">
        <f t="shared" si="17"/>
        <v>-2.4547508123457518E-2</v>
      </c>
      <c r="V47" s="4">
        <f t="shared" ca="1" si="17"/>
        <v>-2.8619350418941369E-2</v>
      </c>
    </row>
    <row r="48" spans="1:25">
      <c r="A48">
        <f t="shared" si="12"/>
        <v>8</v>
      </c>
      <c r="B48" t="str">
        <f t="shared" si="12"/>
        <v>DK</v>
      </c>
      <c r="C48" t="str">
        <f t="shared" si="12"/>
        <v>DK</v>
      </c>
      <c r="D48" s="3"/>
      <c r="E48" s="4">
        <f t="shared" ref="E48:N48" si="23">IFERROR(E13/D13-1,0)</f>
        <v>1.0629331780647178E-2</v>
      </c>
      <c r="F48" s="4">
        <f t="shared" si="23"/>
        <v>3.4956887873354159E-3</v>
      </c>
      <c r="G48" s="4">
        <f t="shared" si="23"/>
        <v>-1.2344721243548684E-2</v>
      </c>
      <c r="H48" s="4">
        <f t="shared" si="23"/>
        <v>-4.7109732952586691E-2</v>
      </c>
      <c r="I48" s="4">
        <f t="shared" si="23"/>
        <v>4.9116090031555704E-2</v>
      </c>
      <c r="J48" s="4">
        <f t="shared" si="23"/>
        <v>-4.6487522439584539E-2</v>
      </c>
      <c r="K48" s="4">
        <f t="shared" si="23"/>
        <v>-3.4214923553051113E-2</v>
      </c>
      <c r="L48" s="4">
        <f t="shared" si="23"/>
        <v>-1.1868651480768211E-2</v>
      </c>
      <c r="M48" s="4">
        <f t="shared" si="23"/>
        <v>-3.3132152157837491E-2</v>
      </c>
      <c r="N48" s="4">
        <f t="shared" si="23"/>
        <v>3.6189289250066814E-2</v>
      </c>
      <c r="O48" s="4">
        <f t="shared" si="14"/>
        <v>2.4538194070280905E-2</v>
      </c>
      <c r="P48" s="4">
        <f t="shared" si="14"/>
        <v>5.3620033111152487E-3</v>
      </c>
      <c r="Q48" s="4">
        <f t="shared" si="14"/>
        <v>-6.875584617896946E-4</v>
      </c>
      <c r="R48" s="4">
        <f t="shared" si="14"/>
        <v>-1.761787524685543E-2</v>
      </c>
      <c r="S48" s="4">
        <f t="shared" si="15"/>
        <v>-8.5479443873853533E-2</v>
      </c>
      <c r="T48" s="4">
        <f t="shared" si="16"/>
        <v>6.0567408766917685E-2</v>
      </c>
      <c r="U48" s="4">
        <f t="shared" si="17"/>
        <v>-3.8132493418064128E-2</v>
      </c>
      <c r="V48" s="4">
        <f t="shared" ca="1" si="17"/>
        <v>-1.1395151913077384E-2</v>
      </c>
    </row>
    <row r="49" spans="1:22">
      <c r="A49">
        <f t="shared" si="12"/>
        <v>9</v>
      </c>
      <c r="B49" t="str">
        <f t="shared" si="12"/>
        <v>EE</v>
      </c>
      <c r="C49" t="str">
        <f t="shared" si="12"/>
        <v>EE</v>
      </c>
      <c r="D49" s="3"/>
      <c r="E49" s="4">
        <f t="shared" ref="E49:N49" si="24">IFERROR(E14/D14-1,0)</f>
        <v>7.1565892773501893E-3</v>
      </c>
      <c r="F49" s="4">
        <f t="shared" si="24"/>
        <v>6.9876314235003845E-2</v>
      </c>
      <c r="G49" s="4">
        <f t="shared" si="24"/>
        <v>-8.1883535414580821E-3</v>
      </c>
      <c r="H49" s="4">
        <f t="shared" si="24"/>
        <v>-9.6882380588396377E-2</v>
      </c>
      <c r="I49" s="4">
        <f t="shared" si="24"/>
        <v>5.4654503918198483E-2</v>
      </c>
      <c r="J49" s="4">
        <f t="shared" si="24"/>
        <v>-2.9208507446952137E-2</v>
      </c>
      <c r="K49" s="4">
        <f t="shared" si="24"/>
        <v>2.1178802662259688E-2</v>
      </c>
      <c r="L49" s="4">
        <f t="shared" si="24"/>
        <v>3.5192899347613604E-4</v>
      </c>
      <c r="M49" s="4">
        <f t="shared" si="24"/>
        <v>-2.2834095462474946E-2</v>
      </c>
      <c r="N49" s="4">
        <f t="shared" si="24"/>
        <v>-7.6859892459935075E-3</v>
      </c>
      <c r="O49" s="4">
        <f t="shared" si="14"/>
        <v>1.4405812461968592E-2</v>
      </c>
      <c r="P49" s="4">
        <f t="shared" si="14"/>
        <v>9.2925293302388301E-3</v>
      </c>
      <c r="Q49" s="4">
        <f t="shared" si="14"/>
        <v>3.1543745417789593E-2</v>
      </c>
      <c r="R49" s="4">
        <f t="shared" si="14"/>
        <v>-2.1289235788015781E-2</v>
      </c>
      <c r="S49" s="4">
        <f t="shared" si="15"/>
        <v>-5.0109153748383761E-2</v>
      </c>
      <c r="T49" s="4">
        <f t="shared" si="16"/>
        <v>3.0259705589893438E-2</v>
      </c>
      <c r="U49" s="4">
        <f t="shared" si="17"/>
        <v>-1.9280918502755595E-2</v>
      </c>
      <c r="V49" s="4">
        <f t="shared" ca="1" si="17"/>
        <v>3.0190818859032742E-3</v>
      </c>
    </row>
    <row r="50" spans="1:22">
      <c r="A50">
        <f t="shared" si="12"/>
        <v>11</v>
      </c>
      <c r="B50" t="str">
        <f t="shared" si="12"/>
        <v>ES</v>
      </c>
      <c r="C50" t="str">
        <f t="shared" si="12"/>
        <v>ES</v>
      </c>
      <c r="D50" s="3"/>
      <c r="E50" s="4">
        <f t="shared" ref="E50:N50" si="25">IFERROR(E15/D15-1,0)</f>
        <v>-2.3406868725313612E-2</v>
      </c>
      <c r="F50" s="4">
        <f t="shared" si="25"/>
        <v>2.7685207917573562E-2</v>
      </c>
      <c r="G50" s="4">
        <f t="shared" si="25"/>
        <v>-3.5246920883056809E-2</v>
      </c>
      <c r="H50" s="4">
        <f t="shared" si="25"/>
        <v>-7.2218967937311418E-2</v>
      </c>
      <c r="I50" s="4">
        <f t="shared" si="25"/>
        <v>1.6290191496249884E-2</v>
      </c>
      <c r="J50" s="4">
        <f t="shared" si="25"/>
        <v>-2.8063263989651754E-2</v>
      </c>
      <c r="K50" s="4">
        <f t="shared" si="25"/>
        <v>-4.0501889077175779E-2</v>
      </c>
      <c r="L50" s="4">
        <f t="shared" si="25"/>
        <v>-3.119578906214604E-2</v>
      </c>
      <c r="M50" s="4">
        <f t="shared" si="25"/>
        <v>-1.7153370958024383E-2</v>
      </c>
      <c r="N50" s="4">
        <f t="shared" si="25"/>
        <v>1.187727372864078E-2</v>
      </c>
      <c r="O50" s="4">
        <f t="shared" si="14"/>
        <v>2.1361236937631478E-2</v>
      </c>
      <c r="P50" s="4">
        <f t="shared" si="14"/>
        <v>3.0958616230260194E-2</v>
      </c>
      <c r="Q50" s="4">
        <f t="shared" si="14"/>
        <v>2.3214605269378019E-2</v>
      </c>
      <c r="R50" s="4">
        <f t="shared" si="14"/>
        <v>-2.7318328919749835E-3</v>
      </c>
      <c r="S50" s="4">
        <f t="shared" si="15"/>
        <v>-0.1471501578993113</v>
      </c>
      <c r="T50" s="4">
        <f t="shared" si="16"/>
        <v>8.9102134342211148E-2</v>
      </c>
      <c r="U50" s="4">
        <f t="shared" si="17"/>
        <v>1.1191962185755244E-2</v>
      </c>
      <c r="V50" s="4">
        <f t="shared" ca="1" si="17"/>
        <v>-1.6621339032547477E-2</v>
      </c>
    </row>
    <row r="51" spans="1:22">
      <c r="A51">
        <f t="shared" si="12"/>
        <v>12</v>
      </c>
      <c r="B51" t="str">
        <f t="shared" si="12"/>
        <v>FI</v>
      </c>
      <c r="C51" t="str">
        <f t="shared" si="12"/>
        <v>FI</v>
      </c>
      <c r="D51" s="3"/>
      <c r="E51" s="4">
        <f t="shared" ref="E51:N51" si="26">IFERROR(E16/D16-1,0)</f>
        <v>5.1235538918771972E-2</v>
      </c>
      <c r="F51" s="4">
        <f t="shared" si="26"/>
        <v>1.3284856689217417E-3</v>
      </c>
      <c r="G51" s="4">
        <f t="shared" si="26"/>
        <v>-3.393757707182532E-2</v>
      </c>
      <c r="H51" s="4">
        <f t="shared" si="26"/>
        <v>-7.0901514227770357E-2</v>
      </c>
      <c r="I51" s="4">
        <f t="shared" si="26"/>
        <v>0.10066628230773333</v>
      </c>
      <c r="J51" s="4">
        <f t="shared" si="26"/>
        <v>-4.6633564447916664E-2</v>
      </c>
      <c r="K51" s="4">
        <f t="shared" si="26"/>
        <v>6.4165012315891001E-3</v>
      </c>
      <c r="L51" s="4">
        <f t="shared" si="26"/>
        <v>-1.9113224893912428E-2</v>
      </c>
      <c r="M51" s="4">
        <f t="shared" si="26"/>
        <v>-6.2890617688167172E-3</v>
      </c>
      <c r="N51" s="4">
        <f t="shared" si="26"/>
        <v>-1.2846463278907372E-2</v>
      </c>
      <c r="O51" s="4">
        <f t="shared" si="14"/>
        <v>4.0549099148922796E-2</v>
      </c>
      <c r="P51" s="4">
        <f t="shared" si="14"/>
        <v>5.0534510515867215E-3</v>
      </c>
      <c r="Q51" s="4">
        <f t="shared" si="14"/>
        <v>1.8105883159777791E-2</v>
      </c>
      <c r="R51" s="4">
        <f t="shared" si="14"/>
        <v>-1.2061126120377907E-2</v>
      </c>
      <c r="S51" s="4">
        <f t="shared" si="15"/>
        <v>-8.2044334922801165E-2</v>
      </c>
      <c r="T51" s="4">
        <f t="shared" si="16"/>
        <v>6.6208210216465835E-2</v>
      </c>
      <c r="U51" s="4">
        <f t="shared" si="17"/>
        <v>-6.3659458849227746E-2</v>
      </c>
      <c r="V51" s="4">
        <f t="shared" ca="1" si="17"/>
        <v>-8.2405863151506775E-3</v>
      </c>
    </row>
    <row r="52" spans="1:22">
      <c r="A52">
        <f t="shared" si="12"/>
        <v>13</v>
      </c>
      <c r="B52" t="str">
        <f t="shared" si="12"/>
        <v>FR</v>
      </c>
      <c r="C52" t="str">
        <f t="shared" si="12"/>
        <v>FR</v>
      </c>
      <c r="D52" s="3"/>
      <c r="E52" s="4">
        <f t="shared" ref="E52:N52" si="27">IFERROR(E17/D17-1,0)</f>
        <v>-1.4921126956644937E-2</v>
      </c>
      <c r="F52" s="4">
        <f t="shared" si="27"/>
        <v>-2.4833241372885007E-2</v>
      </c>
      <c r="G52" s="4">
        <f t="shared" si="27"/>
        <v>1.2985912770590469E-2</v>
      </c>
      <c r="H52" s="4">
        <f t="shared" si="27"/>
        <v>-4.0386055757032246E-2</v>
      </c>
      <c r="I52" s="4">
        <f t="shared" si="27"/>
        <v>2.9673752212606042E-2</v>
      </c>
      <c r="J52" s="4">
        <f t="shared" si="27"/>
        <v>-3.3202820683162049E-2</v>
      </c>
      <c r="K52" s="4">
        <f t="shared" si="27"/>
        <v>2.8954033873290541E-2</v>
      </c>
      <c r="L52" s="4">
        <f t="shared" si="27"/>
        <v>1.8135660598163961E-2</v>
      </c>
      <c r="M52" s="4">
        <f t="shared" si="27"/>
        <v>-6.9979130035291881E-2</v>
      </c>
      <c r="N52" s="4">
        <f t="shared" si="27"/>
        <v>2.1719886637774133E-2</v>
      </c>
      <c r="O52" s="4">
        <f t="shared" si="14"/>
        <v>1.2616947372058984E-2</v>
      </c>
      <c r="P52" s="4">
        <f t="shared" si="14"/>
        <v>-6.0883853294502188E-3</v>
      </c>
      <c r="Q52" s="4">
        <f t="shared" si="14"/>
        <v>-1.5838176074837618E-2</v>
      </c>
      <c r="R52" s="4">
        <f t="shared" si="14"/>
        <v>-8.452359164813017E-3</v>
      </c>
      <c r="S52" s="4">
        <f t="shared" si="15"/>
        <v>-0.10865007384255276</v>
      </c>
      <c r="T52" s="4">
        <f t="shared" si="16"/>
        <v>0.10265372607821255</v>
      </c>
      <c r="U52" s="4">
        <f t="shared" si="17"/>
        <v>-3.1467522339485243E-2</v>
      </c>
      <c r="V52" s="4">
        <f t="shared" ca="1" si="17"/>
        <v>-3.1504720027954014E-2</v>
      </c>
    </row>
    <row r="53" spans="1:22">
      <c r="A53">
        <f t="shared" si="12"/>
        <v>10</v>
      </c>
      <c r="B53" t="str">
        <f t="shared" si="12"/>
        <v>EL</v>
      </c>
      <c r="C53" t="str">
        <f t="shared" si="12"/>
        <v>GR</v>
      </c>
      <c r="D53" s="3"/>
      <c r="E53" s="4">
        <f t="shared" ref="E53:N53" si="28">IFERROR(E18/D18-1,0)</f>
        <v>2.8824154878964281E-2</v>
      </c>
      <c r="F53" s="4">
        <f t="shared" si="28"/>
        <v>2.1731656349655015E-2</v>
      </c>
      <c r="G53" s="4">
        <f t="shared" si="28"/>
        <v>-2.998455633119812E-2</v>
      </c>
      <c r="H53" s="4">
        <f t="shared" si="28"/>
        <v>-3.9706675282796033E-2</v>
      </c>
      <c r="I53" s="4">
        <f t="shared" si="28"/>
        <v>-7.4272431416402385E-2</v>
      </c>
      <c r="J53" s="4">
        <f t="shared" si="28"/>
        <v>-6.8721503684479046E-3</v>
      </c>
      <c r="K53" s="4">
        <f t="shared" si="28"/>
        <v>-9.8467782933916559E-2</v>
      </c>
      <c r="L53" s="4">
        <f t="shared" si="28"/>
        <v>-0.10076848702644037</v>
      </c>
      <c r="M53" s="4">
        <f t="shared" si="28"/>
        <v>1.5610993377491944E-2</v>
      </c>
      <c r="N53" s="4">
        <f t="shared" si="28"/>
        <v>6.3095534996519431E-2</v>
      </c>
      <c r="O53" s="4">
        <f t="shared" si="14"/>
        <v>1.1010639126345145E-2</v>
      </c>
      <c r="P53" s="4">
        <f t="shared" si="14"/>
        <v>-2.0390838385949794E-2</v>
      </c>
      <c r="Q53" s="4">
        <f t="shared" si="14"/>
        <v>-3.0368052484228247E-2</v>
      </c>
      <c r="R53" s="4">
        <f t="shared" si="14"/>
        <v>1.6751585363986132E-2</v>
      </c>
      <c r="S53" s="4">
        <f t="shared" si="15"/>
        <v>-0.1072645856833806</v>
      </c>
      <c r="T53" s="4">
        <f t="shared" si="16"/>
        <v>5.0552282777478696E-2</v>
      </c>
      <c r="U53" s="4">
        <f t="shared" si="17"/>
        <v>6.2155642866806637E-2</v>
      </c>
      <c r="V53" s="4">
        <f t="shared" ca="1" si="17"/>
        <v>6.1372379839519375E-4</v>
      </c>
    </row>
    <row r="54" spans="1:22">
      <c r="A54">
        <f t="shared" si="12"/>
        <v>14</v>
      </c>
      <c r="B54" t="str">
        <f t="shared" si="12"/>
        <v>HR</v>
      </c>
      <c r="C54" t="str">
        <f t="shared" si="12"/>
        <v>HR</v>
      </c>
      <c r="D54" s="3"/>
      <c r="E54" s="4">
        <f t="shared" ref="E54:N54" si="29">IFERROR(E19/D19-1,0)</f>
        <v>1.7509761893643727E-3</v>
      </c>
      <c r="F54" s="4">
        <f t="shared" si="29"/>
        <v>3.9262424611916646E-3</v>
      </c>
      <c r="G54" s="4">
        <f t="shared" si="29"/>
        <v>1.6360289133116046E-2</v>
      </c>
      <c r="H54" s="4">
        <f t="shared" si="29"/>
        <v>-3.0754318554432114E-2</v>
      </c>
      <c r="I54" s="4">
        <f t="shared" si="29"/>
        <v>4.9263722383008357E-3</v>
      </c>
      <c r="J54" s="4">
        <f t="shared" si="29"/>
        <v>-3.4413882289869302E-2</v>
      </c>
      <c r="K54" s="4">
        <f t="shared" si="29"/>
        <v>-4.4646635856744443E-2</v>
      </c>
      <c r="L54" s="4">
        <f t="shared" si="29"/>
        <v>-1.2123093384604489E-2</v>
      </c>
      <c r="M54" s="4">
        <f t="shared" si="29"/>
        <v>-5.0913920368149568E-2</v>
      </c>
      <c r="N54" s="4">
        <f t="shared" si="29"/>
        <v>5.5743882634980979E-2</v>
      </c>
      <c r="O54" s="4">
        <f t="shared" si="14"/>
        <v>8.293464025106223E-3</v>
      </c>
      <c r="P54" s="4">
        <f t="shared" si="14"/>
        <v>4.2719489560570034E-2</v>
      </c>
      <c r="Q54" s="4">
        <f t="shared" si="14"/>
        <v>-1.0527511679265467E-2</v>
      </c>
      <c r="R54" s="4">
        <f t="shared" si="14"/>
        <v>8.7393219464195759E-3</v>
      </c>
      <c r="S54" s="4">
        <f t="shared" si="15"/>
        <v>-6.3686716199975235E-2</v>
      </c>
      <c r="T54" s="4">
        <f t="shared" si="16"/>
        <v>7.6975686480299732E-2</v>
      </c>
      <c r="U54" s="4">
        <f t="shared" si="17"/>
        <v>-1.132907655355786E-2</v>
      </c>
      <c r="V54" s="4">
        <f t="shared" ca="1" si="17"/>
        <v>-6.6599352480476437E-3</v>
      </c>
    </row>
    <row r="55" spans="1:22">
      <c r="A55">
        <f t="shared" si="12"/>
        <v>15</v>
      </c>
      <c r="B55" t="str">
        <f t="shared" si="12"/>
        <v>HU</v>
      </c>
      <c r="C55" t="str">
        <f t="shared" si="12"/>
        <v>HU</v>
      </c>
      <c r="D55" s="3"/>
      <c r="E55" s="4">
        <f t="shared" ref="E55:N55" si="30">IFERROR(E20/D20-1,0)</f>
        <v>-1.5095385628353664E-2</v>
      </c>
      <c r="F55" s="4">
        <f t="shared" si="30"/>
        <v>-5.4940817971244393E-2</v>
      </c>
      <c r="G55" s="4">
        <f t="shared" si="30"/>
        <v>-2.8530464396503419E-4</v>
      </c>
      <c r="H55" s="4">
        <f t="shared" si="30"/>
        <v>-2.1282736109806577E-2</v>
      </c>
      <c r="I55" s="4">
        <f t="shared" si="30"/>
        <v>2.2362998511926246E-2</v>
      </c>
      <c r="J55" s="4">
        <f t="shared" si="30"/>
        <v>2.4747747473607973E-3</v>
      </c>
      <c r="K55" s="4">
        <f t="shared" si="30"/>
        <v>-5.8348250508853283E-2</v>
      </c>
      <c r="L55" s="4">
        <f t="shared" si="30"/>
        <v>6.7933594037647982E-3</v>
      </c>
      <c r="M55" s="4">
        <f t="shared" si="30"/>
        <v>-2.1922448971962605E-2</v>
      </c>
      <c r="N55" s="4">
        <f t="shared" si="30"/>
        <v>7.2680480089593047E-2</v>
      </c>
      <c r="O55" s="4">
        <f t="shared" si="14"/>
        <v>1.9793065806213983E-2</v>
      </c>
      <c r="P55" s="4">
        <f t="shared" si="14"/>
        <v>4.2488822734470189E-2</v>
      </c>
      <c r="Q55" s="4">
        <f t="shared" si="14"/>
        <v>1.5968285288974204E-3</v>
      </c>
      <c r="R55" s="4">
        <f t="shared" si="14"/>
        <v>4.0300934743178196E-3</v>
      </c>
      <c r="S55" s="4">
        <f t="shared" si="15"/>
        <v>-3.1699717902365032E-2</v>
      </c>
      <c r="T55" s="4">
        <f t="shared" si="16"/>
        <v>6.0081852007032754E-2</v>
      </c>
      <c r="U55" s="4">
        <f t="shared" si="17"/>
        <v>-4.0934224027154853E-2</v>
      </c>
      <c r="V55" s="4">
        <f t="shared" ca="1" si="17"/>
        <v>-3.471127079078784E-2</v>
      </c>
    </row>
    <row r="56" spans="1:22">
      <c r="A56">
        <f t="shared" si="12"/>
        <v>16</v>
      </c>
      <c r="B56" t="str">
        <f t="shared" si="12"/>
        <v>IE</v>
      </c>
      <c r="C56" t="str">
        <f t="shared" si="12"/>
        <v>IE</v>
      </c>
      <c r="D56" s="3"/>
      <c r="E56" s="4">
        <f t="shared" ref="E56:N56" si="31">IFERROR(E21/D21-1,0)</f>
        <v>4.1301762069129166E-2</v>
      </c>
      <c r="F56" s="4">
        <f t="shared" si="31"/>
        <v>4.996379426757569E-3</v>
      </c>
      <c r="G56" s="4">
        <f t="shared" si="31"/>
        <v>8.7863098344742596E-4</v>
      </c>
      <c r="H56" s="4">
        <f t="shared" si="31"/>
        <v>-0.10776541441175269</v>
      </c>
      <c r="I56" s="4">
        <f t="shared" si="31"/>
        <v>1.0464802485353308E-2</v>
      </c>
      <c r="J56" s="4">
        <f t="shared" si="31"/>
        <v>-7.329363257812338E-2</v>
      </c>
      <c r="K56" s="4">
        <f t="shared" si="31"/>
        <v>-2.7396213961203619E-2</v>
      </c>
      <c r="L56" s="4">
        <f t="shared" si="31"/>
        <v>1.2343141629313825E-2</v>
      </c>
      <c r="M56" s="4">
        <f t="shared" si="31"/>
        <v>3.5528663244646097E-3</v>
      </c>
      <c r="N56" s="4">
        <f t="shared" si="31"/>
        <v>3.8143000757381307E-2</v>
      </c>
      <c r="O56" s="4">
        <f t="shared" si="14"/>
        <v>3.8064786835783959E-2</v>
      </c>
      <c r="P56" s="4">
        <f t="shared" si="14"/>
        <v>7.9788092607824268E-3</v>
      </c>
      <c r="Q56" s="4">
        <f t="shared" si="14"/>
        <v>4.5736901288900844E-2</v>
      </c>
      <c r="R56" s="4">
        <f t="shared" si="14"/>
        <v>-1.2128803551229028E-3</v>
      </c>
      <c r="S56" s="4">
        <f t="shared" si="15"/>
        <v>-9.6417605910733672E-2</v>
      </c>
      <c r="T56" s="4">
        <f t="shared" si="16"/>
        <v>2.1448059151203847E-2</v>
      </c>
      <c r="U56" s="4">
        <f t="shared" si="17"/>
        <v>4.7278643858196912E-2</v>
      </c>
      <c r="V56" s="4">
        <f t="shared" ca="1" si="17"/>
        <v>-1.569758760064488E-2</v>
      </c>
    </row>
    <row r="57" spans="1:22">
      <c r="A57">
        <f t="shared" si="12"/>
        <v>17</v>
      </c>
      <c r="B57" t="str">
        <f t="shared" si="12"/>
        <v>IT</v>
      </c>
      <c r="C57" t="str">
        <f t="shared" si="12"/>
        <v>IT</v>
      </c>
      <c r="D57" s="3"/>
      <c r="E57" s="4">
        <f t="shared" ref="E57:N57" si="32">IFERROR(E22/D22-1,0)</f>
        <v>-1.1341855548617996E-2</v>
      </c>
      <c r="F57" s="4">
        <f t="shared" si="32"/>
        <v>-7.6328556543608927E-3</v>
      </c>
      <c r="G57" s="4">
        <f t="shared" si="32"/>
        <v>-2.5622180939666173E-3</v>
      </c>
      <c r="H57" s="4">
        <f t="shared" si="32"/>
        <v>-6.0363163887559468E-2</v>
      </c>
      <c r="I57" s="4">
        <f t="shared" si="32"/>
        <v>1.8485302508401524E-2</v>
      </c>
      <c r="J57" s="4">
        <f t="shared" si="32"/>
        <v>-4.1409844138431851E-2</v>
      </c>
      <c r="K57" s="4">
        <f t="shared" si="32"/>
        <v>-1.1105367783169728E-2</v>
      </c>
      <c r="L57" s="4">
        <f t="shared" si="32"/>
        <v>-2.6781607331849089E-2</v>
      </c>
      <c r="M57" s="4">
        <f t="shared" si="32"/>
        <v>-4.4235415894831487E-2</v>
      </c>
      <c r="N57" s="4">
        <f t="shared" si="32"/>
        <v>2.5722606193798958E-2</v>
      </c>
      <c r="O57" s="4">
        <f t="shared" si="14"/>
        <v>-2.6169468814238872E-3</v>
      </c>
      <c r="P57" s="4">
        <f t="shared" si="14"/>
        <v>-6.3380008606627181E-3</v>
      </c>
      <c r="Q57" s="4">
        <f t="shared" si="14"/>
        <v>9.8977764395757895E-3</v>
      </c>
      <c r="R57" s="4">
        <f t="shared" si="14"/>
        <v>-8.3391151928075002E-3</v>
      </c>
      <c r="S57" s="4">
        <f t="shared" si="15"/>
        <v>-0.10937906034697364</v>
      </c>
      <c r="T57" s="4">
        <f t="shared" si="16"/>
        <v>0.11299685943440596</v>
      </c>
      <c r="U57" s="4">
        <f t="shared" si="17"/>
        <v>-2.1025364780557831E-2</v>
      </c>
      <c r="V57" s="4">
        <f t="shared" ca="1" si="17"/>
        <v>-1.2706093684741404E-2</v>
      </c>
    </row>
    <row r="58" spans="1:22">
      <c r="A58">
        <f t="shared" si="12"/>
        <v>18</v>
      </c>
      <c r="B58" t="str">
        <f t="shared" si="12"/>
        <v>LT</v>
      </c>
      <c r="C58" t="str">
        <f t="shared" si="12"/>
        <v>LT</v>
      </c>
      <c r="D58" s="3"/>
      <c r="E58" s="4">
        <f t="shared" ref="E58:N58" si="33">IFERROR(E23/D23-1,0)</f>
        <v>5.5691111414779115E-2</v>
      </c>
      <c r="F58" s="4">
        <f t="shared" si="33"/>
        <v>5.7459592542284277E-2</v>
      </c>
      <c r="G58" s="4">
        <f t="shared" si="33"/>
        <v>-1.5642936149108055E-2</v>
      </c>
      <c r="H58" s="4">
        <f t="shared" si="33"/>
        <v>-9.5164771379503743E-2</v>
      </c>
      <c r="I58" s="4">
        <f t="shared" si="33"/>
        <v>3.5202907532429606E-2</v>
      </c>
      <c r="J58" s="4">
        <f t="shared" si="33"/>
        <v>-4.5360632531016298E-3</v>
      </c>
      <c r="K58" s="4">
        <f t="shared" si="33"/>
        <v>2.4653682866107474E-2</v>
      </c>
      <c r="L58" s="4">
        <f t="shared" si="33"/>
        <v>-2.4367733739764863E-2</v>
      </c>
      <c r="M58" s="4">
        <f t="shared" si="33"/>
        <v>1.9957745100581015E-2</v>
      </c>
      <c r="N58" s="4">
        <f t="shared" si="33"/>
        <v>-3.4340949393686371E-3</v>
      </c>
      <c r="O58" s="4">
        <f t="shared" si="14"/>
        <v>4.8975550590514505E-2</v>
      </c>
      <c r="P58" s="4">
        <f t="shared" si="14"/>
        <v>4.8197413934099931E-2</v>
      </c>
      <c r="Q58" s="4">
        <f t="shared" si="14"/>
        <v>4.1757837960295419E-2</v>
      </c>
      <c r="R58" s="4">
        <f t="shared" si="14"/>
        <v>-1.8839342449377128E-3</v>
      </c>
      <c r="S58" s="4">
        <f t="shared" si="15"/>
        <v>-4.4876664559861945E-2</v>
      </c>
      <c r="T58" s="4">
        <f t="shared" si="16"/>
        <v>6.6414280483673149E-2</v>
      </c>
      <c r="U58" s="4">
        <f t="shared" si="17"/>
        <v>-4.7095164549025847E-2</v>
      </c>
      <c r="V58" s="4">
        <f t="shared" ca="1" si="17"/>
        <v>-4.6914077697847167E-3</v>
      </c>
    </row>
    <row r="59" spans="1:22">
      <c r="A59">
        <f t="shared" si="12"/>
        <v>19</v>
      </c>
      <c r="B59" t="str">
        <f t="shared" si="12"/>
        <v>LU</v>
      </c>
      <c r="C59" t="str">
        <f t="shared" si="12"/>
        <v>LU</v>
      </c>
      <c r="D59" s="3"/>
      <c r="E59" s="4">
        <f t="shared" ref="E59:N59" si="34">IFERROR(E24/D24-1,0)</f>
        <v>-1.5081650484063958E-2</v>
      </c>
      <c r="F59" s="4">
        <f t="shared" si="34"/>
        <v>-1.5416694985545876E-2</v>
      </c>
      <c r="G59" s="4">
        <f t="shared" si="34"/>
        <v>9.3240269901628814E-3</v>
      </c>
      <c r="H59" s="4">
        <f t="shared" si="34"/>
        <v>-6.9383075099233027E-2</v>
      </c>
      <c r="I59" s="4">
        <f t="shared" si="34"/>
        <v>6.0500487229671496E-2</v>
      </c>
      <c r="J59" s="4">
        <f t="shared" si="34"/>
        <v>-7.8308673714180266E-3</v>
      </c>
      <c r="K59" s="4">
        <f t="shared" si="34"/>
        <v>-2.826357562608206E-2</v>
      </c>
      <c r="L59" s="4">
        <f t="shared" si="34"/>
        <v>-1.069111931179334E-2</v>
      </c>
      <c r="M59" s="4">
        <f t="shared" si="34"/>
        <v>-3.0175174531178683E-2</v>
      </c>
      <c r="N59" s="4">
        <f t="shared" si="34"/>
        <v>-2.675298037799867E-3</v>
      </c>
      <c r="O59" s="4">
        <f t="shared" si="14"/>
        <v>1.2240746168630912E-2</v>
      </c>
      <c r="P59" s="4">
        <f t="shared" si="14"/>
        <v>3.4765501908719854E-2</v>
      </c>
      <c r="Q59" s="4">
        <f t="shared" si="14"/>
        <v>4.0326096113631138E-2</v>
      </c>
      <c r="R59" s="4">
        <f t="shared" si="14"/>
        <v>9.2104009242137685E-3</v>
      </c>
      <c r="S59" s="4">
        <f t="shared" si="15"/>
        <v>-0.13128682996737717</v>
      </c>
      <c r="T59" s="4">
        <f t="shared" si="16"/>
        <v>6.4441631466101379E-2</v>
      </c>
      <c r="U59" s="4">
        <f t="shared" si="17"/>
        <v>-9.4997005264709888E-2</v>
      </c>
      <c r="V59" s="4">
        <f t="shared" ca="1" si="17"/>
        <v>-2.0474328590842084E-2</v>
      </c>
    </row>
    <row r="60" spans="1:22">
      <c r="A60">
        <f t="shared" si="12"/>
        <v>20</v>
      </c>
      <c r="B60" t="str">
        <f t="shared" si="12"/>
        <v>LV</v>
      </c>
      <c r="C60" t="str">
        <f t="shared" si="12"/>
        <v>LV</v>
      </c>
      <c r="D60" s="3"/>
      <c r="E60" s="4">
        <f t="shared" ref="E60:N60" si="35">IFERROR(E25/D25-1,0)</f>
        <v>4.3622255348694905E-2</v>
      </c>
      <c r="F60" s="4">
        <f t="shared" si="35"/>
        <v>3.8366007274017511E-2</v>
      </c>
      <c r="G60" s="4">
        <f t="shared" si="35"/>
        <v>-4.6193017435513184E-2</v>
      </c>
      <c r="H60" s="4">
        <f t="shared" si="35"/>
        <v>-2.7364739516832381E-2</v>
      </c>
      <c r="I60" s="4">
        <f t="shared" si="35"/>
        <v>1.9864111888984182E-2</v>
      </c>
      <c r="J60" s="4">
        <f t="shared" si="35"/>
        <v>-6.0942389009806086E-2</v>
      </c>
      <c r="K60" s="4">
        <f t="shared" si="35"/>
        <v>4.0878925459087334E-2</v>
      </c>
      <c r="L60" s="4">
        <f t="shared" si="35"/>
        <v>-4.2689437810283004E-2</v>
      </c>
      <c r="M60" s="4">
        <f t="shared" si="35"/>
        <v>7.8867794241281874E-3</v>
      </c>
      <c r="N60" s="4">
        <f t="shared" si="35"/>
        <v>-2.5212439289732047E-2</v>
      </c>
      <c r="O60" s="4">
        <f t="shared" si="14"/>
        <v>8.6487105877990356E-3</v>
      </c>
      <c r="P60" s="4">
        <f t="shared" si="14"/>
        <v>5.0742883056414056E-2</v>
      </c>
      <c r="Q60" s="4">
        <f t="shared" si="14"/>
        <v>4.0583602452724632E-2</v>
      </c>
      <c r="R60" s="4">
        <f t="shared" si="14"/>
        <v>-2.3093519918354399E-2</v>
      </c>
      <c r="S60" s="4">
        <f t="shared" si="15"/>
        <v>-5.5203044794319256E-2</v>
      </c>
      <c r="T60" s="4">
        <f t="shared" si="16"/>
        <v>5.2433593382475774E-2</v>
      </c>
      <c r="U60" s="4">
        <f t="shared" si="17"/>
        <v>-2.3463798876724895E-2</v>
      </c>
      <c r="V60" s="4">
        <f t="shared" ca="1" si="17"/>
        <v>-1.5942494850802569E-2</v>
      </c>
    </row>
    <row r="61" spans="1:22">
      <c r="A61">
        <f t="shared" si="12"/>
        <v>21</v>
      </c>
      <c r="B61" t="str">
        <f t="shared" si="12"/>
        <v>MT</v>
      </c>
      <c r="C61" t="str">
        <f t="shared" si="12"/>
        <v>MT</v>
      </c>
      <c r="D61" s="3"/>
      <c r="E61" s="4">
        <f t="shared" ref="E61:N61" si="36">IFERROR(E26/D26-1,0)</f>
        <v>4.1757744780281936E-3</v>
      </c>
      <c r="F61" s="4">
        <f t="shared" si="36"/>
        <v>3.0118983280575717E-2</v>
      </c>
      <c r="G61" s="4">
        <f t="shared" si="36"/>
        <v>4.3372445495578171E-2</v>
      </c>
      <c r="H61" s="4">
        <f t="shared" si="36"/>
        <v>-9.634628392871758E-2</v>
      </c>
      <c r="I61" s="4">
        <f t="shared" si="36"/>
        <v>0.1107411300223462</v>
      </c>
      <c r="J61" s="4">
        <f t="shared" si="36"/>
        <v>-1.9499908553798129E-2</v>
      </c>
      <c r="K61" s="4">
        <f t="shared" si="36"/>
        <v>2.769763533035019E-2</v>
      </c>
      <c r="L61" s="4">
        <f t="shared" si="36"/>
        <v>3.7468434343434387E-2</v>
      </c>
      <c r="M61" s="4">
        <f t="shared" si="36"/>
        <v>4.1437840387014147E-2</v>
      </c>
      <c r="N61" s="4">
        <f t="shared" si="36"/>
        <v>5.6120278346355246E-2</v>
      </c>
      <c r="O61" s="4">
        <f t="shared" si="14"/>
        <v>8.0100553598041468E-3</v>
      </c>
      <c r="P61" s="4">
        <f t="shared" si="14"/>
        <v>6.7295134586443872E-2</v>
      </c>
      <c r="Q61" s="4">
        <f t="shared" si="14"/>
        <v>6.1707504549488146E-2</v>
      </c>
      <c r="R61" s="4">
        <f t="shared" si="14"/>
        <v>5.6044417146959624E-2</v>
      </c>
      <c r="S61" s="4">
        <f t="shared" si="15"/>
        <v>-0.2181736565982304</v>
      </c>
      <c r="T61" s="4">
        <f t="shared" si="16"/>
        <v>7.3848132489834795E-2</v>
      </c>
      <c r="U61" s="4">
        <f t="shared" si="17"/>
        <v>0.1928709046785988</v>
      </c>
      <c r="V61" s="4">
        <f t="shared" ca="1" si="17"/>
        <v>-2.919345717784938E-2</v>
      </c>
    </row>
    <row r="62" spans="1:22">
      <c r="A62">
        <f t="shared" si="12"/>
        <v>22</v>
      </c>
      <c r="B62" t="str">
        <f t="shared" si="12"/>
        <v>NL</v>
      </c>
      <c r="C62" t="str">
        <f t="shared" si="12"/>
        <v>NL</v>
      </c>
      <c r="D62" s="3"/>
      <c r="E62" s="4">
        <f t="shared" ref="E62:N62" si="37">IFERROR(E27/D27-1,0)</f>
        <v>-6.0103886809431684E-3</v>
      </c>
      <c r="F62" s="4">
        <f t="shared" si="37"/>
        <v>-1.3407832043050738E-2</v>
      </c>
      <c r="G62" s="4">
        <f t="shared" si="37"/>
        <v>1.563788673818256E-2</v>
      </c>
      <c r="H62" s="4">
        <f t="shared" si="37"/>
        <v>-4.0641527671945954E-2</v>
      </c>
      <c r="I62" s="4">
        <f t="shared" si="37"/>
        <v>7.0158009345385297E-2</v>
      </c>
      <c r="J62" s="4">
        <f t="shared" si="37"/>
        <v>-6.5622160524070106E-2</v>
      </c>
      <c r="K62" s="4">
        <f t="shared" si="37"/>
        <v>2.0965805609967081E-3</v>
      </c>
      <c r="L62" s="4">
        <f t="shared" si="37"/>
        <v>-3.3935712112012073E-3</v>
      </c>
      <c r="M62" s="4">
        <f t="shared" si="37"/>
        <v>-8.4598817164801887E-2</v>
      </c>
      <c r="N62" s="4">
        <f t="shared" si="37"/>
        <v>2.3173423253761483E-2</v>
      </c>
      <c r="O62" s="4">
        <f t="shared" si="14"/>
        <v>2.1384160467345481E-2</v>
      </c>
      <c r="P62" s="4">
        <f t="shared" si="14"/>
        <v>7.4118910762046575E-3</v>
      </c>
      <c r="Q62" s="4">
        <f t="shared" si="14"/>
        <v>7.05014345602617E-3</v>
      </c>
      <c r="R62" s="4">
        <f t="shared" si="14"/>
        <v>-1.7969797818216504E-2</v>
      </c>
      <c r="S62" s="4">
        <f t="shared" si="15"/>
        <v>-8.7732360965570466E-2</v>
      </c>
      <c r="T62" s="4">
        <f t="shared" si="16"/>
        <v>3.6451886159820868E-2</v>
      </c>
      <c r="U62" s="4">
        <f t="shared" si="17"/>
        <v>-7.1449113655286167E-2</v>
      </c>
      <c r="V62" s="4">
        <f t="shared" ca="1" si="17"/>
        <v>-6.6910856286264142E-3</v>
      </c>
    </row>
    <row r="63" spans="1:22">
      <c r="A63">
        <f t="shared" si="12"/>
        <v>23</v>
      </c>
      <c r="B63" t="str">
        <f t="shared" si="12"/>
        <v>PL</v>
      </c>
      <c r="C63" t="str">
        <f t="shared" si="12"/>
        <v>PL</v>
      </c>
      <c r="D63" s="3"/>
      <c r="E63" s="4">
        <f t="shared" ref="E63:N63" si="38">IFERROR(E28/D28-1,0)</f>
        <v>4.6613896789511555E-2</v>
      </c>
      <c r="F63" s="4">
        <f t="shared" si="38"/>
        <v>6.5197905481102492E-3</v>
      </c>
      <c r="G63" s="4">
        <f t="shared" si="38"/>
        <v>1.4127904330968333E-2</v>
      </c>
      <c r="H63" s="4">
        <f t="shared" si="38"/>
        <v>-1.5502678896002542E-2</v>
      </c>
      <c r="I63" s="4">
        <f t="shared" si="38"/>
        <v>7.7449205212351879E-2</v>
      </c>
      <c r="J63" s="4">
        <f t="shared" si="38"/>
        <v>-2.4297443095017912E-2</v>
      </c>
      <c r="K63" s="4">
        <f t="shared" si="38"/>
        <v>-3.7934692650383184E-3</v>
      </c>
      <c r="L63" s="4">
        <f t="shared" si="38"/>
        <v>-1.8316082934146882E-2</v>
      </c>
      <c r="M63" s="4">
        <f t="shared" si="38"/>
        <v>-2.6869971280247373E-2</v>
      </c>
      <c r="N63" s="4">
        <f t="shared" si="38"/>
        <v>1.2203309179728894E-2</v>
      </c>
      <c r="O63" s="4">
        <f t="shared" si="14"/>
        <v>6.9068140098866193E-2</v>
      </c>
      <c r="P63" s="4">
        <f t="shared" si="14"/>
        <v>6.4520812569972552E-2</v>
      </c>
      <c r="Q63" s="4">
        <f t="shared" si="14"/>
        <v>5.6146155175629042E-2</v>
      </c>
      <c r="R63" s="4">
        <f t="shared" si="14"/>
        <v>-1.534153231709634E-2</v>
      </c>
      <c r="S63" s="4">
        <f t="shared" si="15"/>
        <v>-3.5331580076169766E-2</v>
      </c>
      <c r="T63" s="4">
        <f t="shared" si="16"/>
        <v>5.6752370919419981E-2</v>
      </c>
      <c r="U63" s="4">
        <f t="shared" si="17"/>
        <v>-3.6319015630144058E-2</v>
      </c>
      <c r="V63" s="4">
        <f t="shared" ca="1" si="17"/>
        <v>-1.182586488037396E-2</v>
      </c>
    </row>
    <row r="64" spans="1:22">
      <c r="A64">
        <f t="shared" si="12"/>
        <v>24</v>
      </c>
      <c r="B64" t="str">
        <f t="shared" si="12"/>
        <v>PT</v>
      </c>
      <c r="C64" t="str">
        <f t="shared" si="12"/>
        <v>PT</v>
      </c>
      <c r="D64" s="3"/>
      <c r="E64" s="4">
        <f t="shared" ref="E64:N64" si="39">IFERROR(E29/D29-1,0)</f>
        <v>-1.4075252358977219E-2</v>
      </c>
      <c r="F64" s="4">
        <f t="shared" si="39"/>
        <v>1.1470827405570594E-2</v>
      </c>
      <c r="G64" s="4">
        <f t="shared" si="39"/>
        <v>-2.706283881492455E-2</v>
      </c>
      <c r="H64" s="4">
        <f t="shared" si="39"/>
        <v>-1.1257992466625288E-2</v>
      </c>
      <c r="I64" s="4">
        <f t="shared" si="39"/>
        <v>-4.9515324879551015E-3</v>
      </c>
      <c r="J64" s="4">
        <f t="shared" si="39"/>
        <v>-4.3605619317594435E-2</v>
      </c>
      <c r="K64" s="4">
        <f t="shared" si="39"/>
        <v>-7.6136315121221099E-2</v>
      </c>
      <c r="L64" s="4">
        <f t="shared" si="39"/>
        <v>-1.2036249691688039E-2</v>
      </c>
      <c r="M64" s="4">
        <f t="shared" si="39"/>
        <v>-5.3096151877083386E-3</v>
      </c>
      <c r="N64" s="4">
        <f t="shared" si="39"/>
        <v>1.5152057844869837E-2</v>
      </c>
      <c r="O64" s="4">
        <f t="shared" si="14"/>
        <v>1.1816348718697967E-2</v>
      </c>
      <c r="P64" s="4">
        <f t="shared" si="14"/>
        <v>2.2937055475591217E-2</v>
      </c>
      <c r="Q64" s="4">
        <f t="shared" si="14"/>
        <v>1.87157417046524E-2</v>
      </c>
      <c r="R64" s="4">
        <f t="shared" si="14"/>
        <v>1.5710680015373679E-2</v>
      </c>
      <c r="S64" s="4">
        <f t="shared" si="15"/>
        <v>-0.12669967064070775</v>
      </c>
      <c r="T64" s="4">
        <f t="shared" si="16"/>
        <v>4.8258921948875377E-2</v>
      </c>
      <c r="U64" s="4">
        <f t="shared" si="17"/>
        <v>6.5527193254368399E-2</v>
      </c>
      <c r="V64" s="4">
        <f t="shared" ca="1" si="17"/>
        <v>2.4679784059945975E-2</v>
      </c>
    </row>
    <row r="65" spans="1:22">
      <c r="A65">
        <f t="shared" si="12"/>
        <v>25</v>
      </c>
      <c r="B65" t="str">
        <f t="shared" si="12"/>
        <v>RO</v>
      </c>
      <c r="C65" t="str">
        <f t="shared" si="12"/>
        <v>RO</v>
      </c>
      <c r="D65" s="3"/>
      <c r="E65" s="4">
        <f t="shared" ref="E65:N65" si="40">IFERROR(E30/D30-1,0)</f>
        <v>6.8363309032286601E-3</v>
      </c>
      <c r="F65" s="4">
        <f t="shared" si="40"/>
        <v>-2.5531475586530017E-2</v>
      </c>
      <c r="G65" s="4">
        <f t="shared" si="40"/>
        <v>2.2667407970792697E-2</v>
      </c>
      <c r="H65" s="4">
        <f t="shared" si="40"/>
        <v>-9.8806949253209098E-2</v>
      </c>
      <c r="I65" s="4">
        <f t="shared" si="40"/>
        <v>1.3291303300552615E-2</v>
      </c>
      <c r="J65" s="4">
        <f t="shared" si="40"/>
        <v>8.702937082656792E-3</v>
      </c>
      <c r="K65" s="4">
        <f t="shared" si="40"/>
        <v>1.1760690984470301E-3</v>
      </c>
      <c r="L65" s="4">
        <f t="shared" si="40"/>
        <v>-4.2446467563879375E-2</v>
      </c>
      <c r="M65" s="4">
        <f t="shared" si="40"/>
        <v>-5.0847261669259014E-3</v>
      </c>
      <c r="N65" s="4">
        <f t="shared" si="40"/>
        <v>7.5709139118655955E-3</v>
      </c>
      <c r="O65" s="4">
        <f t="shared" si="14"/>
        <v>1.7698510352838426E-2</v>
      </c>
      <c r="P65" s="4">
        <f t="shared" si="14"/>
        <v>4.89692314181982E-2</v>
      </c>
      <c r="Q65" s="4">
        <f t="shared" si="14"/>
        <v>1.1437479429629915E-2</v>
      </c>
      <c r="R65" s="4">
        <f t="shared" si="14"/>
        <v>1.200939140783075E-2</v>
      </c>
      <c r="S65" s="4">
        <f t="shared" si="15"/>
        <v>-1.4499656573083164E-2</v>
      </c>
      <c r="T65" s="4">
        <f t="shared" si="16"/>
        <v>7.8342388126077855E-2</v>
      </c>
      <c r="U65" s="4">
        <f t="shared" si="17"/>
        <v>-5.3329349522236114E-2</v>
      </c>
      <c r="V65" s="4">
        <f t="shared" ca="1" si="17"/>
        <v>-2.4176285394233998E-2</v>
      </c>
    </row>
    <row r="66" spans="1:22">
      <c r="A66">
        <f t="shared" si="12"/>
        <v>26</v>
      </c>
      <c r="B66" t="str">
        <f t="shared" si="12"/>
        <v>SE</v>
      </c>
      <c r="C66" t="str">
        <f t="shared" si="12"/>
        <v>SE</v>
      </c>
      <c r="D66" s="3"/>
      <c r="E66" s="4">
        <f t="shared" ref="E66:N66" si="41">IFERROR(E31/D31-1,0)</f>
        <v>-2.8410678694801295E-3</v>
      </c>
      <c r="F66" s="4">
        <f t="shared" si="41"/>
        <v>4.2781179382185286E-3</v>
      </c>
      <c r="G66" s="4">
        <f t="shared" si="41"/>
        <v>-1.8094117164331291E-2</v>
      </c>
      <c r="H66" s="4">
        <f t="shared" si="41"/>
        <v>-3.959762159749225E-2</v>
      </c>
      <c r="I66" s="4">
        <f t="shared" si="41"/>
        <v>8.2738302129498509E-2</v>
      </c>
      <c r="J66" s="4">
        <f t="shared" si="41"/>
        <v>-4.2683320297291494E-2</v>
      </c>
      <c r="K66" s="4">
        <f t="shared" si="41"/>
        <v>1.0134678914937023E-3</v>
      </c>
      <c r="L66" s="4">
        <f t="shared" si="41"/>
        <v>-1.6728514571800135E-2</v>
      </c>
      <c r="M66" s="4">
        <f t="shared" si="41"/>
        <v>-2.5272433520144855E-2</v>
      </c>
      <c r="N66" s="4">
        <f t="shared" si="41"/>
        <v>1.8659131133802243E-2</v>
      </c>
      <c r="O66" s="4">
        <f t="shared" si="14"/>
        <v>1.4365425559901057E-2</v>
      </c>
      <c r="P66" s="4">
        <f t="shared" si="14"/>
        <v>-4.3820659054371047E-3</v>
      </c>
      <c r="Q66" s="4">
        <f t="shared" si="14"/>
        <v>-5.7108284383476926E-3</v>
      </c>
      <c r="R66" s="4">
        <f t="shared" si="14"/>
        <v>-1.251169639508054E-2</v>
      </c>
      <c r="S66" s="4">
        <f t="shared" si="15"/>
        <v>-3.1939234583668541E-2</v>
      </c>
      <c r="T66" s="4">
        <f t="shared" si="16"/>
        <v>3.8545226640582353E-2</v>
      </c>
      <c r="U66" s="4">
        <f t="shared" si="17"/>
        <v>-2.3172456746834769E-2</v>
      </c>
      <c r="V66" s="4">
        <f t="shared" ca="1" si="17"/>
        <v>-1.4479195856023086E-3</v>
      </c>
    </row>
    <row r="67" spans="1:22">
      <c r="A67">
        <f t="shared" si="12"/>
        <v>27</v>
      </c>
      <c r="B67" t="str">
        <f t="shared" si="12"/>
        <v>SI</v>
      </c>
      <c r="C67" t="str">
        <f t="shared" si="12"/>
        <v>SI</v>
      </c>
      <c r="D67" s="3"/>
      <c r="E67" s="4">
        <f t="shared" ref="E67:N67" si="42">IFERROR(E32/D32-1,0)</f>
        <v>-2.0562438542556238E-3</v>
      </c>
      <c r="F67" s="4">
        <f t="shared" si="42"/>
        <v>4.5794482977745687E-3</v>
      </c>
      <c r="G67" s="4">
        <f t="shared" si="42"/>
        <v>6.9514408724172583E-2</v>
      </c>
      <c r="H67" s="4">
        <f t="shared" si="42"/>
        <v>-0.11597221802543456</v>
      </c>
      <c r="I67" s="4">
        <f t="shared" si="42"/>
        <v>4.1672576937003658E-2</v>
      </c>
      <c r="J67" s="4">
        <f t="shared" si="42"/>
        <v>-3.2590890103246783E-3</v>
      </c>
      <c r="K67" s="4">
        <f t="shared" si="42"/>
        <v>-2.6254083671797712E-2</v>
      </c>
      <c r="L67" s="4">
        <f t="shared" si="42"/>
        <v>-2.1844075571129107E-2</v>
      </c>
      <c r="M67" s="4">
        <f t="shared" si="42"/>
        <v>-4.0971537785729484E-2</v>
      </c>
      <c r="N67" s="4">
        <f t="shared" si="42"/>
        <v>2.15304138185195E-2</v>
      </c>
      <c r="O67" s="4">
        <f t="shared" si="14"/>
        <v>3.5848933364178048E-2</v>
      </c>
      <c r="P67" s="4">
        <f t="shared" si="14"/>
        <v>1.3832691051312018E-2</v>
      </c>
      <c r="Q67" s="4">
        <f t="shared" si="14"/>
        <v>2.3072330681928044E-4</v>
      </c>
      <c r="R67" s="4">
        <f t="shared" si="14"/>
        <v>-2.0113226031394205E-2</v>
      </c>
      <c r="S67" s="4">
        <f t="shared" si="15"/>
        <v>-9.1329563445761375E-2</v>
      </c>
      <c r="T67" s="4">
        <f t="shared" si="16"/>
        <v>7.0882596382213503E-2</v>
      </c>
      <c r="U67" s="4">
        <f t="shared" si="17"/>
        <v>-7.5416902359282112E-4</v>
      </c>
      <c r="V67" s="4">
        <f t="shared" ca="1" si="17"/>
        <v>-4.1413148352787532E-2</v>
      </c>
    </row>
    <row r="68" spans="1:22">
      <c r="A68">
        <f t="shared" si="12"/>
        <v>28</v>
      </c>
      <c r="B68" t="str">
        <f t="shared" si="12"/>
        <v>SK</v>
      </c>
      <c r="C68" t="str">
        <f t="shared" si="12"/>
        <v>SK</v>
      </c>
      <c r="D68" s="3"/>
      <c r="E68" s="4">
        <f t="shared" ref="E68:N68" si="43">IFERROR(E33/D33-1,0)</f>
        <v>-1.6371418781883973E-2</v>
      </c>
      <c r="F68" s="4">
        <f t="shared" si="43"/>
        <v>-1.4474010949915628E-2</v>
      </c>
      <c r="G68" s="4">
        <f t="shared" si="43"/>
        <v>2.175233640271923E-2</v>
      </c>
      <c r="H68" s="4">
        <f t="shared" si="43"/>
        <v>-7.1803900774581764E-2</v>
      </c>
      <c r="I68" s="4">
        <f t="shared" si="43"/>
        <v>0.15337993131050731</v>
      </c>
      <c r="J68" s="4">
        <f t="shared" si="43"/>
        <v>-6.6893454103491456E-2</v>
      </c>
      <c r="K68" s="4">
        <f t="shared" si="43"/>
        <v>-3.0168493735264978E-2</v>
      </c>
      <c r="L68" s="4">
        <f t="shared" si="43"/>
        <v>1.75978431894106E-2</v>
      </c>
      <c r="M68" s="4">
        <f t="shared" si="43"/>
        <v>-8.4679456632326233E-2</v>
      </c>
      <c r="N68" s="4">
        <f t="shared" si="43"/>
        <v>3.1027038057657386E-2</v>
      </c>
      <c r="O68" s="4">
        <f t="shared" si="14"/>
        <v>3.8597841634347096E-2</v>
      </c>
      <c r="P68" s="4">
        <f t="shared" si="14"/>
        <v>6.3368328727137824E-2</v>
      </c>
      <c r="Q68" s="4">
        <f t="shared" si="14"/>
        <v>-1.3686712768532283E-2</v>
      </c>
      <c r="R68" s="4">
        <f t="shared" si="14"/>
        <v>-3.7756839559218713E-2</v>
      </c>
      <c r="S68" s="4">
        <f t="shared" si="15"/>
        <v>-7.099356566966164E-2</v>
      </c>
      <c r="T68" s="4">
        <f t="shared" si="16"/>
        <v>0.11724901181357561</v>
      </c>
      <c r="U68" s="4">
        <f t="shared" si="17"/>
        <v>-8.1461553787756324E-2</v>
      </c>
      <c r="V68" s="4">
        <f t="shared" ca="1" si="17"/>
        <v>-2.1221773032642499E-3</v>
      </c>
    </row>
    <row r="69" spans="1:22">
      <c r="A69">
        <f t="shared" si="12"/>
        <v>29</v>
      </c>
      <c r="B69" t="str">
        <f t="shared" si="12"/>
        <v>UK</v>
      </c>
      <c r="C69" t="str">
        <f t="shared" si="12"/>
        <v>UK</v>
      </c>
      <c r="D69" s="3"/>
      <c r="E69" s="4">
        <f t="shared" ref="E69:N71" si="44">IFERROR(E34/D34-1,0)</f>
        <v>-1.3616774143419996E-2</v>
      </c>
      <c r="F69" s="4">
        <f t="shared" si="44"/>
        <v>-1.4324229160256108E-2</v>
      </c>
      <c r="G69" s="4">
        <f t="shared" si="44"/>
        <v>-2.9641358943929275E-3</v>
      </c>
      <c r="H69" s="4">
        <f t="shared" si="44"/>
        <v>-6.9309190235061546E-2</v>
      </c>
      <c r="I69" s="4">
        <f t="shared" si="44"/>
        <v>3.6937585902635739E-2</v>
      </c>
      <c r="J69" s="4">
        <f t="shared" si="44"/>
        <v>-7.6493599322271622E-2</v>
      </c>
      <c r="K69" s="4">
        <f t="shared" si="44"/>
        <v>2.7250020861990132E-2</v>
      </c>
      <c r="L69" s="4">
        <f t="shared" si="44"/>
        <v>8.4659201073644663E-3</v>
      </c>
      <c r="M69" s="4">
        <f t="shared" si="44"/>
        <v>-4.9639622992948107E-2</v>
      </c>
      <c r="N69" s="4">
        <f t="shared" si="44"/>
        <v>1.9278850152493421E-2</v>
      </c>
      <c r="O69" s="4">
        <f t="shared" si="14"/>
        <v>8.614394864022934E-3</v>
      </c>
      <c r="P69" s="4">
        <f t="shared" si="14"/>
        <v>-1.3183039441160282E-3</v>
      </c>
      <c r="Q69" s="4">
        <f t="shared" si="14"/>
        <v>1.1530802389414729E-2</v>
      </c>
      <c r="R69" s="4">
        <f t="shared" si="14"/>
        <v>-7.5266478612250332E-3</v>
      </c>
      <c r="S69" s="4">
        <f t="shared" si="15"/>
        <v>-1</v>
      </c>
      <c r="T69" s="4">
        <f t="shared" si="16"/>
        <v>0</v>
      </c>
      <c r="U69" s="4">
        <f t="shared" si="17"/>
        <v>0</v>
      </c>
      <c r="V69" s="4">
        <f t="shared" ca="1" si="17"/>
        <v>0</v>
      </c>
    </row>
    <row r="70" spans="1:22">
      <c r="B70" s="40" t="s">
        <v>189</v>
      </c>
      <c r="C70" s="40" t="s">
        <v>189</v>
      </c>
      <c r="D70" s="41"/>
      <c r="E70" s="49">
        <f t="shared" si="44"/>
        <v>2.097762599837516E-3</v>
      </c>
      <c r="F70" s="49">
        <f t="shared" ref="F70:F71" si="45">IFERROR(F35/E35-1,0)</f>
        <v>-1.6286901174817459E-2</v>
      </c>
      <c r="G70" s="49">
        <f t="shared" ref="G70:G71" si="46">IFERROR(G35/F35-1,0)</f>
        <v>6.5866007201051957E-3</v>
      </c>
      <c r="H70" s="49">
        <f t="shared" ref="H70:H71" si="47">IFERROR(H35/G35-1,0)</f>
        <v>-5.5825906088871835E-2</v>
      </c>
      <c r="I70" s="49">
        <f t="shared" ref="I70:I71" si="48">IFERROR(I35/H35-1,0)</f>
        <v>4.4229153509645069E-2</v>
      </c>
      <c r="J70" s="49">
        <f t="shared" ref="J70:J71" si="49">IFERROR(J35/I35-1,0)</f>
        <v>-4.356223278199145E-2</v>
      </c>
      <c r="K70" s="49">
        <f t="shared" ref="K70:K71" si="50">IFERROR(K35/J35-1,0)</f>
        <v>1.3804037224656174E-3</v>
      </c>
      <c r="L70" s="49">
        <f t="shared" ref="L70:L71" si="51">IFERROR(L35/K35-1,0)</f>
        <v>-1.0376415436033071E-3</v>
      </c>
      <c r="M70" s="49">
        <f t="shared" ref="M70:M71" si="52">IFERROR(M35/L35-1,0)</f>
        <v>-4.342583962680957E-2</v>
      </c>
      <c r="N70" s="49">
        <f t="shared" ref="N70:N71" si="53">IFERROR(N35/M35-1,0)</f>
        <v>2.0573383220230612E-2</v>
      </c>
      <c r="O70" s="49">
        <f t="shared" ref="O70:O71" si="54">IFERROR(O35/N35-1,0)</f>
        <v>1.8458149435962357E-2</v>
      </c>
      <c r="P70" s="49">
        <f t="shared" ref="P70:R71" si="55">IFERROR(P35/O35-1,0)</f>
        <v>1.0826931305655929E-2</v>
      </c>
      <c r="Q70" s="49">
        <f t="shared" ref="Q70:Q71" si="56">IFERROR(Q35/P35-1,0)</f>
        <v>3.5405927771383627E-3</v>
      </c>
      <c r="R70" s="49">
        <f t="shared" si="55"/>
        <v>-6.0984548784153159E-3</v>
      </c>
      <c r="S70" s="49">
        <f t="shared" si="15"/>
        <v>-0.19119225480967494</v>
      </c>
      <c r="T70" s="49">
        <f t="shared" si="16"/>
        <v>6.7060005713023507E-2</v>
      </c>
      <c r="U70" s="49">
        <f t="shared" si="17"/>
        <v>-2.7623233640456046E-2</v>
      </c>
      <c r="V70" s="49">
        <f t="shared" ca="1" si="17"/>
        <v>-1.7077523216839863E-2</v>
      </c>
    </row>
    <row r="71" spans="1:22">
      <c r="B71" s="40" t="s">
        <v>190</v>
      </c>
      <c r="C71" s="40" t="s">
        <v>190</v>
      </c>
      <c r="D71" s="41"/>
      <c r="E71" s="49">
        <f t="shared" si="44"/>
        <v>4.4064554353253627E-3</v>
      </c>
      <c r="F71" s="49">
        <f t="shared" si="45"/>
        <v>-1.6570071986246937E-2</v>
      </c>
      <c r="G71" s="49">
        <f t="shared" si="46"/>
        <v>7.9677107659650304E-3</v>
      </c>
      <c r="H71" s="49">
        <f t="shared" si="47"/>
        <v>-5.3897265674851202E-2</v>
      </c>
      <c r="I71" s="49">
        <f t="shared" si="48"/>
        <v>4.5255144650535373E-2</v>
      </c>
      <c r="J71" s="49">
        <f t="shared" si="49"/>
        <v>-3.8965357092050401E-2</v>
      </c>
      <c r="K71" s="49">
        <f t="shared" si="50"/>
        <v>-2.0897113347002616E-3</v>
      </c>
      <c r="L71" s="49">
        <f t="shared" si="51"/>
        <v>-2.349916764170179E-3</v>
      </c>
      <c r="M71" s="49">
        <f t="shared" si="52"/>
        <v>-4.2558523097569245E-2</v>
      </c>
      <c r="N71" s="49">
        <f t="shared" si="53"/>
        <v>2.0752737088271411E-2</v>
      </c>
      <c r="O71" s="49">
        <f t="shared" si="54"/>
        <v>1.9820004329078822E-2</v>
      </c>
      <c r="P71" s="49">
        <f t="shared" si="55"/>
        <v>1.2488726984026588E-2</v>
      </c>
      <c r="Q71" s="49">
        <f t="shared" si="56"/>
        <v>2.4622253528070459E-3</v>
      </c>
      <c r="R71" s="49">
        <f t="shared" si="55"/>
        <v>-5.9039607128237304E-3</v>
      </c>
      <c r="S71" s="49">
        <f t="shared" si="15"/>
        <v>-8.1226997237705101E-2</v>
      </c>
      <c r="T71" s="49">
        <f t="shared" si="16"/>
        <v>6.7060005713023507E-2</v>
      </c>
      <c r="U71" s="49">
        <f t="shared" si="17"/>
        <v>-2.7623233640456046E-2</v>
      </c>
      <c r="V71" s="49">
        <f t="shared" ca="1" si="17"/>
        <v>-1.7077523216839863E-2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AN71"/>
  <sheetViews>
    <sheetView zoomScale="91" zoomScaleNormal="80" workbookViewId="0">
      <pane xSplit="3" ySplit="6" topLeftCell="D7" activePane="bottomRight" state="frozen"/>
      <selection pane="topRight" activeCell="R3" sqref="R3"/>
      <selection pane="bottomLeft" activeCell="R3" sqref="R3"/>
      <selection pane="bottomRight" activeCell="D6" sqref="D6:V36"/>
    </sheetView>
  </sheetViews>
  <sheetFormatPr baseColWidth="10" defaultColWidth="11.5" defaultRowHeight="13"/>
  <cols>
    <col min="1" max="1" width="13.5" customWidth="1"/>
    <col min="22" max="22" width="10.1640625" customWidth="1"/>
    <col min="23" max="23" width="13.1640625" bestFit="1" customWidth="1"/>
    <col min="29" max="29" width="16.5" bestFit="1" customWidth="1"/>
  </cols>
  <sheetData>
    <row r="1" spans="1:40">
      <c r="A1" t="s">
        <v>64</v>
      </c>
      <c r="AA1" s="15" t="s">
        <v>219</v>
      </c>
    </row>
    <row r="2" spans="1:40">
      <c r="AA2" s="11"/>
    </row>
    <row r="3" spans="1:40">
      <c r="AA3" s="11"/>
      <c r="AG3" t="s">
        <v>193</v>
      </c>
    </row>
    <row r="4" spans="1:40" ht="14">
      <c r="AA4" s="11">
        <v>1</v>
      </c>
      <c r="AB4">
        <v>2</v>
      </c>
      <c r="AC4">
        <v>3</v>
      </c>
      <c r="AD4">
        <v>4</v>
      </c>
      <c r="AF4" t="s">
        <v>225</v>
      </c>
      <c r="AG4" s="10">
        <v>5</v>
      </c>
    </row>
    <row r="5" spans="1:40">
      <c r="D5" t="s">
        <v>173</v>
      </c>
      <c r="V5" t="s">
        <v>174</v>
      </c>
      <c r="AA5" s="11" t="s">
        <v>196</v>
      </c>
      <c r="AB5" t="s">
        <v>226</v>
      </c>
      <c r="AC5" t="str">
        <f>TrendDuration&amp;"yr lin trend"</f>
        <v>5yr lin trend</v>
      </c>
      <c r="AD5" t="s">
        <v>200</v>
      </c>
      <c r="AE5" t="s">
        <v>201</v>
      </c>
      <c r="AG5" s="21">
        <v>0.8</v>
      </c>
      <c r="AN5" t="s">
        <v>204</v>
      </c>
    </row>
    <row r="6" spans="1:40">
      <c r="A6" t="s">
        <v>212</v>
      </c>
      <c r="B6" t="s">
        <v>175</v>
      </c>
      <c r="C6" t="s">
        <v>176</v>
      </c>
      <c r="D6" s="1">
        <f>'FEC Total'!D6</f>
        <v>2005</v>
      </c>
      <c r="E6" s="1">
        <f>'FEC Total'!E6</f>
        <v>2006</v>
      </c>
      <c r="F6" s="1">
        <f>'FEC Total'!F6</f>
        <v>2007</v>
      </c>
      <c r="G6" s="1">
        <f>'FEC Total'!G6</f>
        <v>2008</v>
      </c>
      <c r="H6" s="1">
        <f>'FEC Total'!H6</f>
        <v>2009</v>
      </c>
      <c r="I6" s="1">
        <f>'FEC Total'!I6</f>
        <v>2010</v>
      </c>
      <c r="J6" s="1">
        <f>'FEC Total'!J6</f>
        <v>2011</v>
      </c>
      <c r="K6" s="1">
        <f>'FEC Total'!K6</f>
        <v>2012</v>
      </c>
      <c r="L6" s="1">
        <f>'FEC Total'!L6</f>
        <v>2013</v>
      </c>
      <c r="M6" s="1">
        <f>'FEC Total'!M6</f>
        <v>2014</v>
      </c>
      <c r="N6" s="1">
        <f>'FEC Total'!N6</f>
        <v>2015</v>
      </c>
      <c r="O6" s="1">
        <f>'FEC Total'!O6</f>
        <v>2016</v>
      </c>
      <c r="P6" s="1">
        <f>'FEC Total'!P6</f>
        <v>2017</v>
      </c>
      <c r="Q6" s="1">
        <f>'FEC Total'!Q6</f>
        <v>2018</v>
      </c>
      <c r="R6" s="1">
        <f>'FEC Total'!R6</f>
        <v>2019</v>
      </c>
      <c r="S6" s="1">
        <f>'FEC Total'!S6</f>
        <v>2020</v>
      </c>
      <c r="T6" s="1">
        <f>'FEC Total'!T6</f>
        <v>2021</v>
      </c>
      <c r="U6" s="1">
        <f>'FEC Total'!U6</f>
        <v>2022</v>
      </c>
      <c r="V6" s="2">
        <f>YearProxy</f>
        <v>2023</v>
      </c>
      <c r="W6" s="21" t="s">
        <v>205</v>
      </c>
      <c r="AA6" s="12">
        <f>YearProxy-1</f>
        <v>2022</v>
      </c>
      <c r="AB6" s="2">
        <f>YearProxy</f>
        <v>2023</v>
      </c>
      <c r="AC6" s="2">
        <f>YearProxy</f>
        <v>2023</v>
      </c>
      <c r="AD6" s="2">
        <f>YearProxy</f>
        <v>2023</v>
      </c>
      <c r="AE6" s="6"/>
      <c r="AG6" s="6" t="s">
        <v>211</v>
      </c>
    </row>
    <row r="7" spans="1:40">
      <c r="A7">
        <v>2</v>
      </c>
      <c r="B7" t="s">
        <v>106</v>
      </c>
      <c r="C7" t="s">
        <v>106</v>
      </c>
      <c r="D7" s="3">
        <v>7188.5119999999997</v>
      </c>
      <c r="E7" s="3">
        <v>7354.402</v>
      </c>
      <c r="F7" s="3">
        <v>7429.8310000000001</v>
      </c>
      <c r="G7" s="3">
        <v>7365.5569999999998</v>
      </c>
      <c r="H7" s="3">
        <v>7125.4139999999998</v>
      </c>
      <c r="I7" s="3">
        <v>7565.7169999999996</v>
      </c>
      <c r="J7" s="3">
        <v>7594.3130000000001</v>
      </c>
      <c r="K7" s="3">
        <v>7652.5959999999995</v>
      </c>
      <c r="L7" s="3">
        <v>7494.58</v>
      </c>
      <c r="M7" s="3">
        <v>7340.5519999999997</v>
      </c>
      <c r="N7" s="3">
        <v>7363.8969999999999</v>
      </c>
      <c r="O7" s="3">
        <v>7608.4470000000001</v>
      </c>
      <c r="P7" s="3">
        <v>7629.1559999999999</v>
      </c>
      <c r="Q7" s="3">
        <v>7563.2910000000002</v>
      </c>
      <c r="R7" s="3">
        <v>7542.2849999999999</v>
      </c>
      <c r="S7" s="3">
        <v>7247.23</v>
      </c>
      <c r="T7" s="3">
        <v>7540.0479999999998</v>
      </c>
      <c r="U7" s="3">
        <v>7619.808</v>
      </c>
      <c r="V7" s="3">
        <f ca="1">INDEX($AA7:$AH7,1,W7)</f>
        <v>7227.5408637137552</v>
      </c>
      <c r="W7" s="16">
        <f ca="1">IF(ISNUMBER(AD7),4,IF(ISNUMBER(AE7),AE7,IF(AG7&gt;$AG$5,3,IF(ABS(AB42)&lt;$AB$39,2,1))))</f>
        <v>4</v>
      </c>
      <c r="X7" t="str">
        <f t="shared" ref="X7:X34" ca="1" si="0">INDEX($AA$5:$AI$5,W7)</f>
        <v>Based on MS Stats</v>
      </c>
      <c r="AA7" s="13">
        <f t="shared" ref="AA7:AA34" ca="1" si="1">OFFSET($A7,0,OffsetLast)</f>
        <v>7619.808</v>
      </c>
      <c r="AB7" s="3">
        <f ca="1">$AA7*(1+AB42)</f>
        <v>8709.105026309755</v>
      </c>
      <c r="AC7" s="3">
        <f t="shared" ref="AC7:AC34" ca="1" si="2">FORECAST(AC$6,OFFSET($A7,0,OffsetLast-TrendDuration+1,1,TrendDuration),OFFSET($A$6,0,OffsetLast-TrendDuration+1,1,TrendDuration))</f>
        <v>7535.7714999999989</v>
      </c>
      <c r="AD7">
        <f ca="1">IF(ISNUMBER(AD42),$AA7*(1+AD42),"")</f>
        <v>7227.5408637137552</v>
      </c>
      <c r="AG7" s="7">
        <f t="shared" ref="AG7:AG34" ca="1" si="3">IFERROR(RSQ(OFFSET($A7,0,OffsetLast-TrendDuration+1,1,TrendDuration),OFFSET($A$6,0,OffsetLast-TrendDuration+1,1,TrendDuration)),0)</f>
        <v>1.433905244767055E-2</v>
      </c>
      <c r="AN7" s="7" t="str">
        <f>IFERROR(INDEX('MS Stats list'!P:P, MATCH(B7,'MS Stats list'!B:B,0)),"")</f>
        <v>Statistics Austria - Preliminary energy balance 2022</v>
      </c>
    </row>
    <row r="8" spans="1:40">
      <c r="A8">
        <v>3</v>
      </c>
      <c r="B8" t="s">
        <v>177</v>
      </c>
      <c r="C8" t="s">
        <v>177</v>
      </c>
      <c r="D8" s="3">
        <v>10571.234</v>
      </c>
      <c r="E8" s="3">
        <v>10661.995999999999</v>
      </c>
      <c r="F8" s="3">
        <v>10153.681</v>
      </c>
      <c r="G8" s="3">
        <v>9954.6170000000002</v>
      </c>
      <c r="H8" s="3">
        <v>9645.9639999999999</v>
      </c>
      <c r="I8" s="3">
        <v>10955.68</v>
      </c>
      <c r="J8" s="3">
        <v>10559.995999999999</v>
      </c>
      <c r="K8" s="3">
        <v>10534.388000000001</v>
      </c>
      <c r="L8" s="3">
        <v>10771.87</v>
      </c>
      <c r="M8" s="3">
        <v>10565.653</v>
      </c>
      <c r="N8" s="3">
        <v>10577.956</v>
      </c>
      <c r="O8" s="3">
        <v>10631.382</v>
      </c>
      <c r="P8" s="3">
        <v>10443.973</v>
      </c>
      <c r="Q8" s="3">
        <v>10680.29</v>
      </c>
      <c r="R8" s="3">
        <v>10310.040999999999</v>
      </c>
      <c r="S8" s="3">
        <v>10003.808999999999</v>
      </c>
      <c r="T8" s="3">
        <v>10578.786</v>
      </c>
      <c r="U8" s="3">
        <v>9580.5740000000005</v>
      </c>
      <c r="V8" s="3">
        <f ca="1">INDEX($AA8:$AH8,1,W8)</f>
        <v>9272.5843464413574</v>
      </c>
      <c r="W8" s="16">
        <f ca="1">IF(ISNUMBER(AD8),4,IF(ISNUMBER(AE8),AE8,IF(AG8&gt;$AG$5,3,IF(ABS(AB43)&lt;$AB$39,2,1))))</f>
        <v>2</v>
      </c>
      <c r="X8" t="str">
        <f ca="1">INDEX($AA$5:$AI$5,W8)</f>
        <v>GHG Proxy</v>
      </c>
      <c r="AA8" s="13">
        <f t="shared" ca="1" si="1"/>
        <v>9580.5740000000005</v>
      </c>
      <c r="AB8" s="3">
        <f t="shared" ref="AB8:AB34" ca="1" si="4">$AA8*(1+AB43)</f>
        <v>9272.5843464413574</v>
      </c>
      <c r="AC8" s="3">
        <f t="shared" ca="1" si="2"/>
        <v>9651.4939000000595</v>
      </c>
      <c r="AD8" t="str">
        <f t="shared" ref="AD8:AD34" si="5">IF(ISNUMBER(AD43),$AA8*(1+AD43),"")</f>
        <v/>
      </c>
      <c r="AG8" s="7">
        <f t="shared" ca="1" si="3"/>
        <v>0.46377971134952434</v>
      </c>
      <c r="AN8" s="7" t="str">
        <f>IFERROR(INDEX('MS Stats list'!P:P, MATCH(B8,'MS Stats list'!B:B,0)),"")</f>
        <v/>
      </c>
    </row>
    <row r="9" spans="1:40">
      <c r="A9">
        <v>4</v>
      </c>
      <c r="B9" t="s">
        <v>178</v>
      </c>
      <c r="C9" t="s">
        <v>178</v>
      </c>
      <c r="D9" s="3">
        <v>3649.8989999999999</v>
      </c>
      <c r="E9" s="3">
        <v>3680.9520000000002</v>
      </c>
      <c r="F9" s="3">
        <v>3811.018</v>
      </c>
      <c r="G9" s="3">
        <v>3453.8420000000001</v>
      </c>
      <c r="H9" s="3">
        <v>2442.0630000000001</v>
      </c>
      <c r="I9" s="3">
        <v>2549.9609999999998</v>
      </c>
      <c r="J9" s="3">
        <v>2696.44</v>
      </c>
      <c r="K9" s="3">
        <v>2566.576</v>
      </c>
      <c r="L9" s="3">
        <v>2595.527</v>
      </c>
      <c r="M9" s="3">
        <v>2617.5230000000001</v>
      </c>
      <c r="N9" s="3">
        <v>2719.6410000000001</v>
      </c>
      <c r="O9" s="3">
        <v>2655.4589999999998</v>
      </c>
      <c r="P9" s="3">
        <v>2757.5160000000001</v>
      </c>
      <c r="Q9" s="3">
        <v>2736.1439999999998</v>
      </c>
      <c r="R9" s="3">
        <v>2678.806</v>
      </c>
      <c r="S9" s="3">
        <v>2646.35</v>
      </c>
      <c r="T9" s="3">
        <v>2823.82</v>
      </c>
      <c r="U9" s="3">
        <v>2700.703</v>
      </c>
      <c r="V9" s="3">
        <f t="shared" ref="V9:V34" ca="1" si="6">INDEX($AA9:$AH9,1,W9)</f>
        <v>2700.703</v>
      </c>
      <c r="W9" s="16">
        <f t="shared" ref="W9:W34" ca="1" si="7">IF(ISNUMBER(AD9),4,IF(ISNUMBER(AE9),AE9,IF(AG9&gt;$AG$5,3,IF(ABS(AB44)&lt;$AB$39,2,1))))</f>
        <v>1</v>
      </c>
      <c r="X9" t="str">
        <f t="shared" ca="1" si="0"/>
        <v>No Change</v>
      </c>
      <c r="AA9" s="13">
        <f t="shared" ca="1" si="1"/>
        <v>2700.703</v>
      </c>
      <c r="AB9" s="3">
        <f t="shared" ca="1" si="4"/>
        <v>19.638468782334126</v>
      </c>
      <c r="AC9" s="3">
        <f t="shared" ca="1" si="2"/>
        <v>2739.404199999999</v>
      </c>
      <c r="AD9" t="str">
        <f t="shared" si="5"/>
        <v/>
      </c>
      <c r="AG9" s="7">
        <f t="shared" ca="1" si="3"/>
        <v>2.9717475130319273E-2</v>
      </c>
      <c r="AN9" s="7" t="str">
        <f>IFERROR(INDEX('MS Stats list'!P:P, MATCH(B9,'MS Stats list'!B:B,0)),"")</f>
        <v/>
      </c>
    </row>
    <row r="10" spans="1:40">
      <c r="A10">
        <v>5</v>
      </c>
      <c r="B10" t="s">
        <v>179</v>
      </c>
      <c r="C10" t="s">
        <v>179</v>
      </c>
      <c r="D10" s="3">
        <v>320.37299999999999</v>
      </c>
      <c r="E10" s="3">
        <v>286.12</v>
      </c>
      <c r="F10" s="3">
        <v>294.96699999999998</v>
      </c>
      <c r="G10" s="3">
        <v>297.13200000000001</v>
      </c>
      <c r="H10" s="3">
        <v>261.12900000000002</v>
      </c>
      <c r="I10" s="3">
        <v>236.322</v>
      </c>
      <c r="J10" s="3">
        <v>210.304</v>
      </c>
      <c r="K10" s="3">
        <v>173.464</v>
      </c>
      <c r="L10" s="3">
        <v>186.089</v>
      </c>
      <c r="M10" s="3">
        <v>225.53899999999999</v>
      </c>
      <c r="N10" s="3">
        <v>211.59200000000001</v>
      </c>
      <c r="O10" s="3">
        <v>215.369</v>
      </c>
      <c r="P10" s="3">
        <v>234.2</v>
      </c>
      <c r="Q10" s="3">
        <v>227.68799999999999</v>
      </c>
      <c r="R10" s="3">
        <v>228.648</v>
      </c>
      <c r="S10" s="3">
        <v>244.584</v>
      </c>
      <c r="T10" s="3">
        <v>246.34399999999999</v>
      </c>
      <c r="U10" s="3">
        <v>248.447</v>
      </c>
      <c r="V10" s="3">
        <f t="shared" ca="1" si="6"/>
        <v>256.90639999999985</v>
      </c>
      <c r="W10" s="16">
        <f t="shared" ca="1" si="7"/>
        <v>3</v>
      </c>
      <c r="X10" t="str">
        <f t="shared" ca="1" si="0"/>
        <v>5yr lin trend</v>
      </c>
      <c r="AA10" s="13">
        <f t="shared" ca="1" si="1"/>
        <v>248.447</v>
      </c>
      <c r="AB10" s="3">
        <f t="shared" ca="1" si="4"/>
        <v>249.30794852841359</v>
      </c>
      <c r="AC10" s="3">
        <f t="shared" ca="1" si="2"/>
        <v>256.90639999999985</v>
      </c>
      <c r="AD10" t="str">
        <f t="shared" si="5"/>
        <v/>
      </c>
      <c r="AG10" s="7">
        <f t="shared" ca="1" si="3"/>
        <v>0.85647858198562454</v>
      </c>
      <c r="AN10" s="7" t="str">
        <f>IFERROR(INDEX('MS Stats list'!P:P, MATCH(B10,'MS Stats list'!B:B,0)),"")</f>
        <v/>
      </c>
    </row>
    <row r="11" spans="1:40">
      <c r="A11">
        <v>6</v>
      </c>
      <c r="B11" t="s">
        <v>180</v>
      </c>
      <c r="C11" t="s">
        <v>180</v>
      </c>
      <c r="D11" s="3">
        <v>8685.3690000000006</v>
      </c>
      <c r="E11" s="3">
        <v>8627.3209999999999</v>
      </c>
      <c r="F11" s="3">
        <v>8303.8979999999992</v>
      </c>
      <c r="G11" s="3">
        <v>7946.5230000000001</v>
      </c>
      <c r="H11" s="3">
        <v>7355.3630000000003</v>
      </c>
      <c r="I11" s="3">
        <v>6888.6980000000003</v>
      </c>
      <c r="J11" s="3">
        <v>6771.9880000000003</v>
      </c>
      <c r="K11" s="3">
        <v>6726.299</v>
      </c>
      <c r="L11" s="3">
        <v>6426.7439999999997</v>
      </c>
      <c r="M11" s="3">
        <v>6331.7550000000001</v>
      </c>
      <c r="N11" s="3">
        <v>6477.94</v>
      </c>
      <c r="O11" s="3">
        <v>6412.09</v>
      </c>
      <c r="P11" s="3">
        <v>6734.1210000000001</v>
      </c>
      <c r="Q11" s="3">
        <v>6699.1059999999998</v>
      </c>
      <c r="R11" s="3">
        <v>6618.6189999999997</v>
      </c>
      <c r="S11" s="3">
        <v>6567.0690000000004</v>
      </c>
      <c r="T11" s="3">
        <v>7013.2709999999997</v>
      </c>
      <c r="U11" s="3">
        <v>6613.95</v>
      </c>
      <c r="V11" s="3">
        <f t="shared" ca="1" si="6"/>
        <v>6821.0112999583926</v>
      </c>
      <c r="W11" s="16">
        <f t="shared" ca="1" si="7"/>
        <v>2</v>
      </c>
      <c r="X11" t="str">
        <f t="shared" ca="1" si="0"/>
        <v>GHG Proxy</v>
      </c>
      <c r="AA11" s="13">
        <f t="shared" ca="1" si="1"/>
        <v>6613.95</v>
      </c>
      <c r="AB11" s="3">
        <f t="shared" ca="1" si="4"/>
        <v>6821.0112999583926</v>
      </c>
      <c r="AC11" s="3">
        <f t="shared" ca="1" si="2"/>
        <v>6769.7050000000017</v>
      </c>
      <c r="AD11" t="str">
        <f t="shared" si="5"/>
        <v/>
      </c>
      <c r="AG11" s="7">
        <f t="shared" ca="1" si="3"/>
        <v>3.8771214566011312E-2</v>
      </c>
      <c r="AN11" s="7" t="str">
        <f>IFERROR(INDEX('MS Stats list'!P:P, MATCH(B11,'MS Stats list'!B:B,0)),"")</f>
        <v/>
      </c>
    </row>
    <row r="12" spans="1:40">
      <c r="A12">
        <v>7</v>
      </c>
      <c r="B12" t="s">
        <v>91</v>
      </c>
      <c r="C12" t="s">
        <v>91</v>
      </c>
      <c r="D12" s="3">
        <v>54516.457000000002</v>
      </c>
      <c r="E12" s="3">
        <v>55561.963000000003</v>
      </c>
      <c r="F12" s="3">
        <v>57769.582000000002</v>
      </c>
      <c r="G12" s="3">
        <v>57047.381000000001</v>
      </c>
      <c r="H12" s="3">
        <v>50487.292000000001</v>
      </c>
      <c r="I12" s="3">
        <v>56668.913999999997</v>
      </c>
      <c r="J12" s="3">
        <v>57409.743999999999</v>
      </c>
      <c r="K12" s="3">
        <v>56712.955000000002</v>
      </c>
      <c r="L12" s="3">
        <v>56347.485999999997</v>
      </c>
      <c r="M12" s="3">
        <v>55725.644</v>
      </c>
      <c r="N12" s="3">
        <v>56067.59</v>
      </c>
      <c r="O12" s="3">
        <v>56677.082000000002</v>
      </c>
      <c r="P12" s="3">
        <v>57146.089</v>
      </c>
      <c r="Q12" s="3">
        <v>57090.091999999997</v>
      </c>
      <c r="R12" s="3">
        <v>55649.345999999998</v>
      </c>
      <c r="S12" s="3">
        <v>54762.64</v>
      </c>
      <c r="T12" s="3">
        <v>56214.334000000003</v>
      </c>
      <c r="U12" s="3">
        <v>53449.375</v>
      </c>
      <c r="V12" s="3">
        <f t="shared" ca="1" si="6"/>
        <v>53449.375</v>
      </c>
      <c r="W12" s="16">
        <f t="shared" ca="1" si="7"/>
        <v>1</v>
      </c>
      <c r="X12" t="str">
        <f t="shared" ca="1" si="0"/>
        <v>No Change</v>
      </c>
      <c r="AA12" s="13">
        <f t="shared" ca="1" si="1"/>
        <v>53449.375</v>
      </c>
      <c r="AB12" s="3">
        <f t="shared" ca="1" si="4"/>
        <v>47991.437475811988</v>
      </c>
      <c r="AC12" s="3">
        <f t="shared" ca="1" si="2"/>
        <v>53418.22359999991</v>
      </c>
      <c r="AD12" t="str">
        <f t="shared" si="5"/>
        <v/>
      </c>
      <c r="AG12" s="7">
        <f t="shared" ca="1" si="3"/>
        <v>0.57927791388153282</v>
      </c>
      <c r="AN12" s="7" t="str">
        <f>IFERROR(INDEX('MS Stats list'!P:P, MATCH(B12,'MS Stats list'!B:B,0)),"")</f>
        <v>BMWi - Gesamtausgabe der Energiedaten - Datensammlung des BMWi, AGEB - Primärenergieverbrauch Jahr 2021</v>
      </c>
    </row>
    <row r="13" spans="1:40">
      <c r="A13">
        <v>8</v>
      </c>
      <c r="B13" t="s">
        <v>115</v>
      </c>
      <c r="C13" t="s">
        <v>115</v>
      </c>
      <c r="D13" s="3">
        <v>2873.232</v>
      </c>
      <c r="E13" s="3">
        <v>2914.1709999999998</v>
      </c>
      <c r="F13" s="3">
        <v>2832.3589999999999</v>
      </c>
      <c r="G13" s="3">
        <v>2716.491</v>
      </c>
      <c r="H13" s="3">
        <v>2352.5039999999999</v>
      </c>
      <c r="I13" s="3">
        <v>2446.4949999999999</v>
      </c>
      <c r="J13" s="3">
        <v>2442.2840000000001</v>
      </c>
      <c r="K13" s="3">
        <v>2303.364</v>
      </c>
      <c r="L13" s="3">
        <v>2179.3850000000002</v>
      </c>
      <c r="M13" s="3">
        <v>2120.5990000000002</v>
      </c>
      <c r="N13" s="3">
        <v>2109.3850000000002</v>
      </c>
      <c r="O13" s="3">
        <v>2165.623</v>
      </c>
      <c r="P13" s="3">
        <v>2284.7649999999999</v>
      </c>
      <c r="Q13" s="3">
        <v>2314.636</v>
      </c>
      <c r="R13" s="3">
        <v>2257.7159999999999</v>
      </c>
      <c r="S13" s="3">
        <v>2304.3739999999998</v>
      </c>
      <c r="T13" s="3">
        <v>2474.7359999999999</v>
      </c>
      <c r="U13" s="3">
        <v>2368.076</v>
      </c>
      <c r="V13" s="3">
        <f t="shared" ca="1" si="6"/>
        <v>2364.2443354938664</v>
      </c>
      <c r="W13" s="16">
        <f t="shared" ca="1" si="7"/>
        <v>2</v>
      </c>
      <c r="X13" t="str">
        <f t="shared" ca="1" si="0"/>
        <v>GHG Proxy</v>
      </c>
      <c r="AA13" s="13">
        <f t="shared" ca="1" si="1"/>
        <v>2368.076</v>
      </c>
      <c r="AB13" s="3">
        <f t="shared" ca="1" si="4"/>
        <v>2364.2443354938664</v>
      </c>
      <c r="AC13" s="3">
        <f t="shared" ca="1" si="2"/>
        <v>2441.0775999999969</v>
      </c>
      <c r="AD13" t="str">
        <f t="shared" si="5"/>
        <v/>
      </c>
      <c r="AG13" s="7">
        <f t="shared" ca="1" si="3"/>
        <v>0.38081806485885317</v>
      </c>
      <c r="AN13" s="7" t="str">
        <f>IFERROR(INDEX('MS Stats list'!P:P, MATCH(B13,'MS Stats list'!B:B,0)),"")</f>
        <v>Danish Energy Agency - Preliminary Energy Statsticis 2022</v>
      </c>
    </row>
    <row r="14" spans="1:40">
      <c r="A14">
        <v>9</v>
      </c>
      <c r="B14" t="s">
        <v>120</v>
      </c>
      <c r="C14" t="s">
        <v>120</v>
      </c>
      <c r="D14" s="3">
        <v>710.31399999999996</v>
      </c>
      <c r="E14" s="3">
        <v>684.66</v>
      </c>
      <c r="F14" s="3">
        <v>755.28599999999994</v>
      </c>
      <c r="G14" s="3">
        <v>732.029</v>
      </c>
      <c r="H14" s="3">
        <v>529.85400000000004</v>
      </c>
      <c r="I14" s="3">
        <v>577.67100000000005</v>
      </c>
      <c r="J14" s="3">
        <v>586.04499999999996</v>
      </c>
      <c r="K14" s="3">
        <v>564.24699999999996</v>
      </c>
      <c r="L14" s="3">
        <v>639.59699999999998</v>
      </c>
      <c r="M14" s="3">
        <v>555.81899999999996</v>
      </c>
      <c r="N14" s="3">
        <v>535.03300000000002</v>
      </c>
      <c r="O14" s="3">
        <v>457.75700000000001</v>
      </c>
      <c r="P14" s="3">
        <v>462.92599999999999</v>
      </c>
      <c r="Q14" s="3">
        <v>485.92099999999999</v>
      </c>
      <c r="R14" s="3">
        <v>459.30700000000002</v>
      </c>
      <c r="S14" s="3">
        <v>408.03699999999998</v>
      </c>
      <c r="T14" s="3">
        <v>383.584</v>
      </c>
      <c r="U14" s="3">
        <v>358.4</v>
      </c>
      <c r="V14" s="3">
        <f t="shared" ca="1" si="6"/>
        <v>319.82029999999213</v>
      </c>
      <c r="W14" s="16">
        <f t="shared" ca="1" si="7"/>
        <v>3</v>
      </c>
      <c r="X14" t="str">
        <f t="shared" ca="1" si="0"/>
        <v>5yr lin trend</v>
      </c>
      <c r="AA14" s="13">
        <f t="shared" ca="1" si="1"/>
        <v>358.4</v>
      </c>
      <c r="AB14" s="3">
        <f t="shared" ca="1" si="4"/>
        <v>438.38608617583992</v>
      </c>
      <c r="AC14" s="3">
        <f t="shared" ca="1" si="2"/>
        <v>319.82029999999213</v>
      </c>
      <c r="AD14" t="str">
        <f t="shared" si="5"/>
        <v/>
      </c>
      <c r="AG14" s="7">
        <f t="shared" ca="1" si="3"/>
        <v>0.9812236930303101</v>
      </c>
      <c r="AN14" s="7">
        <f>IFERROR(INDEX('MS Stats list'!P:P, MATCH(B14,'MS Stats list'!B:B,0)),"")</f>
        <v>0</v>
      </c>
    </row>
    <row r="15" spans="1:40">
      <c r="A15">
        <v>11</v>
      </c>
      <c r="B15" t="s">
        <v>85</v>
      </c>
      <c r="C15" t="s">
        <v>85</v>
      </c>
      <c r="D15" s="3">
        <v>29937.214</v>
      </c>
      <c r="E15" s="3">
        <v>24473.267</v>
      </c>
      <c r="F15" s="3">
        <v>26483.143</v>
      </c>
      <c r="G15" s="3">
        <v>24964.963</v>
      </c>
      <c r="H15" s="3">
        <v>20698.891</v>
      </c>
      <c r="I15" s="3">
        <v>20781.483</v>
      </c>
      <c r="J15" s="3">
        <v>20627.827000000001</v>
      </c>
      <c r="K15" s="3">
        <v>20107.727999999999</v>
      </c>
      <c r="L15" s="3">
        <v>19601.616999999998</v>
      </c>
      <c r="M15" s="3">
        <v>19311.864000000001</v>
      </c>
      <c r="N15" s="3">
        <v>18691.280999999999</v>
      </c>
      <c r="O15" s="3">
        <v>19897.234</v>
      </c>
      <c r="P15" s="3">
        <v>20394.456999999999</v>
      </c>
      <c r="Q15" s="3">
        <v>20666.438999999998</v>
      </c>
      <c r="R15" s="3">
        <v>20642.725999999999</v>
      </c>
      <c r="S15" s="3">
        <v>18838.477999999999</v>
      </c>
      <c r="T15" s="3">
        <v>20164.098000000002</v>
      </c>
      <c r="U15" s="3">
        <v>17946.562999999998</v>
      </c>
      <c r="V15" s="3">
        <f t="shared" ca="1" si="6"/>
        <v>16867.928204262997</v>
      </c>
      <c r="W15" s="16">
        <f t="shared" ca="1" si="7"/>
        <v>2</v>
      </c>
      <c r="X15" t="str">
        <f t="shared" ca="1" si="0"/>
        <v>GHG Proxy</v>
      </c>
      <c r="AA15" s="13">
        <f t="shared" ca="1" si="1"/>
        <v>17946.562999999998</v>
      </c>
      <c r="AB15" s="3">
        <f t="shared" ca="1" si="4"/>
        <v>16867.928204262997</v>
      </c>
      <c r="AC15" s="3">
        <f t="shared" ca="1" si="2"/>
        <v>17876.146799999988</v>
      </c>
      <c r="AD15" t="str">
        <f t="shared" si="5"/>
        <v/>
      </c>
      <c r="AG15" s="7">
        <f t="shared" ca="1" si="3"/>
        <v>0.59945255565771749</v>
      </c>
      <c r="AN15" s="7" t="str">
        <f>IFERROR(INDEX('MS Stats list'!P:P, MATCH(B15,'MS Stats list'!B:B,0)),"")</f>
        <v>Ministry of Ecological Transition</v>
      </c>
    </row>
    <row r="16" spans="1:40">
      <c r="A16">
        <v>12</v>
      </c>
      <c r="B16" t="s">
        <v>2</v>
      </c>
      <c r="C16" t="s">
        <v>2</v>
      </c>
      <c r="D16" s="3">
        <v>11123.59</v>
      </c>
      <c r="E16" s="3">
        <v>12152.857</v>
      </c>
      <c r="F16" s="3">
        <v>11888.177</v>
      </c>
      <c r="G16" s="3">
        <v>11245.535</v>
      </c>
      <c r="H16" s="3">
        <v>9374.2090000000007</v>
      </c>
      <c r="I16" s="3">
        <v>10715.222</v>
      </c>
      <c r="J16" s="3">
        <v>10517.329</v>
      </c>
      <c r="K16" s="3">
        <v>10233.196</v>
      </c>
      <c r="L16" s="3">
        <v>10270.023999999999</v>
      </c>
      <c r="M16" s="3">
        <v>10218.642</v>
      </c>
      <c r="N16" s="3">
        <v>10156.882</v>
      </c>
      <c r="O16" s="3">
        <v>10500.773999999999</v>
      </c>
      <c r="P16" s="3">
        <v>10699.834999999999</v>
      </c>
      <c r="Q16" s="3">
        <v>11038.16</v>
      </c>
      <c r="R16" s="3">
        <v>10980.155000000001</v>
      </c>
      <c r="S16" s="3">
        <v>10257.530000000001</v>
      </c>
      <c r="T16" s="3">
        <v>10760.748</v>
      </c>
      <c r="U16" s="3">
        <v>9751.5229999999992</v>
      </c>
      <c r="V16" s="3">
        <f t="shared" ca="1" si="6"/>
        <v>9552.9962587410118</v>
      </c>
      <c r="W16" s="16">
        <f t="shared" ca="1" si="7"/>
        <v>4</v>
      </c>
      <c r="X16" t="str">
        <f t="shared" ca="1" si="0"/>
        <v>Based on MS Stats</v>
      </c>
      <c r="AA16" s="13">
        <f t="shared" ca="1" si="1"/>
        <v>9751.5229999999992</v>
      </c>
      <c r="AB16" s="3">
        <f t="shared" ca="1" si="4"/>
        <v>9860.4512095582286</v>
      </c>
      <c r="AC16" s="3">
        <f t="shared" ca="1" si="2"/>
        <v>9719.8189000000712</v>
      </c>
      <c r="AD16">
        <f t="shared" ca="1" si="5"/>
        <v>9552.9962587410118</v>
      </c>
      <c r="AG16" s="7">
        <f t="shared" ca="1" si="3"/>
        <v>0.65507448833661042</v>
      </c>
      <c r="AN16" s="7" t="str">
        <f>IFERROR(INDEX('MS Stats list'!P:P, MATCH(B16,'MS Stats list'!B:B,0)),"")</f>
        <v>Statistics Finland - Energy supply and consumption</v>
      </c>
    </row>
    <row r="17" spans="1:40">
      <c r="A17">
        <v>13</v>
      </c>
      <c r="B17" t="s">
        <v>82</v>
      </c>
      <c r="C17" t="s">
        <v>82</v>
      </c>
      <c r="D17" s="3">
        <v>32516.391</v>
      </c>
      <c r="E17" s="3">
        <v>31298.83</v>
      </c>
      <c r="F17" s="3">
        <v>32212.924999999999</v>
      </c>
      <c r="G17" s="3">
        <v>31702.967000000001</v>
      </c>
      <c r="H17" s="3">
        <v>26277.824000000001</v>
      </c>
      <c r="I17" s="3">
        <v>27739.167000000001</v>
      </c>
      <c r="J17" s="3">
        <v>29453.648000000001</v>
      </c>
      <c r="K17" s="3">
        <v>29303.530999999999</v>
      </c>
      <c r="L17" s="3">
        <v>29273.927</v>
      </c>
      <c r="M17" s="3">
        <v>27952.957999999999</v>
      </c>
      <c r="N17" s="3">
        <v>27584.304</v>
      </c>
      <c r="O17" s="3">
        <v>28228.524000000001</v>
      </c>
      <c r="P17" s="3">
        <v>27216.28</v>
      </c>
      <c r="Q17" s="3">
        <v>27264.789000000001</v>
      </c>
      <c r="R17" s="3">
        <v>26954.699000000001</v>
      </c>
      <c r="S17" s="3">
        <v>24767.383999999998</v>
      </c>
      <c r="T17" s="3">
        <v>26707.221000000001</v>
      </c>
      <c r="U17" s="3">
        <v>25302.136999999999</v>
      </c>
      <c r="V17" s="3">
        <f t="shared" ca="1" si="6"/>
        <v>24001.635837505102</v>
      </c>
      <c r="W17" s="16">
        <f t="shared" ca="1" si="7"/>
        <v>4</v>
      </c>
      <c r="X17" t="str">
        <f t="shared" ca="1" si="0"/>
        <v>Based on MS Stats</v>
      </c>
      <c r="AA17" s="13">
        <f t="shared" ca="1" si="1"/>
        <v>25302.136999999999</v>
      </c>
      <c r="AB17" s="3">
        <f t="shared" ca="1" si="4"/>
        <v>27351.226652084311</v>
      </c>
      <c r="AC17" s="3">
        <f t="shared" ca="1" si="2"/>
        <v>24947.411399999983</v>
      </c>
      <c r="AD17">
        <f t="shared" ca="1" si="5"/>
        <v>24001.635837505102</v>
      </c>
      <c r="AG17" s="7">
        <f t="shared" ca="1" si="3"/>
        <v>0.36130982459974542</v>
      </c>
      <c r="AN17" s="7" t="str">
        <f>IFERROR(INDEX('MS Stats list'!P:P, MATCH(B17,'MS Stats list'!B:B,0)),"")</f>
        <v>Ministère de la Transition écologique et solidaire - Données et études statistiques</v>
      </c>
    </row>
    <row r="18" spans="1:40">
      <c r="A18">
        <v>10</v>
      </c>
      <c r="B18" t="s">
        <v>181</v>
      </c>
      <c r="C18" t="s">
        <v>182</v>
      </c>
      <c r="D18" s="3">
        <v>4168.76</v>
      </c>
      <c r="E18" s="3">
        <v>4241.8980000000001</v>
      </c>
      <c r="F18" s="3">
        <v>4617.99</v>
      </c>
      <c r="G18" s="3">
        <v>4231.4799999999996</v>
      </c>
      <c r="H18" s="3">
        <v>3462.364</v>
      </c>
      <c r="I18" s="3">
        <v>3472.8110000000001</v>
      </c>
      <c r="J18" s="3">
        <v>3322.8229999999999</v>
      </c>
      <c r="K18" s="3">
        <v>2995.491</v>
      </c>
      <c r="L18" s="3">
        <v>2835.5309999999999</v>
      </c>
      <c r="M18" s="3">
        <v>3088.3</v>
      </c>
      <c r="N18" s="3">
        <v>3128.4459999999999</v>
      </c>
      <c r="O18" s="3">
        <v>3073.1219999999998</v>
      </c>
      <c r="P18" s="3">
        <v>2762.817</v>
      </c>
      <c r="Q18" s="3">
        <v>2738.8539999999998</v>
      </c>
      <c r="R18" s="3">
        <v>2587.6060000000002</v>
      </c>
      <c r="S18" s="3">
        <v>2523.498</v>
      </c>
      <c r="T18" s="3">
        <v>2565.4009999999998</v>
      </c>
      <c r="U18" s="3">
        <v>2565.529</v>
      </c>
      <c r="V18" s="3">
        <f t="shared" ca="1" si="6"/>
        <v>2552.6787632919318</v>
      </c>
      <c r="W18" s="16">
        <f t="shared" ca="1" si="7"/>
        <v>2</v>
      </c>
      <c r="X18" t="str">
        <f t="shared" ca="1" si="0"/>
        <v>GHG Proxy</v>
      </c>
      <c r="AA18" s="13">
        <f t="shared" ca="1" si="1"/>
        <v>2565.529</v>
      </c>
      <c r="AB18" s="3">
        <f t="shared" ca="1" si="4"/>
        <v>2552.6787632919318</v>
      </c>
      <c r="AC18" s="3">
        <f t="shared" ca="1" si="2"/>
        <v>2485.5210999999981</v>
      </c>
      <c r="AD18" t="str">
        <f t="shared" si="5"/>
        <v/>
      </c>
      <c r="AG18" s="7">
        <f t="shared" ca="1" si="3"/>
        <v>0.49296918608853674</v>
      </c>
      <c r="AN18" s="7" t="str">
        <f>IFERROR(INDEX('MS Stats list'!P:P, MATCH(B18,'MS Stats list'!B:B,0)),"")</f>
        <v/>
      </c>
    </row>
    <row r="19" spans="1:40">
      <c r="A19">
        <v>14</v>
      </c>
      <c r="B19" t="s">
        <v>183</v>
      </c>
      <c r="C19" t="s">
        <v>183</v>
      </c>
      <c r="D19" s="3">
        <v>1535.9970000000001</v>
      </c>
      <c r="E19" s="3">
        <v>1600.307</v>
      </c>
      <c r="F19" s="3">
        <v>1623.3320000000001</v>
      </c>
      <c r="G19" s="3">
        <v>1628.4749999999999</v>
      </c>
      <c r="H19" s="3">
        <v>1371.2850000000001</v>
      </c>
      <c r="I19" s="3">
        <v>1329.126</v>
      </c>
      <c r="J19" s="3">
        <v>1246.1110000000001</v>
      </c>
      <c r="K19" s="3">
        <v>1099.202</v>
      </c>
      <c r="L19" s="3">
        <v>1075.1410000000001</v>
      </c>
      <c r="M19" s="3">
        <v>1066.433</v>
      </c>
      <c r="N19" s="3">
        <v>1056.1410000000001</v>
      </c>
      <c r="O19" s="3">
        <v>1057.4269999999999</v>
      </c>
      <c r="P19" s="3">
        <v>1148.1179999999999</v>
      </c>
      <c r="Q19" s="3">
        <v>1161.8530000000001</v>
      </c>
      <c r="R19" s="3">
        <v>1172.434</v>
      </c>
      <c r="S19" s="3">
        <v>1171.2719999999999</v>
      </c>
      <c r="T19" s="3">
        <v>1191.3589999999999</v>
      </c>
      <c r="U19" s="3">
        <v>1128.479</v>
      </c>
      <c r="V19" s="3">
        <f t="shared" ca="1" si="6"/>
        <v>1095.3662825808619</v>
      </c>
      <c r="W19" s="16">
        <f t="shared" ca="1" si="7"/>
        <v>2</v>
      </c>
      <c r="X19" t="str">
        <f t="shared" ca="1" si="0"/>
        <v>GHG Proxy</v>
      </c>
      <c r="AA19" s="13">
        <f t="shared" ca="1" si="1"/>
        <v>1128.479</v>
      </c>
      <c r="AB19" s="3">
        <f t="shared" ca="1" si="4"/>
        <v>1095.3662825808619</v>
      </c>
      <c r="AC19" s="3">
        <f t="shared" ca="1" si="2"/>
        <v>1150.7325000000019</v>
      </c>
      <c r="AD19" t="str">
        <f t="shared" si="5"/>
        <v/>
      </c>
      <c r="AG19" s="7">
        <f t="shared" ca="1" si="3"/>
        <v>0.10721896987678212</v>
      </c>
      <c r="AN19" s="7" t="str">
        <f>IFERROR(INDEX('MS Stats list'!P:P, MATCH(B19,'MS Stats list'!B:B,0)),"")</f>
        <v/>
      </c>
    </row>
    <row r="20" spans="1:40">
      <c r="A20">
        <v>15</v>
      </c>
      <c r="B20" t="s">
        <v>88</v>
      </c>
      <c r="C20" t="s">
        <v>88</v>
      </c>
      <c r="D20" s="3">
        <v>3097.9520000000002</v>
      </c>
      <c r="E20" s="3">
        <v>3117.723</v>
      </c>
      <c r="F20" s="3">
        <v>3073.7249999999999</v>
      </c>
      <c r="G20" s="3">
        <v>3081.38</v>
      </c>
      <c r="H20" s="3">
        <v>2424.5700000000002</v>
      </c>
      <c r="I20" s="3">
        <v>2604.7910000000002</v>
      </c>
      <c r="J20" s="3">
        <v>2998.1489999999999</v>
      </c>
      <c r="K20" s="3">
        <v>3182.3919999999998</v>
      </c>
      <c r="L20" s="3">
        <v>3725.701</v>
      </c>
      <c r="M20" s="3">
        <v>3705.0250000000001</v>
      </c>
      <c r="N20" s="3">
        <v>3867.221</v>
      </c>
      <c r="O20" s="3">
        <v>3988.299</v>
      </c>
      <c r="P20" s="3">
        <v>4282.7740000000003</v>
      </c>
      <c r="Q20" s="3">
        <v>4453.8779999999997</v>
      </c>
      <c r="R20" s="3">
        <v>4459.6170000000002</v>
      </c>
      <c r="S20" s="3">
        <v>4421.598</v>
      </c>
      <c r="T20" s="3">
        <v>4729.2860000000001</v>
      </c>
      <c r="U20" s="3">
        <v>4308.4350000000004</v>
      </c>
      <c r="V20" s="3">
        <f t="shared" ca="1" si="6"/>
        <v>3942.8905631787648</v>
      </c>
      <c r="W20" s="16">
        <f t="shared" ca="1" si="7"/>
        <v>2</v>
      </c>
      <c r="X20" t="str">
        <f t="shared" ca="1" si="0"/>
        <v>GHG Proxy</v>
      </c>
      <c r="AA20" s="13">
        <f t="shared" ca="1" si="1"/>
        <v>4308.4350000000004</v>
      </c>
      <c r="AB20" s="3">
        <f t="shared" ca="1" si="4"/>
        <v>3942.8905631787648</v>
      </c>
      <c r="AC20" s="3">
        <f t="shared" ca="1" si="2"/>
        <v>4468.1976999999997</v>
      </c>
      <c r="AD20" t="str">
        <f t="shared" si="5"/>
        <v/>
      </c>
      <c r="AG20" s="7">
        <f t="shared" ca="1" si="3"/>
        <v>4.6921662126171303E-4</v>
      </c>
      <c r="AN20" s="7" t="str">
        <f>IFERROR(INDEX('MS Stats list'!P:P, MATCH(B20,'MS Stats list'!B:B,0)),"")</f>
        <v>MEKH - Official Statistics - 7.2 National simplified Energy Balance - IEA format</v>
      </c>
    </row>
    <row r="21" spans="1:40">
      <c r="A21">
        <v>16</v>
      </c>
      <c r="B21" t="s">
        <v>133</v>
      </c>
      <c r="C21" t="s">
        <v>133</v>
      </c>
      <c r="D21" s="3">
        <v>2471.5929999999998</v>
      </c>
      <c r="E21" s="3">
        <v>2488.308</v>
      </c>
      <c r="F21" s="3">
        <v>2310.7959999999998</v>
      </c>
      <c r="G21" s="3">
        <v>2230.9490000000001</v>
      </c>
      <c r="H21" s="3">
        <v>1841.221</v>
      </c>
      <c r="I21" s="3">
        <v>1900.3589999999999</v>
      </c>
      <c r="J21" s="3">
        <v>1729.117</v>
      </c>
      <c r="K21" s="3">
        <v>1763.97</v>
      </c>
      <c r="L21" s="3">
        <v>1842.499</v>
      </c>
      <c r="M21" s="3">
        <v>1993.9929999999999</v>
      </c>
      <c r="N21" s="3">
        <v>1994.355</v>
      </c>
      <c r="O21" s="3">
        <v>2059.8290000000002</v>
      </c>
      <c r="P21" s="3">
        <v>2125.1619999999998</v>
      </c>
      <c r="Q21" s="3">
        <v>2179.5349999999999</v>
      </c>
      <c r="R21" s="3">
        <v>2167.5859999999998</v>
      </c>
      <c r="S21" s="3">
        <v>2172.9789999999998</v>
      </c>
      <c r="T21" s="3">
        <v>2245.9140000000002</v>
      </c>
      <c r="U21" s="3">
        <v>2138.4839999999999</v>
      </c>
      <c r="V21" s="3">
        <f t="shared" ca="1" si="6"/>
        <v>1992.4856314172121</v>
      </c>
      <c r="W21" s="16">
        <f t="shared" ca="1" si="7"/>
        <v>2</v>
      </c>
      <c r="X21" t="str">
        <f t="shared" ca="1" si="0"/>
        <v>GHG Proxy</v>
      </c>
      <c r="AA21" s="13">
        <f t="shared" ca="1" si="1"/>
        <v>2138.4839999999999</v>
      </c>
      <c r="AB21" s="3">
        <f t="shared" ca="1" si="4"/>
        <v>1992.4856314172121</v>
      </c>
      <c r="AC21" s="3">
        <f t="shared" ca="1" si="2"/>
        <v>2179.7673999999997</v>
      </c>
      <c r="AD21" t="str">
        <f t="shared" si="5"/>
        <v/>
      </c>
      <c r="AG21" s="7">
        <f t="shared" ca="1" si="3"/>
        <v>2.2724183806410977E-4</v>
      </c>
      <c r="AN21" s="7" t="str">
        <f>IFERROR(INDEX('MS Stats list'!P:P, MATCH(B21,'MS Stats list'!B:B,0)),"")</f>
        <v>SEAI - 2022 Provisional Energy Balance</v>
      </c>
    </row>
    <row r="22" spans="1:40">
      <c r="A22">
        <v>17</v>
      </c>
      <c r="B22" t="s">
        <v>157</v>
      </c>
      <c r="C22" t="s">
        <v>157</v>
      </c>
      <c r="D22" s="3">
        <v>37211.521000000001</v>
      </c>
      <c r="E22" s="3">
        <v>36144.576999999997</v>
      </c>
      <c r="F22" s="3">
        <v>35907.652000000002</v>
      </c>
      <c r="G22" s="3">
        <v>34528.294999999998</v>
      </c>
      <c r="H22" s="3">
        <v>28552.886999999999</v>
      </c>
      <c r="I22" s="3">
        <v>29014.718000000001</v>
      </c>
      <c r="J22" s="3">
        <v>27744.858</v>
      </c>
      <c r="K22" s="3">
        <v>26948.704000000002</v>
      </c>
      <c r="L22" s="3">
        <v>25353.587</v>
      </c>
      <c r="M22" s="3">
        <v>24739.084999999999</v>
      </c>
      <c r="N22" s="3">
        <v>24853.371999999999</v>
      </c>
      <c r="O22" s="3">
        <v>25088.949000000001</v>
      </c>
      <c r="P22" s="3">
        <v>24925.749</v>
      </c>
      <c r="Q22" s="3">
        <v>24663.853999999999</v>
      </c>
      <c r="R22" s="3">
        <v>24928.486000000001</v>
      </c>
      <c r="S22" s="3">
        <v>23861.102999999999</v>
      </c>
      <c r="T22" s="3">
        <v>28632.287</v>
      </c>
      <c r="U22" s="3">
        <v>24753.782999999999</v>
      </c>
      <c r="V22" s="3">
        <f t="shared" ca="1" si="6"/>
        <v>24531.127103506784</v>
      </c>
      <c r="W22" s="16">
        <f t="shared" ca="1" si="7"/>
        <v>2</v>
      </c>
      <c r="X22" t="str">
        <f t="shared" ca="1" si="0"/>
        <v>GHG Proxy</v>
      </c>
      <c r="AA22" s="13">
        <f t="shared" ca="1" si="1"/>
        <v>24753.782999999999</v>
      </c>
      <c r="AB22" s="3">
        <f t="shared" ca="1" si="4"/>
        <v>24531.127103506784</v>
      </c>
      <c r="AC22" s="3">
        <f t="shared" ca="1" si="2"/>
        <v>26533.000300000072</v>
      </c>
      <c r="AD22" t="str">
        <f t="shared" si="5"/>
        <v/>
      </c>
      <c r="AG22" s="7">
        <f t="shared" ca="1" si="3"/>
        <v>0.10779158385245535</v>
      </c>
      <c r="AN22" s="7" t="str">
        <f>IFERROR(INDEX('MS Stats list'!P:P, MATCH(B22,'MS Stats list'!B:B,0)),"")</f>
        <v>Ministry of Ecological Transition</v>
      </c>
    </row>
    <row r="23" spans="1:40">
      <c r="A23">
        <v>18</v>
      </c>
      <c r="B23" t="s">
        <v>137</v>
      </c>
      <c r="C23" t="s">
        <v>137</v>
      </c>
      <c r="D23" s="3">
        <v>1057.5909999999999</v>
      </c>
      <c r="E23" s="3">
        <v>1088.0409999999999</v>
      </c>
      <c r="F23" s="3">
        <v>1116.5360000000001</v>
      </c>
      <c r="G23" s="3">
        <v>1010.085</v>
      </c>
      <c r="H23" s="3">
        <v>872.14099999999996</v>
      </c>
      <c r="I23" s="3">
        <v>949.62900000000002</v>
      </c>
      <c r="J23" s="3">
        <v>1013.346</v>
      </c>
      <c r="K23" s="3">
        <v>1071.759</v>
      </c>
      <c r="L23" s="3">
        <v>1037.327</v>
      </c>
      <c r="M23" s="3">
        <v>1033.722</v>
      </c>
      <c r="N23" s="3">
        <v>982.755</v>
      </c>
      <c r="O23" s="3">
        <v>988.96900000000005</v>
      </c>
      <c r="P23" s="3">
        <v>1070.9269999999999</v>
      </c>
      <c r="Q23" s="3">
        <v>1106.588</v>
      </c>
      <c r="R23" s="3">
        <v>1113.7629999999999</v>
      </c>
      <c r="S23" s="3">
        <v>1024.3399999999999</v>
      </c>
      <c r="T23" s="3">
        <v>1109.164</v>
      </c>
      <c r="U23" s="3">
        <v>953.87199999999996</v>
      </c>
      <c r="V23" s="3">
        <f t="shared" ca="1" si="6"/>
        <v>905.07502899967415</v>
      </c>
      <c r="W23" s="16">
        <f t="shared" ca="1" si="7"/>
        <v>4</v>
      </c>
      <c r="X23" t="str">
        <f t="shared" ca="1" si="0"/>
        <v>Based on MS Stats</v>
      </c>
      <c r="AA23" s="13">
        <f t="shared" ca="1" si="1"/>
        <v>953.87199999999996</v>
      </c>
      <c r="AB23" s="3">
        <f t="shared" ca="1" si="4"/>
        <v>940.90833342785129</v>
      </c>
      <c r="AC23" s="3">
        <f t="shared" ca="1" si="2"/>
        <v>968.53610000000481</v>
      </c>
      <c r="AD23">
        <f t="shared" ca="1" si="5"/>
        <v>905.07502899967415</v>
      </c>
      <c r="AG23" s="7">
        <f t="shared" ca="1" si="3"/>
        <v>0.48057574071555531</v>
      </c>
      <c r="AN23" s="7" t="str">
        <f>IFERROR(INDEX('MS Stats list'!P:P, MATCH(B23,'MS Stats list'!B:B,0)),"")</f>
        <v>Statistics Lithuania - Energy balances</v>
      </c>
    </row>
    <row r="24" spans="1:40">
      <c r="A24">
        <v>19</v>
      </c>
      <c r="B24" t="s">
        <v>184</v>
      </c>
      <c r="C24" t="s">
        <v>184</v>
      </c>
      <c r="D24" s="3">
        <v>780.78700000000003</v>
      </c>
      <c r="E24" s="3">
        <v>849.33600000000001</v>
      </c>
      <c r="F24" s="3">
        <v>807.23199999999997</v>
      </c>
      <c r="G24" s="3">
        <v>786.68600000000004</v>
      </c>
      <c r="H24" s="3">
        <v>675.08399999999995</v>
      </c>
      <c r="I24" s="3">
        <v>753.21199999999999</v>
      </c>
      <c r="J24" s="3">
        <v>738.94100000000003</v>
      </c>
      <c r="K24" s="3">
        <v>693.13300000000004</v>
      </c>
      <c r="L24" s="3">
        <v>662.24099999999999</v>
      </c>
      <c r="M24" s="3">
        <v>662.99099999999999</v>
      </c>
      <c r="N24" s="3">
        <v>645.85199999999998</v>
      </c>
      <c r="O24" s="3">
        <v>672.673</v>
      </c>
      <c r="P24" s="3">
        <v>630.69500000000005</v>
      </c>
      <c r="Q24" s="3">
        <v>648.87099999999998</v>
      </c>
      <c r="R24" s="3">
        <v>631.73099999999999</v>
      </c>
      <c r="S24" s="3">
        <v>580.65499999999997</v>
      </c>
      <c r="T24" s="3">
        <v>607.07600000000002</v>
      </c>
      <c r="U24" s="3">
        <v>542.79200000000003</v>
      </c>
      <c r="V24" s="3">
        <f t="shared" ca="1" si="6"/>
        <v>542.79200000000003</v>
      </c>
      <c r="W24" s="16">
        <f t="shared" ca="1" si="7"/>
        <v>1</v>
      </c>
      <c r="X24" t="str">
        <f t="shared" ca="1" si="0"/>
        <v>No Change</v>
      </c>
      <c r="AA24" s="13">
        <f t="shared" ca="1" si="1"/>
        <v>542.79200000000003</v>
      </c>
      <c r="AB24" s="3">
        <f t="shared" ca="1" si="4"/>
        <v>465.24182960771441</v>
      </c>
      <c r="AC24" s="3">
        <f t="shared" ca="1" si="2"/>
        <v>531.18110000000161</v>
      </c>
      <c r="AD24" t="str">
        <f t="shared" si="5"/>
        <v/>
      </c>
      <c r="AG24" s="7">
        <f t="shared" ca="1" si="3"/>
        <v>0.79349336415068417</v>
      </c>
      <c r="AN24" s="7" t="str">
        <f>IFERROR(INDEX('MS Stats list'!P:P, MATCH(B24,'MS Stats list'!B:B,0)),"")</f>
        <v/>
      </c>
    </row>
    <row r="25" spans="1:40">
      <c r="A25">
        <v>20</v>
      </c>
      <c r="B25" t="s">
        <v>93</v>
      </c>
      <c r="C25" t="s">
        <v>93</v>
      </c>
      <c r="D25" s="3">
        <v>698.62699999999995</v>
      </c>
      <c r="E25" s="3">
        <v>741.13099999999997</v>
      </c>
      <c r="F25" s="3">
        <v>722.77499999999998</v>
      </c>
      <c r="G25" s="3">
        <v>679.17600000000004</v>
      </c>
      <c r="H25" s="3">
        <v>651.71500000000003</v>
      </c>
      <c r="I25" s="3">
        <v>773.84699999999998</v>
      </c>
      <c r="J25" s="3">
        <v>747.755</v>
      </c>
      <c r="K25" s="3">
        <v>827.43600000000004</v>
      </c>
      <c r="L25" s="3">
        <v>767.64300000000003</v>
      </c>
      <c r="M25" s="3">
        <v>791.15800000000002</v>
      </c>
      <c r="N25" s="3">
        <v>787.78</v>
      </c>
      <c r="O25" s="3">
        <v>748.95399999999995</v>
      </c>
      <c r="P25" s="3">
        <v>793.35599999999999</v>
      </c>
      <c r="Q25" s="3">
        <v>897.89200000000005</v>
      </c>
      <c r="R25" s="3">
        <v>852.75800000000004</v>
      </c>
      <c r="S25" s="3">
        <v>870.923</v>
      </c>
      <c r="T25" s="3">
        <v>894.16200000000003</v>
      </c>
      <c r="U25" s="3">
        <v>906.00099999999998</v>
      </c>
      <c r="V25" s="3">
        <f t="shared" ca="1" si="6"/>
        <v>929.20799282786879</v>
      </c>
      <c r="W25" s="16">
        <f t="shared" ca="1" si="7"/>
        <v>4</v>
      </c>
      <c r="X25" t="str">
        <f t="shared" ca="1" si="0"/>
        <v>Based on MS Stats</v>
      </c>
      <c r="AA25" s="13">
        <f t="shared" ca="1" si="1"/>
        <v>906.00099999999998</v>
      </c>
      <c r="AB25" s="3">
        <f t="shared" ca="1" si="4"/>
        <v>971.9953482807972</v>
      </c>
      <c r="AC25" s="3">
        <f t="shared" ca="1" si="2"/>
        <v>901.63379999999961</v>
      </c>
      <c r="AD25">
        <f t="shared" ca="1" si="5"/>
        <v>929.20799282786879</v>
      </c>
      <c r="AG25" s="7">
        <f t="shared" ca="1" si="3"/>
        <v>0.17232479009278637</v>
      </c>
      <c r="AN25" s="7" t="str">
        <f>IFERROR(INDEX('MS Stats list'!P:P, MATCH(B25,'MS Stats list'!B:B,0)),"")</f>
        <v/>
      </c>
    </row>
    <row r="26" spans="1:40">
      <c r="A26">
        <v>21</v>
      </c>
      <c r="B26" t="s">
        <v>141</v>
      </c>
      <c r="C26" t="s">
        <v>141</v>
      </c>
      <c r="D26" s="3">
        <v>50.344000000000001</v>
      </c>
      <c r="E26" s="3">
        <v>55.484000000000002</v>
      </c>
      <c r="F26" s="3">
        <v>57.395000000000003</v>
      </c>
      <c r="G26" s="3">
        <v>59.802</v>
      </c>
      <c r="H26" s="3">
        <v>51.93</v>
      </c>
      <c r="I26" s="3">
        <v>44.12</v>
      </c>
      <c r="J26" s="3">
        <v>39.866999999999997</v>
      </c>
      <c r="K26" s="3">
        <v>43.762</v>
      </c>
      <c r="L26" s="3">
        <v>52.23</v>
      </c>
      <c r="M26" s="3">
        <v>55.494999999999997</v>
      </c>
      <c r="N26" s="3">
        <v>55.139000000000003</v>
      </c>
      <c r="O26" s="3">
        <v>54.924999999999997</v>
      </c>
      <c r="P26" s="3">
        <v>57.155999999999999</v>
      </c>
      <c r="Q26" s="3">
        <v>58.835000000000001</v>
      </c>
      <c r="R26" s="3">
        <v>61.017000000000003</v>
      </c>
      <c r="S26" s="3">
        <v>66.241</v>
      </c>
      <c r="T26" s="3">
        <v>70.031999999999996</v>
      </c>
      <c r="U26" s="3">
        <v>73.998000000000005</v>
      </c>
      <c r="V26" s="3">
        <f t="shared" si="6"/>
        <v>65</v>
      </c>
      <c r="W26" s="16">
        <f t="shared" si="7"/>
        <v>4</v>
      </c>
      <c r="X26" t="str">
        <f t="shared" si="0"/>
        <v>Based on MS Stats</v>
      </c>
      <c r="AA26" s="13">
        <f t="shared" ca="1" si="1"/>
        <v>73.998000000000005</v>
      </c>
      <c r="AB26" s="3">
        <f t="shared" ca="1" si="4"/>
        <v>70.905177841735679</v>
      </c>
      <c r="AC26" s="3">
        <f t="shared" ca="1" si="2"/>
        <v>77.826900000000023</v>
      </c>
      <c r="AD26">
        <v>65</v>
      </c>
      <c r="AG26" s="7">
        <f t="shared" ca="1" si="3"/>
        <v>0.98928606683644227</v>
      </c>
      <c r="AN26" s="7" t="str">
        <f>IFERROR(INDEX('MS Stats list'!P:P, MATCH(B26,'MS Stats list'!B:B,0)),"")</f>
        <v>Msdata from consultations</v>
      </c>
    </row>
    <row r="27" spans="1:40">
      <c r="A27">
        <v>22</v>
      </c>
      <c r="B27" t="s">
        <v>145</v>
      </c>
      <c r="C27" t="s">
        <v>145</v>
      </c>
      <c r="D27" s="3">
        <v>15602.056</v>
      </c>
      <c r="E27" s="3">
        <v>15275.199000000001</v>
      </c>
      <c r="F27" s="3">
        <v>15356.204</v>
      </c>
      <c r="G27" s="3">
        <v>14766.636</v>
      </c>
      <c r="H27" s="3">
        <v>13311.772999999999</v>
      </c>
      <c r="I27" s="3">
        <v>14322.874</v>
      </c>
      <c r="J27" s="3">
        <v>13779.768</v>
      </c>
      <c r="K27" s="3">
        <v>13558.768</v>
      </c>
      <c r="L27" s="3">
        <v>13350.828</v>
      </c>
      <c r="M27" s="3">
        <v>13080.793</v>
      </c>
      <c r="N27" s="3">
        <v>13102.771000000001</v>
      </c>
      <c r="O27" s="3">
        <v>13757.587</v>
      </c>
      <c r="P27" s="3">
        <v>13725.511</v>
      </c>
      <c r="Q27" s="3">
        <v>13606.539000000001</v>
      </c>
      <c r="R27" s="3">
        <v>13225.130999999999</v>
      </c>
      <c r="S27" s="3">
        <v>13208.424999999999</v>
      </c>
      <c r="T27" s="3">
        <v>13221.254999999999</v>
      </c>
      <c r="U27" s="3">
        <v>12260.566000000001</v>
      </c>
      <c r="V27" s="3">
        <f t="shared" ca="1" si="6"/>
        <v>12165.079476325171</v>
      </c>
      <c r="W27" s="16">
        <f t="shared" ca="1" si="7"/>
        <v>2</v>
      </c>
      <c r="X27" t="str">
        <f t="shared" ca="1" si="0"/>
        <v>GHG Proxy</v>
      </c>
      <c r="AA27" s="13">
        <f t="shared" ca="1" si="1"/>
        <v>12260.566000000001</v>
      </c>
      <c r="AB27" s="3">
        <f t="shared" ca="1" si="4"/>
        <v>12165.079476325171</v>
      </c>
      <c r="AC27" s="3">
        <f t="shared" ca="1" si="2"/>
        <v>12295.636600000085</v>
      </c>
      <c r="AD27" t="str">
        <f t="shared" si="5"/>
        <v/>
      </c>
      <c r="AG27" s="7">
        <f t="shared" ca="1" si="3"/>
        <v>0.72439015545451646</v>
      </c>
      <c r="AN27" s="7" t="str">
        <f>IFERROR(INDEX('MS Stats list'!P:P, MATCH(B27,'MS Stats list'!B:B,0)),"")</f>
        <v>CBS - Energy balance sheet; supply, transformation and consumption</v>
      </c>
    </row>
    <row r="28" spans="1:40">
      <c r="A28">
        <v>23</v>
      </c>
      <c r="B28" t="s">
        <v>185</v>
      </c>
      <c r="C28" t="s">
        <v>185</v>
      </c>
      <c r="D28" s="3">
        <v>14617.708000000001</v>
      </c>
      <c r="E28" s="3">
        <v>14653.888000000001</v>
      </c>
      <c r="F28" s="3">
        <v>15249.796</v>
      </c>
      <c r="G28" s="3">
        <v>13982.544</v>
      </c>
      <c r="H28" s="3">
        <v>12823.317999999999</v>
      </c>
      <c r="I28" s="3">
        <v>13499.29</v>
      </c>
      <c r="J28" s="3">
        <v>13961.482</v>
      </c>
      <c r="K28" s="3">
        <v>13733.263999999999</v>
      </c>
      <c r="L28" s="3">
        <v>14210.705</v>
      </c>
      <c r="M28" s="3">
        <v>14153.252</v>
      </c>
      <c r="N28" s="3">
        <v>14095.62</v>
      </c>
      <c r="O28" s="3">
        <v>14652.42</v>
      </c>
      <c r="P28" s="3">
        <v>15819.88</v>
      </c>
      <c r="Q28" s="3">
        <v>16327.934999999999</v>
      </c>
      <c r="R28" s="3">
        <v>16492.204000000002</v>
      </c>
      <c r="S28" s="3">
        <v>15921.165000000001</v>
      </c>
      <c r="T28" s="3">
        <v>16274.111999999999</v>
      </c>
      <c r="U28" s="3">
        <v>15074.146000000001</v>
      </c>
      <c r="V28" s="3">
        <f t="shared" ca="1" si="6"/>
        <v>13679.633770983331</v>
      </c>
      <c r="W28" s="16">
        <f t="shared" ca="1" si="7"/>
        <v>2</v>
      </c>
      <c r="X28" t="str">
        <f t="shared" ca="1" si="0"/>
        <v>GHG Proxy</v>
      </c>
      <c r="AA28" s="13">
        <f t="shared" ca="1" si="1"/>
        <v>15074.146000000001</v>
      </c>
      <c r="AB28" s="3">
        <f t="shared" ca="1" si="4"/>
        <v>13679.633770983331</v>
      </c>
      <c r="AC28" s="3">
        <f t="shared" ca="1" si="2"/>
        <v>15200.211400000029</v>
      </c>
      <c r="AD28" t="str">
        <f t="shared" si="5"/>
        <v/>
      </c>
      <c r="AG28" s="7">
        <f t="shared" ca="1" si="3"/>
        <v>0.57736313180563281</v>
      </c>
      <c r="AN28" s="7" t="str">
        <f>IFERROR(INDEX('MS Stats list'!P:P, MATCH(B28,'MS Stats list'!B:B,0)),"")</f>
        <v/>
      </c>
    </row>
    <row r="29" spans="1:40">
      <c r="A29">
        <v>24</v>
      </c>
      <c r="B29" t="s">
        <v>149</v>
      </c>
      <c r="C29" t="s">
        <v>149</v>
      </c>
      <c r="D29" s="3">
        <v>5797.28</v>
      </c>
      <c r="E29" s="3">
        <v>5764.9210000000003</v>
      </c>
      <c r="F29" s="3">
        <v>5846.3680000000004</v>
      </c>
      <c r="G29" s="3">
        <v>5525.8729999999996</v>
      </c>
      <c r="H29" s="3">
        <v>5213.5959999999995</v>
      </c>
      <c r="I29" s="3">
        <v>5456.0219999999999</v>
      </c>
      <c r="J29" s="3">
        <v>5351.6409999999996</v>
      </c>
      <c r="K29" s="3">
        <v>4606.1710000000003</v>
      </c>
      <c r="L29" s="3">
        <v>4598.6469999999999</v>
      </c>
      <c r="M29" s="3">
        <v>4405.4989999999998</v>
      </c>
      <c r="N29" s="3">
        <v>4411.5209999999997</v>
      </c>
      <c r="O29" s="3">
        <v>4381.4470000000001</v>
      </c>
      <c r="P29" s="3">
        <v>4525.2969999999996</v>
      </c>
      <c r="Q29" s="3">
        <v>4553.9009999999998</v>
      </c>
      <c r="R29" s="3">
        <v>4618.1279999999997</v>
      </c>
      <c r="S29" s="3">
        <v>4447.5389999999998</v>
      </c>
      <c r="T29" s="3">
        <v>4531.067</v>
      </c>
      <c r="U29" s="3">
        <v>4496.5420000000004</v>
      </c>
      <c r="V29" s="3">
        <f t="shared" ca="1" si="6"/>
        <v>4496.5420000000004</v>
      </c>
      <c r="W29" s="16">
        <f t="shared" ca="1" si="7"/>
        <v>1</v>
      </c>
      <c r="X29" t="str">
        <f t="shared" ca="1" si="0"/>
        <v>No Change</v>
      </c>
      <c r="AA29" s="13">
        <f t="shared" ca="1" si="1"/>
        <v>4496.5420000000004</v>
      </c>
      <c r="AB29" s="3">
        <f t="shared" ca="1" si="4"/>
        <v>3981.510918153951</v>
      </c>
      <c r="AC29" s="3">
        <f t="shared" ca="1" si="2"/>
        <v>4468.9017000000022</v>
      </c>
      <c r="AD29" t="str">
        <f t="shared" si="5"/>
        <v/>
      </c>
      <c r="AG29" s="7">
        <f t="shared" ca="1" si="3"/>
        <v>0.25045066067365213</v>
      </c>
      <c r="AN29" s="7" t="str">
        <f>IFERROR(INDEX('MS Stats list'!P:P, MATCH(B29,'MS Stats list'!B:B,0)),"")</f>
        <v>DGEG - Balanço Energético Sintético 2022</v>
      </c>
    </row>
    <row r="30" spans="1:40">
      <c r="A30">
        <v>25</v>
      </c>
      <c r="B30" t="s">
        <v>186</v>
      </c>
      <c r="C30" t="s">
        <v>186</v>
      </c>
      <c r="D30" s="3">
        <v>8997.6509999999998</v>
      </c>
      <c r="E30" s="3">
        <v>8653.8019999999997</v>
      </c>
      <c r="F30" s="3">
        <v>8336.5709999999999</v>
      </c>
      <c r="G30" s="3">
        <v>8318.6810000000005</v>
      </c>
      <c r="H30" s="3">
        <v>6144.6260000000002</v>
      </c>
      <c r="I30" s="3">
        <v>6484.1949999999997</v>
      </c>
      <c r="J30" s="3">
        <v>7059.692</v>
      </c>
      <c r="K30" s="3">
        <v>6748.2550000000001</v>
      </c>
      <c r="L30" s="3">
        <v>6272.8450000000003</v>
      </c>
      <c r="M30" s="3">
        <v>6427.4250000000002</v>
      </c>
      <c r="N30" s="3">
        <v>6418.8980000000001</v>
      </c>
      <c r="O30" s="3">
        <v>6263.7960000000003</v>
      </c>
      <c r="P30" s="3">
        <v>6437.7290000000003</v>
      </c>
      <c r="Q30" s="3">
        <v>6612.433</v>
      </c>
      <c r="R30" s="3">
        <v>6661.0630000000001</v>
      </c>
      <c r="S30" s="3">
        <v>6437.0309999999999</v>
      </c>
      <c r="T30" s="3">
        <v>6856.3429999999998</v>
      </c>
      <c r="U30" s="3">
        <v>5739.7460000000001</v>
      </c>
      <c r="V30" s="3">
        <f t="shared" ca="1" si="6"/>
        <v>5382.4664773236309</v>
      </c>
      <c r="W30" s="16">
        <f t="shared" ca="1" si="7"/>
        <v>2</v>
      </c>
      <c r="X30" t="str">
        <f t="shared" ca="1" si="0"/>
        <v>GHG Proxy</v>
      </c>
      <c r="AA30" s="13">
        <f t="shared" ca="1" si="1"/>
        <v>5739.7460000000001</v>
      </c>
      <c r="AB30" s="3">
        <f t="shared" ca="1" si="4"/>
        <v>5382.4664773236309</v>
      </c>
      <c r="AC30" s="3">
        <f t="shared" ca="1" si="2"/>
        <v>5996.2949999999837</v>
      </c>
      <c r="AD30" t="str">
        <f t="shared" si="5"/>
        <v/>
      </c>
      <c r="AG30" s="7">
        <f t="shared" ca="1" si="3"/>
        <v>0.32468637436478764</v>
      </c>
      <c r="AN30" s="7" t="str">
        <f>IFERROR(INDEX('MS Stats list'!P:P, MATCH(B30,'MS Stats list'!B:B,0)),"")</f>
        <v/>
      </c>
    </row>
    <row r="31" spans="1:40">
      <c r="A31">
        <v>26</v>
      </c>
      <c r="B31" t="s">
        <v>187</v>
      </c>
      <c r="C31" t="s">
        <v>187</v>
      </c>
      <c r="D31" s="3">
        <v>11706.592000000001</v>
      </c>
      <c r="E31" s="3">
        <v>11936.579</v>
      </c>
      <c r="F31" s="3">
        <v>12042.933999999999</v>
      </c>
      <c r="G31" s="3">
        <v>11713.184999999999</v>
      </c>
      <c r="H31" s="3">
        <v>10894.581</v>
      </c>
      <c r="I31" s="3">
        <v>11649.777</v>
      </c>
      <c r="J31" s="3">
        <v>11290.404</v>
      </c>
      <c r="K31" s="3">
        <v>11244.099</v>
      </c>
      <c r="L31" s="3">
        <v>11029.727999999999</v>
      </c>
      <c r="M31" s="3">
        <v>10799.075000000001</v>
      </c>
      <c r="N31" s="3">
        <v>11019.17</v>
      </c>
      <c r="O31" s="3">
        <v>10971.244000000001</v>
      </c>
      <c r="P31" s="3">
        <v>10917.194</v>
      </c>
      <c r="Q31" s="3">
        <v>11013.378000000001</v>
      </c>
      <c r="R31" s="3">
        <v>10891.752</v>
      </c>
      <c r="S31" s="3">
        <v>11154.427</v>
      </c>
      <c r="T31" s="3">
        <v>11120.715</v>
      </c>
      <c r="U31" s="3">
        <v>11178.307000000001</v>
      </c>
      <c r="V31" s="3">
        <f t="shared" ca="1" si="6"/>
        <v>11097.550952666727</v>
      </c>
      <c r="W31" s="16">
        <f t="shared" ca="1" si="7"/>
        <v>2</v>
      </c>
      <c r="X31" t="str">
        <f t="shared" ca="1" si="0"/>
        <v>GHG Proxy</v>
      </c>
      <c r="AA31" s="13">
        <f t="shared" ca="1" si="1"/>
        <v>11178.307000000001</v>
      </c>
      <c r="AB31" s="3">
        <f t="shared" ca="1" si="4"/>
        <v>11097.550952666727</v>
      </c>
      <c r="AC31" s="3">
        <f t="shared" ca="1" si="2"/>
        <v>11239.362099999998</v>
      </c>
      <c r="AD31" t="str">
        <f t="shared" si="5"/>
        <v/>
      </c>
      <c r="AG31" s="7">
        <f t="shared" ca="1" si="3"/>
        <v>0.55374830574710487</v>
      </c>
      <c r="AN31" s="7" t="str">
        <f>IFERROR(INDEX('MS Stats list'!P:P, MATCH(B31,'MS Stats list'!B:B,0)),"")</f>
        <v/>
      </c>
    </row>
    <row r="32" spans="1:40">
      <c r="A32">
        <v>27</v>
      </c>
      <c r="B32" t="s">
        <v>79</v>
      </c>
      <c r="C32" t="s">
        <v>79</v>
      </c>
      <c r="D32" s="3">
        <v>1645.8720000000001</v>
      </c>
      <c r="E32" s="3">
        <v>1701.2719999999999</v>
      </c>
      <c r="F32" s="3">
        <v>1607.556</v>
      </c>
      <c r="G32" s="3">
        <v>1485.338</v>
      </c>
      <c r="H32" s="3">
        <v>1221.1079999999999</v>
      </c>
      <c r="I32" s="3">
        <v>1274.056</v>
      </c>
      <c r="J32" s="3">
        <v>1236.8920000000001</v>
      </c>
      <c r="K32" s="3">
        <v>1207.414</v>
      </c>
      <c r="L32" s="3">
        <v>1197.6510000000001</v>
      </c>
      <c r="M32" s="3">
        <v>1231.213</v>
      </c>
      <c r="N32" s="3">
        <v>1228.021</v>
      </c>
      <c r="O32" s="3">
        <v>1242.337</v>
      </c>
      <c r="P32" s="3">
        <v>1295.6120000000001</v>
      </c>
      <c r="Q32" s="3">
        <v>1319.1759999999999</v>
      </c>
      <c r="R32" s="3">
        <v>1322.08</v>
      </c>
      <c r="S32" s="3">
        <v>1256.4079999999999</v>
      </c>
      <c r="T32" s="3">
        <v>1294.2629999999999</v>
      </c>
      <c r="U32" s="3">
        <v>1180.886</v>
      </c>
      <c r="V32" s="3">
        <f t="shared" ca="1" si="6"/>
        <v>1142.0740232814337</v>
      </c>
      <c r="W32" s="16">
        <f t="shared" ca="1" si="7"/>
        <v>2</v>
      </c>
      <c r="X32" t="str">
        <f t="shared" ca="1" si="0"/>
        <v>GHG Proxy</v>
      </c>
      <c r="AA32" s="13">
        <f t="shared" ca="1" si="1"/>
        <v>1180.886</v>
      </c>
      <c r="AB32" s="3">
        <f t="shared" ca="1" si="4"/>
        <v>1142.0740232814337</v>
      </c>
      <c r="AC32" s="3">
        <f t="shared" ca="1" si="2"/>
        <v>1183.2434999999969</v>
      </c>
      <c r="AD32" t="str">
        <f t="shared" si="5"/>
        <v/>
      </c>
      <c r="AG32" s="7">
        <f t="shared" ca="1" si="3"/>
        <v>0.67430161120077692</v>
      </c>
      <c r="AN32" s="7" t="str">
        <f>IFERROR(INDEX('MS Stats list'!P:P, MATCH(B32,'MS Stats list'!B:B,0)),"")</f>
        <v>Statistical Office of Slovenia - Energy balance</v>
      </c>
    </row>
    <row r="33" spans="1:40">
      <c r="A33">
        <v>28</v>
      </c>
      <c r="B33" t="s">
        <v>188</v>
      </c>
      <c r="C33" t="s">
        <v>188</v>
      </c>
      <c r="D33" s="3">
        <v>3590.7959999999998</v>
      </c>
      <c r="E33" s="3">
        <v>3565.9940000000001</v>
      </c>
      <c r="F33" s="3">
        <v>3662.817</v>
      </c>
      <c r="G33" s="3">
        <v>3651.5720000000001</v>
      </c>
      <c r="H33" s="3">
        <v>3118.5430000000001</v>
      </c>
      <c r="I33" s="3">
        <v>3224.0859999999998</v>
      </c>
      <c r="J33" s="3">
        <v>3255.3310000000001</v>
      </c>
      <c r="K33" s="3">
        <v>3233.817</v>
      </c>
      <c r="L33" s="3">
        <v>3114.817</v>
      </c>
      <c r="M33" s="3">
        <v>3241.6280000000002</v>
      </c>
      <c r="N33" s="3">
        <v>3333.3710000000001</v>
      </c>
      <c r="O33" s="3">
        <v>3308.576</v>
      </c>
      <c r="P33" s="3">
        <v>3452.442</v>
      </c>
      <c r="Q33" s="3">
        <v>3662.5390000000002</v>
      </c>
      <c r="R33" s="3">
        <v>3463.68</v>
      </c>
      <c r="S33" s="3">
        <v>3138.1770000000001</v>
      </c>
      <c r="T33" s="3">
        <v>3382.3919999999998</v>
      </c>
      <c r="U33" s="3">
        <v>3167.9589999999998</v>
      </c>
      <c r="V33" s="3">
        <f t="shared" ca="1" si="6"/>
        <v>3119.5266411054454</v>
      </c>
      <c r="W33" s="16">
        <f t="shared" ca="1" si="7"/>
        <v>2</v>
      </c>
      <c r="X33" t="str">
        <f t="shared" ca="1" si="0"/>
        <v>GHG Proxy</v>
      </c>
      <c r="AA33" s="13">
        <f t="shared" ca="1" si="1"/>
        <v>3167.9589999999998</v>
      </c>
      <c r="AB33" s="3">
        <f t="shared" ca="1" si="4"/>
        <v>3119.5266411054454</v>
      </c>
      <c r="AC33" s="3">
        <f t="shared" ca="1" si="2"/>
        <v>3041.8150000000023</v>
      </c>
      <c r="AD33" t="str">
        <f t="shared" si="5"/>
        <v/>
      </c>
      <c r="AG33" s="7">
        <f t="shared" ca="1" si="3"/>
        <v>0.60684453017285278</v>
      </c>
      <c r="AN33" s="7" t="str">
        <f>IFERROR(INDEX('MS Stats list'!P:P, MATCH(B33,'MS Stats list'!B:B,0)),"")</f>
        <v/>
      </c>
    </row>
    <row r="34" spans="1:40">
      <c r="A34">
        <v>29</v>
      </c>
      <c r="B34" t="s">
        <v>163</v>
      </c>
      <c r="C34" t="s">
        <v>163</v>
      </c>
      <c r="D34" s="3">
        <v>30518.379000000001</v>
      </c>
      <c r="E34" s="3">
        <v>29672.120999999999</v>
      </c>
      <c r="F34" s="3">
        <v>29123.891</v>
      </c>
      <c r="G34" s="3">
        <v>28572.685000000001</v>
      </c>
      <c r="H34" s="3">
        <v>24360.055</v>
      </c>
      <c r="I34" s="3">
        <v>25596.576000000001</v>
      </c>
      <c r="J34" s="3">
        <v>23952.179</v>
      </c>
      <c r="K34" s="3">
        <v>23613.279999999999</v>
      </c>
      <c r="L34" s="3">
        <v>23643.761999999999</v>
      </c>
      <c r="M34" s="3">
        <v>22967.703000000001</v>
      </c>
      <c r="N34" s="3">
        <v>23060.44</v>
      </c>
      <c r="O34" s="3">
        <v>21304.966</v>
      </c>
      <c r="P34" s="3">
        <v>21625.724999999999</v>
      </c>
      <c r="Q34" s="3">
        <v>21689.348000000002</v>
      </c>
      <c r="R34" s="3">
        <v>21118.795999999998</v>
      </c>
      <c r="S34" s="3">
        <v>0</v>
      </c>
      <c r="T34" s="3">
        <v>0</v>
      </c>
      <c r="U34" s="3">
        <v>0</v>
      </c>
      <c r="V34" s="3">
        <f t="shared" ca="1" si="6"/>
        <v>0</v>
      </c>
      <c r="W34" s="16">
        <f t="shared" ca="1" si="7"/>
        <v>2</v>
      </c>
      <c r="X34" t="str">
        <f t="shared" ca="1" si="0"/>
        <v>GHG Proxy</v>
      </c>
      <c r="AA34" s="13">
        <f t="shared" ca="1" si="1"/>
        <v>0</v>
      </c>
      <c r="AB34" s="3">
        <f t="shared" ca="1" si="4"/>
        <v>0</v>
      </c>
      <c r="AC34" s="3">
        <f t="shared" ca="1" si="2"/>
        <v>-10787.618800001219</v>
      </c>
      <c r="AD34" t="str">
        <f t="shared" si="5"/>
        <v/>
      </c>
      <c r="AG34" s="7">
        <f t="shared" ca="1" si="3"/>
        <v>0.75645490280697569</v>
      </c>
      <c r="AN34" s="7" t="str">
        <f>IFERROR(INDEX('MS Stats list'!P:P, MATCH(B34,'MS Stats list'!B:B,0)),"")</f>
        <v>BEIS - Digest of UK Energy Statistics (DUKES)</v>
      </c>
    </row>
    <row r="35" spans="1:40">
      <c r="B35" s="40" t="s">
        <v>189</v>
      </c>
      <c r="C35" s="40" t="s">
        <v>189</v>
      </c>
      <c r="D35" s="41">
        <f>SUM(D7:D34)</f>
        <v>305642.09100000001</v>
      </c>
      <c r="E35" s="41">
        <f t="shared" ref="E35:V35" si="8">SUM(E7:E34)</f>
        <v>299247.12</v>
      </c>
      <c r="F35" s="41">
        <f t="shared" si="8"/>
        <v>303398.43699999992</v>
      </c>
      <c r="G35" s="41">
        <f t="shared" si="8"/>
        <v>293679.87899999996</v>
      </c>
      <c r="H35" s="41">
        <f t="shared" si="8"/>
        <v>253541.30399999997</v>
      </c>
      <c r="I35" s="41">
        <f t="shared" si="8"/>
        <v>269474.81900000002</v>
      </c>
      <c r="J35" s="41">
        <f t="shared" si="8"/>
        <v>268338.27400000003</v>
      </c>
      <c r="K35" s="41">
        <f t="shared" si="8"/>
        <v>263449.26099999994</v>
      </c>
      <c r="L35" s="41">
        <f t="shared" si="8"/>
        <v>260557.72900000002</v>
      </c>
      <c r="M35" s="41">
        <f t="shared" si="8"/>
        <v>256409.33799999999</v>
      </c>
      <c r="N35" s="41">
        <f t="shared" si="8"/>
        <v>256536.37400000004</v>
      </c>
      <c r="O35" s="41">
        <f t="shared" si="8"/>
        <v>259065.261</v>
      </c>
      <c r="P35" s="41">
        <f t="shared" si="8"/>
        <v>261599.462</v>
      </c>
      <c r="Q35" s="41">
        <f t="shared" si="8"/>
        <v>263461.96499999997</v>
      </c>
      <c r="R35" s="41">
        <f t="shared" ref="R35:S35" si="9">SUM(R7:R34)</f>
        <v>260090.18</v>
      </c>
      <c r="S35" s="41">
        <f t="shared" si="9"/>
        <v>230303.26599999995</v>
      </c>
      <c r="T35" s="41">
        <f t="shared" ref="T35:U35" si="10">SUM(T7:T34)</f>
        <v>243631.818</v>
      </c>
      <c r="U35" s="41">
        <f t="shared" si="10"/>
        <v>226409.08099999995</v>
      </c>
      <c r="V35" s="41">
        <f t="shared" ca="1" si="8"/>
        <v>220474.24255360535</v>
      </c>
      <c r="AA35" s="11"/>
    </row>
    <row r="36" spans="1:40">
      <c r="B36" s="40" t="s">
        <v>190</v>
      </c>
      <c r="C36" s="40" t="s">
        <v>190</v>
      </c>
      <c r="D36" s="41">
        <f>SUM(D7:D33)</f>
        <v>275123.712</v>
      </c>
      <c r="E36" s="41">
        <f t="shared" ref="E36:V36" si="11">SUM(E7:E33)</f>
        <v>269574.99900000001</v>
      </c>
      <c r="F36" s="41">
        <f t="shared" si="11"/>
        <v>274274.54599999991</v>
      </c>
      <c r="G36" s="41">
        <f t="shared" si="11"/>
        <v>265107.19399999996</v>
      </c>
      <c r="H36" s="41">
        <f t="shared" si="11"/>
        <v>229181.24899999998</v>
      </c>
      <c r="I36" s="41">
        <f t="shared" si="11"/>
        <v>243878.24299999999</v>
      </c>
      <c r="J36" s="41">
        <f t="shared" si="11"/>
        <v>244386.09500000003</v>
      </c>
      <c r="K36" s="41">
        <f t="shared" si="11"/>
        <v>239835.98099999997</v>
      </c>
      <c r="L36" s="41">
        <f t="shared" si="11"/>
        <v>236913.96700000003</v>
      </c>
      <c r="M36" s="41">
        <f t="shared" si="11"/>
        <v>233441.63499999998</v>
      </c>
      <c r="N36" s="41">
        <f t="shared" si="11"/>
        <v>233475.93400000004</v>
      </c>
      <c r="O36" s="41">
        <f t="shared" si="11"/>
        <v>237760.29500000001</v>
      </c>
      <c r="P36" s="41">
        <f t="shared" si="11"/>
        <v>239973.73699999999</v>
      </c>
      <c r="Q36" s="41">
        <f t="shared" si="11"/>
        <v>241772.61699999997</v>
      </c>
      <c r="R36" s="41">
        <f t="shared" ref="R36:S36" si="12">SUM(R7:R33)</f>
        <v>238971.38399999999</v>
      </c>
      <c r="S36" s="41">
        <f t="shared" si="12"/>
        <v>230303.26599999995</v>
      </c>
      <c r="T36" s="41">
        <f t="shared" ref="T36:U36" si="13">SUM(T7:T33)</f>
        <v>243631.818</v>
      </c>
      <c r="U36" s="41">
        <f t="shared" si="13"/>
        <v>226409.08099999995</v>
      </c>
      <c r="V36" s="41">
        <f t="shared" ca="1" si="11"/>
        <v>220474.24255360535</v>
      </c>
      <c r="AA36" s="11"/>
    </row>
    <row r="37" spans="1:40">
      <c r="W37" s="25"/>
      <c r="AA37" s="11"/>
    </row>
    <row r="38" spans="1:40">
      <c r="W38" s="25"/>
      <c r="AA38" s="11"/>
      <c r="AB38" t="s">
        <v>203</v>
      </c>
    </row>
    <row r="39" spans="1:40">
      <c r="AA39" s="11"/>
      <c r="AB39" s="42">
        <v>0.1</v>
      </c>
    </row>
    <row r="40" spans="1:40">
      <c r="A40" s="5" t="s">
        <v>191</v>
      </c>
      <c r="E40" t="s">
        <v>173</v>
      </c>
      <c r="AA40" s="11" t="str">
        <f>AA5</f>
        <v>No Change</v>
      </c>
      <c r="AB40" t="str">
        <f>AB5</f>
        <v>GHG Proxy</v>
      </c>
      <c r="AC40" t="str">
        <f>AC5</f>
        <v>5yr lin trend</v>
      </c>
      <c r="AD40" t="str">
        <f>AD5</f>
        <v>Based on MS Stats</v>
      </c>
    </row>
    <row r="41" spans="1:40">
      <c r="B41" t="str">
        <f t="shared" ref="B41:N41" si="14">B6</f>
        <v>MS Code 1</v>
      </c>
      <c r="C41" t="str">
        <f t="shared" si="14"/>
        <v>MS Code 2</v>
      </c>
      <c r="E41" s="1">
        <f t="shared" si="14"/>
        <v>2006</v>
      </c>
      <c r="F41" s="1">
        <f t="shared" si="14"/>
        <v>2007</v>
      </c>
      <c r="G41" s="1">
        <f t="shared" si="14"/>
        <v>2008</v>
      </c>
      <c r="H41" s="1">
        <f t="shared" si="14"/>
        <v>2009</v>
      </c>
      <c r="I41" s="1">
        <f t="shared" si="14"/>
        <v>2010</v>
      </c>
      <c r="J41" s="1">
        <f t="shared" si="14"/>
        <v>2011</v>
      </c>
      <c r="K41" s="1">
        <f t="shared" si="14"/>
        <v>2012</v>
      </c>
      <c r="L41" s="1">
        <f t="shared" si="14"/>
        <v>2013</v>
      </c>
      <c r="M41" s="1">
        <f t="shared" si="14"/>
        <v>2014</v>
      </c>
      <c r="N41" s="1">
        <f t="shared" si="14"/>
        <v>2015</v>
      </c>
      <c r="O41" s="1">
        <f t="shared" ref="O41:P41" si="15">O6</f>
        <v>2016</v>
      </c>
      <c r="P41" s="1">
        <f t="shared" si="15"/>
        <v>2017</v>
      </c>
      <c r="Q41" s="1">
        <f t="shared" ref="Q41:S41" si="16">Q6</f>
        <v>2018</v>
      </c>
      <c r="R41" s="1">
        <f t="shared" si="16"/>
        <v>2019</v>
      </c>
      <c r="S41" s="1">
        <f t="shared" si="16"/>
        <v>2020</v>
      </c>
      <c r="T41" s="1">
        <f t="shared" ref="T41:U41" si="17">T6</f>
        <v>2021</v>
      </c>
      <c r="U41" s="1">
        <f t="shared" si="17"/>
        <v>2022</v>
      </c>
      <c r="V41" s="2">
        <f>YearProxy</f>
        <v>2023</v>
      </c>
      <c r="AA41" s="12">
        <f>YearProxy</f>
        <v>2023</v>
      </c>
      <c r="AB41" s="2">
        <f>YearProxy</f>
        <v>2023</v>
      </c>
      <c r="AC41" s="2">
        <f>YearProxy</f>
        <v>2023</v>
      </c>
      <c r="AD41" s="2">
        <f>YearProxy</f>
        <v>2023</v>
      </c>
    </row>
    <row r="42" spans="1:40">
      <c r="B42" t="str">
        <f t="shared" ref="B42:C69" si="18">B7</f>
        <v>AT</v>
      </c>
      <c r="C42" t="str">
        <f t="shared" si="18"/>
        <v>AT</v>
      </c>
      <c r="E42" s="4">
        <f t="shared" ref="E42:R42" si="19">IFERROR(E7/D7-1,0)</f>
        <v>2.3077098570608356E-2</v>
      </c>
      <c r="F42" s="4">
        <f t="shared" si="19"/>
        <v>1.0256306359103018E-2</v>
      </c>
      <c r="G42" s="4">
        <f t="shared" si="19"/>
        <v>-8.6508024206741752E-3</v>
      </c>
      <c r="H42" s="4">
        <f t="shared" si="19"/>
        <v>-3.2603508465143927E-2</v>
      </c>
      <c r="I42" s="4">
        <f t="shared" si="19"/>
        <v>6.1793321763479181E-2</v>
      </c>
      <c r="J42" s="4">
        <f t="shared" si="19"/>
        <v>3.779681423452752E-3</v>
      </c>
      <c r="K42" s="4">
        <f t="shared" si="19"/>
        <v>7.6745585808748462E-3</v>
      </c>
      <c r="L42" s="4">
        <f t="shared" si="19"/>
        <v>-2.0648679219443911E-2</v>
      </c>
      <c r="M42" s="4">
        <f t="shared" si="19"/>
        <v>-2.0551918853358053E-2</v>
      </c>
      <c r="N42" s="4">
        <f t="shared" si="19"/>
        <v>3.1802785403605149E-3</v>
      </c>
      <c r="O42" s="4">
        <f t="shared" si="19"/>
        <v>3.320931838128649E-2</v>
      </c>
      <c r="P42" s="4">
        <f t="shared" si="19"/>
        <v>2.7218432355511357E-3</v>
      </c>
      <c r="Q42" s="4">
        <f t="shared" si="19"/>
        <v>-8.6333271989719185E-3</v>
      </c>
      <c r="R42" s="4">
        <f t="shared" si="19"/>
        <v>-2.777362394227656E-3</v>
      </c>
      <c r="S42" s="4">
        <f t="shared" ref="S42:S71" si="20">IFERROR(S7/R7-1,0)</f>
        <v>-3.9120107500578483E-2</v>
      </c>
      <c r="T42" s="4">
        <f t="shared" ref="T42:T71" si="21">IFERROR(T7/S7-1,0)</f>
        <v>4.0404126818108566E-2</v>
      </c>
      <c r="U42" s="4">
        <f t="shared" ref="U42:V71" si="22">IFERROR(U7/T7-1,0)</f>
        <v>1.057818199565852E-2</v>
      </c>
      <c r="V42" s="4">
        <f t="shared" ca="1" si="22"/>
        <v>-5.1479923941160299E-2</v>
      </c>
      <c r="AA42" s="14">
        <v>0</v>
      </c>
      <c r="AB42" s="4">
        <v>0.14295596769757921</v>
      </c>
      <c r="AC42" s="4">
        <f ca="1">AC7/AA7-1</f>
        <v>-1.1028689961742E-2</v>
      </c>
      <c r="AD42" s="4">
        <v>-5.1479923941160299E-2</v>
      </c>
    </row>
    <row r="43" spans="1:40">
      <c r="B43" t="str">
        <f t="shared" si="18"/>
        <v>BE</v>
      </c>
      <c r="C43" t="str">
        <f t="shared" si="18"/>
        <v>BE</v>
      </c>
      <c r="E43" s="4">
        <f t="shared" ref="E43:R43" si="23">IFERROR(E8/D8-1,0)</f>
        <v>8.5857526188521938E-3</v>
      </c>
      <c r="F43" s="4">
        <f t="shared" si="23"/>
        <v>-4.7675407118892066E-2</v>
      </c>
      <c r="G43" s="4">
        <f t="shared" si="23"/>
        <v>-1.9605106758819768E-2</v>
      </c>
      <c r="H43" s="4">
        <f t="shared" si="23"/>
        <v>-3.1006014596041243E-2</v>
      </c>
      <c r="I43" s="4">
        <f t="shared" si="23"/>
        <v>0.13577865312373127</v>
      </c>
      <c r="J43" s="4">
        <f t="shared" si="23"/>
        <v>-3.6116790559782785E-2</v>
      </c>
      <c r="K43" s="4">
        <f t="shared" si="23"/>
        <v>-2.4250009185607935E-3</v>
      </c>
      <c r="L43" s="4">
        <f t="shared" si="23"/>
        <v>2.2543502289833928E-2</v>
      </c>
      <c r="M43" s="4">
        <f t="shared" si="23"/>
        <v>-1.9144029773846216E-2</v>
      </c>
      <c r="N43" s="4">
        <f t="shared" si="23"/>
        <v>1.1644334713623028E-3</v>
      </c>
      <c r="O43" s="4">
        <f t="shared" si="23"/>
        <v>5.0506922131270393E-3</v>
      </c>
      <c r="P43" s="4">
        <f t="shared" si="23"/>
        <v>-1.7627905760511653E-2</v>
      </c>
      <c r="Q43" s="4">
        <f t="shared" si="23"/>
        <v>2.2627117094232263E-2</v>
      </c>
      <c r="R43" s="4">
        <f t="shared" si="23"/>
        <v>-3.4666568042628243E-2</v>
      </c>
      <c r="S43" s="4">
        <f t="shared" si="20"/>
        <v>-2.9702306712456328E-2</v>
      </c>
      <c r="T43" s="4">
        <f t="shared" si="21"/>
        <v>5.7475807464936635E-2</v>
      </c>
      <c r="U43" s="4">
        <f t="shared" si="22"/>
        <v>-9.4359787597556033E-2</v>
      </c>
      <c r="V43" s="4">
        <f t="shared" ca="1" si="22"/>
        <v>-3.214730699419921E-2</v>
      </c>
      <c r="AA43" s="14">
        <v>0</v>
      </c>
      <c r="AB43" s="4">
        <v>-3.2147306994199196E-2</v>
      </c>
      <c r="AC43" s="4">
        <f t="shared" ref="AC43:AC69" ca="1" si="24">AC8/AA8-1</f>
        <v>7.4024687873668338E-3</v>
      </c>
      <c r="AD43" s="4"/>
    </row>
    <row r="44" spans="1:40">
      <c r="B44" t="str">
        <f t="shared" si="18"/>
        <v>BG</v>
      </c>
      <c r="C44" t="str">
        <f t="shared" si="18"/>
        <v>BG</v>
      </c>
      <c r="E44" s="4">
        <f t="shared" ref="E44:R44" si="25">IFERROR(E9/D9-1,0)</f>
        <v>8.5079066571431827E-3</v>
      </c>
      <c r="F44" s="4">
        <f t="shared" si="25"/>
        <v>3.5334880759107845E-2</v>
      </c>
      <c r="G44" s="4">
        <f t="shared" si="25"/>
        <v>-9.3721939912117969E-2</v>
      </c>
      <c r="H44" s="4">
        <f t="shared" si="25"/>
        <v>-0.29294304719208353</v>
      </c>
      <c r="I44" s="4">
        <f t="shared" si="25"/>
        <v>4.4183135324518563E-2</v>
      </c>
      <c r="J44" s="4">
        <f t="shared" si="25"/>
        <v>5.7443623647577491E-2</v>
      </c>
      <c r="K44" s="4">
        <f t="shared" si="25"/>
        <v>-4.8161279316431993E-2</v>
      </c>
      <c r="L44" s="4">
        <f t="shared" si="25"/>
        <v>1.1280008852260659E-2</v>
      </c>
      <c r="M44" s="4">
        <f t="shared" si="25"/>
        <v>8.4745795362559662E-3</v>
      </c>
      <c r="N44" s="4">
        <f t="shared" si="25"/>
        <v>3.9013219750122508E-2</v>
      </c>
      <c r="O44" s="4">
        <f t="shared" si="25"/>
        <v>-2.3599438308217979E-2</v>
      </c>
      <c r="P44" s="4">
        <f t="shared" si="25"/>
        <v>3.8432903690096554E-2</v>
      </c>
      <c r="Q44" s="4">
        <f t="shared" si="25"/>
        <v>-7.7504536691719306E-3</v>
      </c>
      <c r="R44" s="4">
        <f t="shared" si="25"/>
        <v>-2.0955768409849695E-2</v>
      </c>
      <c r="S44" s="4">
        <f t="shared" si="20"/>
        <v>-1.2115845641677669E-2</v>
      </c>
      <c r="T44" s="4">
        <f t="shared" si="21"/>
        <v>6.7062179983751413E-2</v>
      </c>
      <c r="U44" s="4">
        <f t="shared" si="22"/>
        <v>-4.3599450389897432E-2</v>
      </c>
      <c r="V44" s="4">
        <f t="shared" ca="1" si="22"/>
        <v>0</v>
      </c>
      <c r="AA44" s="14">
        <v>0</v>
      </c>
      <c r="AB44" s="4">
        <v>-0.99272838635631755</v>
      </c>
      <c r="AC44" s="4">
        <f t="shared" ca="1" si="24"/>
        <v>1.4330046658221685E-2</v>
      </c>
      <c r="AD44" s="4"/>
    </row>
    <row r="45" spans="1:40">
      <c r="B45" t="str">
        <f t="shared" si="18"/>
        <v>CY</v>
      </c>
      <c r="C45" t="str">
        <f t="shared" si="18"/>
        <v>CY</v>
      </c>
      <c r="E45" s="4">
        <f t="shared" ref="E45:R45" si="26">IFERROR(E10/D10-1,0)</f>
        <v>-0.10691600103629206</v>
      </c>
      <c r="F45" s="4">
        <f t="shared" si="26"/>
        <v>3.0920592758283183E-2</v>
      </c>
      <c r="G45" s="4">
        <f t="shared" si="26"/>
        <v>7.3398041136805148E-3</v>
      </c>
      <c r="H45" s="4">
        <f t="shared" si="26"/>
        <v>-0.12116836961350508</v>
      </c>
      <c r="I45" s="4">
        <f t="shared" si="26"/>
        <v>-9.4999023471157962E-2</v>
      </c>
      <c r="J45" s="4">
        <f t="shared" si="26"/>
        <v>-0.11009554760030804</v>
      </c>
      <c r="K45" s="4">
        <f t="shared" si="26"/>
        <v>-0.1751749847839319</v>
      </c>
      <c r="L45" s="4">
        <f t="shared" si="26"/>
        <v>7.2781672277821396E-2</v>
      </c>
      <c r="M45" s="4">
        <f t="shared" si="26"/>
        <v>0.21199533556524019</v>
      </c>
      <c r="N45" s="4">
        <f t="shared" si="26"/>
        <v>-6.1838529034889622E-2</v>
      </c>
      <c r="O45" s="4">
        <f t="shared" si="26"/>
        <v>1.7850391319142345E-2</v>
      </c>
      <c r="P45" s="4">
        <f t="shared" si="26"/>
        <v>8.7435981965835241E-2</v>
      </c>
      <c r="Q45" s="4">
        <f t="shared" si="26"/>
        <v>-2.7805294619982934E-2</v>
      </c>
      <c r="R45" s="4">
        <f t="shared" si="26"/>
        <v>4.2162959839782133E-3</v>
      </c>
      <c r="S45" s="4">
        <f t="shared" si="20"/>
        <v>6.9696651621706796E-2</v>
      </c>
      <c r="T45" s="4">
        <f t="shared" si="21"/>
        <v>7.1958917999541683E-3</v>
      </c>
      <c r="U45" s="4">
        <f t="shared" si="22"/>
        <v>8.53684278894562E-3</v>
      </c>
      <c r="V45" s="4">
        <f t="shared" ca="1" si="22"/>
        <v>3.4049113090517613E-2</v>
      </c>
      <c r="AA45" s="14">
        <v>0</v>
      </c>
      <c r="AB45" s="4">
        <v>3.4653206857542412E-3</v>
      </c>
      <c r="AC45" s="4">
        <f t="shared" ca="1" si="24"/>
        <v>3.4049113090517613E-2</v>
      </c>
      <c r="AD45" s="4"/>
    </row>
    <row r="46" spans="1:40">
      <c r="B46" t="str">
        <f t="shared" si="18"/>
        <v>CZ</v>
      </c>
      <c r="C46" t="str">
        <f t="shared" si="18"/>
        <v>CZ</v>
      </c>
      <c r="E46" s="4">
        <f t="shared" ref="E46:R46" si="27">IFERROR(E11/D11-1,0)</f>
        <v>-6.683423582809267E-3</v>
      </c>
      <c r="F46" s="4">
        <f t="shared" si="27"/>
        <v>-3.7488230703366709E-2</v>
      </c>
      <c r="G46" s="4">
        <f t="shared" si="27"/>
        <v>-4.3037017073186523E-2</v>
      </c>
      <c r="H46" s="4">
        <f t="shared" si="27"/>
        <v>-7.4392284524942509E-2</v>
      </c>
      <c r="I46" s="4">
        <f t="shared" si="27"/>
        <v>-6.3445543068370691E-2</v>
      </c>
      <c r="J46" s="4">
        <f t="shared" si="27"/>
        <v>-1.6942243657654954E-2</v>
      </c>
      <c r="K46" s="4">
        <f t="shared" si="27"/>
        <v>-6.7467632842822534E-3</v>
      </c>
      <c r="L46" s="4">
        <f t="shared" si="27"/>
        <v>-4.4534892070661747E-2</v>
      </c>
      <c r="M46" s="4">
        <f t="shared" si="27"/>
        <v>-1.4780268204241498E-2</v>
      </c>
      <c r="N46" s="4">
        <f t="shared" si="27"/>
        <v>2.3087595777158132E-2</v>
      </c>
      <c r="O46" s="4">
        <f t="shared" si="27"/>
        <v>-1.0165268588470888E-2</v>
      </c>
      <c r="P46" s="4">
        <f t="shared" si="27"/>
        <v>5.0222470364576832E-2</v>
      </c>
      <c r="Q46" s="4">
        <f t="shared" si="27"/>
        <v>-5.1996392699210636E-3</v>
      </c>
      <c r="R46" s="4">
        <f t="shared" si="27"/>
        <v>-1.2014588215203625E-2</v>
      </c>
      <c r="S46" s="4">
        <f t="shared" si="20"/>
        <v>-7.7886338524697507E-3</v>
      </c>
      <c r="T46" s="4">
        <f t="shared" si="21"/>
        <v>6.7945380199294192E-2</v>
      </c>
      <c r="U46" s="4">
        <f t="shared" si="22"/>
        <v>-5.6937910997592933E-2</v>
      </c>
      <c r="V46" s="4">
        <f t="shared" ca="1" si="22"/>
        <v>3.1306753144247024E-2</v>
      </c>
      <c r="AA46" s="14">
        <v>0</v>
      </c>
      <c r="AB46" s="4">
        <v>3.1306753144247051E-2</v>
      </c>
      <c r="AC46" s="4">
        <f t="shared" ca="1" si="24"/>
        <v>2.3549467413573222E-2</v>
      </c>
      <c r="AD46" s="4"/>
    </row>
    <row r="47" spans="1:40">
      <c r="B47" t="str">
        <f t="shared" si="18"/>
        <v>DE</v>
      </c>
      <c r="C47" t="str">
        <f t="shared" si="18"/>
        <v>DE</v>
      </c>
      <c r="E47" s="4">
        <f t="shared" ref="E47:R47" si="28">IFERROR(E12/D12-1,0)</f>
        <v>1.9177805336836107E-2</v>
      </c>
      <c r="F47" s="4">
        <f t="shared" si="28"/>
        <v>3.9732559484984442E-2</v>
      </c>
      <c r="G47" s="4">
        <f t="shared" si="28"/>
        <v>-1.2501406016751204E-2</v>
      </c>
      <c r="H47" s="4">
        <f t="shared" si="28"/>
        <v>-0.11499369269905657</v>
      </c>
      <c r="I47" s="4">
        <f t="shared" si="28"/>
        <v>0.12243916746416095</v>
      </c>
      <c r="J47" s="4">
        <f t="shared" si="28"/>
        <v>1.3072952130333881E-2</v>
      </c>
      <c r="K47" s="4">
        <f t="shared" si="28"/>
        <v>-1.2137120834400439E-2</v>
      </c>
      <c r="L47" s="4">
        <f t="shared" si="28"/>
        <v>-6.444188986449495E-3</v>
      </c>
      <c r="M47" s="4">
        <f t="shared" si="28"/>
        <v>-1.1035842841329191E-2</v>
      </c>
      <c r="N47" s="4">
        <f t="shared" si="28"/>
        <v>6.1362413326258025E-3</v>
      </c>
      <c r="O47" s="4">
        <f t="shared" si="28"/>
        <v>1.0870665209615771E-2</v>
      </c>
      <c r="P47" s="4">
        <f t="shared" si="28"/>
        <v>8.2750731592002857E-3</v>
      </c>
      <c r="Q47" s="4">
        <f t="shared" si="28"/>
        <v>-9.7989207975379689E-4</v>
      </c>
      <c r="R47" s="4">
        <f t="shared" si="28"/>
        <v>-2.523635800061419E-2</v>
      </c>
      <c r="S47" s="4">
        <f t="shared" si="20"/>
        <v>-1.5933808099020563E-2</v>
      </c>
      <c r="T47" s="4">
        <f t="shared" si="21"/>
        <v>2.6508838872632889E-2</v>
      </c>
      <c r="U47" s="4">
        <f t="shared" si="22"/>
        <v>-4.918601365979014E-2</v>
      </c>
      <c r="V47" s="4">
        <f t="shared" ca="1" si="22"/>
        <v>0</v>
      </c>
      <c r="AA47" s="14">
        <v>0</v>
      </c>
      <c r="AB47" s="4">
        <v>-0.10211415052445444</v>
      </c>
      <c r="AC47" s="4">
        <f t="shared" ca="1" si="24"/>
        <v>-5.828206597381369E-4</v>
      </c>
      <c r="AD47" s="4"/>
      <c r="AE47" s="4"/>
    </row>
    <row r="48" spans="1:40">
      <c r="B48" t="str">
        <f t="shared" si="18"/>
        <v>DK</v>
      </c>
      <c r="C48" t="str">
        <f t="shared" si="18"/>
        <v>DK</v>
      </c>
      <c r="E48" s="4">
        <f t="shared" ref="E48:R48" si="29">IFERROR(E13/D13-1,0)</f>
        <v>1.4248414329229186E-2</v>
      </c>
      <c r="F48" s="4">
        <f t="shared" si="29"/>
        <v>-2.8073850161847047E-2</v>
      </c>
      <c r="G48" s="4">
        <f t="shared" si="29"/>
        <v>-4.0908656000175125E-2</v>
      </c>
      <c r="H48" s="4">
        <f t="shared" si="29"/>
        <v>-0.13399160902797036</v>
      </c>
      <c r="I48" s="4">
        <f t="shared" si="29"/>
        <v>3.9953598378578814E-2</v>
      </c>
      <c r="J48" s="4">
        <f t="shared" si="29"/>
        <v>-1.7212379342691486E-3</v>
      </c>
      <c r="K48" s="4">
        <f t="shared" si="29"/>
        <v>-5.6881181713510864E-2</v>
      </c>
      <c r="L48" s="4">
        <f t="shared" si="29"/>
        <v>-5.382518785567536E-2</v>
      </c>
      <c r="M48" s="4">
        <f t="shared" si="29"/>
        <v>-2.6973664588863411E-2</v>
      </c>
      <c r="N48" s="4">
        <f t="shared" si="29"/>
        <v>-5.2881284957693175E-3</v>
      </c>
      <c r="O48" s="4">
        <f t="shared" si="29"/>
        <v>2.6660851385593265E-2</v>
      </c>
      <c r="P48" s="4">
        <f t="shared" si="29"/>
        <v>5.5015115742675258E-2</v>
      </c>
      <c r="Q48" s="4">
        <f t="shared" si="29"/>
        <v>1.3073992292423897E-2</v>
      </c>
      <c r="R48" s="4">
        <f t="shared" si="29"/>
        <v>-2.4591339631803932E-2</v>
      </c>
      <c r="S48" s="4">
        <f t="shared" si="20"/>
        <v>2.0666018223727045E-2</v>
      </c>
      <c r="T48" s="4">
        <f t="shared" si="21"/>
        <v>7.392983951389831E-2</v>
      </c>
      <c r="U48" s="4">
        <f t="shared" si="22"/>
        <v>-4.3099546779939324E-2</v>
      </c>
      <c r="V48" s="4">
        <f t="shared" ca="1" si="22"/>
        <v>-1.6180496344431194E-3</v>
      </c>
      <c r="AA48" s="14">
        <v>0</v>
      </c>
      <c r="AB48" s="4">
        <v>-1.6180496344432842E-3</v>
      </c>
      <c r="AC48" s="4">
        <f t="shared" ca="1" si="24"/>
        <v>3.0827388985825044E-2</v>
      </c>
      <c r="AD48" s="4"/>
    </row>
    <row r="49" spans="2:30">
      <c r="B49" t="str">
        <f t="shared" si="18"/>
        <v>EE</v>
      </c>
      <c r="C49" t="str">
        <f t="shared" si="18"/>
        <v>EE</v>
      </c>
      <c r="E49" s="4">
        <f t="shared" ref="E49:R49" si="30">IFERROR(E14/D14-1,0)</f>
        <v>-3.6116421751507088E-2</v>
      </c>
      <c r="F49" s="4">
        <f t="shared" si="30"/>
        <v>0.10315485058277107</v>
      </c>
      <c r="G49" s="4">
        <f t="shared" si="30"/>
        <v>-3.0792309138524931E-2</v>
      </c>
      <c r="H49" s="4">
        <f t="shared" si="30"/>
        <v>-0.27618441345902955</v>
      </c>
      <c r="I49" s="4">
        <f t="shared" si="30"/>
        <v>9.0245614829745469E-2</v>
      </c>
      <c r="J49" s="4">
        <f t="shared" si="30"/>
        <v>1.449614053674142E-2</v>
      </c>
      <c r="K49" s="4">
        <f t="shared" si="30"/>
        <v>-3.7195095939731582E-2</v>
      </c>
      <c r="L49" s="4">
        <f t="shared" si="30"/>
        <v>0.13354080748324759</v>
      </c>
      <c r="M49" s="4">
        <f t="shared" si="30"/>
        <v>-0.13098560499814726</v>
      </c>
      <c r="N49" s="4">
        <f t="shared" si="30"/>
        <v>-3.7397066311155136E-2</v>
      </c>
      <c r="O49" s="4">
        <f t="shared" si="30"/>
        <v>-0.14443221259249428</v>
      </c>
      <c r="P49" s="4">
        <f t="shared" si="30"/>
        <v>1.1292017380400532E-2</v>
      </c>
      <c r="Q49" s="4">
        <f t="shared" si="30"/>
        <v>4.9673165905565808E-2</v>
      </c>
      <c r="R49" s="4">
        <f t="shared" si="30"/>
        <v>-5.4770219850551749E-2</v>
      </c>
      <c r="S49" s="4">
        <f t="shared" si="20"/>
        <v>-0.11162468675635262</v>
      </c>
      <c r="T49" s="4">
        <f t="shared" si="21"/>
        <v>-5.9928388847089842E-2</v>
      </c>
      <c r="U49" s="4">
        <f t="shared" si="22"/>
        <v>-6.5654458997247089E-2</v>
      </c>
      <c r="V49" s="4">
        <f t="shared" ca="1" si="22"/>
        <v>-0.10764425223216478</v>
      </c>
      <c r="AA49" s="14">
        <v>0</v>
      </c>
      <c r="AB49" s="4">
        <v>0.22317546366026772</v>
      </c>
      <c r="AC49" s="4">
        <f t="shared" ca="1" si="24"/>
        <v>-0.10764425223216478</v>
      </c>
      <c r="AD49" s="4"/>
    </row>
    <row r="50" spans="2:30">
      <c r="B50" t="str">
        <f t="shared" si="18"/>
        <v>ES</v>
      </c>
      <c r="C50" t="str">
        <f t="shared" si="18"/>
        <v>ES</v>
      </c>
      <c r="E50" s="4">
        <f t="shared" ref="E50:R50" si="31">IFERROR(E15/D15-1,0)</f>
        <v>-0.18251354317739787</v>
      </c>
      <c r="F50" s="4">
        <f t="shared" si="31"/>
        <v>8.2125365608114453E-2</v>
      </c>
      <c r="G50" s="4">
        <f t="shared" si="31"/>
        <v>-5.7326277322899299E-2</v>
      </c>
      <c r="H50" s="4">
        <f t="shared" si="31"/>
        <v>-0.170882368221415</v>
      </c>
      <c r="I50" s="4">
        <f t="shared" si="31"/>
        <v>3.9901654634539874E-3</v>
      </c>
      <c r="J50" s="4">
        <f t="shared" si="31"/>
        <v>-7.3938900318133438E-3</v>
      </c>
      <c r="K50" s="4">
        <f t="shared" si="31"/>
        <v>-2.5213465286479386E-2</v>
      </c>
      <c r="L50" s="4">
        <f t="shared" si="31"/>
        <v>-2.5169974449624544E-2</v>
      </c>
      <c r="M50" s="4">
        <f t="shared" si="31"/>
        <v>-1.4782096803544142E-2</v>
      </c>
      <c r="N50" s="4">
        <f t="shared" si="31"/>
        <v>-3.21348058374894E-2</v>
      </c>
      <c r="O50" s="4">
        <f t="shared" si="31"/>
        <v>6.4519547911135788E-2</v>
      </c>
      <c r="P50" s="4">
        <f t="shared" si="31"/>
        <v>2.4989553824415811E-2</v>
      </c>
      <c r="Q50" s="4">
        <f t="shared" si="31"/>
        <v>1.3336074601054682E-2</v>
      </c>
      <c r="R50" s="4">
        <f t="shared" si="31"/>
        <v>-1.1474158658876243E-3</v>
      </c>
      <c r="S50" s="4">
        <f t="shared" si="20"/>
        <v>-8.7403572570793231E-2</v>
      </c>
      <c r="T50" s="4">
        <f t="shared" si="21"/>
        <v>7.0367680446371761E-2</v>
      </c>
      <c r="U50" s="4">
        <f t="shared" si="22"/>
        <v>-0.10997442087416964</v>
      </c>
      <c r="V50" s="4">
        <f t="shared" ca="1" si="22"/>
        <v>-6.0102583193060499E-2</v>
      </c>
      <c r="AA50" s="14">
        <v>0</v>
      </c>
      <c r="AB50" s="4">
        <v>-6.0102583193060548E-2</v>
      </c>
      <c r="AC50" s="4">
        <f t="shared" ca="1" si="24"/>
        <v>-3.9236593658635854E-3</v>
      </c>
      <c r="AD50" s="4"/>
    </row>
    <row r="51" spans="2:30">
      <c r="B51" t="str">
        <f t="shared" si="18"/>
        <v>FI</v>
      </c>
      <c r="C51" t="str">
        <f t="shared" si="18"/>
        <v>FI</v>
      </c>
      <c r="E51" s="4">
        <f t="shared" ref="E51:R51" si="32">IFERROR(E16/D16-1,0)</f>
        <v>9.2530109434094454E-2</v>
      </c>
      <c r="F51" s="4">
        <f t="shared" si="32"/>
        <v>-2.1779240881382944E-2</v>
      </c>
      <c r="G51" s="4">
        <f t="shared" si="32"/>
        <v>-5.4057236866510316E-2</v>
      </c>
      <c r="H51" s="4">
        <f t="shared" si="32"/>
        <v>-0.16640613363437129</v>
      </c>
      <c r="I51" s="4">
        <f t="shared" si="32"/>
        <v>0.14305345656364166</v>
      </c>
      <c r="J51" s="4">
        <f t="shared" si="32"/>
        <v>-1.8468399441467498E-2</v>
      </c>
      <c r="K51" s="4">
        <f t="shared" si="32"/>
        <v>-2.7015699518385339E-2</v>
      </c>
      <c r="L51" s="4">
        <f t="shared" si="32"/>
        <v>3.5988756591782689E-3</v>
      </c>
      <c r="M51" s="4">
        <f t="shared" si="32"/>
        <v>-5.0031041796980702E-3</v>
      </c>
      <c r="N51" s="4">
        <f t="shared" si="32"/>
        <v>-6.0438559252785629E-3</v>
      </c>
      <c r="O51" s="4">
        <f t="shared" si="32"/>
        <v>3.3858028477637081E-2</v>
      </c>
      <c r="P51" s="4">
        <f t="shared" si="32"/>
        <v>1.8956793089728308E-2</v>
      </c>
      <c r="Q51" s="4">
        <f t="shared" si="32"/>
        <v>3.1619646471183982E-2</v>
      </c>
      <c r="R51" s="4">
        <f t="shared" si="32"/>
        <v>-5.2549519122752075E-3</v>
      </c>
      <c r="S51" s="4">
        <f t="shared" si="20"/>
        <v>-6.5811912491217095E-2</v>
      </c>
      <c r="T51" s="4">
        <f t="shared" si="21"/>
        <v>4.9058399049283663E-2</v>
      </c>
      <c r="U51" s="4">
        <f t="shared" si="22"/>
        <v>-9.3787625172525257E-2</v>
      </c>
      <c r="V51" s="4">
        <f t="shared" ca="1" si="22"/>
        <v>-2.035853694433043E-2</v>
      </c>
      <c r="AA51" s="14">
        <v>0</v>
      </c>
      <c r="AB51" s="4">
        <v>1.117037918674132E-2</v>
      </c>
      <c r="AC51" s="4">
        <f t="shared" ca="1" si="24"/>
        <v>-3.2511947108085915E-3</v>
      </c>
      <c r="AD51" s="4">
        <v>-2.035853694433043E-2</v>
      </c>
    </row>
    <row r="52" spans="2:30">
      <c r="B52" t="str">
        <f t="shared" si="18"/>
        <v>FR</v>
      </c>
      <c r="C52" t="str">
        <f t="shared" si="18"/>
        <v>FR</v>
      </c>
      <c r="E52" s="4">
        <f t="shared" ref="E52:R52" si="33">IFERROR(E17/D17-1,0)</f>
        <v>-3.7444530667625431E-2</v>
      </c>
      <c r="F52" s="4">
        <f t="shared" si="33"/>
        <v>2.9205404802671531E-2</v>
      </c>
      <c r="G52" s="4">
        <f t="shared" si="33"/>
        <v>-1.5830850504882754E-2</v>
      </c>
      <c r="H52" s="4">
        <f t="shared" si="33"/>
        <v>-0.1711241411568829</v>
      </c>
      <c r="I52" s="4">
        <f t="shared" si="33"/>
        <v>5.5611263702809E-2</v>
      </c>
      <c r="J52" s="4">
        <f t="shared" si="33"/>
        <v>6.1807227304266243E-2</v>
      </c>
      <c r="K52" s="4">
        <f t="shared" si="33"/>
        <v>-5.0967201074719748E-3</v>
      </c>
      <c r="L52" s="4">
        <f t="shared" si="33"/>
        <v>-1.0102536789849959E-3</v>
      </c>
      <c r="M52" s="4">
        <f t="shared" si="33"/>
        <v>-4.5124420785772945E-2</v>
      </c>
      <c r="N52" s="4">
        <f t="shared" si="33"/>
        <v>-1.3188371692183676E-2</v>
      </c>
      <c r="O52" s="4">
        <f t="shared" si="33"/>
        <v>2.3354585999342259E-2</v>
      </c>
      <c r="P52" s="4">
        <f t="shared" si="33"/>
        <v>-3.5858906402616131E-2</v>
      </c>
      <c r="Q52" s="4">
        <f t="shared" si="33"/>
        <v>1.7823523273570174E-3</v>
      </c>
      <c r="R52" s="4">
        <f t="shared" si="33"/>
        <v>-1.1373277086428213E-2</v>
      </c>
      <c r="S52" s="4">
        <f t="shared" si="20"/>
        <v>-8.1147817677355683E-2</v>
      </c>
      <c r="T52" s="4">
        <f t="shared" si="21"/>
        <v>7.8322240249515396E-2</v>
      </c>
      <c r="U52" s="4">
        <f t="shared" si="22"/>
        <v>-5.2610640395719277E-2</v>
      </c>
      <c r="V52" s="4">
        <f t="shared" ca="1" si="22"/>
        <v>-5.1398866526368714E-2</v>
      </c>
      <c r="AA52" s="14">
        <v>0</v>
      </c>
      <c r="AB52" s="4">
        <v>8.0984845354537149E-2</v>
      </c>
      <c r="AC52" s="4">
        <f t="shared" ca="1" si="24"/>
        <v>-1.4019590519173009E-2</v>
      </c>
      <c r="AD52" s="4">
        <v>-5.1398866526368714E-2</v>
      </c>
    </row>
    <row r="53" spans="2:30">
      <c r="B53" t="str">
        <f t="shared" si="18"/>
        <v>EL</v>
      </c>
      <c r="C53" t="str">
        <f t="shared" si="18"/>
        <v>GR</v>
      </c>
      <c r="E53" s="4">
        <f t="shared" ref="E53:R53" si="34">IFERROR(E18/D18-1,0)</f>
        <v>1.7544305740795796E-2</v>
      </c>
      <c r="F53" s="4">
        <f t="shared" si="34"/>
        <v>8.866125493823751E-2</v>
      </c>
      <c r="G53" s="4">
        <f t="shared" si="34"/>
        <v>-8.369658661019197E-2</v>
      </c>
      <c r="H53" s="4">
        <f t="shared" si="34"/>
        <v>-0.18176051877829968</v>
      </c>
      <c r="I53" s="4">
        <f t="shared" si="34"/>
        <v>3.0173026290707394E-3</v>
      </c>
      <c r="J53" s="4">
        <f t="shared" si="34"/>
        <v>-4.3189220490259972E-2</v>
      </c>
      <c r="K53" s="4">
        <f t="shared" si="34"/>
        <v>-9.8510212551195186E-2</v>
      </c>
      <c r="L53" s="4">
        <f t="shared" si="34"/>
        <v>-5.3400260591669246E-2</v>
      </c>
      <c r="M53" s="4">
        <f t="shared" si="34"/>
        <v>8.9143444384843784E-2</v>
      </c>
      <c r="N53" s="4">
        <f t="shared" si="34"/>
        <v>1.299938477479512E-2</v>
      </c>
      <c r="O53" s="4">
        <f t="shared" si="34"/>
        <v>-1.7684179301800329E-2</v>
      </c>
      <c r="P53" s="4">
        <f t="shared" si="34"/>
        <v>-0.10097386306173328</v>
      </c>
      <c r="Q53" s="4">
        <f t="shared" si="34"/>
        <v>-8.673393858514733E-3</v>
      </c>
      <c r="R53" s="4">
        <f t="shared" si="34"/>
        <v>-5.5223096959531093E-2</v>
      </c>
      <c r="S53" s="4">
        <f t="shared" si="20"/>
        <v>-2.4775023709173727E-2</v>
      </c>
      <c r="T53" s="4">
        <f t="shared" si="21"/>
        <v>1.6605125108084096E-2</v>
      </c>
      <c r="U53" s="4">
        <f t="shared" si="22"/>
        <v>4.9894733805899705E-5</v>
      </c>
      <c r="V53" s="4">
        <f t="shared" ca="1" si="22"/>
        <v>-5.0088058673545266E-3</v>
      </c>
      <c r="AA53" s="14">
        <v>0</v>
      </c>
      <c r="AB53" s="4">
        <v>-5.0088058673544858E-3</v>
      </c>
      <c r="AC53" s="4">
        <f t="shared" ca="1" si="24"/>
        <v>-3.1185732065395433E-2</v>
      </c>
      <c r="AD53" s="4"/>
    </row>
    <row r="54" spans="2:30">
      <c r="B54" t="str">
        <f t="shared" si="18"/>
        <v>HR</v>
      </c>
      <c r="C54" t="str">
        <f t="shared" si="18"/>
        <v>HR</v>
      </c>
      <c r="E54" s="4">
        <f t="shared" ref="E54:R54" si="35">IFERROR(E19/D19-1,0)</f>
        <v>4.1868571357886797E-2</v>
      </c>
      <c r="F54" s="4">
        <f t="shared" si="35"/>
        <v>1.4387864328532007E-2</v>
      </c>
      <c r="G54" s="4">
        <f t="shared" si="35"/>
        <v>3.1681750867966763E-3</v>
      </c>
      <c r="H54" s="4">
        <f t="shared" si="35"/>
        <v>-0.15793303550868132</v>
      </c>
      <c r="I54" s="4">
        <f t="shared" si="35"/>
        <v>-3.0744156028834291E-2</v>
      </c>
      <c r="J54" s="4">
        <f t="shared" si="35"/>
        <v>-6.2458337283297305E-2</v>
      </c>
      <c r="K54" s="4">
        <f t="shared" si="35"/>
        <v>-0.11789399178724858</v>
      </c>
      <c r="L54" s="4">
        <f t="shared" si="35"/>
        <v>-2.1889516212670546E-2</v>
      </c>
      <c r="M54" s="4">
        <f t="shared" si="35"/>
        <v>-8.0994027760080689E-3</v>
      </c>
      <c r="N54" s="4">
        <f t="shared" si="35"/>
        <v>-9.6508641424261077E-3</v>
      </c>
      <c r="O54" s="4">
        <f t="shared" si="35"/>
        <v>1.2176404476293978E-3</v>
      </c>
      <c r="P54" s="4">
        <f t="shared" si="35"/>
        <v>8.5765731345993634E-2</v>
      </c>
      <c r="Q54" s="4">
        <f t="shared" si="35"/>
        <v>1.1963056062181954E-2</v>
      </c>
      <c r="R54" s="4">
        <f t="shared" si="35"/>
        <v>9.1070040702221355E-3</v>
      </c>
      <c r="S54" s="4">
        <f t="shared" si="20"/>
        <v>-9.911005651490612E-4</v>
      </c>
      <c r="T54" s="4">
        <f t="shared" si="21"/>
        <v>1.7149731232369625E-2</v>
      </c>
      <c r="U54" s="4">
        <f t="shared" si="22"/>
        <v>-5.2780060418396002E-2</v>
      </c>
      <c r="V54" s="4">
        <f t="shared" ca="1" si="22"/>
        <v>-2.9342785660289694E-2</v>
      </c>
      <c r="AA54" s="14">
        <v>0</v>
      </c>
      <c r="AB54" s="4">
        <v>-2.9342785660289666E-2</v>
      </c>
      <c r="AC54" s="4">
        <f t="shared" ca="1" si="24"/>
        <v>1.9719906174595847E-2</v>
      </c>
      <c r="AD54" s="4"/>
    </row>
    <row r="55" spans="2:30">
      <c r="B55" t="str">
        <f t="shared" si="18"/>
        <v>HU</v>
      </c>
      <c r="C55" t="str">
        <f t="shared" si="18"/>
        <v>HU</v>
      </c>
      <c r="E55" s="4">
        <f t="shared" ref="E55:R55" si="36">IFERROR(E20/D20-1,0)</f>
        <v>6.381958145251998E-3</v>
      </c>
      <c r="F55" s="4">
        <f t="shared" si="36"/>
        <v>-1.4112222285302511E-2</v>
      </c>
      <c r="G55" s="4">
        <f t="shared" si="36"/>
        <v>2.4904635255269536E-3</v>
      </c>
      <c r="H55" s="4">
        <f t="shared" si="36"/>
        <v>-0.21315449571295975</v>
      </c>
      <c r="I55" s="4">
        <f t="shared" si="36"/>
        <v>7.4331118507611649E-2</v>
      </c>
      <c r="J55" s="4">
        <f t="shared" si="36"/>
        <v>0.15101326747520227</v>
      </c>
      <c r="K55" s="4">
        <f t="shared" si="36"/>
        <v>6.1452249371195311E-2</v>
      </c>
      <c r="L55" s="4">
        <f t="shared" si="36"/>
        <v>0.17072346838478736</v>
      </c>
      <c r="M55" s="4">
        <f t="shared" si="36"/>
        <v>-5.5495596667579639E-3</v>
      </c>
      <c r="N55" s="4">
        <f t="shared" si="36"/>
        <v>4.3777302447351785E-2</v>
      </c>
      <c r="O55" s="4">
        <f t="shared" si="36"/>
        <v>3.1308787369534796E-2</v>
      </c>
      <c r="P55" s="4">
        <f t="shared" si="36"/>
        <v>7.3834735058730727E-2</v>
      </c>
      <c r="Q55" s="4">
        <f t="shared" si="36"/>
        <v>3.9951676179970974E-2</v>
      </c>
      <c r="R55" s="4">
        <f t="shared" si="36"/>
        <v>1.2885400094031496E-3</v>
      </c>
      <c r="S55" s="4">
        <f t="shared" si="20"/>
        <v>-8.52517155621213E-3</v>
      </c>
      <c r="T55" s="4">
        <f t="shared" si="21"/>
        <v>6.958751112154471E-2</v>
      </c>
      <c r="U55" s="4">
        <f t="shared" si="22"/>
        <v>-8.898827433993195E-2</v>
      </c>
      <c r="V55" s="4">
        <f t="shared" ca="1" si="22"/>
        <v>-8.4843901978615355E-2</v>
      </c>
      <c r="AA55" s="14">
        <v>0</v>
      </c>
      <c r="AB55" s="4">
        <v>-8.484390197861541E-2</v>
      </c>
      <c r="AC55" s="4">
        <f t="shared" ca="1" si="24"/>
        <v>3.7081376416262302E-2</v>
      </c>
      <c r="AD55" s="4"/>
    </row>
    <row r="56" spans="2:30">
      <c r="B56" t="str">
        <f t="shared" si="18"/>
        <v>IE</v>
      </c>
      <c r="C56" t="str">
        <f t="shared" si="18"/>
        <v>IE</v>
      </c>
      <c r="E56" s="4">
        <f t="shared" ref="E56:R56" si="37">IFERROR(E21/D21-1,0)</f>
        <v>6.7628448535013153E-3</v>
      </c>
      <c r="F56" s="4">
        <f t="shared" si="37"/>
        <v>-7.1338435595593497E-2</v>
      </c>
      <c r="G56" s="4">
        <f t="shared" si="37"/>
        <v>-3.4553893982852579E-2</v>
      </c>
      <c r="H56" s="4">
        <f t="shared" si="37"/>
        <v>-0.1746915774408111</v>
      </c>
      <c r="I56" s="4">
        <f t="shared" si="37"/>
        <v>3.2118903705747437E-2</v>
      </c>
      <c r="J56" s="4">
        <f t="shared" si="37"/>
        <v>-9.0110342309005831E-2</v>
      </c>
      <c r="K56" s="4">
        <f t="shared" si="37"/>
        <v>2.0156530761076263E-2</v>
      </c>
      <c r="L56" s="4">
        <f t="shared" si="37"/>
        <v>4.4518330810614737E-2</v>
      </c>
      <c r="M56" s="4">
        <f t="shared" si="37"/>
        <v>8.2222025629321793E-2</v>
      </c>
      <c r="N56" s="4">
        <f t="shared" si="37"/>
        <v>1.8154527122216102E-4</v>
      </c>
      <c r="O56" s="4">
        <f t="shared" si="37"/>
        <v>3.2829661720205294E-2</v>
      </c>
      <c r="P56" s="4">
        <f t="shared" si="37"/>
        <v>3.1717681419185517E-2</v>
      </c>
      <c r="Q56" s="4">
        <f t="shared" si="37"/>
        <v>2.5585343611451705E-2</v>
      </c>
      <c r="R56" s="4">
        <f t="shared" si="37"/>
        <v>-5.4823620634677495E-3</v>
      </c>
      <c r="S56" s="4">
        <f t="shared" si="20"/>
        <v>2.4880212365276932E-3</v>
      </c>
      <c r="T56" s="4">
        <f t="shared" si="21"/>
        <v>3.3564521332235753E-2</v>
      </c>
      <c r="U56" s="4">
        <f t="shared" si="22"/>
        <v>-4.7833532361435172E-2</v>
      </c>
      <c r="V56" s="4">
        <f t="shared" ca="1" si="22"/>
        <v>-6.8271901301477089E-2</v>
      </c>
      <c r="AA56" s="14">
        <v>0</v>
      </c>
      <c r="AB56" s="4">
        <v>-6.8271901301477061E-2</v>
      </c>
      <c r="AC56" s="4">
        <f t="shared" ca="1" si="24"/>
        <v>1.9304984278582404E-2</v>
      </c>
      <c r="AD56" s="4"/>
    </row>
    <row r="57" spans="2:30">
      <c r="B57" t="str">
        <f t="shared" si="18"/>
        <v>IT</v>
      </c>
      <c r="C57" t="str">
        <f t="shared" si="18"/>
        <v>IT</v>
      </c>
      <c r="E57" s="4">
        <f t="shared" ref="E57:R57" si="38">IFERROR(E22/D22-1,0)</f>
        <v>-2.8672410353771993E-2</v>
      </c>
      <c r="F57" s="4">
        <f t="shared" si="38"/>
        <v>-6.5549252381621459E-3</v>
      </c>
      <c r="G57" s="4">
        <f t="shared" si="38"/>
        <v>-3.8414012701248335E-2</v>
      </c>
      <c r="H57" s="4">
        <f t="shared" si="38"/>
        <v>-0.17305829899796676</v>
      </c>
      <c r="I57" s="4">
        <f t="shared" si="38"/>
        <v>1.6174581575586489E-2</v>
      </c>
      <c r="J57" s="4">
        <f t="shared" si="38"/>
        <v>-4.3766063830087854E-2</v>
      </c>
      <c r="K57" s="4">
        <f t="shared" si="38"/>
        <v>-2.8695551442360911E-2</v>
      </c>
      <c r="L57" s="4">
        <f t="shared" si="38"/>
        <v>-5.91908612748131E-2</v>
      </c>
      <c r="M57" s="4">
        <f t="shared" si="38"/>
        <v>-2.423728050788243E-2</v>
      </c>
      <c r="N57" s="4">
        <f t="shared" si="38"/>
        <v>4.6196938973288582E-3</v>
      </c>
      <c r="O57" s="4">
        <f t="shared" si="38"/>
        <v>9.4786735578578085E-3</v>
      </c>
      <c r="P57" s="4">
        <f t="shared" si="38"/>
        <v>-6.5048559826081931E-3</v>
      </c>
      <c r="Q57" s="4">
        <f t="shared" si="38"/>
        <v>-1.0507006228779758E-2</v>
      </c>
      <c r="R57" s="4">
        <f t="shared" si="38"/>
        <v>1.0729547782759363E-2</v>
      </c>
      <c r="S57" s="4">
        <f t="shared" si="20"/>
        <v>-4.2817802894247192E-2</v>
      </c>
      <c r="T57" s="4">
        <f t="shared" si="21"/>
        <v>0.19995655691189129</v>
      </c>
      <c r="U57" s="4">
        <f t="shared" si="22"/>
        <v>-0.13545910600854205</v>
      </c>
      <c r="V57" s="4">
        <f t="shared" ca="1" si="22"/>
        <v>-8.9948229930437718E-3</v>
      </c>
      <c r="AA57" s="14">
        <v>0</v>
      </c>
      <c r="AB57" s="4">
        <v>-8.994822993043796E-3</v>
      </c>
      <c r="AC57" s="4">
        <f t="shared" ca="1" si="24"/>
        <v>7.1876581450199817E-2</v>
      </c>
      <c r="AD57" s="4"/>
    </row>
    <row r="58" spans="2:30">
      <c r="B58" t="str">
        <f t="shared" si="18"/>
        <v>LT</v>
      </c>
      <c r="C58" t="str">
        <f t="shared" si="18"/>
        <v>LT</v>
      </c>
      <c r="E58" s="4">
        <f t="shared" ref="E58:R58" si="39">IFERROR(E23/D23-1,0)</f>
        <v>2.8791848644702966E-2</v>
      </c>
      <c r="F58" s="4">
        <f t="shared" si="39"/>
        <v>2.6189270441095536E-2</v>
      </c>
      <c r="G58" s="4">
        <f t="shared" si="39"/>
        <v>-9.5340409982302421E-2</v>
      </c>
      <c r="H58" s="4">
        <f t="shared" si="39"/>
        <v>-0.13656672458258468</v>
      </c>
      <c r="I58" s="4">
        <f t="shared" si="39"/>
        <v>8.8848018840990139E-2</v>
      </c>
      <c r="J58" s="4">
        <f t="shared" si="39"/>
        <v>6.7096729354305662E-2</v>
      </c>
      <c r="K58" s="4">
        <f t="shared" si="39"/>
        <v>5.7643687348645001E-2</v>
      </c>
      <c r="L58" s="4">
        <f t="shared" si="39"/>
        <v>-3.212662548203471E-2</v>
      </c>
      <c r="M58" s="4">
        <f t="shared" si="39"/>
        <v>-3.4752782873674892E-3</v>
      </c>
      <c r="N58" s="4">
        <f t="shared" si="39"/>
        <v>-4.9304358425185879E-2</v>
      </c>
      <c r="O58" s="4">
        <f t="shared" si="39"/>
        <v>6.323040839273375E-3</v>
      </c>
      <c r="P58" s="4">
        <f t="shared" si="39"/>
        <v>8.2872162828157236E-2</v>
      </c>
      <c r="Q58" s="4">
        <f t="shared" si="39"/>
        <v>3.3299188460091278E-2</v>
      </c>
      <c r="R58" s="4">
        <f t="shared" si="39"/>
        <v>6.4838946382934637E-3</v>
      </c>
      <c r="S58" s="4">
        <f t="shared" si="20"/>
        <v>-8.0289074066924426E-2</v>
      </c>
      <c r="T58" s="4">
        <f t="shared" si="21"/>
        <v>8.2808442509323177E-2</v>
      </c>
      <c r="U58" s="4">
        <f t="shared" si="22"/>
        <v>-0.1400081502825552</v>
      </c>
      <c r="V58" s="4">
        <f t="shared" ca="1" si="22"/>
        <v>-5.1156728576083443E-2</v>
      </c>
      <c r="AA58" s="14">
        <v>0</v>
      </c>
      <c r="AB58" s="4">
        <v>-1.3590572500449389E-2</v>
      </c>
      <c r="AC58" s="4">
        <f t="shared" ca="1" si="24"/>
        <v>1.5373236660689127E-2</v>
      </c>
      <c r="AD58" s="4">
        <v>-5.1156728576083443E-2</v>
      </c>
    </row>
    <row r="59" spans="2:30">
      <c r="B59" t="str">
        <f t="shared" si="18"/>
        <v>LU</v>
      </c>
      <c r="C59" t="str">
        <f t="shared" si="18"/>
        <v>LU</v>
      </c>
      <c r="E59" s="4">
        <f t="shared" ref="E59:R59" si="40">IFERROR(E24/D24-1,0)</f>
        <v>8.7794750681043476E-2</v>
      </c>
      <c r="F59" s="4">
        <f t="shared" si="40"/>
        <v>-4.9572842785423066E-2</v>
      </c>
      <c r="G59" s="4">
        <f t="shared" si="40"/>
        <v>-2.5452410211686316E-2</v>
      </c>
      <c r="H59" s="4">
        <f t="shared" si="40"/>
        <v>-0.1418634626776123</v>
      </c>
      <c r="I59" s="4">
        <f t="shared" si="40"/>
        <v>0.11573078313217322</v>
      </c>
      <c r="J59" s="4">
        <f t="shared" si="40"/>
        <v>-1.8946856927398836E-2</v>
      </c>
      <c r="K59" s="4">
        <f t="shared" si="40"/>
        <v>-6.1991417447401109E-2</v>
      </c>
      <c r="L59" s="4">
        <f t="shared" si="40"/>
        <v>-4.456864699848373E-2</v>
      </c>
      <c r="M59" s="4">
        <f t="shared" si="40"/>
        <v>1.1325182222181596E-3</v>
      </c>
      <c r="N59" s="4">
        <f t="shared" si="40"/>
        <v>-2.5851029651986268E-2</v>
      </c>
      <c r="O59" s="4">
        <f t="shared" si="40"/>
        <v>4.1528090026817344E-2</v>
      </c>
      <c r="P59" s="4">
        <f t="shared" si="40"/>
        <v>-6.2404764276253077E-2</v>
      </c>
      <c r="Q59" s="4">
        <f t="shared" si="40"/>
        <v>2.8819001260514066E-2</v>
      </c>
      <c r="R59" s="4">
        <f t="shared" si="40"/>
        <v>-2.6415111786472156E-2</v>
      </c>
      <c r="S59" s="4">
        <f t="shared" si="20"/>
        <v>-8.0850868486745164E-2</v>
      </c>
      <c r="T59" s="4">
        <f t="shared" si="21"/>
        <v>4.5502062326166159E-2</v>
      </c>
      <c r="U59" s="4">
        <f t="shared" si="22"/>
        <v>-0.10589118990044077</v>
      </c>
      <c r="V59" s="4">
        <f t="shared" ca="1" si="22"/>
        <v>0</v>
      </c>
      <c r="AA59" s="14">
        <v>0</v>
      </c>
      <c r="AB59" s="4">
        <v>-0.1428727217650326</v>
      </c>
      <c r="AC59" s="4">
        <f t="shared" ca="1" si="24"/>
        <v>-2.1391066928028502E-2</v>
      </c>
      <c r="AD59" s="4"/>
    </row>
    <row r="60" spans="2:30">
      <c r="B60" t="str">
        <f t="shared" si="18"/>
        <v>LV</v>
      </c>
      <c r="C60" t="str">
        <f t="shared" si="18"/>
        <v>LV</v>
      </c>
      <c r="E60" s="4">
        <f t="shared" ref="E60:R60" si="41">IFERROR(E25/D25-1,0)</f>
        <v>6.0839332004059443E-2</v>
      </c>
      <c r="F60" s="4">
        <f t="shared" si="41"/>
        <v>-2.4767551215642003E-2</v>
      </c>
      <c r="G60" s="4">
        <f t="shared" si="41"/>
        <v>-6.0321676870395247E-2</v>
      </c>
      <c r="H60" s="4">
        <f t="shared" si="41"/>
        <v>-4.0432818591940811E-2</v>
      </c>
      <c r="I60" s="4">
        <f t="shared" si="41"/>
        <v>0.18740093445754646</v>
      </c>
      <c r="J60" s="4">
        <f t="shared" si="41"/>
        <v>-3.3717259354885343E-2</v>
      </c>
      <c r="K60" s="4">
        <f t="shared" si="41"/>
        <v>0.10656030384283621</v>
      </c>
      <c r="L60" s="4">
        <f t="shared" si="41"/>
        <v>-7.2262990732818055E-2</v>
      </c>
      <c r="M60" s="4">
        <f t="shared" si="41"/>
        <v>3.0632729015961813E-2</v>
      </c>
      <c r="N60" s="4">
        <f t="shared" si="41"/>
        <v>-4.2696907570928255E-3</v>
      </c>
      <c r="O60" s="4">
        <f t="shared" si="41"/>
        <v>-4.9285333468734982E-2</v>
      </c>
      <c r="P60" s="4">
        <f t="shared" si="41"/>
        <v>5.9285349968088985E-2</v>
      </c>
      <c r="Q60" s="4">
        <f t="shared" si="41"/>
        <v>0.1317643025325328</v>
      </c>
      <c r="R60" s="4">
        <f t="shared" si="41"/>
        <v>-5.026662449381436E-2</v>
      </c>
      <c r="S60" s="4">
        <f t="shared" si="20"/>
        <v>2.1301471226303326E-2</v>
      </c>
      <c r="T60" s="4">
        <f t="shared" si="21"/>
        <v>2.6683185539938759E-2</v>
      </c>
      <c r="U60" s="4">
        <f t="shared" si="22"/>
        <v>1.3240330052048721E-2</v>
      </c>
      <c r="V60" s="4">
        <f t="shared" ca="1" si="22"/>
        <v>2.561475409836067E-2</v>
      </c>
      <c r="AA60" s="14">
        <v>0</v>
      </c>
      <c r="AB60" s="4">
        <v>7.2841363619683769E-2</v>
      </c>
      <c r="AC60" s="4">
        <f t="shared" ca="1" si="24"/>
        <v>-4.8203037303494733E-3</v>
      </c>
      <c r="AD60" s="4">
        <v>2.561475409836067E-2</v>
      </c>
    </row>
    <row r="61" spans="2:30">
      <c r="B61" t="str">
        <f t="shared" si="18"/>
        <v>MT</v>
      </c>
      <c r="C61" t="str">
        <f t="shared" si="18"/>
        <v>MT</v>
      </c>
      <c r="E61" s="4">
        <f t="shared" ref="E61:R61" si="42">IFERROR(E26/D26-1,0)</f>
        <v>0.10209756872715725</v>
      </c>
      <c r="F61" s="4">
        <f t="shared" si="42"/>
        <v>3.4442361761949369E-2</v>
      </c>
      <c r="G61" s="4">
        <f t="shared" si="42"/>
        <v>4.193745099747348E-2</v>
      </c>
      <c r="H61" s="4">
        <f t="shared" si="42"/>
        <v>-0.13163439349854522</v>
      </c>
      <c r="I61" s="4">
        <f t="shared" si="42"/>
        <v>-0.15039476217985759</v>
      </c>
      <c r="J61" s="4">
        <f t="shared" si="42"/>
        <v>-9.6396192203082487E-2</v>
      </c>
      <c r="K61" s="4">
        <f t="shared" si="42"/>
        <v>9.7699852007926413E-2</v>
      </c>
      <c r="L61" s="4">
        <f t="shared" si="42"/>
        <v>0.19350121109638496</v>
      </c>
      <c r="M61" s="4">
        <f t="shared" si="42"/>
        <v>6.251196630289102E-2</v>
      </c>
      <c r="N61" s="4">
        <f t="shared" si="42"/>
        <v>-6.4149923416523258E-3</v>
      </c>
      <c r="O61" s="4">
        <f t="shared" si="42"/>
        <v>-3.8811004914852676E-3</v>
      </c>
      <c r="P61" s="4">
        <f t="shared" si="42"/>
        <v>4.0619025944469866E-2</v>
      </c>
      <c r="Q61" s="4">
        <f t="shared" si="42"/>
        <v>2.9375743578976765E-2</v>
      </c>
      <c r="R61" s="4">
        <f t="shared" si="42"/>
        <v>3.7086768080224486E-2</v>
      </c>
      <c r="S61" s="4">
        <f t="shared" si="20"/>
        <v>8.5615484209318637E-2</v>
      </c>
      <c r="T61" s="4">
        <f t="shared" si="21"/>
        <v>5.7230416207484813E-2</v>
      </c>
      <c r="U61" s="4">
        <f t="shared" si="22"/>
        <v>5.6631254283756149E-2</v>
      </c>
      <c r="V61" s="4">
        <f t="shared" si="22"/>
        <v>-0.12159788102381153</v>
      </c>
      <c r="AA61" s="14">
        <v>0</v>
      </c>
      <c r="AB61" s="4">
        <v>-4.1796023652859858E-2</v>
      </c>
      <c r="AC61" s="4">
        <f t="shared" ca="1" si="24"/>
        <v>5.1743290359199223E-2</v>
      </c>
      <c r="AD61" s="4"/>
    </row>
    <row r="62" spans="2:30">
      <c r="B62" t="str">
        <f t="shared" si="18"/>
        <v>NL</v>
      </c>
      <c r="C62" t="str">
        <f t="shared" si="18"/>
        <v>NL</v>
      </c>
      <c r="E62" s="4">
        <f t="shared" ref="E62:R62" si="43">IFERROR(E27/D27-1,0)</f>
        <v>-2.0949610743609681E-2</v>
      </c>
      <c r="F62" s="4">
        <f t="shared" si="43"/>
        <v>5.3030405692258142E-3</v>
      </c>
      <c r="G62" s="4">
        <f t="shared" si="43"/>
        <v>-3.8392821559286361E-2</v>
      </c>
      <c r="H62" s="4">
        <f t="shared" si="43"/>
        <v>-9.8523658333556918E-2</v>
      </c>
      <c r="I62" s="4">
        <f t="shared" si="43"/>
        <v>7.5955396775470918E-2</v>
      </c>
      <c r="J62" s="4">
        <f t="shared" si="43"/>
        <v>-3.7918786411162975E-2</v>
      </c>
      <c r="K62" s="4">
        <f t="shared" si="43"/>
        <v>-1.6038005864830285E-2</v>
      </c>
      <c r="L62" s="4">
        <f t="shared" si="43"/>
        <v>-1.5336201637198954E-2</v>
      </c>
      <c r="M62" s="4">
        <f t="shared" si="43"/>
        <v>-2.0226086352097439E-2</v>
      </c>
      <c r="N62" s="4">
        <f t="shared" si="43"/>
        <v>1.680173365636195E-3</v>
      </c>
      <c r="O62" s="4">
        <f t="shared" si="43"/>
        <v>4.9975383069733814E-2</v>
      </c>
      <c r="P62" s="4">
        <f t="shared" si="43"/>
        <v>-2.3315135132344622E-3</v>
      </c>
      <c r="Q62" s="4">
        <f t="shared" si="43"/>
        <v>-8.6679468618691136E-3</v>
      </c>
      <c r="R62" s="4">
        <f t="shared" si="43"/>
        <v>-2.8031228220490201E-2</v>
      </c>
      <c r="S62" s="4">
        <f t="shared" si="20"/>
        <v>-1.2632010979701791E-3</v>
      </c>
      <c r="T62" s="4">
        <f t="shared" si="21"/>
        <v>9.7134972564849598E-4</v>
      </c>
      <c r="U62" s="4">
        <f t="shared" si="22"/>
        <v>-7.2662466611528087E-2</v>
      </c>
      <c r="V62" s="4">
        <f t="shared" ca="1" si="22"/>
        <v>-7.7881007838325189E-3</v>
      </c>
      <c r="AA62" s="14">
        <v>0</v>
      </c>
      <c r="AB62" s="4">
        <v>-7.7881007838324842E-3</v>
      </c>
      <c r="AC62" s="4">
        <f t="shared" ca="1" si="24"/>
        <v>2.8604389063346947E-3</v>
      </c>
      <c r="AD62" s="4"/>
    </row>
    <row r="63" spans="2:30">
      <c r="B63" t="str">
        <f t="shared" si="18"/>
        <v>PL</v>
      </c>
      <c r="C63" t="str">
        <f t="shared" si="18"/>
        <v>PL</v>
      </c>
      <c r="E63" s="4">
        <f t="shared" ref="E63:R63" si="44">IFERROR(E28/D28-1,0)</f>
        <v>2.4750802246151782E-3</v>
      </c>
      <c r="F63" s="4">
        <f t="shared" si="44"/>
        <v>4.0665521669061455E-2</v>
      </c>
      <c r="G63" s="4">
        <f t="shared" si="44"/>
        <v>-8.3099603430760727E-2</v>
      </c>
      <c r="H63" s="4">
        <f t="shared" si="44"/>
        <v>-8.2905228118717256E-2</v>
      </c>
      <c r="I63" s="4">
        <f t="shared" si="44"/>
        <v>5.2714281904262306E-2</v>
      </c>
      <c r="J63" s="4">
        <f t="shared" si="44"/>
        <v>3.423824512252116E-2</v>
      </c>
      <c r="K63" s="4">
        <f t="shared" si="44"/>
        <v>-1.6346258942997682E-2</v>
      </c>
      <c r="L63" s="4">
        <f t="shared" si="44"/>
        <v>3.4765296873343399E-2</v>
      </c>
      <c r="M63" s="4">
        <f t="shared" si="44"/>
        <v>-4.0429380526862957E-3</v>
      </c>
      <c r="N63" s="4">
        <f t="shared" si="44"/>
        <v>-4.071997022309759E-3</v>
      </c>
      <c r="O63" s="4">
        <f t="shared" si="44"/>
        <v>3.9501632421986344E-2</v>
      </c>
      <c r="P63" s="4">
        <f t="shared" si="44"/>
        <v>7.9676940737434476E-2</v>
      </c>
      <c r="Q63" s="4">
        <f t="shared" si="44"/>
        <v>3.2114971794982017E-2</v>
      </c>
      <c r="R63" s="4">
        <f t="shared" si="44"/>
        <v>1.0060610848830587E-2</v>
      </c>
      <c r="S63" s="4">
        <f t="shared" si="20"/>
        <v>-3.4624783928212444E-2</v>
      </c>
      <c r="T63" s="4">
        <f t="shared" si="21"/>
        <v>2.2168415439447919E-2</v>
      </c>
      <c r="U63" s="4">
        <f t="shared" si="22"/>
        <v>-7.373465292607051E-2</v>
      </c>
      <c r="V63" s="4">
        <f t="shared" ca="1" si="22"/>
        <v>-9.2510197859080656E-2</v>
      </c>
      <c r="AA63" s="14">
        <v>0</v>
      </c>
      <c r="AB63" s="4">
        <v>-9.2510197859080684E-2</v>
      </c>
      <c r="AC63" s="4">
        <f t="shared" ca="1" si="24"/>
        <v>8.3630210295182472E-3</v>
      </c>
      <c r="AD63" s="4"/>
    </row>
    <row r="64" spans="2:30" ht="15">
      <c r="B64" t="str">
        <f t="shared" si="18"/>
        <v>PT</v>
      </c>
      <c r="C64" t="str">
        <f t="shared" si="18"/>
        <v>PT</v>
      </c>
      <c r="E64" s="4">
        <f t="shared" ref="E64:R64" si="45">IFERROR(E29/D29-1,0)</f>
        <v>-5.5817555819279718E-3</v>
      </c>
      <c r="F64" s="4">
        <f t="shared" si="45"/>
        <v>1.4128034018159097E-2</v>
      </c>
      <c r="G64" s="4">
        <f t="shared" si="45"/>
        <v>-5.4819505032868365E-2</v>
      </c>
      <c r="H64" s="4">
        <f t="shared" si="45"/>
        <v>-5.6511794606933563E-2</v>
      </c>
      <c r="I64" s="4">
        <f t="shared" si="45"/>
        <v>4.6498808116317569E-2</v>
      </c>
      <c r="J64" s="4">
        <f t="shared" si="45"/>
        <v>-1.913133781352061E-2</v>
      </c>
      <c r="K64" s="4">
        <f t="shared" si="45"/>
        <v>-0.13929746034907786</v>
      </c>
      <c r="L64" s="4">
        <f t="shared" si="45"/>
        <v>-1.6334608506719528E-3</v>
      </c>
      <c r="M64" s="4">
        <f t="shared" si="45"/>
        <v>-4.2001049439106763E-2</v>
      </c>
      <c r="N64" s="4">
        <f t="shared" si="45"/>
        <v>1.3669280142838414E-3</v>
      </c>
      <c r="O64" s="4">
        <f t="shared" si="45"/>
        <v>-6.8171499126944424E-3</v>
      </c>
      <c r="P64" s="4">
        <f t="shared" si="45"/>
        <v>3.2831619325761396E-2</v>
      </c>
      <c r="Q64" s="4">
        <f t="shared" si="45"/>
        <v>6.3209110915813937E-3</v>
      </c>
      <c r="R64" s="4">
        <f t="shared" si="45"/>
        <v>1.4103732162820348E-2</v>
      </c>
      <c r="S64" s="4">
        <f t="shared" si="20"/>
        <v>-3.6938993462286018E-2</v>
      </c>
      <c r="T64" s="4">
        <f t="shared" si="21"/>
        <v>1.8780723451778725E-2</v>
      </c>
      <c r="U64" s="4">
        <f t="shared" si="22"/>
        <v>-7.6196180722994944E-3</v>
      </c>
      <c r="V64" s="4">
        <f t="shared" ca="1" si="22"/>
        <v>0</v>
      </c>
      <c r="AA64" s="14">
        <v>0</v>
      </c>
      <c r="AB64" s="4">
        <v>-0.11453936866286336</v>
      </c>
      <c r="AC64" s="4">
        <f t="shared" ca="1" si="24"/>
        <v>-6.1470125265143949E-3</v>
      </c>
      <c r="AD64" s="121"/>
    </row>
    <row r="65" spans="2:30">
      <c r="B65" t="str">
        <f t="shared" si="18"/>
        <v>RO</v>
      </c>
      <c r="C65" t="str">
        <f t="shared" si="18"/>
        <v>RO</v>
      </c>
      <c r="E65" s="4">
        <f t="shared" ref="E65:R65" si="46">IFERROR(E30/D30-1,0)</f>
        <v>-3.8215418668717027E-2</v>
      </c>
      <c r="F65" s="4">
        <f t="shared" si="46"/>
        <v>-3.6657991481663155E-2</v>
      </c>
      <c r="G65" s="4">
        <f t="shared" si="46"/>
        <v>-2.1459662491928322E-3</v>
      </c>
      <c r="H65" s="4">
        <f t="shared" si="46"/>
        <v>-0.26134611965526744</v>
      </c>
      <c r="I65" s="4">
        <f t="shared" si="46"/>
        <v>5.5262761313707109E-2</v>
      </c>
      <c r="J65" s="4">
        <f t="shared" si="46"/>
        <v>8.8753808298485781E-2</v>
      </c>
      <c r="K65" s="4">
        <f t="shared" si="46"/>
        <v>-4.4114814074041719E-2</v>
      </c>
      <c r="L65" s="4">
        <f t="shared" si="46"/>
        <v>-7.044932356586997E-2</v>
      </c>
      <c r="M65" s="4">
        <f t="shared" si="46"/>
        <v>2.4642725908260221E-2</v>
      </c>
      <c r="N65" s="4">
        <f t="shared" si="46"/>
        <v>-1.3266588097099463E-3</v>
      </c>
      <c r="O65" s="4">
        <f t="shared" si="46"/>
        <v>-2.4163337694414144E-2</v>
      </c>
      <c r="P65" s="4">
        <f t="shared" si="46"/>
        <v>2.7767986058294447E-2</v>
      </c>
      <c r="Q65" s="4">
        <f t="shared" si="46"/>
        <v>2.7137520078897248E-2</v>
      </c>
      <c r="R65" s="4">
        <f t="shared" si="46"/>
        <v>7.3543278245693511E-3</v>
      </c>
      <c r="S65" s="4">
        <f t="shared" si="20"/>
        <v>-3.3633070277221511E-2</v>
      </c>
      <c r="T65" s="4">
        <f t="shared" si="21"/>
        <v>6.5140590436802315E-2</v>
      </c>
      <c r="U65" s="4">
        <f t="shared" si="22"/>
        <v>-0.1628560589807132</v>
      </c>
      <c r="V65" s="4">
        <f t="shared" ca="1" si="22"/>
        <v>-6.2246573746707501E-2</v>
      </c>
      <c r="AA65" s="14">
        <v>0</v>
      </c>
      <c r="AB65" s="4">
        <v>-6.2246573746707543E-2</v>
      </c>
      <c r="AC65" s="4">
        <f t="shared" ca="1" si="24"/>
        <v>4.4696925613081806E-2</v>
      </c>
      <c r="AD65" s="4"/>
    </row>
    <row r="66" spans="2:30">
      <c r="B66" t="str">
        <f t="shared" si="18"/>
        <v>SE</v>
      </c>
      <c r="C66" t="str">
        <f t="shared" si="18"/>
        <v>SE</v>
      </c>
      <c r="E66" s="4">
        <f t="shared" ref="E66:R66" si="47">IFERROR(E31/D31-1,0)</f>
        <v>1.964593965519601E-2</v>
      </c>
      <c r="F66" s="4">
        <f t="shared" si="47"/>
        <v>8.9100067950791395E-3</v>
      </c>
      <c r="G66" s="4">
        <f t="shared" si="47"/>
        <v>-2.7381118255733972E-2</v>
      </c>
      <c r="H66" s="4">
        <f t="shared" si="47"/>
        <v>-6.9887396126672607E-2</v>
      </c>
      <c r="I66" s="4">
        <f t="shared" si="47"/>
        <v>6.9318498802294348E-2</v>
      </c>
      <c r="J66" s="4">
        <f t="shared" si="47"/>
        <v>-3.0848058293304614E-2</v>
      </c>
      <c r="K66" s="4">
        <f t="shared" si="47"/>
        <v>-4.1012704239813402E-3</v>
      </c>
      <c r="L66" s="4">
        <f t="shared" si="47"/>
        <v>-1.9065200333081456E-2</v>
      </c>
      <c r="M66" s="4">
        <f t="shared" si="47"/>
        <v>-2.0911939079549247E-2</v>
      </c>
      <c r="N66" s="4">
        <f t="shared" si="47"/>
        <v>2.0380912254058803E-2</v>
      </c>
      <c r="O66" s="4">
        <f t="shared" si="47"/>
        <v>-4.3493293959526724E-3</v>
      </c>
      <c r="P66" s="4">
        <f t="shared" si="47"/>
        <v>-4.926515170020962E-3</v>
      </c>
      <c r="Q66" s="4">
        <f t="shared" si="47"/>
        <v>8.8103225059481538E-3</v>
      </c>
      <c r="R66" s="4">
        <f t="shared" si="47"/>
        <v>-1.1043478213496383E-2</v>
      </c>
      <c r="S66" s="4">
        <f t="shared" si="20"/>
        <v>2.411687302465193E-2</v>
      </c>
      <c r="T66" s="4">
        <f t="shared" si="21"/>
        <v>-3.0222977836512621E-3</v>
      </c>
      <c r="U66" s="4">
        <f t="shared" si="22"/>
        <v>5.1788037010209731E-3</v>
      </c>
      <c r="V66" s="4">
        <f t="shared" ca="1" si="22"/>
        <v>-7.2243540397731731E-3</v>
      </c>
      <c r="AA66" s="14">
        <v>0</v>
      </c>
      <c r="AB66" s="4">
        <v>-7.2243540397730144E-3</v>
      </c>
      <c r="AC66" s="4">
        <f t="shared" ca="1" si="24"/>
        <v>5.4619272846949674E-3</v>
      </c>
      <c r="AD66" s="4"/>
    </row>
    <row r="67" spans="2:30">
      <c r="B67" t="str">
        <f t="shared" si="18"/>
        <v>SI</v>
      </c>
      <c r="C67" t="str">
        <f t="shared" si="18"/>
        <v>SI</v>
      </c>
      <c r="E67" s="4">
        <f t="shared" ref="E67:R67" si="48">IFERROR(E32/D32-1,0)</f>
        <v>3.3659968697444143E-2</v>
      </c>
      <c r="F67" s="4">
        <f t="shared" si="48"/>
        <v>-5.5085841652598666E-2</v>
      </c>
      <c r="G67" s="4">
        <f t="shared" si="48"/>
        <v>-7.6027211493720936E-2</v>
      </c>
      <c r="H67" s="4">
        <f t="shared" si="48"/>
        <v>-0.17789216999767055</v>
      </c>
      <c r="I67" s="4">
        <f t="shared" si="48"/>
        <v>4.3360620027057539E-2</v>
      </c>
      <c r="J67" s="4">
        <f t="shared" si="48"/>
        <v>-2.9169832409250418E-2</v>
      </c>
      <c r="K67" s="4">
        <f t="shared" si="48"/>
        <v>-2.3832315190008502E-2</v>
      </c>
      <c r="L67" s="4">
        <f t="shared" si="48"/>
        <v>-8.0858760955231368E-3</v>
      </c>
      <c r="M67" s="4">
        <f t="shared" si="48"/>
        <v>2.8023188725262882E-2</v>
      </c>
      <c r="N67" s="4">
        <f t="shared" si="48"/>
        <v>-2.5925652182035019E-3</v>
      </c>
      <c r="O67" s="4">
        <f t="shared" si="48"/>
        <v>1.1657781096577446E-2</v>
      </c>
      <c r="P67" s="4">
        <f t="shared" si="48"/>
        <v>4.2882889264346247E-2</v>
      </c>
      <c r="Q67" s="4">
        <f t="shared" si="48"/>
        <v>1.8187543801693629E-2</v>
      </c>
      <c r="R67" s="4">
        <f t="shared" si="48"/>
        <v>2.2013741911617313E-3</v>
      </c>
      <c r="S67" s="4">
        <f t="shared" si="20"/>
        <v>-4.9673242163863041E-2</v>
      </c>
      <c r="T67" s="4">
        <f t="shared" si="21"/>
        <v>3.0129543906119771E-2</v>
      </c>
      <c r="U67" s="4">
        <f t="shared" si="22"/>
        <v>-8.7599660965352433E-2</v>
      </c>
      <c r="V67" s="4">
        <f t="shared" ca="1" si="22"/>
        <v>-3.2866827719666647E-2</v>
      </c>
      <c r="AA67" s="14">
        <v>0</v>
      </c>
      <c r="AB67" s="4">
        <v>-3.2866827719666598E-2</v>
      </c>
      <c r="AC67" s="4">
        <f t="shared" ca="1" si="24"/>
        <v>1.9963823772970457E-3</v>
      </c>
      <c r="AD67" s="4"/>
    </row>
    <row r="68" spans="2:30">
      <c r="B68" t="str">
        <f t="shared" si="18"/>
        <v>SK</v>
      </c>
      <c r="C68" t="str">
        <f t="shared" si="18"/>
        <v>SK</v>
      </c>
      <c r="E68" s="4">
        <f t="shared" ref="E68:R68" si="49">IFERROR(E33/D33-1,0)</f>
        <v>-6.9071036059970004E-3</v>
      </c>
      <c r="F68" s="4">
        <f t="shared" si="49"/>
        <v>2.7151756284502948E-2</v>
      </c>
      <c r="G68" s="4">
        <f t="shared" si="49"/>
        <v>-3.0700414462420111E-3</v>
      </c>
      <c r="H68" s="4">
        <f t="shared" si="49"/>
        <v>-0.14597247432064875</v>
      </c>
      <c r="I68" s="4">
        <f t="shared" si="49"/>
        <v>3.3843689184340109E-2</v>
      </c>
      <c r="J68" s="4">
        <f t="shared" si="49"/>
        <v>9.6911186612269606E-3</v>
      </c>
      <c r="K68" s="4">
        <f t="shared" si="49"/>
        <v>-6.6088517573175132E-3</v>
      </c>
      <c r="L68" s="4">
        <f t="shared" si="49"/>
        <v>-3.6798619093164509E-2</v>
      </c>
      <c r="M68" s="4">
        <f t="shared" si="49"/>
        <v>4.0712183091334175E-2</v>
      </c>
      <c r="N68" s="4">
        <f t="shared" si="49"/>
        <v>2.8301520100393995E-2</v>
      </c>
      <c r="O68" s="4">
        <f t="shared" si="49"/>
        <v>-7.4384159458997789E-3</v>
      </c>
      <c r="P68" s="4">
        <f t="shared" si="49"/>
        <v>4.3482755118818384E-2</v>
      </c>
      <c r="Q68" s="4">
        <f t="shared" si="49"/>
        <v>6.0854606681299828E-2</v>
      </c>
      <c r="R68" s="4">
        <f t="shared" si="49"/>
        <v>-5.4295394533682928E-2</v>
      </c>
      <c r="S68" s="4">
        <f t="shared" si="20"/>
        <v>-9.3976060144124074E-2</v>
      </c>
      <c r="T68" s="4">
        <f t="shared" si="21"/>
        <v>7.7820658299388334E-2</v>
      </c>
      <c r="U68" s="4">
        <f t="shared" si="22"/>
        <v>-6.3396850512891456E-2</v>
      </c>
      <c r="V68" s="4">
        <f t="shared" ca="1" si="22"/>
        <v>-1.5288189933819973E-2</v>
      </c>
      <c r="AA68" s="14">
        <v>0</v>
      </c>
      <c r="AB68" s="4">
        <v>-1.5288189933820008E-2</v>
      </c>
      <c r="AC68" s="4">
        <f t="shared" ca="1" si="24"/>
        <v>-3.9818697148541804E-2</v>
      </c>
      <c r="AD68" s="4"/>
    </row>
    <row r="69" spans="2:30">
      <c r="B69" t="str">
        <f t="shared" si="18"/>
        <v>UK</v>
      </c>
      <c r="C69" t="str">
        <f t="shared" si="18"/>
        <v>UK</v>
      </c>
      <c r="E69" s="4">
        <f t="shared" ref="E69:R71" si="50">IFERROR(E34/D34-1,0)</f>
        <v>-2.7729454437930734E-2</v>
      </c>
      <c r="F69" s="4">
        <f t="shared" si="50"/>
        <v>-1.8476265987187102E-2</v>
      </c>
      <c r="G69" s="4">
        <f t="shared" si="50"/>
        <v>-1.8926248556554448E-2</v>
      </c>
      <c r="H69" s="4">
        <f t="shared" si="50"/>
        <v>-0.14743556652096224</v>
      </c>
      <c r="I69" s="4">
        <f t="shared" si="50"/>
        <v>5.0760189170344638E-2</v>
      </c>
      <c r="J69" s="4">
        <f t="shared" si="50"/>
        <v>-6.4242850293726783E-2</v>
      </c>
      <c r="K69" s="4">
        <f t="shared" si="50"/>
        <v>-1.4148984107041018E-2</v>
      </c>
      <c r="L69" s="4">
        <f t="shared" si="50"/>
        <v>1.2908837738763168E-3</v>
      </c>
      <c r="M69" s="4">
        <f t="shared" si="50"/>
        <v>-2.859354615394949E-2</v>
      </c>
      <c r="N69" s="4">
        <f t="shared" si="50"/>
        <v>4.0377133055053971E-3</v>
      </c>
      <c r="O69" s="4">
        <f t="shared" si="50"/>
        <v>-7.6124913488207491E-2</v>
      </c>
      <c r="P69" s="4">
        <f t="shared" si="50"/>
        <v>1.5055597835734513E-2</v>
      </c>
      <c r="Q69" s="4">
        <f t="shared" si="50"/>
        <v>2.9420054125355311E-3</v>
      </c>
      <c r="R69" s="4">
        <f t="shared" si="50"/>
        <v>-2.6305631686116326E-2</v>
      </c>
      <c r="S69" s="4">
        <f t="shared" si="20"/>
        <v>-1</v>
      </c>
      <c r="T69" s="4">
        <f t="shared" si="21"/>
        <v>0</v>
      </c>
      <c r="U69" s="4">
        <f t="shared" si="22"/>
        <v>0</v>
      </c>
      <c r="V69" s="4">
        <f t="shared" ca="1" si="22"/>
        <v>0</v>
      </c>
      <c r="AA69" s="14">
        <v>0</v>
      </c>
      <c r="AB69" s="4">
        <v>0</v>
      </c>
      <c r="AC69" s="4" t="e">
        <f t="shared" ca="1" si="24"/>
        <v>#DIV/0!</v>
      </c>
      <c r="AD69" s="4"/>
    </row>
    <row r="70" spans="2:30">
      <c r="B70" s="40" t="s">
        <v>189</v>
      </c>
      <c r="C70" s="40" t="s">
        <v>189</v>
      </c>
      <c r="D70" s="41"/>
      <c r="E70" s="49">
        <f t="shared" si="50"/>
        <v>-2.0923070441891567E-2</v>
      </c>
      <c r="F70" s="49">
        <f t="shared" ref="F70:F71" si="51">IFERROR(F35/E35-1,0)</f>
        <v>1.387253785433229E-2</v>
      </c>
      <c r="G70" s="49">
        <f t="shared" ref="G70:G71" si="52">IFERROR(G35/F35-1,0)</f>
        <v>-3.2032327180380182E-2</v>
      </c>
      <c r="H70" s="49">
        <f t="shared" ref="H70:H71" si="53">IFERROR(H35/G35-1,0)</f>
        <v>-0.13667458300743851</v>
      </c>
      <c r="I70" s="49">
        <f t="shared" ref="I70:I71" si="54">IFERROR(I35/H35-1,0)</f>
        <v>6.2843863104845576E-2</v>
      </c>
      <c r="J70" s="49">
        <f t="shared" ref="J70:J71" si="55">IFERROR(J35/I35-1,0)</f>
        <v>-4.2176296999386631E-3</v>
      </c>
      <c r="K70" s="49">
        <f t="shared" ref="K70:K71" si="56">IFERROR(K35/J35-1,0)</f>
        <v>-1.8219588756839378E-2</v>
      </c>
      <c r="L70" s="49">
        <f t="shared" ref="L70:L71" si="57">IFERROR(L35/K35-1,0)</f>
        <v>-1.0975669428808565E-2</v>
      </c>
      <c r="M70" s="49">
        <f t="shared" ref="M70:M71" si="58">IFERROR(M35/L35-1,0)</f>
        <v>-1.5921197256060005E-2</v>
      </c>
      <c r="N70" s="49">
        <f t="shared" ref="N70:N71" si="59">IFERROR(N35/M35-1,0)</f>
        <v>4.9544217457508921E-4</v>
      </c>
      <c r="O70" s="49">
        <f t="shared" ref="O70:O71" si="60">IFERROR(O35/N35-1,0)</f>
        <v>9.8578106510538444E-3</v>
      </c>
      <c r="P70" s="49">
        <f t="shared" ref="P70:R71" si="61">IFERROR(P35/O35-1,0)</f>
        <v>9.7820950219953406E-3</v>
      </c>
      <c r="Q70" s="49">
        <f t="shared" ref="Q70:Q71" si="62">IFERROR(Q35/P35-1,0)</f>
        <v>7.1196744280765945E-3</v>
      </c>
      <c r="R70" s="49">
        <f t="shared" si="61"/>
        <v>-1.2797995338719836E-2</v>
      </c>
      <c r="S70" s="49">
        <f t="shared" si="20"/>
        <v>-0.11452533117551789</v>
      </c>
      <c r="T70" s="49">
        <f t="shared" si="21"/>
        <v>5.7873916560089222E-2</v>
      </c>
      <c r="U70" s="49">
        <f t="shared" si="22"/>
        <v>-7.0691657359795435E-2</v>
      </c>
      <c r="V70" s="49">
        <f t="shared" ca="1" si="22"/>
        <v>-2.6212899324451588E-2</v>
      </c>
    </row>
    <row r="71" spans="2:30">
      <c r="B71" s="40" t="s">
        <v>190</v>
      </c>
      <c r="C71" s="40" t="s">
        <v>190</v>
      </c>
      <c r="D71" s="41"/>
      <c r="E71" s="49">
        <f t="shared" si="50"/>
        <v>-2.0168065339275398E-2</v>
      </c>
      <c r="F71" s="49">
        <f t="shared" si="51"/>
        <v>1.7433170796375963E-2</v>
      </c>
      <c r="G71" s="49">
        <f t="shared" si="52"/>
        <v>-3.3423998448619985E-2</v>
      </c>
      <c r="H71" s="49">
        <f t="shared" si="53"/>
        <v>-0.13551478727506727</v>
      </c>
      <c r="I71" s="49">
        <f t="shared" si="54"/>
        <v>6.4128256845305875E-2</v>
      </c>
      <c r="J71" s="49">
        <f t="shared" si="55"/>
        <v>2.0823997817633888E-3</v>
      </c>
      <c r="K71" s="49">
        <f t="shared" si="56"/>
        <v>-1.86185470167608E-2</v>
      </c>
      <c r="L71" s="49">
        <f t="shared" si="57"/>
        <v>-1.2183384610668258E-2</v>
      </c>
      <c r="M71" s="49">
        <f t="shared" si="58"/>
        <v>-1.4656510310344206E-2</v>
      </c>
      <c r="N71" s="49">
        <f t="shared" si="59"/>
        <v>1.4692751787848124E-4</v>
      </c>
      <c r="O71" s="49">
        <f t="shared" si="60"/>
        <v>1.8350332415845383E-2</v>
      </c>
      <c r="P71" s="49">
        <f t="shared" si="61"/>
        <v>9.3095527156878966E-3</v>
      </c>
      <c r="Q71" s="49">
        <f t="shared" si="62"/>
        <v>7.4961536311783927E-3</v>
      </c>
      <c r="R71" s="49">
        <f t="shared" si="61"/>
        <v>-1.1586229386762903E-2</v>
      </c>
      <c r="S71" s="49">
        <f t="shared" si="20"/>
        <v>-3.6272619151756058E-2</v>
      </c>
      <c r="T71" s="49">
        <f t="shared" si="21"/>
        <v>5.7873916560089222E-2</v>
      </c>
      <c r="U71" s="49">
        <f t="shared" si="22"/>
        <v>-7.0691657359795435E-2</v>
      </c>
      <c r="V71" s="49">
        <f t="shared" ca="1" si="22"/>
        <v>-2.6212899324451588E-2</v>
      </c>
    </row>
  </sheetData>
  <conditionalFormatting sqref="AG7:AG34">
    <cfRule type="cellIs" dxfId="5" priority="1" operator="greaterThan">
      <formula>$AG$5</formula>
    </cfRule>
  </conditionalFormatting>
  <pageMargins left="0.7" right="0.7" top="0.78740157499999996" bottom="0.78740157499999996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V71"/>
  <sheetViews>
    <sheetView zoomScale="80" zoomScaleNormal="80" workbookViewId="0">
      <selection activeCell="D6" sqref="D6:V37"/>
    </sheetView>
  </sheetViews>
  <sheetFormatPr baseColWidth="10" defaultColWidth="11.5" defaultRowHeight="13"/>
  <cols>
    <col min="1" max="1" width="13.5" customWidth="1"/>
  </cols>
  <sheetData>
    <row r="1" spans="1:22">
      <c r="A1" t="s">
        <v>66</v>
      </c>
    </row>
    <row r="2" spans="1:22">
      <c r="A2" t="s">
        <v>227</v>
      </c>
    </row>
    <row r="4" spans="1:22">
      <c r="P4" s="5"/>
      <c r="Q4" s="5"/>
      <c r="R4" s="5"/>
      <c r="S4" s="5"/>
      <c r="T4" s="5"/>
      <c r="U4" s="5"/>
    </row>
    <row r="5" spans="1:22">
      <c r="D5" t="s">
        <v>173</v>
      </c>
      <c r="V5" t="s">
        <v>174</v>
      </c>
    </row>
    <row r="6" spans="1:22">
      <c r="A6" t="s">
        <v>212</v>
      </c>
      <c r="B6" t="s">
        <v>175</v>
      </c>
      <c r="C6" t="s">
        <v>176</v>
      </c>
      <c r="D6" s="1">
        <f>'FEC Total'!D6</f>
        <v>2005</v>
      </c>
      <c r="E6" s="1">
        <f>'FEC Total'!E6</f>
        <v>2006</v>
      </c>
      <c r="F6" s="1">
        <f>'FEC Total'!F6</f>
        <v>2007</v>
      </c>
      <c r="G6" s="1">
        <f>'FEC Total'!G6</f>
        <v>2008</v>
      </c>
      <c r="H6" s="1">
        <f>'FEC Total'!H6</f>
        <v>2009</v>
      </c>
      <c r="I6" s="1">
        <f>'FEC Total'!I6</f>
        <v>2010</v>
      </c>
      <c r="J6" s="1">
        <f>'FEC Total'!J6</f>
        <v>2011</v>
      </c>
      <c r="K6" s="1">
        <f>'FEC Total'!K6</f>
        <v>2012</v>
      </c>
      <c r="L6" s="1">
        <f>'FEC Total'!L6</f>
        <v>2013</v>
      </c>
      <c r="M6" s="1">
        <f>'FEC Total'!M6</f>
        <v>2014</v>
      </c>
      <c r="N6" s="1">
        <f>'FEC Total'!N6</f>
        <v>2015</v>
      </c>
      <c r="O6" s="1">
        <f>'FEC Total'!O6</f>
        <v>2016</v>
      </c>
      <c r="P6" s="1">
        <f>'FEC Total'!P6</f>
        <v>2017</v>
      </c>
      <c r="Q6" s="1">
        <f>'FEC Total'!Q6</f>
        <v>2018</v>
      </c>
      <c r="R6" s="1">
        <f>'FEC Total'!R6</f>
        <v>2019</v>
      </c>
      <c r="S6" s="1">
        <f>'FEC Total'!S6</f>
        <v>2020</v>
      </c>
      <c r="T6" s="1">
        <f>'FEC Total'!T6</f>
        <v>2021</v>
      </c>
      <c r="U6" s="1">
        <f>'FEC Total'!U6</f>
        <v>2022</v>
      </c>
      <c r="V6" s="2">
        <f>YearProxy</f>
        <v>2023</v>
      </c>
    </row>
    <row r="7" spans="1:22">
      <c r="A7">
        <v>2</v>
      </c>
      <c r="B7" t="s">
        <v>106</v>
      </c>
      <c r="C7" t="s">
        <v>106</v>
      </c>
      <c r="D7" s="3">
        <v>9059.3259999999991</v>
      </c>
      <c r="E7" s="3">
        <v>8948.18</v>
      </c>
      <c r="F7" s="3">
        <v>9114.0669999999991</v>
      </c>
      <c r="G7" s="3">
        <v>8845.2669999999998</v>
      </c>
      <c r="H7" s="3">
        <v>8532.7870000000003</v>
      </c>
      <c r="I7" s="3">
        <v>8830.4490000000005</v>
      </c>
      <c r="J7" s="3">
        <v>8575.2639999999992</v>
      </c>
      <c r="K7" s="3">
        <v>8472.8050000000003</v>
      </c>
      <c r="L7" s="3">
        <v>8943.1810000000005</v>
      </c>
      <c r="M7" s="3">
        <v>8877.1869999999999</v>
      </c>
      <c r="N7" s="3">
        <v>9163.0529999999999</v>
      </c>
      <c r="O7" s="3">
        <v>9361.7849999999999</v>
      </c>
      <c r="P7" s="3">
        <v>9461.7559999999994</v>
      </c>
      <c r="Q7" s="3">
        <v>9667.2260000000006</v>
      </c>
      <c r="R7" s="3">
        <v>9790.2240000000002</v>
      </c>
      <c r="S7" s="3">
        <v>8031.9759999999997</v>
      </c>
      <c r="T7" s="3">
        <v>8382.19</v>
      </c>
      <c r="U7" s="3">
        <v>8136.48</v>
      </c>
      <c r="V7" s="3">
        <f ca="1">'FEC Transport foss'!V7+'FEC Transport RES'!V7</f>
        <v>8132.3766914734715</v>
      </c>
    </row>
    <row r="8" spans="1:22">
      <c r="A8">
        <v>3</v>
      </c>
      <c r="B8" t="s">
        <v>177</v>
      </c>
      <c r="C8" t="s">
        <v>177</v>
      </c>
      <c r="D8" s="3">
        <v>9884.009</v>
      </c>
      <c r="E8" s="3">
        <v>10067.156000000001</v>
      </c>
      <c r="F8" s="3">
        <v>10429.254000000001</v>
      </c>
      <c r="G8" s="3">
        <v>10557.437</v>
      </c>
      <c r="H8" s="3">
        <v>10290.707</v>
      </c>
      <c r="I8" s="3">
        <v>10331.017</v>
      </c>
      <c r="J8" s="3">
        <v>10269.152</v>
      </c>
      <c r="K8" s="3">
        <v>9896.7579999999998</v>
      </c>
      <c r="L8" s="3">
        <v>9670.0550000000003</v>
      </c>
      <c r="M8" s="3">
        <v>9857.7870000000003</v>
      </c>
      <c r="N8" s="3">
        <v>10357.255999999999</v>
      </c>
      <c r="O8" s="3">
        <v>10445.545</v>
      </c>
      <c r="P8" s="3">
        <v>10439.528</v>
      </c>
      <c r="Q8" s="3">
        <v>10586.727000000001</v>
      </c>
      <c r="R8" s="3">
        <v>10523.550999999999</v>
      </c>
      <c r="S8" s="3">
        <v>8913.598</v>
      </c>
      <c r="T8" s="3">
        <v>10040.117</v>
      </c>
      <c r="U8" s="3">
        <v>10412.028</v>
      </c>
      <c r="V8" s="3">
        <f ca="1">'FEC Transport foss'!V8+'FEC Transport RES'!V8</f>
        <v>10688.263141078591</v>
      </c>
    </row>
    <row r="9" spans="1:22">
      <c r="A9">
        <v>4</v>
      </c>
      <c r="B9" t="s">
        <v>178</v>
      </c>
      <c r="C9" t="s">
        <v>178</v>
      </c>
      <c r="D9" s="3">
        <v>2905.752</v>
      </c>
      <c r="E9" s="3">
        <v>3036.0259999999998</v>
      </c>
      <c r="F9" s="3">
        <v>2948.8470000000002</v>
      </c>
      <c r="G9" s="3">
        <v>3095.84</v>
      </c>
      <c r="H9" s="3">
        <v>2913.5030000000002</v>
      </c>
      <c r="I9" s="3">
        <v>2862.16</v>
      </c>
      <c r="J9" s="3">
        <v>2929.3829999999998</v>
      </c>
      <c r="K9" s="3">
        <v>3077.6889999999999</v>
      </c>
      <c r="L9" s="3">
        <v>2779.5320000000002</v>
      </c>
      <c r="M9" s="3">
        <v>3085.9479999999999</v>
      </c>
      <c r="N9" s="3">
        <v>3388.2350000000001</v>
      </c>
      <c r="O9" s="3">
        <v>3480.674</v>
      </c>
      <c r="P9" s="3">
        <v>3562.8809999999999</v>
      </c>
      <c r="Q9" s="3">
        <v>3630.7959999999998</v>
      </c>
      <c r="R9" s="3">
        <v>3651.723</v>
      </c>
      <c r="S9" s="3">
        <v>3347.3180000000002</v>
      </c>
      <c r="T9" s="3">
        <v>3598.4520000000002</v>
      </c>
      <c r="U9" s="3">
        <v>3686.9639999999999</v>
      </c>
      <c r="V9" s="3">
        <f ca="1">'FEC Transport foss'!V9+'FEC Transport RES'!V9</f>
        <v>3830.9737614059241</v>
      </c>
    </row>
    <row r="10" spans="1:22">
      <c r="A10">
        <v>5</v>
      </c>
      <c r="B10" t="s">
        <v>179</v>
      </c>
      <c r="C10" t="s">
        <v>179</v>
      </c>
      <c r="D10" s="3">
        <v>982.46799999999996</v>
      </c>
      <c r="E10" s="3">
        <v>989.48800000000006</v>
      </c>
      <c r="F10" s="3">
        <v>1021.742</v>
      </c>
      <c r="G10" s="3">
        <v>1048.8340000000001</v>
      </c>
      <c r="H10" s="3">
        <v>1028.6469999999999</v>
      </c>
      <c r="I10" s="3">
        <v>1049.8409999999999</v>
      </c>
      <c r="J10" s="3">
        <v>1053.9880000000001</v>
      </c>
      <c r="K10" s="3">
        <v>966.01499999999999</v>
      </c>
      <c r="L10" s="3">
        <v>867.46400000000006</v>
      </c>
      <c r="M10" s="3">
        <v>842.85699999999997</v>
      </c>
      <c r="N10" s="3">
        <v>867.37</v>
      </c>
      <c r="O10" s="3">
        <v>935.16800000000001</v>
      </c>
      <c r="P10" s="3">
        <v>994.83699999999999</v>
      </c>
      <c r="Q10" s="3">
        <v>1009.436</v>
      </c>
      <c r="R10" s="3">
        <v>1003.228</v>
      </c>
      <c r="S10" s="3">
        <v>712.74599999999998</v>
      </c>
      <c r="T10" s="3">
        <v>819.28399999999999</v>
      </c>
      <c r="U10" s="3">
        <v>918.83600000000001</v>
      </c>
      <c r="V10" s="3">
        <f ca="1">'FEC Transport foss'!V10+'FEC Transport RES'!V10</f>
        <v>919.99279147759466</v>
      </c>
    </row>
    <row r="11" spans="1:22">
      <c r="A11">
        <v>6</v>
      </c>
      <c r="B11" t="s">
        <v>180</v>
      </c>
      <c r="C11" t="s">
        <v>180</v>
      </c>
      <c r="D11" s="3">
        <v>6062.3090000000002</v>
      </c>
      <c r="E11" s="3">
        <v>6299.4059999999999</v>
      </c>
      <c r="F11" s="3">
        <v>6635.9279999999999</v>
      </c>
      <c r="G11" s="3">
        <v>6680.7969999999996</v>
      </c>
      <c r="H11" s="3">
        <v>6561.0919999999996</v>
      </c>
      <c r="I11" s="3">
        <v>6229.473</v>
      </c>
      <c r="J11" s="3">
        <v>6245.8530000000001</v>
      </c>
      <c r="K11" s="3">
        <v>6082.6030000000001</v>
      </c>
      <c r="L11" s="3">
        <v>6022.0529999999999</v>
      </c>
      <c r="M11" s="3">
        <v>6241.4470000000001</v>
      </c>
      <c r="N11" s="3">
        <v>6489.9679999999998</v>
      </c>
      <c r="O11" s="3">
        <v>6733.5590000000002</v>
      </c>
      <c r="P11" s="3">
        <v>6971.9960000000001</v>
      </c>
      <c r="Q11" s="3">
        <v>7069.4350000000004</v>
      </c>
      <c r="R11" s="3">
        <v>7197.63</v>
      </c>
      <c r="S11" s="3">
        <v>6492.4409999999998</v>
      </c>
      <c r="T11" s="3">
        <v>6920.6329999999998</v>
      </c>
      <c r="U11" s="3">
        <v>7190.04</v>
      </c>
      <c r="V11" s="3">
        <f ca="1">'FEC Transport foss'!V11+'FEC Transport RES'!V11</f>
        <v>7714.7025239989161</v>
      </c>
    </row>
    <row r="12" spans="1:22">
      <c r="A12">
        <v>7</v>
      </c>
      <c r="B12" t="s">
        <v>91</v>
      </c>
      <c r="C12" t="s">
        <v>91</v>
      </c>
      <c r="D12" s="3">
        <v>62283.983999999997</v>
      </c>
      <c r="E12" s="3">
        <v>63392.803</v>
      </c>
      <c r="F12" s="3">
        <v>62399.303999999996</v>
      </c>
      <c r="G12" s="3">
        <v>61688.633999999998</v>
      </c>
      <c r="H12" s="3">
        <v>60582.928999999996</v>
      </c>
      <c r="I12" s="3">
        <v>61089.406000000003</v>
      </c>
      <c r="J12" s="3">
        <v>61294.381999999998</v>
      </c>
      <c r="K12" s="3">
        <v>61426.959000000003</v>
      </c>
      <c r="L12" s="3">
        <v>62571.464999999997</v>
      </c>
      <c r="M12" s="3">
        <v>63445.985000000001</v>
      </c>
      <c r="N12" s="3">
        <v>63155.188999999998</v>
      </c>
      <c r="O12" s="3">
        <v>65173.222000000002</v>
      </c>
      <c r="P12" s="3">
        <v>66773.67</v>
      </c>
      <c r="Q12" s="3">
        <v>65295.343000000001</v>
      </c>
      <c r="R12" s="3">
        <v>65964.648000000001</v>
      </c>
      <c r="S12" s="3">
        <v>55554.144</v>
      </c>
      <c r="T12" s="3">
        <v>55920.824000000001</v>
      </c>
      <c r="U12" s="3">
        <v>59425.377999999997</v>
      </c>
      <c r="V12" s="3">
        <f ca="1">'FEC Transport foss'!V12+'FEC Transport RES'!V12</f>
        <v>58469.276425999997</v>
      </c>
    </row>
    <row r="13" spans="1:22">
      <c r="A13">
        <v>8</v>
      </c>
      <c r="B13" t="s">
        <v>115</v>
      </c>
      <c r="C13" t="s">
        <v>115</v>
      </c>
      <c r="D13" s="3">
        <v>5265.6750000000002</v>
      </c>
      <c r="E13" s="3">
        <v>5365.7160000000003</v>
      </c>
      <c r="F13" s="3">
        <v>5566.0469999999996</v>
      </c>
      <c r="G13" s="3">
        <v>5511.6779999999999</v>
      </c>
      <c r="H13" s="3">
        <v>5162.7209999999995</v>
      </c>
      <c r="I13" s="3">
        <v>5158.8900000000003</v>
      </c>
      <c r="J13" s="3">
        <v>5169.8909999999996</v>
      </c>
      <c r="K13" s="3">
        <v>4902.21</v>
      </c>
      <c r="L13" s="3">
        <v>4826.0630000000001</v>
      </c>
      <c r="M13" s="3">
        <v>4929.018</v>
      </c>
      <c r="N13" s="3">
        <v>5096.9880000000003</v>
      </c>
      <c r="O13" s="3">
        <v>5220.4690000000001</v>
      </c>
      <c r="P13" s="3">
        <v>5240.7479999999996</v>
      </c>
      <c r="Q13" s="3">
        <v>5331.3280000000004</v>
      </c>
      <c r="R13" s="3">
        <v>5282.4830000000002</v>
      </c>
      <c r="S13" s="3">
        <v>4270.2659999999996</v>
      </c>
      <c r="T13" s="3">
        <v>4449.9549999999999</v>
      </c>
      <c r="U13" s="3">
        <v>4718.0919999999996</v>
      </c>
      <c r="V13" s="3">
        <f ca="1">'FEC Transport foss'!V13+'FEC Transport RES'!V13</f>
        <v>4569.8035982728534</v>
      </c>
    </row>
    <row r="14" spans="1:22">
      <c r="A14">
        <v>9</v>
      </c>
      <c r="B14" t="s">
        <v>120</v>
      </c>
      <c r="C14" t="s">
        <v>120</v>
      </c>
      <c r="D14" s="3">
        <v>768.625</v>
      </c>
      <c r="E14" s="3">
        <v>819.75800000000004</v>
      </c>
      <c r="F14" s="3">
        <v>862.71</v>
      </c>
      <c r="G14" s="3">
        <v>845.31200000000001</v>
      </c>
      <c r="H14" s="3">
        <v>749.92700000000002</v>
      </c>
      <c r="I14" s="3">
        <v>788.25</v>
      </c>
      <c r="J14" s="3">
        <v>794.64599999999996</v>
      </c>
      <c r="K14" s="3">
        <v>817.53300000000002</v>
      </c>
      <c r="L14" s="3">
        <v>786.84400000000005</v>
      </c>
      <c r="M14" s="3">
        <v>789.18</v>
      </c>
      <c r="N14" s="3">
        <v>809.98699999999997</v>
      </c>
      <c r="O14" s="3">
        <v>822.73</v>
      </c>
      <c r="P14" s="3">
        <v>863.51499999999999</v>
      </c>
      <c r="Q14" s="3">
        <v>904.202</v>
      </c>
      <c r="R14" s="3">
        <v>908.32100000000003</v>
      </c>
      <c r="S14" s="3">
        <v>819.63</v>
      </c>
      <c r="T14" s="3">
        <v>883.28800000000001</v>
      </c>
      <c r="U14" s="3">
        <v>903.08799999999997</v>
      </c>
      <c r="V14" s="3">
        <f ca="1">'FEC Transport foss'!V14+'FEC Transport RES'!V14</f>
        <v>950.05495100559779</v>
      </c>
    </row>
    <row r="15" spans="1:22">
      <c r="A15">
        <v>11</v>
      </c>
      <c r="B15" t="s">
        <v>85</v>
      </c>
      <c r="C15" t="s">
        <v>85</v>
      </c>
      <c r="D15" s="3">
        <v>40168.874000000003</v>
      </c>
      <c r="E15" s="3">
        <v>41218.917999999998</v>
      </c>
      <c r="F15" s="3">
        <v>42477.860999999997</v>
      </c>
      <c r="G15" s="3">
        <v>40700.866000000002</v>
      </c>
      <c r="H15" s="3">
        <v>38069.919000000002</v>
      </c>
      <c r="I15" s="3">
        <v>37381.434000000001</v>
      </c>
      <c r="J15" s="3">
        <v>36212.824999999997</v>
      </c>
      <c r="K15" s="3">
        <v>33489.964</v>
      </c>
      <c r="L15" s="3">
        <v>31883.68</v>
      </c>
      <c r="M15" s="3">
        <v>32172.702000000001</v>
      </c>
      <c r="N15" s="3">
        <v>33397.75</v>
      </c>
      <c r="O15" s="3">
        <v>34828.351999999999</v>
      </c>
      <c r="P15" s="3">
        <v>36330.402000000002</v>
      </c>
      <c r="Q15" s="3">
        <v>37286.148999999998</v>
      </c>
      <c r="R15" s="3">
        <v>37805.625999999997</v>
      </c>
      <c r="S15" s="3">
        <v>27634.819</v>
      </c>
      <c r="T15" s="3">
        <v>32197.364000000001</v>
      </c>
      <c r="U15" s="3">
        <v>36143.362000000001</v>
      </c>
      <c r="V15" s="3">
        <f ca="1">'FEC Transport foss'!V15+'FEC Transport RES'!V15</f>
        <v>35871.877517263376</v>
      </c>
    </row>
    <row r="16" spans="1:22">
      <c r="A16">
        <v>12</v>
      </c>
      <c r="B16" t="s">
        <v>2</v>
      </c>
      <c r="C16" t="s">
        <v>2</v>
      </c>
      <c r="D16" s="3">
        <v>4644.433</v>
      </c>
      <c r="E16" s="3">
        <v>4751.9679999999998</v>
      </c>
      <c r="F16" s="3">
        <v>4936.8239999999996</v>
      </c>
      <c r="G16" s="3">
        <v>4843.393</v>
      </c>
      <c r="H16" s="3">
        <v>4644.0529999999999</v>
      </c>
      <c r="I16" s="3">
        <v>4844.5919999999996</v>
      </c>
      <c r="J16" s="3">
        <v>4938.6130000000003</v>
      </c>
      <c r="K16" s="3">
        <v>4814.0789999999997</v>
      </c>
      <c r="L16" s="3">
        <v>4846.0119999999997</v>
      </c>
      <c r="M16" s="3">
        <v>4740.518</v>
      </c>
      <c r="N16" s="3">
        <v>4745.6899999999996</v>
      </c>
      <c r="O16" s="3">
        <v>4822.7349999999997</v>
      </c>
      <c r="P16" s="3">
        <v>4875.3230000000003</v>
      </c>
      <c r="Q16" s="3">
        <v>5020.3230000000003</v>
      </c>
      <c r="R16" s="3">
        <v>5017.7939999999999</v>
      </c>
      <c r="S16" s="3">
        <v>4165.8649999999998</v>
      </c>
      <c r="T16" s="3">
        <v>4300.6549999999997</v>
      </c>
      <c r="U16" s="3">
        <v>4388.4830000000002</v>
      </c>
      <c r="V16" s="3">
        <f ca="1">'FEC Transport foss'!V16+'FEC Transport RES'!V16</f>
        <v>4316.003865135528</v>
      </c>
    </row>
    <row r="17" spans="1:22">
      <c r="A17">
        <v>13</v>
      </c>
      <c r="B17" t="s">
        <v>82</v>
      </c>
      <c r="C17" t="s">
        <v>82</v>
      </c>
      <c r="D17" s="3">
        <v>49805.680999999997</v>
      </c>
      <c r="E17" s="3">
        <v>50250.580999999998</v>
      </c>
      <c r="F17" s="3">
        <v>50864.857000000004</v>
      </c>
      <c r="G17" s="3">
        <v>49809.144</v>
      </c>
      <c r="H17" s="3">
        <v>48947.404999999999</v>
      </c>
      <c r="I17" s="3">
        <v>49076.343000000001</v>
      </c>
      <c r="J17" s="3">
        <v>50732.65</v>
      </c>
      <c r="K17" s="3">
        <v>50444.330999999998</v>
      </c>
      <c r="L17" s="3">
        <v>50073.853000000003</v>
      </c>
      <c r="M17" s="3">
        <v>50390.968000000001</v>
      </c>
      <c r="N17" s="3">
        <v>51191.601000000002</v>
      </c>
      <c r="O17" s="3">
        <v>51253.803999999996</v>
      </c>
      <c r="P17" s="3">
        <v>51720.1</v>
      </c>
      <c r="Q17" s="3">
        <v>51031.336000000003</v>
      </c>
      <c r="R17" s="3">
        <v>51264.762000000002</v>
      </c>
      <c r="S17" s="3">
        <v>40676.446000000004</v>
      </c>
      <c r="T17" s="3">
        <v>45345.955999999998</v>
      </c>
      <c r="U17" s="3">
        <v>49306.468999999997</v>
      </c>
      <c r="V17" s="3">
        <f ca="1">'FEC Transport foss'!V17+'FEC Transport RES'!V17</f>
        <v>47864.214511333048</v>
      </c>
    </row>
    <row r="18" spans="1:22">
      <c r="A18">
        <v>10</v>
      </c>
      <c r="B18" t="s">
        <v>181</v>
      </c>
      <c r="C18" t="s">
        <v>182</v>
      </c>
      <c r="D18" s="3">
        <v>8171.3580000000002</v>
      </c>
      <c r="E18" s="3">
        <v>8540.473</v>
      </c>
      <c r="F18" s="3">
        <v>8806.7109999999993</v>
      </c>
      <c r="G18" s="3">
        <v>8605.0589999999993</v>
      </c>
      <c r="H18" s="3">
        <v>9206.4989999999998</v>
      </c>
      <c r="I18" s="3">
        <v>8158.84</v>
      </c>
      <c r="J18" s="3">
        <v>7444.9920000000002</v>
      </c>
      <c r="K18" s="3">
        <v>6273.8770000000004</v>
      </c>
      <c r="L18" s="3">
        <v>6282.5069999999996</v>
      </c>
      <c r="M18" s="3">
        <v>6412.9639999999999</v>
      </c>
      <c r="N18" s="3">
        <v>6577.0829999999996</v>
      </c>
      <c r="O18" s="3">
        <v>6776.192</v>
      </c>
      <c r="P18" s="3">
        <v>6801.87</v>
      </c>
      <c r="Q18" s="3">
        <v>6986.5619999999999</v>
      </c>
      <c r="R18" s="3">
        <v>7175.808</v>
      </c>
      <c r="S18" s="3">
        <v>5497.2749999999996</v>
      </c>
      <c r="T18" s="3">
        <v>6226.9189999999999</v>
      </c>
      <c r="U18" s="3">
        <v>7022.7709999999997</v>
      </c>
      <c r="V18" s="3">
        <f ca="1">'FEC Transport foss'!V18+'FEC Transport RES'!V18</f>
        <v>7045.509399999999</v>
      </c>
    </row>
    <row r="19" spans="1:22">
      <c r="A19">
        <v>14</v>
      </c>
      <c r="B19" t="s">
        <v>183</v>
      </c>
      <c r="C19" t="s">
        <v>183</v>
      </c>
      <c r="D19" s="3">
        <v>1919.2329999999999</v>
      </c>
      <c r="E19" s="3">
        <v>2038.3109999999999</v>
      </c>
      <c r="F19" s="3">
        <v>2188.5010000000002</v>
      </c>
      <c r="G19" s="3">
        <v>2183.1790000000001</v>
      </c>
      <c r="H19" s="3">
        <v>2159.1170000000002</v>
      </c>
      <c r="I19" s="3">
        <v>2079.3049999999998</v>
      </c>
      <c r="J19" s="3">
        <v>2046.2719999999999</v>
      </c>
      <c r="K19" s="3">
        <v>2013.1369999999999</v>
      </c>
      <c r="L19" s="3">
        <v>2045.3820000000001</v>
      </c>
      <c r="M19" s="3">
        <v>2021.67</v>
      </c>
      <c r="N19" s="3">
        <v>2114.348</v>
      </c>
      <c r="O19" s="3">
        <v>2168.9949999999999</v>
      </c>
      <c r="P19" s="3">
        <v>2344.509</v>
      </c>
      <c r="Q19" s="3">
        <v>2331.1320000000001</v>
      </c>
      <c r="R19" s="3">
        <v>2434.7489999999998</v>
      </c>
      <c r="S19" s="3">
        <v>2022.559</v>
      </c>
      <c r="T19" s="3">
        <v>2246.1550000000002</v>
      </c>
      <c r="U19" s="3">
        <v>2420.826</v>
      </c>
      <c r="V19" s="3">
        <f ca="1">'FEC Transport foss'!V19+'FEC Transport RES'!V19</f>
        <v>2408.0450874372605</v>
      </c>
    </row>
    <row r="20" spans="1:22">
      <c r="A20">
        <v>15</v>
      </c>
      <c r="B20" t="s">
        <v>88</v>
      </c>
      <c r="C20" t="s">
        <v>88</v>
      </c>
      <c r="D20" s="3">
        <v>4296.9089999999997</v>
      </c>
      <c r="E20" s="3">
        <v>4583.62</v>
      </c>
      <c r="F20" s="3">
        <v>4641.3940000000002</v>
      </c>
      <c r="G20" s="3">
        <v>4770.9110000000001</v>
      </c>
      <c r="H20" s="3">
        <v>4711.259</v>
      </c>
      <c r="I20" s="3">
        <v>4319.0959999999995</v>
      </c>
      <c r="J20" s="3">
        <v>4045.67</v>
      </c>
      <c r="K20" s="3">
        <v>3858.7559999999999</v>
      </c>
      <c r="L20" s="3">
        <v>3622.4969999999998</v>
      </c>
      <c r="M20" s="3">
        <v>4044.0169999999998</v>
      </c>
      <c r="N20" s="3">
        <v>4355.9690000000001</v>
      </c>
      <c r="O20" s="3">
        <v>4453.87</v>
      </c>
      <c r="P20" s="3">
        <v>4720.2790000000005</v>
      </c>
      <c r="Q20" s="3">
        <v>5066.5</v>
      </c>
      <c r="R20" s="3">
        <v>5349.8310000000001</v>
      </c>
      <c r="S20" s="3">
        <v>4560.9369999999999</v>
      </c>
      <c r="T20" s="3">
        <v>5020.7510000000002</v>
      </c>
      <c r="U20" s="3">
        <v>5536.2910000000002</v>
      </c>
      <c r="V20" s="3">
        <f ca="1">'FEC Transport foss'!V20+'FEC Transport RES'!V20</f>
        <v>5266.1583931134064</v>
      </c>
    </row>
    <row r="21" spans="1:22">
      <c r="A21">
        <v>16</v>
      </c>
      <c r="B21" t="s">
        <v>133</v>
      </c>
      <c r="C21" t="s">
        <v>133</v>
      </c>
      <c r="D21" s="3">
        <v>5088.2089999999998</v>
      </c>
      <c r="E21" s="3">
        <v>5511.8890000000001</v>
      </c>
      <c r="F21" s="3">
        <v>5797.8819999999996</v>
      </c>
      <c r="G21" s="3">
        <v>5493.4160000000002</v>
      </c>
      <c r="H21" s="3">
        <v>4731.0200000000004</v>
      </c>
      <c r="I21" s="3">
        <v>4648.4290000000001</v>
      </c>
      <c r="J21" s="3">
        <v>4399.4210000000003</v>
      </c>
      <c r="K21" s="3">
        <v>4207.049</v>
      </c>
      <c r="L21" s="3">
        <v>4328.5910000000003</v>
      </c>
      <c r="M21" s="3">
        <v>4579.3100000000004</v>
      </c>
      <c r="N21" s="3">
        <v>4724.732</v>
      </c>
      <c r="O21" s="3">
        <v>4964.0749999999998</v>
      </c>
      <c r="P21" s="3">
        <v>5068.2299999999996</v>
      </c>
      <c r="Q21" s="3">
        <v>5195.125</v>
      </c>
      <c r="R21" s="3">
        <v>5234.9799999999996</v>
      </c>
      <c r="S21" s="3">
        <v>3880.8820000000001</v>
      </c>
      <c r="T21" s="3">
        <v>4152.8869999999997</v>
      </c>
      <c r="U21" s="3">
        <v>4988.46</v>
      </c>
      <c r="V21" s="3">
        <f ca="1">'FEC Transport foss'!V21+'FEC Transport RES'!V21</f>
        <v>5094.3529790707908</v>
      </c>
    </row>
    <row r="22" spans="1:22">
      <c r="A22">
        <v>17</v>
      </c>
      <c r="B22" t="s">
        <v>157</v>
      </c>
      <c r="C22" t="s">
        <v>157</v>
      </c>
      <c r="D22" s="3">
        <v>44835.784</v>
      </c>
      <c r="E22" s="3">
        <v>45428.22</v>
      </c>
      <c r="F22" s="3">
        <v>45726.612000000001</v>
      </c>
      <c r="G22" s="3">
        <v>44000.091</v>
      </c>
      <c r="H22" s="3">
        <v>42128.258000000002</v>
      </c>
      <c r="I22" s="3">
        <v>41733.671000000002</v>
      </c>
      <c r="J22" s="3">
        <v>41821.642999999996</v>
      </c>
      <c r="K22" s="3">
        <v>39449.360000000001</v>
      </c>
      <c r="L22" s="3">
        <v>38702.275000000001</v>
      </c>
      <c r="M22" s="3">
        <v>40085.349000000002</v>
      </c>
      <c r="N22" s="3">
        <v>39540.730000000003</v>
      </c>
      <c r="O22" s="3">
        <v>39110.264000000003</v>
      </c>
      <c r="P22" s="3">
        <v>37944.578999999998</v>
      </c>
      <c r="Q22" s="3">
        <v>39414.341999999997</v>
      </c>
      <c r="R22" s="3">
        <v>39829.714999999997</v>
      </c>
      <c r="S22" s="3">
        <v>30471.39</v>
      </c>
      <c r="T22" s="3">
        <v>36500.449999999997</v>
      </c>
      <c r="U22" s="3">
        <v>39345.17</v>
      </c>
      <c r="V22" s="3">
        <f ca="1">'FEC Transport foss'!V22+'FEC Transport RES'!V22</f>
        <v>39384.646157412841</v>
      </c>
    </row>
    <row r="23" spans="1:22">
      <c r="A23">
        <v>18</v>
      </c>
      <c r="B23" t="s">
        <v>137</v>
      </c>
      <c r="C23" t="s">
        <v>137</v>
      </c>
      <c r="D23" s="3">
        <v>1432.87</v>
      </c>
      <c r="E23" s="3">
        <v>1546.307</v>
      </c>
      <c r="F23" s="3">
        <v>1837.203</v>
      </c>
      <c r="G23" s="3">
        <v>1844.346</v>
      </c>
      <c r="H23" s="3">
        <v>1501.682</v>
      </c>
      <c r="I23" s="3">
        <v>1545.5039999999999</v>
      </c>
      <c r="J23" s="3">
        <v>1539.308</v>
      </c>
      <c r="K23" s="3">
        <v>1571.306</v>
      </c>
      <c r="L23" s="3">
        <v>1572.1659999999999</v>
      </c>
      <c r="M23" s="3">
        <v>1739.9369999999999</v>
      </c>
      <c r="N23" s="3">
        <v>1831.7750000000001</v>
      </c>
      <c r="O23" s="3">
        <v>1960.472</v>
      </c>
      <c r="P23" s="3">
        <v>2065.884</v>
      </c>
      <c r="Q23" s="3">
        <v>2207.5050000000001</v>
      </c>
      <c r="R23" s="3">
        <v>2273.9940000000001</v>
      </c>
      <c r="S23" s="3">
        <v>2180.623</v>
      </c>
      <c r="T23" s="3">
        <v>2206.7890000000002</v>
      </c>
      <c r="U23" s="3">
        <v>2205.116</v>
      </c>
      <c r="V23" s="3">
        <f ca="1">'FEC Transport foss'!V23+'FEC Transport RES'!V23</f>
        <v>2276.776909479262</v>
      </c>
    </row>
    <row r="24" spans="1:22">
      <c r="A24">
        <v>19</v>
      </c>
      <c r="B24" t="s">
        <v>184</v>
      </c>
      <c r="C24" t="s">
        <v>184</v>
      </c>
      <c r="D24" s="3">
        <v>2782.6660000000002</v>
      </c>
      <c r="E24" s="3">
        <v>2654.2310000000002</v>
      </c>
      <c r="F24" s="3">
        <v>2640.4119999999998</v>
      </c>
      <c r="G24" s="3">
        <v>2672.6550000000002</v>
      </c>
      <c r="H24" s="3">
        <v>2480.6669999999999</v>
      </c>
      <c r="I24" s="3">
        <v>2607.2550000000001</v>
      </c>
      <c r="J24" s="3">
        <v>2711.2159999999999</v>
      </c>
      <c r="K24" s="3">
        <v>2579.4580000000001</v>
      </c>
      <c r="L24" s="3">
        <v>2540.5619999999999</v>
      </c>
      <c r="M24" s="3">
        <v>2492.9349999999999</v>
      </c>
      <c r="N24" s="3">
        <v>2415.88</v>
      </c>
      <c r="O24" s="3">
        <v>2415.0720000000001</v>
      </c>
      <c r="P24" s="3">
        <v>2540.6370000000002</v>
      </c>
      <c r="Q24" s="3">
        <v>2715.337</v>
      </c>
      <c r="R24" s="3">
        <v>2754.0390000000002</v>
      </c>
      <c r="S24" s="3">
        <v>2214.3270000000002</v>
      </c>
      <c r="T24" s="3">
        <v>2394.6669999999999</v>
      </c>
      <c r="U24" s="3">
        <v>2198.942</v>
      </c>
      <c r="V24" s="3">
        <f ca="1">'FEC Transport foss'!V24+'FEC Transport RES'!V24</f>
        <v>2127.699143365181</v>
      </c>
    </row>
    <row r="25" spans="1:22">
      <c r="A25">
        <v>20</v>
      </c>
      <c r="B25" t="s">
        <v>93</v>
      </c>
      <c r="C25" t="s">
        <v>93</v>
      </c>
      <c r="D25" s="3">
        <v>1066.7270000000001</v>
      </c>
      <c r="E25" s="3">
        <v>1178.451</v>
      </c>
      <c r="F25" s="3">
        <v>1332.8779999999999</v>
      </c>
      <c r="G25" s="3">
        <v>1279.9690000000001</v>
      </c>
      <c r="H25" s="3">
        <v>1141.1189999999999</v>
      </c>
      <c r="I25" s="3">
        <v>1201.107</v>
      </c>
      <c r="J25" s="3">
        <v>1082.4090000000001</v>
      </c>
      <c r="K25" s="3">
        <v>1048.3219999999999</v>
      </c>
      <c r="L25" s="3">
        <v>1062.354</v>
      </c>
      <c r="M25" s="3">
        <v>1091.7650000000001</v>
      </c>
      <c r="N25" s="3">
        <v>1144.9839999999999</v>
      </c>
      <c r="O25" s="3">
        <v>1156.376</v>
      </c>
      <c r="P25" s="3">
        <v>1220.7529999999999</v>
      </c>
      <c r="Q25" s="3">
        <v>1261.991</v>
      </c>
      <c r="R25" s="3">
        <v>1255.751</v>
      </c>
      <c r="S25" s="3">
        <v>1103.625</v>
      </c>
      <c r="T25" s="3">
        <v>1155.2919999999999</v>
      </c>
      <c r="U25" s="3">
        <v>1164.3710000000001</v>
      </c>
      <c r="V25" s="3">
        <f ca="1">'FEC Transport foss'!V25+'FEC Transport RES'!V25</f>
        <v>1163.0350000000001</v>
      </c>
    </row>
    <row r="26" spans="1:22">
      <c r="A26">
        <v>21</v>
      </c>
      <c r="B26" t="s">
        <v>141</v>
      </c>
      <c r="C26" t="s">
        <v>141</v>
      </c>
      <c r="D26" s="3">
        <v>253.46299999999999</v>
      </c>
      <c r="E26" s="3">
        <v>259.625</v>
      </c>
      <c r="F26" s="3">
        <v>268.86799999999999</v>
      </c>
      <c r="G26" s="3">
        <v>288.31099999999998</v>
      </c>
      <c r="H26" s="3">
        <v>259.76900000000001</v>
      </c>
      <c r="I26" s="3">
        <v>286.86500000000001</v>
      </c>
      <c r="J26" s="3">
        <v>287.99700000000001</v>
      </c>
      <c r="K26" s="3">
        <v>280.81700000000001</v>
      </c>
      <c r="L26" s="3">
        <v>288.46699999999998</v>
      </c>
      <c r="M26" s="3">
        <v>299.88900000000001</v>
      </c>
      <c r="N26" s="3">
        <v>315.81900000000002</v>
      </c>
      <c r="O26" s="3">
        <v>324.01400000000001</v>
      </c>
      <c r="P26" s="3">
        <v>346.71100000000001</v>
      </c>
      <c r="Q26" s="3">
        <v>384.572</v>
      </c>
      <c r="R26" s="3">
        <v>406.53300000000002</v>
      </c>
      <c r="S26" s="3">
        <v>264.45100000000002</v>
      </c>
      <c r="T26" s="3">
        <v>292.30399999999997</v>
      </c>
      <c r="U26" s="3">
        <v>377.89100000000002</v>
      </c>
      <c r="V26" s="3">
        <f ca="1">'FEC Transport foss'!V26+'FEC Transport RES'!V26</f>
        <v>366.4906335709108</v>
      </c>
    </row>
    <row r="27" spans="1:22">
      <c r="A27">
        <v>22</v>
      </c>
      <c r="B27" t="s">
        <v>145</v>
      </c>
      <c r="C27" t="s">
        <v>145</v>
      </c>
      <c r="D27" s="3">
        <v>15025.343000000001</v>
      </c>
      <c r="E27" s="3">
        <v>15421.731</v>
      </c>
      <c r="F27" s="3">
        <v>15567.929</v>
      </c>
      <c r="G27" s="3">
        <v>15731.585999999999</v>
      </c>
      <c r="H27" s="3">
        <v>15090.67</v>
      </c>
      <c r="I27" s="3">
        <v>15066.434999999999</v>
      </c>
      <c r="J27" s="3">
        <v>15335.359</v>
      </c>
      <c r="K27" s="3">
        <v>14689.306</v>
      </c>
      <c r="L27" s="3">
        <v>14246.451999999999</v>
      </c>
      <c r="M27" s="3">
        <v>13536.968000000001</v>
      </c>
      <c r="N27" s="3">
        <v>13838.526</v>
      </c>
      <c r="O27" s="3">
        <v>13930.127</v>
      </c>
      <c r="P27" s="3">
        <v>14396.878000000001</v>
      </c>
      <c r="Q27" s="3">
        <v>14688.674000000001</v>
      </c>
      <c r="R27" s="3">
        <v>14586.913</v>
      </c>
      <c r="S27" s="3">
        <v>11270.296</v>
      </c>
      <c r="T27" s="3">
        <v>11663.724</v>
      </c>
      <c r="U27" s="3">
        <v>12373.475</v>
      </c>
      <c r="V27" s="3">
        <f ca="1">'FEC Transport foss'!V27+'FEC Transport RES'!V27</f>
        <v>12907.91137993647</v>
      </c>
    </row>
    <row r="28" spans="1:22">
      <c r="A28">
        <v>23</v>
      </c>
      <c r="B28" t="s">
        <v>185</v>
      </c>
      <c r="C28" t="s">
        <v>185</v>
      </c>
      <c r="D28" s="3">
        <v>12552.39</v>
      </c>
      <c r="E28" s="3">
        <v>13935.304</v>
      </c>
      <c r="F28" s="3">
        <v>15297.248</v>
      </c>
      <c r="G28" s="3">
        <v>16352.263000000001</v>
      </c>
      <c r="H28" s="3">
        <v>16644.802</v>
      </c>
      <c r="I28" s="3">
        <v>17695.701000000001</v>
      </c>
      <c r="J28" s="3">
        <v>17906.575000000001</v>
      </c>
      <c r="K28" s="3">
        <v>17218.535</v>
      </c>
      <c r="L28" s="3">
        <v>16269.877</v>
      </c>
      <c r="M28" s="3">
        <v>16389.347000000002</v>
      </c>
      <c r="N28" s="3">
        <v>17210.161</v>
      </c>
      <c r="O28" s="3">
        <v>19240.166000000001</v>
      </c>
      <c r="P28" s="3">
        <v>22282.368999999999</v>
      </c>
      <c r="Q28" s="3">
        <v>23355.787</v>
      </c>
      <c r="R28" s="3">
        <v>23858.407999999999</v>
      </c>
      <c r="S28" s="3">
        <v>22235.794000000002</v>
      </c>
      <c r="T28" s="3">
        <v>24101.199000000001</v>
      </c>
      <c r="U28" s="3">
        <v>24877.73</v>
      </c>
      <c r="V28" s="3">
        <f ca="1">'FEC Transport foss'!V28+'FEC Transport RES'!V28</f>
        <v>25415.669180216129</v>
      </c>
    </row>
    <row r="29" spans="1:22">
      <c r="A29">
        <v>24</v>
      </c>
      <c r="B29" t="s">
        <v>149</v>
      </c>
      <c r="C29" t="s">
        <v>149</v>
      </c>
      <c r="D29" s="3">
        <v>7188.2039999999997</v>
      </c>
      <c r="E29" s="3">
        <v>7245.6450000000004</v>
      </c>
      <c r="F29" s="3">
        <v>7346.11</v>
      </c>
      <c r="G29" s="3">
        <v>7394.1310000000003</v>
      </c>
      <c r="H29" s="3">
        <v>7326.1379999999999</v>
      </c>
      <c r="I29" s="3">
        <v>7343.8280000000004</v>
      </c>
      <c r="J29" s="3">
        <v>6917.3469999999998</v>
      </c>
      <c r="K29" s="3">
        <v>6454.616</v>
      </c>
      <c r="L29" s="3">
        <v>6369.0460000000003</v>
      </c>
      <c r="M29" s="3">
        <v>6430.67</v>
      </c>
      <c r="N29" s="3">
        <v>6601.7340000000004</v>
      </c>
      <c r="O29" s="3">
        <v>6840.2280000000001</v>
      </c>
      <c r="P29" s="3">
        <v>7069.3320000000003</v>
      </c>
      <c r="Q29" s="3">
        <v>7211.4520000000002</v>
      </c>
      <c r="R29" s="3">
        <v>7440.8149999999996</v>
      </c>
      <c r="S29" s="3">
        <v>5526.0590000000002</v>
      </c>
      <c r="T29" s="3">
        <v>6133.9340000000002</v>
      </c>
      <c r="U29" s="3">
        <v>7184.1369999999997</v>
      </c>
      <c r="V29" s="3">
        <f ca="1">'FEC Transport foss'!V29+'FEC Transport RES'!V29</f>
        <v>7596.5552488182584</v>
      </c>
    </row>
    <row r="30" spans="1:22">
      <c r="A30">
        <v>25</v>
      </c>
      <c r="B30" t="s">
        <v>186</v>
      </c>
      <c r="C30" t="s">
        <v>186</v>
      </c>
      <c r="D30" s="3">
        <v>4281.1030000000001</v>
      </c>
      <c r="E30" s="3">
        <v>4424.1970000000001</v>
      </c>
      <c r="F30" s="3">
        <v>4702.1229999999996</v>
      </c>
      <c r="G30" s="3">
        <v>5294.973</v>
      </c>
      <c r="H30" s="3">
        <v>5417.1369999999997</v>
      </c>
      <c r="I30" s="3">
        <v>5132.0079999999998</v>
      </c>
      <c r="J30" s="3">
        <v>5357.8379999999997</v>
      </c>
      <c r="K30" s="3">
        <v>5447.88</v>
      </c>
      <c r="L30" s="3">
        <v>5354.1390000000001</v>
      </c>
      <c r="M30" s="3">
        <v>5473.0349999999999</v>
      </c>
      <c r="N30" s="3">
        <v>5576.9830000000002</v>
      </c>
      <c r="O30" s="3">
        <v>6028.5929999999998</v>
      </c>
      <c r="P30" s="3">
        <v>6485.1310000000003</v>
      </c>
      <c r="Q30" s="3">
        <v>6441.1139999999996</v>
      </c>
      <c r="R30" s="3">
        <v>6724.5249999999996</v>
      </c>
      <c r="S30" s="3">
        <v>6508.11</v>
      </c>
      <c r="T30" s="3">
        <v>6961.5010000000002</v>
      </c>
      <c r="U30" s="3">
        <v>7532.768</v>
      </c>
      <c r="V30" s="3">
        <f ca="1">'FEC Transport foss'!V30+'FEC Transport RES'!V30</f>
        <v>7309.3433015467363</v>
      </c>
    </row>
    <row r="31" spans="1:22">
      <c r="A31">
        <v>26</v>
      </c>
      <c r="B31" t="s">
        <v>187</v>
      </c>
      <c r="C31" t="s">
        <v>187</v>
      </c>
      <c r="D31" s="3">
        <v>8121.4809999999998</v>
      </c>
      <c r="E31" s="3">
        <v>8240.5010000000002</v>
      </c>
      <c r="F31" s="3">
        <v>8337.0720000000001</v>
      </c>
      <c r="G31" s="3">
        <v>8335.82</v>
      </c>
      <c r="H31" s="3">
        <v>8106.1840000000002</v>
      </c>
      <c r="I31" s="3">
        <v>8209.3610000000008</v>
      </c>
      <c r="J31" s="3">
        <v>8270.3670000000002</v>
      </c>
      <c r="K31" s="3">
        <v>7955.0439999999999</v>
      </c>
      <c r="L31" s="3">
        <v>7963.7640000000001</v>
      </c>
      <c r="M31" s="3">
        <v>7886.3969999999999</v>
      </c>
      <c r="N31" s="3">
        <v>8053.8829999999998</v>
      </c>
      <c r="O31" s="3">
        <v>8067.48</v>
      </c>
      <c r="P31" s="3">
        <v>8202.4439999999995</v>
      </c>
      <c r="Q31" s="3">
        <v>8069.27</v>
      </c>
      <c r="R31" s="3">
        <v>7921.4570000000003</v>
      </c>
      <c r="S31" s="3">
        <v>6954.1689999999999</v>
      </c>
      <c r="T31" s="3">
        <v>7183.3639999999996</v>
      </c>
      <c r="U31" s="3">
        <v>7218.759</v>
      </c>
      <c r="V31" s="3">
        <f ca="1">'FEC Transport foss'!V31+'FEC Transport RES'!V31</f>
        <v>7254.6736183300018</v>
      </c>
    </row>
    <row r="32" spans="1:22">
      <c r="A32">
        <v>27</v>
      </c>
      <c r="B32" t="s">
        <v>79</v>
      </c>
      <c r="C32" t="s">
        <v>79</v>
      </c>
      <c r="D32" s="3">
        <v>1485.97</v>
      </c>
      <c r="E32" s="3">
        <v>1554.4</v>
      </c>
      <c r="F32" s="3">
        <v>1763.329</v>
      </c>
      <c r="G32" s="3">
        <v>2071.1410000000001</v>
      </c>
      <c r="H32" s="3">
        <v>1747.665</v>
      </c>
      <c r="I32" s="3">
        <v>1806.47</v>
      </c>
      <c r="J32" s="3">
        <v>1906.1210000000001</v>
      </c>
      <c r="K32" s="3">
        <v>1923.0219999999999</v>
      </c>
      <c r="L32" s="3">
        <v>1835.664</v>
      </c>
      <c r="M32" s="3">
        <v>1820.8979999999999</v>
      </c>
      <c r="N32" s="3">
        <v>1798.568</v>
      </c>
      <c r="O32" s="3">
        <v>1904.3720000000001</v>
      </c>
      <c r="P32" s="3">
        <v>1960.566</v>
      </c>
      <c r="Q32" s="3">
        <v>2010.1780000000001</v>
      </c>
      <c r="R32" s="3">
        <v>1954.0840000000001</v>
      </c>
      <c r="S32" s="3">
        <v>1593.239</v>
      </c>
      <c r="T32" s="3">
        <v>1810.296</v>
      </c>
      <c r="U32" s="3">
        <v>1993.31</v>
      </c>
      <c r="V32" s="3">
        <f ca="1">'FEC Transport foss'!V32+'FEC Transport RES'!V32</f>
        <v>1836.8000649514054</v>
      </c>
    </row>
    <row r="33" spans="1:22">
      <c r="A33">
        <v>28</v>
      </c>
      <c r="B33" t="s">
        <v>188</v>
      </c>
      <c r="C33" t="s">
        <v>188</v>
      </c>
      <c r="D33" s="3">
        <v>2394.125</v>
      </c>
      <c r="E33" s="3">
        <v>2255.3539999999998</v>
      </c>
      <c r="F33" s="3">
        <v>2479.5349999999999</v>
      </c>
      <c r="G33" s="3">
        <v>2732.029</v>
      </c>
      <c r="H33" s="3">
        <v>2359.7049999999999</v>
      </c>
      <c r="I33" s="3">
        <v>2636.7469999999998</v>
      </c>
      <c r="J33" s="3">
        <v>2640.203</v>
      </c>
      <c r="K33" s="3">
        <v>2337.0709999999999</v>
      </c>
      <c r="L33" s="3">
        <v>2350.0839999999998</v>
      </c>
      <c r="M33" s="3">
        <v>2211.585</v>
      </c>
      <c r="N33" s="3">
        <v>2212.2359999999999</v>
      </c>
      <c r="O33" s="3">
        <v>2479.5189999999998</v>
      </c>
      <c r="P33" s="3">
        <v>2812.989</v>
      </c>
      <c r="Q33" s="3">
        <v>2791.6239999999998</v>
      </c>
      <c r="R33" s="3">
        <v>2835.2339999999999</v>
      </c>
      <c r="S33" s="3">
        <v>2516.8440000000001</v>
      </c>
      <c r="T33" s="3">
        <v>2642.011</v>
      </c>
      <c r="U33" s="3">
        <v>2694.09</v>
      </c>
      <c r="V33" s="3">
        <f ca="1">'FEC Transport foss'!V33+'FEC Transport RES'!V33</f>
        <v>2719.935950880425</v>
      </c>
    </row>
    <row r="34" spans="1:22">
      <c r="A34">
        <v>29</v>
      </c>
      <c r="B34" t="s">
        <v>163</v>
      </c>
      <c r="C34" t="s">
        <v>163</v>
      </c>
      <c r="D34" s="3">
        <v>55545.563999999998</v>
      </c>
      <c r="E34" s="3">
        <v>56279.482000000004</v>
      </c>
      <c r="F34" s="3">
        <v>56600.788999999997</v>
      </c>
      <c r="G34" s="3">
        <v>54415.336000000003</v>
      </c>
      <c r="H34" s="3">
        <v>52434.273999999998</v>
      </c>
      <c r="I34" s="3">
        <v>51388.434999999998</v>
      </c>
      <c r="J34" s="3">
        <v>51319.141000000003</v>
      </c>
      <c r="K34" s="3">
        <v>50811.195</v>
      </c>
      <c r="L34" s="3">
        <v>50461.216</v>
      </c>
      <c r="M34" s="3">
        <v>51080.161</v>
      </c>
      <c r="N34" s="3">
        <v>51959.207999999999</v>
      </c>
      <c r="O34" s="3">
        <v>52895.591</v>
      </c>
      <c r="P34" s="3">
        <v>53828.682999999997</v>
      </c>
      <c r="Q34" s="3">
        <v>53745.506999999998</v>
      </c>
      <c r="R34" s="3">
        <v>53550.370999999999</v>
      </c>
      <c r="S34" s="3">
        <v>0</v>
      </c>
      <c r="T34" s="3">
        <v>0</v>
      </c>
      <c r="U34" s="3">
        <v>0</v>
      </c>
      <c r="V34" s="3">
        <f ca="1">'FEC Transport foss'!V34+'FEC Transport RES'!V34</f>
        <v>0</v>
      </c>
    </row>
    <row r="35" spans="1:22">
      <c r="B35" s="40" t="s">
        <v>189</v>
      </c>
      <c r="C35" s="40" t="s">
        <v>189</v>
      </c>
      <c r="D35" s="41">
        <f>SUM(D7:D34)</f>
        <v>368272.53500000003</v>
      </c>
      <c r="E35" s="41">
        <f t="shared" ref="E35:Q35" si="0">SUM(E7:E34)</f>
        <v>376237.74100000004</v>
      </c>
      <c r="F35" s="41">
        <f t="shared" si="0"/>
        <v>382592.03700000007</v>
      </c>
      <c r="G35" s="41">
        <f t="shared" si="0"/>
        <v>377092.41799999995</v>
      </c>
      <c r="H35" s="41">
        <f t="shared" si="0"/>
        <v>364929.65499999991</v>
      </c>
      <c r="I35" s="41">
        <f t="shared" si="0"/>
        <v>363500.91199999984</v>
      </c>
      <c r="J35" s="41">
        <f t="shared" si="0"/>
        <v>363248.52600000001</v>
      </c>
      <c r="K35" s="41">
        <f t="shared" si="0"/>
        <v>352509.69699999999</v>
      </c>
      <c r="L35" s="41">
        <f t="shared" si="0"/>
        <v>348565.245</v>
      </c>
      <c r="M35" s="41">
        <f t="shared" si="0"/>
        <v>352970.49400000001</v>
      </c>
      <c r="N35" s="41">
        <f t="shared" si="0"/>
        <v>358935.70599999995</v>
      </c>
      <c r="O35" s="41">
        <f t="shared" si="0"/>
        <v>367793.44899999996</v>
      </c>
      <c r="P35" s="41">
        <f t="shared" si="0"/>
        <v>377326.60000000003</v>
      </c>
      <c r="Q35" s="41">
        <f t="shared" si="0"/>
        <v>380708.97300000006</v>
      </c>
      <c r="R35" s="41">
        <f t="shared" ref="R35:S35" si="1">SUM(R7:R34)</f>
        <v>383997.19699999999</v>
      </c>
      <c r="S35" s="41">
        <f t="shared" si="1"/>
        <v>269419.82899999997</v>
      </c>
      <c r="T35" s="41">
        <f t="shared" ref="T35" si="2">SUM(T7:T34)</f>
        <v>293550.96099999989</v>
      </c>
      <c r="U35" s="41">
        <f t="shared" ref="U35" si="3">SUM(U7:U34)</f>
        <v>314363.32700000005</v>
      </c>
      <c r="V35" s="41">
        <f ca="1">SUM(V7:V34)</f>
        <v>313501.14222657401</v>
      </c>
    </row>
    <row r="36" spans="1:22">
      <c r="B36" s="40" t="s">
        <v>190</v>
      </c>
      <c r="C36" s="40" t="s">
        <v>190</v>
      </c>
      <c r="D36" s="41">
        <f>SUM(D7:D33)</f>
        <v>312726.97100000002</v>
      </c>
      <c r="E36" s="41">
        <f t="shared" ref="E36:Q36" si="4">SUM(E7:E33)</f>
        <v>319958.25900000002</v>
      </c>
      <c r="F36" s="41">
        <f t="shared" si="4"/>
        <v>325991.24800000008</v>
      </c>
      <c r="G36" s="41">
        <f t="shared" si="4"/>
        <v>322677.08199999994</v>
      </c>
      <c r="H36" s="41">
        <f t="shared" si="4"/>
        <v>312495.38099999994</v>
      </c>
      <c r="I36" s="41">
        <f t="shared" si="4"/>
        <v>312112.47699999984</v>
      </c>
      <c r="J36" s="41">
        <f t="shared" si="4"/>
        <v>311929.38500000001</v>
      </c>
      <c r="K36" s="41">
        <f t="shared" si="4"/>
        <v>301698.50199999998</v>
      </c>
      <c r="L36" s="41">
        <f t="shared" si="4"/>
        <v>298104.02899999998</v>
      </c>
      <c r="M36" s="41">
        <f t="shared" si="4"/>
        <v>301890.33299999998</v>
      </c>
      <c r="N36" s="41">
        <f t="shared" si="4"/>
        <v>306976.49799999996</v>
      </c>
      <c r="O36" s="41">
        <f t="shared" si="4"/>
        <v>314897.85799999995</v>
      </c>
      <c r="P36" s="41">
        <f t="shared" si="4"/>
        <v>323497.91700000002</v>
      </c>
      <c r="Q36" s="41">
        <f t="shared" si="4"/>
        <v>326963.46600000007</v>
      </c>
      <c r="R36" s="41">
        <f t="shared" ref="R36:S36" si="5">SUM(R7:R33)</f>
        <v>330446.826</v>
      </c>
      <c r="S36" s="41">
        <f t="shared" si="5"/>
        <v>269419.82899999997</v>
      </c>
      <c r="T36" s="41">
        <f t="shared" ref="T36" si="6">SUM(T7:T33)</f>
        <v>293550.96099999989</v>
      </c>
      <c r="U36" s="41">
        <f t="shared" ref="U36" si="7">SUM(U7:U33)</f>
        <v>314363.32700000005</v>
      </c>
      <c r="V36" s="41">
        <f ca="1">SUM(V7:V33)</f>
        <v>313501.14222657401</v>
      </c>
    </row>
    <row r="40" spans="1:22">
      <c r="A40" s="5" t="s">
        <v>191</v>
      </c>
      <c r="F40" t="s">
        <v>173</v>
      </c>
    </row>
    <row r="41" spans="1:22">
      <c r="A41" t="str">
        <f t="shared" ref="A41:O41" si="8">A6</f>
        <v>source row</v>
      </c>
      <c r="B41" t="str">
        <f t="shared" si="8"/>
        <v>MS Code 1</v>
      </c>
      <c r="C41" t="str">
        <f t="shared" si="8"/>
        <v>MS Code 2</v>
      </c>
      <c r="D41" s="1">
        <f t="shared" si="8"/>
        <v>2005</v>
      </c>
      <c r="E41" s="1">
        <f t="shared" si="8"/>
        <v>2006</v>
      </c>
      <c r="F41" s="1">
        <f t="shared" si="8"/>
        <v>2007</v>
      </c>
      <c r="G41" s="1">
        <f t="shared" si="8"/>
        <v>2008</v>
      </c>
      <c r="H41" s="1">
        <f t="shared" si="8"/>
        <v>2009</v>
      </c>
      <c r="I41" s="1">
        <f t="shared" si="8"/>
        <v>2010</v>
      </c>
      <c r="J41" s="1">
        <f t="shared" si="8"/>
        <v>2011</v>
      </c>
      <c r="K41" s="1">
        <f t="shared" si="8"/>
        <v>2012</v>
      </c>
      <c r="L41" s="1">
        <f t="shared" si="8"/>
        <v>2013</v>
      </c>
      <c r="M41" s="1">
        <f t="shared" si="8"/>
        <v>2014</v>
      </c>
      <c r="N41" s="1">
        <f t="shared" si="8"/>
        <v>2015</v>
      </c>
      <c r="O41" s="1">
        <f t="shared" si="8"/>
        <v>2016</v>
      </c>
      <c r="P41" s="1">
        <f t="shared" ref="P41:S41" si="9">P6</f>
        <v>2017</v>
      </c>
      <c r="Q41" s="1">
        <f t="shared" si="9"/>
        <v>2018</v>
      </c>
      <c r="R41" s="1">
        <f t="shared" ref="R41" si="10">R6</f>
        <v>2019</v>
      </c>
      <c r="S41" s="1">
        <f t="shared" si="9"/>
        <v>2020</v>
      </c>
      <c r="T41" s="1">
        <f t="shared" ref="T41:U41" si="11">T6</f>
        <v>2021</v>
      </c>
      <c r="U41" s="1">
        <f t="shared" si="11"/>
        <v>2022</v>
      </c>
      <c r="V41" s="2">
        <f>YearProxy</f>
        <v>2023</v>
      </c>
    </row>
    <row r="42" spans="1:22">
      <c r="A42">
        <f t="shared" ref="A42:C69" si="12">A7</f>
        <v>2</v>
      </c>
      <c r="B42" t="str">
        <f t="shared" si="12"/>
        <v>AT</v>
      </c>
      <c r="C42" t="str">
        <f t="shared" si="12"/>
        <v>AT</v>
      </c>
      <c r="E42" s="4">
        <f t="shared" ref="E42:E69" si="13">IFERROR(E7/D7-1,0)</f>
        <v>-1.2268683122784063E-2</v>
      </c>
      <c r="F42" s="4">
        <f t="shared" ref="F42:F69" si="14">IFERROR(F7/E7-1,0)</f>
        <v>1.8538630201895723E-2</v>
      </c>
      <c r="G42" s="4">
        <f t="shared" ref="G42:O42" si="15">IFERROR(G7/F7-1,0)</f>
        <v>-2.9492870745848054E-2</v>
      </c>
      <c r="H42" s="4">
        <f t="shared" si="15"/>
        <v>-3.5327367732370218E-2</v>
      </c>
      <c r="I42" s="4">
        <f t="shared" si="15"/>
        <v>3.4884499050544804E-2</v>
      </c>
      <c r="J42" s="4">
        <f t="shared" si="15"/>
        <v>-2.889830403867355E-2</v>
      </c>
      <c r="K42" s="4">
        <f t="shared" si="15"/>
        <v>-1.1948203577172523E-2</v>
      </c>
      <c r="L42" s="4">
        <f t="shared" si="15"/>
        <v>5.5515971393180985E-2</v>
      </c>
      <c r="M42" s="4">
        <f t="shared" si="15"/>
        <v>-7.3792535340613252E-3</v>
      </c>
      <c r="N42" s="4">
        <f t="shared" si="15"/>
        <v>3.2202318144249897E-2</v>
      </c>
      <c r="O42" s="4">
        <f t="shared" si="15"/>
        <v>2.168840450884657E-2</v>
      </c>
      <c r="P42" s="4">
        <f t="shared" ref="P42:R69" si="16">IFERROR(P7/O7-1,0)</f>
        <v>1.0678625924436469E-2</v>
      </c>
      <c r="Q42" s="4">
        <f t="shared" si="16"/>
        <v>2.17158421755963E-2</v>
      </c>
      <c r="R42" s="4">
        <f t="shared" si="16"/>
        <v>1.2723194844105112E-2</v>
      </c>
      <c r="S42" s="4">
        <f t="shared" ref="S42:S71" si="17">IFERROR(S7/R7-1,0)</f>
        <v>-0.17959221362044431</v>
      </c>
      <c r="T42" s="4">
        <f t="shared" ref="T42:T71" si="18">IFERROR(T7/S7-1,0)</f>
        <v>4.360247092371794E-2</v>
      </c>
      <c r="U42" s="4">
        <f t="shared" ref="U42:V71" si="19">IFERROR(U7/T7-1,0)</f>
        <v>-2.9313341740046517E-2</v>
      </c>
      <c r="V42" s="4">
        <f t="shared" ca="1" si="19"/>
        <v>-5.0431003659179297E-4</v>
      </c>
    </row>
    <row r="43" spans="1:22">
      <c r="A43">
        <f t="shared" si="12"/>
        <v>3</v>
      </c>
      <c r="B43" t="str">
        <f t="shared" si="12"/>
        <v>BE</v>
      </c>
      <c r="C43" t="str">
        <f t="shared" si="12"/>
        <v>BE</v>
      </c>
      <c r="E43" s="4">
        <f t="shared" si="13"/>
        <v>1.8529626996495185E-2</v>
      </c>
      <c r="F43" s="4">
        <f t="shared" si="14"/>
        <v>3.5968251609491242E-2</v>
      </c>
      <c r="G43" s="4">
        <f t="shared" ref="G43:O43" si="20">IFERROR(G8/F8-1,0)</f>
        <v>1.2290716095321841E-2</v>
      </c>
      <c r="H43" s="4">
        <f t="shared" si="20"/>
        <v>-2.5264654669499786E-2</v>
      </c>
      <c r="I43" s="4">
        <f t="shared" si="20"/>
        <v>3.9171263937451961E-3</v>
      </c>
      <c r="J43" s="4">
        <f t="shared" si="20"/>
        <v>-5.9882778239547241E-3</v>
      </c>
      <c r="K43" s="4">
        <f t="shared" si="20"/>
        <v>-3.6263364297266287E-2</v>
      </c>
      <c r="L43" s="4">
        <f t="shared" si="20"/>
        <v>-2.2906794325980195E-2</v>
      </c>
      <c r="M43" s="4">
        <f t="shared" si="20"/>
        <v>1.9413746871139725E-2</v>
      </c>
      <c r="N43" s="4">
        <f t="shared" si="20"/>
        <v>5.0667457107766545E-2</v>
      </c>
      <c r="O43" s="4">
        <f t="shared" si="20"/>
        <v>8.5243620511070706E-3</v>
      </c>
      <c r="P43" s="4">
        <f t="shared" si="16"/>
        <v>-5.7603504651981829E-4</v>
      </c>
      <c r="Q43" s="4">
        <f t="shared" si="16"/>
        <v>1.410015855122948E-2</v>
      </c>
      <c r="R43" s="4">
        <f t="shared" si="16"/>
        <v>-5.967472288649911E-3</v>
      </c>
      <c r="S43" s="4">
        <f t="shared" si="17"/>
        <v>-0.15298571746362033</v>
      </c>
      <c r="T43" s="4">
        <f t="shared" si="18"/>
        <v>0.12638207377088362</v>
      </c>
      <c r="U43" s="4">
        <f t="shared" si="19"/>
        <v>3.7042496616324305E-2</v>
      </c>
      <c r="V43" s="4">
        <f t="shared" ca="1" si="19"/>
        <v>2.6530387843616055E-2</v>
      </c>
    </row>
    <row r="44" spans="1:22">
      <c r="A44">
        <f t="shared" si="12"/>
        <v>4</v>
      </c>
      <c r="B44" t="str">
        <f t="shared" si="12"/>
        <v>BG</v>
      </c>
      <c r="C44" t="str">
        <f t="shared" si="12"/>
        <v>BG</v>
      </c>
      <c r="E44" s="4">
        <f t="shared" si="13"/>
        <v>4.4833144741877495E-2</v>
      </c>
      <c r="F44" s="4">
        <f t="shared" si="14"/>
        <v>-2.8714839727986385E-2</v>
      </c>
      <c r="G44" s="4">
        <f t="shared" ref="G44:O44" si="21">IFERROR(G9/F9-1,0)</f>
        <v>4.9847618408144001E-2</v>
      </c>
      <c r="H44" s="4">
        <f t="shared" si="21"/>
        <v>-5.8897423639464597E-2</v>
      </c>
      <c r="I44" s="4">
        <f t="shared" si="21"/>
        <v>-1.7622429082791546E-2</v>
      </c>
      <c r="J44" s="4">
        <f t="shared" si="21"/>
        <v>2.3486807166615442E-2</v>
      </c>
      <c r="K44" s="4">
        <f t="shared" si="21"/>
        <v>5.0627043305706332E-2</v>
      </c>
      <c r="L44" s="4">
        <f t="shared" si="21"/>
        <v>-9.6876909915199261E-2</v>
      </c>
      <c r="M44" s="4">
        <f t="shared" si="21"/>
        <v>0.1102401411460634</v>
      </c>
      <c r="N44" s="4">
        <f t="shared" si="21"/>
        <v>9.7955960372631212E-2</v>
      </c>
      <c r="O44" s="4">
        <f t="shared" si="21"/>
        <v>2.7282346118259193E-2</v>
      </c>
      <c r="P44" s="4">
        <f t="shared" si="16"/>
        <v>2.3618126834055619E-2</v>
      </c>
      <c r="Q44" s="4">
        <f t="shared" si="16"/>
        <v>1.9061821037525517E-2</v>
      </c>
      <c r="R44" s="4">
        <f t="shared" si="16"/>
        <v>5.7637498774374407E-3</v>
      </c>
      <c r="S44" s="4">
        <f t="shared" si="17"/>
        <v>-8.3359279989199564E-2</v>
      </c>
      <c r="T44" s="4">
        <f t="shared" si="18"/>
        <v>7.5025438276255851E-2</v>
      </c>
      <c r="U44" s="4">
        <f t="shared" si="19"/>
        <v>2.4597243481363495E-2</v>
      </c>
      <c r="V44" s="4">
        <f t="shared" ca="1" si="19"/>
        <v>3.9059172100927464E-2</v>
      </c>
    </row>
    <row r="45" spans="1:22">
      <c r="A45">
        <f t="shared" si="12"/>
        <v>5</v>
      </c>
      <c r="B45" t="str">
        <f t="shared" si="12"/>
        <v>CY</v>
      </c>
      <c r="C45" t="str">
        <f t="shared" si="12"/>
        <v>CY</v>
      </c>
      <c r="E45" s="4">
        <f t="shared" si="13"/>
        <v>7.1452708892301153E-3</v>
      </c>
      <c r="F45" s="4">
        <f t="shared" si="14"/>
        <v>3.2596656048380579E-2</v>
      </c>
      <c r="G45" s="4">
        <f t="shared" ref="G45:O45" si="22">IFERROR(G10/F10-1,0)</f>
        <v>2.6515499999021364E-2</v>
      </c>
      <c r="H45" s="4">
        <f t="shared" si="22"/>
        <v>-1.92470877183617E-2</v>
      </c>
      <c r="I45" s="4">
        <f t="shared" si="22"/>
        <v>2.0603763973452427E-2</v>
      </c>
      <c r="J45" s="4">
        <f t="shared" si="22"/>
        <v>3.9501219708508728E-3</v>
      </c>
      <c r="K45" s="4">
        <f t="shared" si="22"/>
        <v>-8.3466794688364598E-2</v>
      </c>
      <c r="L45" s="4">
        <f t="shared" si="22"/>
        <v>-0.10201808460531148</v>
      </c>
      <c r="M45" s="4">
        <f t="shared" si="22"/>
        <v>-2.8366595040255405E-2</v>
      </c>
      <c r="N45" s="4">
        <f t="shared" si="22"/>
        <v>2.9083225268343282E-2</v>
      </c>
      <c r="O45" s="4">
        <f t="shared" si="22"/>
        <v>7.8165027612207005E-2</v>
      </c>
      <c r="P45" s="4">
        <f t="shared" si="16"/>
        <v>6.3805647755269534E-2</v>
      </c>
      <c r="Q45" s="4">
        <f t="shared" si="16"/>
        <v>1.4674765815907653E-2</v>
      </c>
      <c r="R45" s="4">
        <f t="shared" si="16"/>
        <v>-6.1499688935208185E-3</v>
      </c>
      <c r="S45" s="4">
        <f t="shared" si="17"/>
        <v>-0.28954734118266234</v>
      </c>
      <c r="T45" s="4">
        <f t="shared" si="18"/>
        <v>0.14947540919205449</v>
      </c>
      <c r="U45" s="4">
        <f t="shared" si="19"/>
        <v>0.12151097787824483</v>
      </c>
      <c r="V45" s="4">
        <f t="shared" ca="1" si="19"/>
        <v>1.2589749178248955E-3</v>
      </c>
    </row>
    <row r="46" spans="1:22">
      <c r="A46">
        <f t="shared" si="12"/>
        <v>6</v>
      </c>
      <c r="B46" t="str">
        <f t="shared" si="12"/>
        <v>CZ</v>
      </c>
      <c r="C46" t="str">
        <f t="shared" si="12"/>
        <v>CZ</v>
      </c>
      <c r="E46" s="4">
        <f t="shared" si="13"/>
        <v>3.9110015672246368E-2</v>
      </c>
      <c r="F46" s="4">
        <f t="shared" si="14"/>
        <v>5.342122733476784E-2</v>
      </c>
      <c r="G46" s="4">
        <f t="shared" ref="G46:O46" si="23">IFERROR(G11/F11-1,0)</f>
        <v>6.7615260442850378E-3</v>
      </c>
      <c r="H46" s="4">
        <f t="shared" si="23"/>
        <v>-1.7917772385540265E-2</v>
      </c>
      <c r="I46" s="4">
        <f t="shared" si="23"/>
        <v>-5.0543263225085067E-2</v>
      </c>
      <c r="J46" s="4">
        <f t="shared" si="23"/>
        <v>2.6294359089444885E-3</v>
      </c>
      <c r="K46" s="4">
        <f t="shared" si="23"/>
        <v>-2.6137342649594886E-2</v>
      </c>
      <c r="L46" s="4">
        <f t="shared" si="23"/>
        <v>-9.9546197573637807E-3</v>
      </c>
      <c r="M46" s="4">
        <f t="shared" si="23"/>
        <v>3.6431761726441136E-2</v>
      </c>
      <c r="N46" s="4">
        <f t="shared" si="23"/>
        <v>3.9817849931273797E-2</v>
      </c>
      <c r="O46" s="4">
        <f t="shared" si="23"/>
        <v>3.7533467037125678E-2</v>
      </c>
      <c r="P46" s="4">
        <f t="shared" si="16"/>
        <v>3.5410248874332195E-2</v>
      </c>
      <c r="Q46" s="4">
        <f t="shared" si="16"/>
        <v>1.3975768201817784E-2</v>
      </c>
      <c r="R46" s="4">
        <f t="shared" si="16"/>
        <v>1.8133698096099549E-2</v>
      </c>
      <c r="S46" s="4">
        <f t="shared" si="17"/>
        <v>-9.7975166825746807E-2</v>
      </c>
      <c r="T46" s="4">
        <f t="shared" si="18"/>
        <v>6.5952389863843219E-2</v>
      </c>
      <c r="U46" s="4">
        <f t="shared" si="19"/>
        <v>3.892808649151025E-2</v>
      </c>
      <c r="V46" s="4">
        <f t="shared" ca="1" si="19"/>
        <v>7.2970737853880641E-2</v>
      </c>
    </row>
    <row r="47" spans="1:22">
      <c r="A47">
        <f t="shared" si="12"/>
        <v>7</v>
      </c>
      <c r="B47" t="str">
        <f t="shared" si="12"/>
        <v>DE</v>
      </c>
      <c r="C47" t="str">
        <f t="shared" si="12"/>
        <v>DE</v>
      </c>
      <c r="E47" s="4">
        <f t="shared" si="13"/>
        <v>1.7802634462175781E-2</v>
      </c>
      <c r="F47" s="4">
        <f t="shared" si="14"/>
        <v>-1.5672110286715113E-2</v>
      </c>
      <c r="G47" s="4">
        <f t="shared" ref="G47:O47" si="24">IFERROR(G12/F12-1,0)</f>
        <v>-1.1389069339619584E-2</v>
      </c>
      <c r="H47" s="4">
        <f t="shared" si="24"/>
        <v>-1.7923966350105958E-2</v>
      </c>
      <c r="I47" s="4">
        <f t="shared" si="24"/>
        <v>8.3600612971355126E-3</v>
      </c>
      <c r="J47" s="4">
        <f t="shared" si="24"/>
        <v>3.3553444602161253E-3</v>
      </c>
      <c r="K47" s="4">
        <f t="shared" si="24"/>
        <v>2.1629551628403743E-3</v>
      </c>
      <c r="L47" s="4">
        <f t="shared" si="24"/>
        <v>1.8631982091120491E-2</v>
      </c>
      <c r="M47" s="4">
        <f t="shared" si="24"/>
        <v>1.3976338895054008E-2</v>
      </c>
      <c r="N47" s="4">
        <f t="shared" si="24"/>
        <v>-4.5833633129030993E-3</v>
      </c>
      <c r="O47" s="4">
        <f t="shared" si="24"/>
        <v>3.1953558083722911E-2</v>
      </c>
      <c r="P47" s="4">
        <f t="shared" si="16"/>
        <v>2.4556834093609758E-2</v>
      </c>
      <c r="Q47" s="4">
        <f t="shared" si="16"/>
        <v>-2.2139370203854258E-2</v>
      </c>
      <c r="R47" s="4">
        <f t="shared" si="16"/>
        <v>1.0250424750812615E-2</v>
      </c>
      <c r="S47" s="4">
        <f t="shared" si="17"/>
        <v>-0.15781944292342776</v>
      </c>
      <c r="T47" s="4">
        <f t="shared" si="18"/>
        <v>6.6004077031589503E-3</v>
      </c>
      <c r="U47" s="4">
        <f t="shared" si="19"/>
        <v>6.2669927753568055E-2</v>
      </c>
      <c r="V47" s="4">
        <f t="shared" ca="1" si="19"/>
        <v>-1.6089112197149147E-2</v>
      </c>
    </row>
    <row r="48" spans="1:22">
      <c r="A48">
        <f t="shared" si="12"/>
        <v>8</v>
      </c>
      <c r="B48" t="str">
        <f t="shared" si="12"/>
        <v>DK</v>
      </c>
      <c r="C48" t="str">
        <f t="shared" si="12"/>
        <v>DK</v>
      </c>
      <c r="E48" s="4">
        <f t="shared" si="13"/>
        <v>1.8998703869874234E-2</v>
      </c>
      <c r="F48" s="4">
        <f t="shared" si="14"/>
        <v>3.7335371458347533E-2</v>
      </c>
      <c r="G48" s="4">
        <f t="shared" ref="G48:O48" si="25">IFERROR(G13/F13-1,0)</f>
        <v>-9.7679735726269312E-3</v>
      </c>
      <c r="H48" s="4">
        <f t="shared" si="25"/>
        <v>-6.3312297997089151E-2</v>
      </c>
      <c r="I48" s="4">
        <f t="shared" si="25"/>
        <v>-7.4205055822296195E-4</v>
      </c>
      <c r="J48" s="4">
        <f t="shared" si="25"/>
        <v>2.1324354657685785E-3</v>
      </c>
      <c r="K48" s="4">
        <f t="shared" si="25"/>
        <v>-5.1776913671874203E-2</v>
      </c>
      <c r="L48" s="4">
        <f t="shared" si="25"/>
        <v>-1.5533198292198791E-2</v>
      </c>
      <c r="M48" s="4">
        <f t="shared" si="25"/>
        <v>2.1333123914876406E-2</v>
      </c>
      <c r="N48" s="4">
        <f t="shared" si="25"/>
        <v>3.4077781821855835E-2</v>
      </c>
      <c r="O48" s="4">
        <f t="shared" si="25"/>
        <v>2.4226268533494633E-2</v>
      </c>
      <c r="P48" s="4">
        <f t="shared" si="16"/>
        <v>3.8845168891912252E-3</v>
      </c>
      <c r="Q48" s="4">
        <f t="shared" si="16"/>
        <v>1.7283792313616431E-2</v>
      </c>
      <c r="R48" s="4">
        <f t="shared" si="16"/>
        <v>-9.1618823677703798E-3</v>
      </c>
      <c r="S48" s="4">
        <f t="shared" si="17"/>
        <v>-0.19161765404640219</v>
      </c>
      <c r="T48" s="4">
        <f t="shared" si="18"/>
        <v>4.2079111699364846E-2</v>
      </c>
      <c r="U48" s="4">
        <f t="shared" si="19"/>
        <v>6.0256114949476913E-2</v>
      </c>
      <c r="V48" s="4">
        <f t="shared" ca="1" si="19"/>
        <v>-3.1429739336822249E-2</v>
      </c>
    </row>
    <row r="49" spans="1:22">
      <c r="A49">
        <f t="shared" si="12"/>
        <v>9</v>
      </c>
      <c r="B49" t="str">
        <f t="shared" si="12"/>
        <v>EE</v>
      </c>
      <c r="C49" t="str">
        <f t="shared" si="12"/>
        <v>EE</v>
      </c>
      <c r="E49" s="4">
        <f t="shared" si="13"/>
        <v>6.6525288664823545E-2</v>
      </c>
      <c r="F49" s="4">
        <f t="shared" si="14"/>
        <v>5.2395951000173246E-2</v>
      </c>
      <c r="G49" s="4">
        <f t="shared" ref="G49:O49" si="26">IFERROR(G14/F14-1,0)</f>
        <v>-2.0166684053737671E-2</v>
      </c>
      <c r="H49" s="4">
        <f t="shared" si="26"/>
        <v>-0.11283999280738943</v>
      </c>
      <c r="I49" s="4">
        <f t="shared" si="26"/>
        <v>5.1102307291242877E-2</v>
      </c>
      <c r="J49" s="4">
        <f t="shared" si="26"/>
        <v>8.11417697431005E-3</v>
      </c>
      <c r="K49" s="4">
        <f t="shared" si="26"/>
        <v>2.8801504065961492E-2</v>
      </c>
      <c r="L49" s="4">
        <f t="shared" si="26"/>
        <v>-3.7538545844632565E-2</v>
      </c>
      <c r="M49" s="4">
        <f t="shared" si="26"/>
        <v>2.9688222824344468E-3</v>
      </c>
      <c r="N49" s="4">
        <f t="shared" si="26"/>
        <v>2.6365341240274676E-2</v>
      </c>
      <c r="O49" s="4">
        <f t="shared" si="26"/>
        <v>1.5732351259958532E-2</v>
      </c>
      <c r="P49" s="4">
        <f t="shared" si="16"/>
        <v>4.957276384719167E-2</v>
      </c>
      <c r="Q49" s="4">
        <f t="shared" si="16"/>
        <v>4.7117884460605719E-2</v>
      </c>
      <c r="R49" s="4">
        <f t="shared" si="16"/>
        <v>4.5553980194690258E-3</v>
      </c>
      <c r="S49" s="4">
        <f t="shared" si="17"/>
        <v>-9.7642793681969264E-2</v>
      </c>
      <c r="T49" s="4">
        <f t="shared" si="18"/>
        <v>7.7666752071056555E-2</v>
      </c>
      <c r="U49" s="4">
        <f t="shared" si="19"/>
        <v>2.241624475822146E-2</v>
      </c>
      <c r="V49" s="4">
        <f t="shared" ca="1" si="19"/>
        <v>5.2007059118931664E-2</v>
      </c>
    </row>
    <row r="50" spans="1:22">
      <c r="A50">
        <f t="shared" si="12"/>
        <v>11</v>
      </c>
      <c r="B50" t="str">
        <f t="shared" si="12"/>
        <v>ES</v>
      </c>
      <c r="C50" t="str">
        <f t="shared" si="12"/>
        <v>ES</v>
      </c>
      <c r="E50" s="4">
        <f t="shared" si="13"/>
        <v>2.6140737726429553E-2</v>
      </c>
      <c r="F50" s="4">
        <f t="shared" si="14"/>
        <v>3.0542844428861571E-2</v>
      </c>
      <c r="G50" s="4">
        <f t="shared" ref="G50:O50" si="27">IFERROR(G15/F15-1,0)</f>
        <v>-4.1833438835349956E-2</v>
      </c>
      <c r="H50" s="4">
        <f t="shared" si="27"/>
        <v>-6.4641057023209325E-2</v>
      </c>
      <c r="I50" s="4">
        <f t="shared" si="27"/>
        <v>-1.8084750850139719E-2</v>
      </c>
      <c r="J50" s="4">
        <f t="shared" si="27"/>
        <v>-3.1261748813595669E-2</v>
      </c>
      <c r="K50" s="4">
        <f t="shared" si="27"/>
        <v>-7.5190516067166757E-2</v>
      </c>
      <c r="L50" s="4">
        <f t="shared" si="27"/>
        <v>-4.7963145018609099E-2</v>
      </c>
      <c r="M50" s="4">
        <f t="shared" si="27"/>
        <v>9.064888369222146E-3</v>
      </c>
      <c r="N50" s="4">
        <f t="shared" si="27"/>
        <v>3.8077249464468332E-2</v>
      </c>
      <c r="O50" s="4">
        <f t="shared" si="27"/>
        <v>4.283528081981558E-2</v>
      </c>
      <c r="P50" s="4">
        <f t="shared" si="16"/>
        <v>4.312722003039382E-2</v>
      </c>
      <c r="Q50" s="4">
        <f t="shared" si="16"/>
        <v>2.6307085729466939E-2</v>
      </c>
      <c r="R50" s="4">
        <f t="shared" si="16"/>
        <v>1.3932170898099505E-2</v>
      </c>
      <c r="S50" s="4">
        <f t="shared" si="17"/>
        <v>-0.26902892707027248</v>
      </c>
      <c r="T50" s="4">
        <f t="shared" si="18"/>
        <v>0.16510131656733495</v>
      </c>
      <c r="U50" s="4">
        <f t="shared" si="19"/>
        <v>0.12255655462975157</v>
      </c>
      <c r="V50" s="4">
        <f t="shared" ca="1" si="19"/>
        <v>-7.5113234550959751E-3</v>
      </c>
    </row>
    <row r="51" spans="1:22">
      <c r="A51">
        <f t="shared" si="12"/>
        <v>12</v>
      </c>
      <c r="B51" t="str">
        <f t="shared" si="12"/>
        <v>FI</v>
      </c>
      <c r="C51" t="str">
        <f t="shared" si="12"/>
        <v>FI</v>
      </c>
      <c r="E51" s="4">
        <f t="shared" si="13"/>
        <v>2.3153525952468224E-2</v>
      </c>
      <c r="F51" s="4">
        <f t="shared" si="14"/>
        <v>3.8900935359833966E-2</v>
      </c>
      <c r="G51" s="4">
        <f t="shared" ref="G51:O51" si="28">IFERROR(G16/F16-1,0)</f>
        <v>-1.8925325269849469E-2</v>
      </c>
      <c r="H51" s="4">
        <f t="shared" si="28"/>
        <v>-4.1157097927011166E-2</v>
      </c>
      <c r="I51" s="4">
        <f t="shared" si="28"/>
        <v>4.3181893057637311E-2</v>
      </c>
      <c r="J51" s="4">
        <f t="shared" si="28"/>
        <v>1.9407413462269041E-2</v>
      </c>
      <c r="K51" s="4">
        <f t="shared" si="28"/>
        <v>-2.5216391727798992E-2</v>
      </c>
      <c r="L51" s="4">
        <f t="shared" si="28"/>
        <v>6.6332521755458895E-3</v>
      </c>
      <c r="M51" s="4">
        <f t="shared" si="28"/>
        <v>-2.1769240356812936E-2</v>
      </c>
      <c r="N51" s="4">
        <f t="shared" si="28"/>
        <v>1.0910200108933399E-3</v>
      </c>
      <c r="O51" s="4">
        <f t="shared" si="28"/>
        <v>1.623473088212668E-2</v>
      </c>
      <c r="P51" s="4">
        <f t="shared" si="16"/>
        <v>1.0904186110163749E-2</v>
      </c>
      <c r="Q51" s="4">
        <f t="shared" si="16"/>
        <v>2.974161917066831E-2</v>
      </c>
      <c r="R51" s="4">
        <f t="shared" si="16"/>
        <v>-5.0375244780076489E-4</v>
      </c>
      <c r="S51" s="4">
        <f t="shared" si="17"/>
        <v>-0.16978158130843957</v>
      </c>
      <c r="T51" s="4">
        <f t="shared" si="18"/>
        <v>3.2355825260780069E-2</v>
      </c>
      <c r="U51" s="4">
        <f t="shared" si="19"/>
        <v>2.0422005485211114E-2</v>
      </c>
      <c r="V51" s="4">
        <f t="shared" ca="1" si="19"/>
        <v>-1.6515760654529643E-2</v>
      </c>
    </row>
    <row r="52" spans="1:22">
      <c r="A52">
        <f t="shared" si="12"/>
        <v>13</v>
      </c>
      <c r="B52" t="str">
        <f t="shared" si="12"/>
        <v>FR</v>
      </c>
      <c r="C52" t="str">
        <f t="shared" si="12"/>
        <v>FR</v>
      </c>
      <c r="E52" s="4">
        <f t="shared" si="13"/>
        <v>8.9327159285303992E-3</v>
      </c>
      <c r="F52" s="4">
        <f t="shared" si="14"/>
        <v>1.2224256670783751E-2</v>
      </c>
      <c r="G52" s="4">
        <f t="shared" ref="G52:O52" si="29">IFERROR(G17/F17-1,0)</f>
        <v>-2.075525347490903E-2</v>
      </c>
      <c r="H52" s="4">
        <f t="shared" si="29"/>
        <v>-1.7300819303379344E-2</v>
      </c>
      <c r="I52" s="4">
        <f t="shared" si="29"/>
        <v>2.6342152357208271E-3</v>
      </c>
      <c r="J52" s="4">
        <f t="shared" si="29"/>
        <v>3.3749601106178639E-2</v>
      </c>
      <c r="K52" s="4">
        <f t="shared" si="29"/>
        <v>-5.6831054557568983E-3</v>
      </c>
      <c r="L52" s="4">
        <f t="shared" si="29"/>
        <v>-7.3442940496127873E-3</v>
      </c>
      <c r="M52" s="4">
        <f t="shared" si="29"/>
        <v>6.3329458589895804E-3</v>
      </c>
      <c r="N52" s="4">
        <f t="shared" si="29"/>
        <v>1.5888422703052685E-2</v>
      </c>
      <c r="O52" s="4">
        <f t="shared" si="29"/>
        <v>1.2151016726356101E-3</v>
      </c>
      <c r="P52" s="4">
        <f t="shared" si="16"/>
        <v>9.0977832591703223E-3</v>
      </c>
      <c r="Q52" s="4">
        <f t="shared" si="16"/>
        <v>-1.331714362501224E-2</v>
      </c>
      <c r="R52" s="4">
        <f t="shared" si="16"/>
        <v>4.57416987868009E-3</v>
      </c>
      <c r="S52" s="4">
        <f t="shared" si="17"/>
        <v>-0.2065417957075466</v>
      </c>
      <c r="T52" s="4">
        <f t="shared" si="18"/>
        <v>0.11479641067953672</v>
      </c>
      <c r="U52" s="4">
        <f t="shared" si="19"/>
        <v>8.7339938317763099E-2</v>
      </c>
      <c r="V52" s="4">
        <f t="shared" ca="1" si="19"/>
        <v>-2.9250816736987373E-2</v>
      </c>
    </row>
    <row r="53" spans="1:22">
      <c r="A53">
        <f t="shared" si="12"/>
        <v>10</v>
      </c>
      <c r="B53" t="str">
        <f t="shared" si="12"/>
        <v>EL</v>
      </c>
      <c r="C53" t="str">
        <f t="shared" si="12"/>
        <v>GR</v>
      </c>
      <c r="E53" s="4">
        <f t="shared" si="13"/>
        <v>4.5171806204060472E-2</v>
      </c>
      <c r="F53" s="4">
        <f t="shared" si="14"/>
        <v>3.1173683237450511E-2</v>
      </c>
      <c r="G53" s="4">
        <f t="shared" ref="G53:O53" si="30">IFERROR(G18/F18-1,0)</f>
        <v>-2.2897538025262731E-2</v>
      </c>
      <c r="H53" s="4">
        <f t="shared" si="30"/>
        <v>6.9893768305365533E-2</v>
      </c>
      <c r="I53" s="4">
        <f t="shared" si="30"/>
        <v>-0.11379559157069363</v>
      </c>
      <c r="J53" s="4">
        <f t="shared" si="30"/>
        <v>-8.7493810394614902E-2</v>
      </c>
      <c r="K53" s="4">
        <f t="shared" si="30"/>
        <v>-0.1573023852812736</v>
      </c>
      <c r="L53" s="4">
        <f t="shared" si="30"/>
        <v>1.375544978009513E-3</v>
      </c>
      <c r="M53" s="4">
        <f t="shared" si="30"/>
        <v>2.0765118128797999E-2</v>
      </c>
      <c r="N53" s="4">
        <f t="shared" si="30"/>
        <v>2.5591754452387372E-2</v>
      </c>
      <c r="O53" s="4">
        <f t="shared" si="30"/>
        <v>3.0273146925468453E-2</v>
      </c>
      <c r="P53" s="4">
        <f t="shared" si="16"/>
        <v>3.7894439826970938E-3</v>
      </c>
      <c r="Q53" s="4">
        <f t="shared" si="16"/>
        <v>2.7153121126984203E-2</v>
      </c>
      <c r="R53" s="4">
        <f t="shared" si="16"/>
        <v>2.7087142431427624E-2</v>
      </c>
      <c r="S53" s="4">
        <f t="shared" si="17"/>
        <v>-0.2339155395462087</v>
      </c>
      <c r="T53" s="4">
        <f t="shared" si="18"/>
        <v>0.13272830629721089</v>
      </c>
      <c r="U53" s="4">
        <f t="shared" si="19"/>
        <v>0.12780831098011713</v>
      </c>
      <c r="V53" s="4">
        <f t="shared" ca="1" si="19"/>
        <v>3.2378102603658476E-3</v>
      </c>
    </row>
    <row r="54" spans="1:22">
      <c r="A54">
        <f t="shared" si="12"/>
        <v>14</v>
      </c>
      <c r="B54" t="str">
        <f t="shared" si="12"/>
        <v>HR</v>
      </c>
      <c r="C54" t="str">
        <f t="shared" si="12"/>
        <v>HR</v>
      </c>
      <c r="E54" s="4">
        <f t="shared" si="13"/>
        <v>6.2044577182655658E-2</v>
      </c>
      <c r="F54" s="4">
        <f t="shared" si="14"/>
        <v>7.3683554668546813E-2</v>
      </c>
      <c r="G54" s="4">
        <f t="shared" ref="G54:O54" si="31">IFERROR(G19/F19-1,0)</f>
        <v>-2.4318014933509824E-3</v>
      </c>
      <c r="H54" s="4">
        <f t="shared" si="31"/>
        <v>-1.1021542438801379E-2</v>
      </c>
      <c r="I54" s="4">
        <f t="shared" si="31"/>
        <v>-3.6965111200551126E-2</v>
      </c>
      <c r="J54" s="4">
        <f t="shared" si="31"/>
        <v>-1.5886558249030291E-2</v>
      </c>
      <c r="K54" s="4">
        <f t="shared" si="31"/>
        <v>-1.619286194601699E-2</v>
      </c>
      <c r="L54" s="4">
        <f t="shared" si="31"/>
        <v>1.6017290427824848E-2</v>
      </c>
      <c r="M54" s="4">
        <f t="shared" si="31"/>
        <v>-1.1592944496431445E-2</v>
      </c>
      <c r="N54" s="4">
        <f t="shared" si="31"/>
        <v>4.5842298693654193E-2</v>
      </c>
      <c r="O54" s="4">
        <f t="shared" si="31"/>
        <v>2.5845792650973198E-2</v>
      </c>
      <c r="P54" s="4">
        <f t="shared" si="16"/>
        <v>8.0919504194338909E-2</v>
      </c>
      <c r="Q54" s="4">
        <f t="shared" si="16"/>
        <v>-5.7056722750904454E-3</v>
      </c>
      <c r="R54" s="4">
        <f t="shared" si="16"/>
        <v>4.444922037876875E-2</v>
      </c>
      <c r="S54" s="4">
        <f t="shared" si="17"/>
        <v>-0.16929465829947965</v>
      </c>
      <c r="T54" s="4">
        <f t="shared" si="18"/>
        <v>0.11055103954940271</v>
      </c>
      <c r="U54" s="4">
        <f t="shared" si="19"/>
        <v>7.7764446353880246E-2</v>
      </c>
      <c r="V54" s="4">
        <f t="shared" ca="1" si="19"/>
        <v>-5.2795667936231805E-3</v>
      </c>
    </row>
    <row r="55" spans="1:22">
      <c r="A55">
        <f t="shared" si="12"/>
        <v>15</v>
      </c>
      <c r="B55" t="str">
        <f t="shared" si="12"/>
        <v>HU</v>
      </c>
      <c r="C55" t="str">
        <f t="shared" si="12"/>
        <v>HU</v>
      </c>
      <c r="E55" s="4">
        <f t="shared" si="13"/>
        <v>6.6724941114647773E-2</v>
      </c>
      <c r="F55" s="4">
        <f t="shared" si="14"/>
        <v>1.2604448012706104E-2</v>
      </c>
      <c r="G55" s="4">
        <f t="shared" ref="G55:O55" si="32">IFERROR(G20/F20-1,0)</f>
        <v>2.7904763094880547E-2</v>
      </c>
      <c r="H55" s="4">
        <f t="shared" si="32"/>
        <v>-1.2503272435809398E-2</v>
      </c>
      <c r="I55" s="4">
        <f t="shared" si="32"/>
        <v>-8.3239533211823091E-2</v>
      </c>
      <c r="J55" s="4">
        <f t="shared" si="32"/>
        <v>-6.3306302985624674E-2</v>
      </c>
      <c r="K55" s="4">
        <f t="shared" si="32"/>
        <v>-4.6201000081568688E-2</v>
      </c>
      <c r="L55" s="4">
        <f t="shared" si="32"/>
        <v>-6.1226726955526556E-2</v>
      </c>
      <c r="M55" s="4">
        <f t="shared" si="32"/>
        <v>0.11636172507527265</v>
      </c>
      <c r="N55" s="4">
        <f t="shared" si="32"/>
        <v>7.7139141601036743E-2</v>
      </c>
      <c r="O55" s="4">
        <f t="shared" si="32"/>
        <v>2.2475136990185218E-2</v>
      </c>
      <c r="P55" s="4">
        <f t="shared" si="16"/>
        <v>5.9815171974036296E-2</v>
      </c>
      <c r="Q55" s="4">
        <f t="shared" si="16"/>
        <v>7.3347571192295957E-2</v>
      </c>
      <c r="R55" s="4">
        <f t="shared" si="16"/>
        <v>5.5922431658936178E-2</v>
      </c>
      <c r="S55" s="4">
        <f t="shared" si="17"/>
        <v>-0.14746148055891861</v>
      </c>
      <c r="T55" s="4">
        <f t="shared" si="18"/>
        <v>0.10081568765365545</v>
      </c>
      <c r="U55" s="4">
        <f t="shared" si="19"/>
        <v>0.10268184978701389</v>
      </c>
      <c r="V55" s="4">
        <f t="shared" ca="1" si="19"/>
        <v>-4.8793065047808004E-2</v>
      </c>
    </row>
    <row r="56" spans="1:22">
      <c r="A56">
        <f t="shared" si="12"/>
        <v>16</v>
      </c>
      <c r="B56" t="str">
        <f t="shared" si="12"/>
        <v>IE</v>
      </c>
      <c r="C56" t="str">
        <f t="shared" si="12"/>
        <v>IE</v>
      </c>
      <c r="E56" s="4">
        <f t="shared" si="13"/>
        <v>8.326701988853058E-2</v>
      </c>
      <c r="F56" s="4">
        <f t="shared" si="14"/>
        <v>5.1886567381890236E-2</v>
      </c>
      <c r="G56" s="4">
        <f t="shared" ref="G56:O56" si="33">IFERROR(G21/F21-1,0)</f>
        <v>-5.2513314344790007E-2</v>
      </c>
      <c r="H56" s="4">
        <f t="shared" si="33"/>
        <v>-0.13878359112071614</v>
      </c>
      <c r="I56" s="4">
        <f t="shared" si="33"/>
        <v>-1.7457334781928679E-2</v>
      </c>
      <c r="J56" s="4">
        <f t="shared" si="33"/>
        <v>-5.3568205516315248E-2</v>
      </c>
      <c r="K56" s="4">
        <f t="shared" si="33"/>
        <v>-4.3726663122260923E-2</v>
      </c>
      <c r="L56" s="4">
        <f t="shared" si="33"/>
        <v>2.8890084237193525E-2</v>
      </c>
      <c r="M56" s="4">
        <f t="shared" si="33"/>
        <v>5.7921619298288984E-2</v>
      </c>
      <c r="N56" s="4">
        <f t="shared" si="33"/>
        <v>3.1756312632252426E-2</v>
      </c>
      <c r="O56" s="4">
        <f t="shared" si="33"/>
        <v>5.0657476445224781E-2</v>
      </c>
      <c r="P56" s="4">
        <f t="shared" si="16"/>
        <v>2.098175390178425E-2</v>
      </c>
      <c r="Q56" s="4">
        <f t="shared" si="16"/>
        <v>2.5037340452189527E-2</v>
      </c>
      <c r="R56" s="4">
        <f t="shared" si="16"/>
        <v>7.671615216188199E-3</v>
      </c>
      <c r="S56" s="4">
        <f t="shared" si="17"/>
        <v>-0.25866345239141308</v>
      </c>
      <c r="T56" s="4">
        <f t="shared" si="18"/>
        <v>7.008844896598232E-2</v>
      </c>
      <c r="U56" s="4">
        <f t="shared" si="19"/>
        <v>0.20120292220809288</v>
      </c>
      <c r="V56" s="4">
        <f t="shared" ca="1" si="19"/>
        <v>2.1227589089777288E-2</v>
      </c>
    </row>
    <row r="57" spans="1:22">
      <c r="A57">
        <f t="shared" si="12"/>
        <v>17</v>
      </c>
      <c r="B57" t="str">
        <f t="shared" si="12"/>
        <v>IT</v>
      </c>
      <c r="C57" t="str">
        <f t="shared" si="12"/>
        <v>IT</v>
      </c>
      <c r="E57" s="4">
        <f t="shared" si="13"/>
        <v>1.3213463603089837E-2</v>
      </c>
      <c r="F57" s="4">
        <f t="shared" si="14"/>
        <v>6.5684281708593417E-3</v>
      </c>
      <c r="G57" s="4">
        <f t="shared" ref="G57:O57" si="34">IFERROR(G22/F22-1,0)</f>
        <v>-3.7757466046248966E-2</v>
      </c>
      <c r="H57" s="4">
        <f t="shared" si="34"/>
        <v>-4.2541571107205134E-2</v>
      </c>
      <c r="I57" s="4">
        <f t="shared" si="34"/>
        <v>-9.3663260417745642E-3</v>
      </c>
      <c r="J57" s="4">
        <f t="shared" si="34"/>
        <v>2.1079382161228732E-3</v>
      </c>
      <c r="K57" s="4">
        <f t="shared" si="34"/>
        <v>-5.6723811639824762E-2</v>
      </c>
      <c r="L57" s="4">
        <f t="shared" si="34"/>
        <v>-1.8937823072414872E-2</v>
      </c>
      <c r="M57" s="4">
        <f t="shared" si="34"/>
        <v>3.5736245479109474E-2</v>
      </c>
      <c r="N57" s="4">
        <f t="shared" si="34"/>
        <v>-1.3586485176915852E-2</v>
      </c>
      <c r="O57" s="4">
        <f t="shared" si="34"/>
        <v>-1.0886647768010405E-2</v>
      </c>
      <c r="P57" s="4">
        <f t="shared" si="16"/>
        <v>-2.980509157391531E-2</v>
      </c>
      <c r="Q57" s="4">
        <f t="shared" si="16"/>
        <v>3.8734465864016965E-2</v>
      </c>
      <c r="R57" s="4">
        <f t="shared" si="16"/>
        <v>1.0538625762165355E-2</v>
      </c>
      <c r="S57" s="4">
        <f t="shared" si="17"/>
        <v>-0.23495837216008197</v>
      </c>
      <c r="T57" s="4">
        <f t="shared" si="18"/>
        <v>0.19785969724387353</v>
      </c>
      <c r="U57" s="4">
        <f t="shared" si="19"/>
        <v>7.7936573384711716E-2</v>
      </c>
      <c r="V57" s="4">
        <f t="shared" ca="1" si="19"/>
        <v>1.0033291866027305E-3</v>
      </c>
    </row>
    <row r="58" spans="1:22">
      <c r="A58">
        <f t="shared" si="12"/>
        <v>18</v>
      </c>
      <c r="B58" t="str">
        <f t="shared" si="12"/>
        <v>LT</v>
      </c>
      <c r="C58" t="str">
        <f t="shared" si="12"/>
        <v>LT</v>
      </c>
      <c r="E58" s="4">
        <f t="shared" si="13"/>
        <v>7.916768443752753E-2</v>
      </c>
      <c r="F58" s="4">
        <f t="shared" si="14"/>
        <v>0.18812305706434751</v>
      </c>
      <c r="G58" s="4">
        <f t="shared" ref="G58:O58" si="35">IFERROR(G23/F23-1,0)</f>
        <v>3.8879753625484792E-3</v>
      </c>
      <c r="H58" s="4">
        <f t="shared" si="35"/>
        <v>-0.18579160309399645</v>
      </c>
      <c r="I58" s="4">
        <f t="shared" si="35"/>
        <v>2.9181943980150171E-2</v>
      </c>
      <c r="J58" s="4">
        <f t="shared" si="35"/>
        <v>-4.0090481810464151E-3</v>
      </c>
      <c r="K58" s="4">
        <f t="shared" si="35"/>
        <v>2.0787262847981047E-2</v>
      </c>
      <c r="L58" s="4">
        <f t="shared" si="35"/>
        <v>5.4731541787522708E-4</v>
      </c>
      <c r="M58" s="4">
        <f t="shared" si="35"/>
        <v>0.10671328600160535</v>
      </c>
      <c r="N58" s="4">
        <f t="shared" si="35"/>
        <v>5.2782370855956495E-2</v>
      </c>
      <c r="O58" s="4">
        <f t="shared" si="35"/>
        <v>7.0258083006919492E-2</v>
      </c>
      <c r="P58" s="4">
        <f t="shared" si="16"/>
        <v>5.3768684276031431E-2</v>
      </c>
      <c r="Q58" s="4">
        <f t="shared" si="16"/>
        <v>6.8552251723717372E-2</v>
      </c>
      <c r="R58" s="4">
        <f t="shared" si="16"/>
        <v>3.0119524078088267E-2</v>
      </c>
      <c r="S58" s="4">
        <f t="shared" si="17"/>
        <v>-4.1060354600759741E-2</v>
      </c>
      <c r="T58" s="4">
        <f t="shared" si="18"/>
        <v>1.1999323129215922E-2</v>
      </c>
      <c r="U58" s="4">
        <f t="shared" si="19"/>
        <v>-7.5811507126433142E-4</v>
      </c>
      <c r="V58" s="4">
        <f t="shared" ca="1" si="19"/>
        <v>3.2497569052722053E-2</v>
      </c>
    </row>
    <row r="59" spans="1:22">
      <c r="A59">
        <f t="shared" si="12"/>
        <v>19</v>
      </c>
      <c r="B59" t="str">
        <f t="shared" si="12"/>
        <v>LU</v>
      </c>
      <c r="C59" t="str">
        <f t="shared" si="12"/>
        <v>LU</v>
      </c>
      <c r="E59" s="4">
        <f t="shared" si="13"/>
        <v>-4.6155377612692283E-2</v>
      </c>
      <c r="F59" s="4">
        <f t="shared" si="14"/>
        <v>-5.2064044161945766E-3</v>
      </c>
      <c r="G59" s="4">
        <f t="shared" ref="G59:O59" si="36">IFERROR(G24/F24-1,0)</f>
        <v>1.2211351864784836E-2</v>
      </c>
      <c r="H59" s="4">
        <f t="shared" si="36"/>
        <v>-7.1834187353025492E-2</v>
      </c>
      <c r="I59" s="4">
        <f t="shared" si="36"/>
        <v>5.1029823833670607E-2</v>
      </c>
      <c r="J59" s="4">
        <f t="shared" si="36"/>
        <v>3.9873736937890536E-2</v>
      </c>
      <c r="K59" s="4">
        <f t="shared" si="36"/>
        <v>-4.8597382134068168E-2</v>
      </c>
      <c r="L59" s="4">
        <f t="shared" si="36"/>
        <v>-1.5079136779897251E-2</v>
      </c>
      <c r="M59" s="4">
        <f t="shared" si="36"/>
        <v>-1.87466395230661E-2</v>
      </c>
      <c r="N59" s="4">
        <f t="shared" si="36"/>
        <v>-3.0909349822598631E-2</v>
      </c>
      <c r="O59" s="4">
        <f t="shared" si="36"/>
        <v>-3.3445369803131175E-4</v>
      </c>
      <c r="P59" s="4">
        <f t="shared" si="16"/>
        <v>5.1992238740708352E-2</v>
      </c>
      <c r="Q59" s="4">
        <f t="shared" si="16"/>
        <v>6.8762282844814004E-2</v>
      </c>
      <c r="R59" s="4">
        <f t="shared" si="16"/>
        <v>1.4253111123960105E-2</v>
      </c>
      <c r="S59" s="4">
        <f t="shared" si="17"/>
        <v>-0.19597108101954985</v>
      </c>
      <c r="T59" s="4">
        <f t="shared" si="18"/>
        <v>8.1442352461944312E-2</v>
      </c>
      <c r="U59" s="4">
        <f t="shared" si="19"/>
        <v>-8.1733702431277422E-2</v>
      </c>
      <c r="V59" s="4">
        <f t="shared" ca="1" si="19"/>
        <v>-3.2398697480342298E-2</v>
      </c>
    </row>
    <row r="60" spans="1:22">
      <c r="A60">
        <f t="shared" si="12"/>
        <v>20</v>
      </c>
      <c r="B60" t="str">
        <f t="shared" si="12"/>
        <v>LV</v>
      </c>
      <c r="C60" t="str">
        <f t="shared" si="12"/>
        <v>LV</v>
      </c>
      <c r="E60" s="4">
        <f t="shared" si="13"/>
        <v>0.10473532590812829</v>
      </c>
      <c r="F60" s="4">
        <f t="shared" si="14"/>
        <v>0.13104235984355728</v>
      </c>
      <c r="G60" s="4">
        <f t="shared" ref="G60:O60" si="37">IFERROR(G25/F25-1,0)</f>
        <v>-3.9695305946980786E-2</v>
      </c>
      <c r="H60" s="4">
        <f t="shared" si="37"/>
        <v>-0.1084791897303764</v>
      </c>
      <c r="I60" s="4">
        <f t="shared" si="37"/>
        <v>5.2569451564648428E-2</v>
      </c>
      <c r="J60" s="4">
        <f t="shared" si="37"/>
        <v>-9.8823835012201156E-2</v>
      </c>
      <c r="K60" s="4">
        <f t="shared" si="37"/>
        <v>-3.1491792843555633E-2</v>
      </c>
      <c r="L60" s="4">
        <f t="shared" si="37"/>
        <v>1.3385200348748016E-2</v>
      </c>
      <c r="M60" s="4">
        <f t="shared" si="37"/>
        <v>2.7684745386189702E-2</v>
      </c>
      <c r="N60" s="4">
        <f t="shared" si="37"/>
        <v>4.874583816114253E-2</v>
      </c>
      <c r="O60" s="4">
        <f t="shared" si="37"/>
        <v>9.9494840102569704E-3</v>
      </c>
      <c r="P60" s="4">
        <f t="shared" si="16"/>
        <v>5.5671338734114117E-2</v>
      </c>
      <c r="Q60" s="4">
        <f t="shared" si="16"/>
        <v>3.3780789398019095E-2</v>
      </c>
      <c r="R60" s="4">
        <f t="shared" si="16"/>
        <v>-4.9445677504831309E-3</v>
      </c>
      <c r="S60" s="4">
        <f t="shared" si="17"/>
        <v>-0.12114344324631232</v>
      </c>
      <c r="T60" s="4">
        <f t="shared" si="18"/>
        <v>4.6815720919696435E-2</v>
      </c>
      <c r="U60" s="4">
        <f t="shared" si="19"/>
        <v>7.8586192927849741E-3</v>
      </c>
      <c r="V60" s="4">
        <f t="shared" ca="1" si="19"/>
        <v>-1.1474006137218717E-3</v>
      </c>
    </row>
    <row r="61" spans="1:22">
      <c r="A61">
        <f t="shared" si="12"/>
        <v>21</v>
      </c>
      <c r="B61" t="str">
        <f t="shared" si="12"/>
        <v>MT</v>
      </c>
      <c r="C61" t="str">
        <f t="shared" si="12"/>
        <v>MT</v>
      </c>
      <c r="E61" s="4">
        <f t="shared" si="13"/>
        <v>2.4311240693908109E-2</v>
      </c>
      <c r="F61" s="4">
        <f t="shared" si="14"/>
        <v>3.5601348098218466E-2</v>
      </c>
      <c r="G61" s="4">
        <f t="shared" ref="G61:O61" si="38">IFERROR(G26/F26-1,0)</f>
        <v>7.2314295490724101E-2</v>
      </c>
      <c r="H61" s="4">
        <f t="shared" si="38"/>
        <v>-9.899726337184489E-2</v>
      </c>
      <c r="I61" s="4">
        <f t="shared" si="38"/>
        <v>0.10430805831334755</v>
      </c>
      <c r="J61" s="4">
        <f t="shared" si="38"/>
        <v>3.9461070538406862E-3</v>
      </c>
      <c r="K61" s="4">
        <f t="shared" si="38"/>
        <v>-2.4930815251547833E-2</v>
      </c>
      <c r="L61" s="4">
        <f t="shared" si="38"/>
        <v>2.72419404808113E-2</v>
      </c>
      <c r="M61" s="4">
        <f t="shared" si="38"/>
        <v>3.9595516991544955E-2</v>
      </c>
      <c r="N61" s="4">
        <f t="shared" si="38"/>
        <v>5.3119654272080652E-2</v>
      </c>
      <c r="O61" s="4">
        <f t="shared" si="38"/>
        <v>2.5948407157264208E-2</v>
      </c>
      <c r="P61" s="4">
        <f t="shared" si="16"/>
        <v>7.0049442308048437E-2</v>
      </c>
      <c r="Q61" s="4">
        <f t="shared" si="16"/>
        <v>0.10920045801834943</v>
      </c>
      <c r="R61" s="4">
        <f t="shared" si="16"/>
        <v>5.7105041448675342E-2</v>
      </c>
      <c r="S61" s="4">
        <f t="shared" si="17"/>
        <v>-0.34949684281472837</v>
      </c>
      <c r="T61" s="4">
        <f t="shared" si="18"/>
        <v>0.10532385961860591</v>
      </c>
      <c r="U61" s="4">
        <f t="shared" si="19"/>
        <v>0.29280133012206488</v>
      </c>
      <c r="V61" s="4">
        <f t="shared" ca="1" si="19"/>
        <v>-3.0168398900977333E-2</v>
      </c>
    </row>
    <row r="62" spans="1:22">
      <c r="A62">
        <f t="shared" si="12"/>
        <v>22</v>
      </c>
      <c r="B62" t="str">
        <f t="shared" si="12"/>
        <v>NL</v>
      </c>
      <c r="C62" t="str">
        <f t="shared" si="12"/>
        <v>NL</v>
      </c>
      <c r="E62" s="4">
        <f t="shared" si="13"/>
        <v>2.6381294590080095E-2</v>
      </c>
      <c r="F62" s="4">
        <f t="shared" si="14"/>
        <v>9.4799993593455145E-3</v>
      </c>
      <c r="G62" s="4">
        <f t="shared" ref="G62:O62" si="39">IFERROR(G27/F27-1,0)</f>
        <v>1.0512445168525675E-2</v>
      </c>
      <c r="H62" s="4">
        <f t="shared" si="39"/>
        <v>-4.0740711076429292E-2</v>
      </c>
      <c r="I62" s="4">
        <f t="shared" si="39"/>
        <v>-1.6059591787508376E-3</v>
      </c>
      <c r="J62" s="4">
        <f t="shared" si="39"/>
        <v>1.7849212504484457E-2</v>
      </c>
      <c r="K62" s="4">
        <f t="shared" si="39"/>
        <v>-4.21283257861782E-2</v>
      </c>
      <c r="L62" s="4">
        <f t="shared" si="39"/>
        <v>-3.0148054646012667E-2</v>
      </c>
      <c r="M62" s="4">
        <f t="shared" si="39"/>
        <v>-4.9800750390342707E-2</v>
      </c>
      <c r="N62" s="4">
        <f t="shared" si="39"/>
        <v>2.2276627971640206E-2</v>
      </c>
      <c r="O62" s="4">
        <f t="shared" si="39"/>
        <v>6.6192743360096173E-3</v>
      </c>
      <c r="P62" s="4">
        <f t="shared" si="16"/>
        <v>3.3506586120858772E-2</v>
      </c>
      <c r="Q62" s="4">
        <f t="shared" si="16"/>
        <v>2.0268005327266136E-2</v>
      </c>
      <c r="R62" s="4">
        <f t="shared" si="16"/>
        <v>-6.9278547539417534E-3</v>
      </c>
      <c r="S62" s="4">
        <f t="shared" si="17"/>
        <v>-0.22736935498278488</v>
      </c>
      <c r="T62" s="4">
        <f t="shared" si="18"/>
        <v>3.4908399921350863E-2</v>
      </c>
      <c r="U62" s="4">
        <f t="shared" si="19"/>
        <v>6.0851148398230359E-2</v>
      </c>
      <c r="V62" s="4">
        <f t="shared" ca="1" si="19"/>
        <v>4.319210083961611E-2</v>
      </c>
    </row>
    <row r="63" spans="1:22">
      <c r="A63">
        <f t="shared" si="12"/>
        <v>23</v>
      </c>
      <c r="B63" t="str">
        <f t="shared" si="12"/>
        <v>PL</v>
      </c>
      <c r="C63" t="str">
        <f t="shared" si="12"/>
        <v>PL</v>
      </c>
      <c r="E63" s="4">
        <f t="shared" si="13"/>
        <v>0.11017136975508257</v>
      </c>
      <c r="F63" s="4">
        <f t="shared" si="14"/>
        <v>9.773335407681083E-2</v>
      </c>
      <c r="G63" s="4">
        <f t="shared" ref="G63:O63" si="40">IFERROR(G28/F28-1,0)</f>
        <v>6.8967633916898086E-2</v>
      </c>
      <c r="H63" s="4">
        <f t="shared" si="40"/>
        <v>1.7889817452177548E-2</v>
      </c>
      <c r="I63" s="4">
        <f t="shared" si="40"/>
        <v>6.3136767863024135E-2</v>
      </c>
      <c r="J63" s="4">
        <f t="shared" si="40"/>
        <v>1.1916679650046058E-2</v>
      </c>
      <c r="K63" s="4">
        <f t="shared" si="40"/>
        <v>-3.842387502914435E-2</v>
      </c>
      <c r="L63" s="4">
        <f t="shared" si="40"/>
        <v>-5.5095163438701356E-2</v>
      </c>
      <c r="M63" s="4">
        <f t="shared" si="40"/>
        <v>7.3430180203575279E-3</v>
      </c>
      <c r="N63" s="4">
        <f t="shared" si="40"/>
        <v>5.0082166177822574E-2</v>
      </c>
      <c r="O63" s="4">
        <f t="shared" si="40"/>
        <v>0.11795386458034884</v>
      </c>
      <c r="P63" s="4">
        <f t="shared" si="16"/>
        <v>0.15811729482999248</v>
      </c>
      <c r="Q63" s="4">
        <f t="shared" si="16"/>
        <v>4.8173423570895935E-2</v>
      </c>
      <c r="R63" s="4">
        <f t="shared" si="16"/>
        <v>2.1520191120085075E-2</v>
      </c>
      <c r="S63" s="4">
        <f t="shared" si="17"/>
        <v>-6.8010153904652704E-2</v>
      </c>
      <c r="T63" s="4">
        <f t="shared" si="18"/>
        <v>8.3891989645163978E-2</v>
      </c>
      <c r="U63" s="4">
        <f t="shared" si="19"/>
        <v>3.2219600360961165E-2</v>
      </c>
      <c r="V63" s="4">
        <f t="shared" ca="1" si="19"/>
        <v>2.1623322554595203E-2</v>
      </c>
    </row>
    <row r="64" spans="1:22">
      <c r="A64">
        <f t="shared" si="12"/>
        <v>24</v>
      </c>
      <c r="B64" t="str">
        <f t="shared" si="12"/>
        <v>PT</v>
      </c>
      <c r="C64" t="str">
        <f t="shared" si="12"/>
        <v>PT</v>
      </c>
      <c r="E64" s="4">
        <f t="shared" si="13"/>
        <v>7.9910086024270743E-3</v>
      </c>
      <c r="F64" s="4">
        <f t="shared" si="14"/>
        <v>1.3865570283942974E-2</v>
      </c>
      <c r="G64" s="4">
        <f t="shared" ref="G64:O64" si="41">IFERROR(G29/F29-1,0)</f>
        <v>6.5369290685819426E-3</v>
      </c>
      <c r="H64" s="4">
        <f t="shared" si="41"/>
        <v>-9.1955362976393618E-3</v>
      </c>
      <c r="I64" s="4">
        <f t="shared" si="41"/>
        <v>2.4146419300319355E-3</v>
      </c>
      <c r="J64" s="4">
        <f t="shared" si="41"/>
        <v>-5.8073391697082366E-2</v>
      </c>
      <c r="K64" s="4">
        <f t="shared" si="41"/>
        <v>-6.6894287651031448E-2</v>
      </c>
      <c r="L64" s="4">
        <f t="shared" si="41"/>
        <v>-1.3257179048296597E-2</v>
      </c>
      <c r="M64" s="4">
        <f t="shared" si="41"/>
        <v>9.6755463848117174E-3</v>
      </c>
      <c r="N64" s="4">
        <f t="shared" si="41"/>
        <v>2.6601271718188046E-2</v>
      </c>
      <c r="O64" s="4">
        <f t="shared" si="41"/>
        <v>3.6125963269650008E-2</v>
      </c>
      <c r="P64" s="4">
        <f t="shared" si="16"/>
        <v>3.3493620388092449E-2</v>
      </c>
      <c r="Q64" s="4">
        <f t="shared" si="16"/>
        <v>2.0103738231561419E-2</v>
      </c>
      <c r="R64" s="4">
        <f t="shared" si="16"/>
        <v>3.1805383992017155E-2</v>
      </c>
      <c r="S64" s="4">
        <f t="shared" si="17"/>
        <v>-0.25733148855333721</v>
      </c>
      <c r="T64" s="4">
        <f t="shared" si="18"/>
        <v>0.11000153997631945</v>
      </c>
      <c r="U64" s="4">
        <f t="shared" si="19"/>
        <v>0.17121198239172442</v>
      </c>
      <c r="V64" s="4">
        <f t="shared" ca="1" si="19"/>
        <v>5.7406790658120599E-2</v>
      </c>
    </row>
    <row r="65" spans="1:22">
      <c r="A65">
        <f t="shared" si="12"/>
        <v>25</v>
      </c>
      <c r="B65" t="str">
        <f t="shared" si="12"/>
        <v>RO</v>
      </c>
      <c r="C65" t="str">
        <f t="shared" si="12"/>
        <v>RO</v>
      </c>
      <c r="E65" s="4">
        <f t="shared" si="13"/>
        <v>3.3424563716406785E-2</v>
      </c>
      <c r="F65" s="4">
        <f t="shared" si="14"/>
        <v>6.281953538687346E-2</v>
      </c>
      <c r="G65" s="4">
        <f t="shared" ref="G65:O65" si="42">IFERROR(G30/F30-1,0)</f>
        <v>0.12608134665979609</v>
      </c>
      <c r="H65" s="4">
        <f t="shared" si="42"/>
        <v>2.3071694605430348E-2</v>
      </c>
      <c r="I65" s="4">
        <f t="shared" si="42"/>
        <v>-5.2634629694615409E-2</v>
      </c>
      <c r="J65" s="4">
        <f t="shared" si="42"/>
        <v>4.4004218231928016E-2</v>
      </c>
      <c r="K65" s="4">
        <f t="shared" si="42"/>
        <v>1.6805659297649544E-2</v>
      </c>
      <c r="L65" s="4">
        <f t="shared" si="42"/>
        <v>-1.7206876803453786E-2</v>
      </c>
      <c r="M65" s="4">
        <f t="shared" si="42"/>
        <v>2.2206371556659166E-2</v>
      </c>
      <c r="N65" s="4">
        <f t="shared" si="42"/>
        <v>1.899275265003797E-2</v>
      </c>
      <c r="O65" s="4">
        <f t="shared" si="42"/>
        <v>8.0977474738581634E-2</v>
      </c>
      <c r="P65" s="4">
        <f t="shared" si="16"/>
        <v>7.5728781160048442E-2</v>
      </c>
      <c r="Q65" s="4">
        <f t="shared" si="16"/>
        <v>-6.7873725295604093E-3</v>
      </c>
      <c r="R65" s="4">
        <f t="shared" si="16"/>
        <v>4.4000308021252321E-2</v>
      </c>
      <c r="S65" s="4">
        <f t="shared" si="17"/>
        <v>-3.2182942289604055E-2</v>
      </c>
      <c r="T65" s="4">
        <f t="shared" si="18"/>
        <v>6.9665540379618696E-2</v>
      </c>
      <c r="U65" s="4">
        <f t="shared" si="19"/>
        <v>8.2060894626029723E-2</v>
      </c>
      <c r="V65" s="4">
        <f t="shared" ca="1" si="19"/>
        <v>-2.9660371652659889E-2</v>
      </c>
    </row>
    <row r="66" spans="1:22">
      <c r="A66">
        <f t="shared" si="12"/>
        <v>26</v>
      </c>
      <c r="B66" t="str">
        <f t="shared" si="12"/>
        <v>SE</v>
      </c>
      <c r="C66" t="str">
        <f t="shared" si="12"/>
        <v>SE</v>
      </c>
      <c r="E66" s="4">
        <f t="shared" si="13"/>
        <v>1.4654962561631457E-2</v>
      </c>
      <c r="F66" s="4">
        <f t="shared" si="14"/>
        <v>1.1719069022623652E-2</v>
      </c>
      <c r="G66" s="4">
        <f t="shared" ref="G66:O66" si="43">IFERROR(G31/F31-1,0)</f>
        <v>-1.5017262655292463E-4</v>
      </c>
      <c r="H66" s="4">
        <f t="shared" si="43"/>
        <v>-2.7548099647065283E-2</v>
      </c>
      <c r="I66" s="4">
        <f t="shared" si="43"/>
        <v>1.2728183816207661E-2</v>
      </c>
      <c r="J66" s="4">
        <f t="shared" si="43"/>
        <v>7.431272665436417E-3</v>
      </c>
      <c r="K66" s="4">
        <f t="shared" si="43"/>
        <v>-3.8126844915104763E-2</v>
      </c>
      <c r="L66" s="4">
        <f t="shared" si="43"/>
        <v>1.0961598703917996E-3</v>
      </c>
      <c r="M66" s="4">
        <f t="shared" si="43"/>
        <v>-9.7148785423576411E-3</v>
      </c>
      <c r="N66" s="4">
        <f t="shared" si="43"/>
        <v>2.1237328021909141E-2</v>
      </c>
      <c r="O66" s="4">
        <f t="shared" si="43"/>
        <v>1.6882539763738436E-3</v>
      </c>
      <c r="P66" s="4">
        <f t="shared" si="16"/>
        <v>1.6729387615463498E-2</v>
      </c>
      <c r="Q66" s="4">
        <f t="shared" si="16"/>
        <v>-1.6235892619321679E-2</v>
      </c>
      <c r="R66" s="4">
        <f t="shared" si="16"/>
        <v>-1.8318013897167917E-2</v>
      </c>
      <c r="S66" s="4">
        <f t="shared" si="17"/>
        <v>-0.12210985933522078</v>
      </c>
      <c r="T66" s="4">
        <f t="shared" si="18"/>
        <v>3.2957927827178102E-2</v>
      </c>
      <c r="U66" s="4">
        <f t="shared" si="19"/>
        <v>4.9273571546701866E-3</v>
      </c>
      <c r="V66" s="4">
        <f t="shared" ca="1" si="19"/>
        <v>4.9751790203831359E-3</v>
      </c>
    </row>
    <row r="67" spans="1:22">
      <c r="A67">
        <f t="shared" si="12"/>
        <v>27</v>
      </c>
      <c r="B67" t="str">
        <f t="shared" si="12"/>
        <v>SI</v>
      </c>
      <c r="C67" t="str">
        <f t="shared" si="12"/>
        <v>SI</v>
      </c>
      <c r="E67" s="4">
        <f t="shared" si="13"/>
        <v>4.6050727807425584E-2</v>
      </c>
      <c r="F67" s="4">
        <f t="shared" si="14"/>
        <v>0.13441134843026248</v>
      </c>
      <c r="G67" s="4">
        <f t="shared" ref="G67:O67" si="44">IFERROR(G32/F32-1,0)</f>
        <v>0.17456299987126633</v>
      </c>
      <c r="H67" s="4">
        <f t="shared" si="44"/>
        <v>-0.15618251002708172</v>
      </c>
      <c r="I67" s="4">
        <f t="shared" si="44"/>
        <v>3.3647752858814606E-2</v>
      </c>
      <c r="J67" s="4">
        <f t="shared" si="44"/>
        <v>5.5163384944117544E-2</v>
      </c>
      <c r="K67" s="4">
        <f t="shared" si="44"/>
        <v>8.8666983890319795E-3</v>
      </c>
      <c r="L67" s="4">
        <f t="shared" si="44"/>
        <v>-4.5427457408183547E-2</v>
      </c>
      <c r="M67" s="4">
        <f t="shared" si="44"/>
        <v>-8.0439557566091002E-3</v>
      </c>
      <c r="N67" s="4">
        <f t="shared" si="44"/>
        <v>-1.2263180035345211E-2</v>
      </c>
      <c r="O67" s="4">
        <f t="shared" si="44"/>
        <v>5.8826799987545586E-2</v>
      </c>
      <c r="P67" s="4">
        <f t="shared" si="16"/>
        <v>2.9507890265137338E-2</v>
      </c>
      <c r="Q67" s="4">
        <f t="shared" si="16"/>
        <v>2.5304937451736009E-2</v>
      </c>
      <c r="R67" s="4">
        <f t="shared" si="16"/>
        <v>-2.7904991498265308E-2</v>
      </c>
      <c r="S67" s="4">
        <f t="shared" si="17"/>
        <v>-0.18466196949568192</v>
      </c>
      <c r="T67" s="4">
        <f t="shared" si="18"/>
        <v>0.13623630855132229</v>
      </c>
      <c r="U67" s="4">
        <f t="shared" si="19"/>
        <v>0.10109617432729223</v>
      </c>
      <c r="V67" s="4">
        <f t="shared" ca="1" si="19"/>
        <v>-7.8517608926155225E-2</v>
      </c>
    </row>
    <row r="68" spans="1:22">
      <c r="A68">
        <f t="shared" si="12"/>
        <v>28</v>
      </c>
      <c r="B68" t="str">
        <f t="shared" si="12"/>
        <v>SK</v>
      </c>
      <c r="C68" t="str">
        <f t="shared" si="12"/>
        <v>SK</v>
      </c>
      <c r="E68" s="4">
        <f t="shared" si="13"/>
        <v>-5.7963138933848524E-2</v>
      </c>
      <c r="F68" s="4">
        <f t="shared" si="14"/>
        <v>9.9399473430778595E-2</v>
      </c>
      <c r="G68" s="4">
        <f t="shared" ref="G68:O68" si="45">IFERROR(G33/F33-1,0)</f>
        <v>0.10183119012234165</v>
      </c>
      <c r="H68" s="4">
        <f t="shared" si="45"/>
        <v>-0.13628113025154565</v>
      </c>
      <c r="I68" s="4">
        <f t="shared" si="45"/>
        <v>0.11740535363530613</v>
      </c>
      <c r="J68" s="4">
        <f t="shared" si="45"/>
        <v>1.3107059569994473E-3</v>
      </c>
      <c r="K68" s="4">
        <f t="shared" si="45"/>
        <v>-0.1148138987797529</v>
      </c>
      <c r="L68" s="4">
        <f t="shared" si="45"/>
        <v>5.5680807301103918E-3</v>
      </c>
      <c r="M68" s="4">
        <f t="shared" si="45"/>
        <v>-5.8933638116765108E-2</v>
      </c>
      <c r="N68" s="4">
        <f t="shared" si="45"/>
        <v>2.9435902305352535E-4</v>
      </c>
      <c r="O68" s="4">
        <f t="shared" si="45"/>
        <v>0.12082029222921964</v>
      </c>
      <c r="P68" s="4">
        <f t="shared" si="16"/>
        <v>0.13448979418992169</v>
      </c>
      <c r="Q68" s="4">
        <f t="shared" si="16"/>
        <v>-7.5951239055681574E-3</v>
      </c>
      <c r="R68" s="4">
        <f t="shared" si="16"/>
        <v>1.5621731293326002E-2</v>
      </c>
      <c r="S68" s="4">
        <f t="shared" si="17"/>
        <v>-0.11229760929785682</v>
      </c>
      <c r="T68" s="4">
        <f t="shared" si="18"/>
        <v>4.9731727512710266E-2</v>
      </c>
      <c r="U68" s="4">
        <f t="shared" si="19"/>
        <v>1.9711878565229268E-2</v>
      </c>
      <c r="V68" s="4">
        <f t="shared" ca="1" si="19"/>
        <v>9.5935736669616745E-3</v>
      </c>
    </row>
    <row r="69" spans="1:22">
      <c r="A69">
        <f t="shared" si="12"/>
        <v>29</v>
      </c>
      <c r="B69" t="str">
        <f t="shared" si="12"/>
        <v>UK</v>
      </c>
      <c r="C69" t="str">
        <f t="shared" si="12"/>
        <v>UK</v>
      </c>
      <c r="E69" s="4">
        <f t="shared" si="13"/>
        <v>1.3212900313695819E-2</v>
      </c>
      <c r="F69" s="4">
        <f t="shared" si="14"/>
        <v>5.7091321487285906E-3</v>
      </c>
      <c r="G69" s="4">
        <f t="shared" ref="G69:O69" si="46">IFERROR(G34/F34-1,0)</f>
        <v>-3.8611705571807375E-2</v>
      </c>
      <c r="H69" s="4">
        <f t="shared" si="46"/>
        <v>-3.6406317513136499E-2</v>
      </c>
      <c r="I69" s="4">
        <f t="shared" si="46"/>
        <v>-1.9945713370609464E-2</v>
      </c>
      <c r="J69" s="4">
        <f t="shared" si="46"/>
        <v>-1.3484356937508712E-3</v>
      </c>
      <c r="K69" s="4">
        <f t="shared" si="46"/>
        <v>-9.8977884294673135E-3</v>
      </c>
      <c r="L69" s="4">
        <f t="shared" si="46"/>
        <v>-6.8878324943941749E-3</v>
      </c>
      <c r="M69" s="4">
        <f t="shared" si="46"/>
        <v>1.2265756734835653E-2</v>
      </c>
      <c r="N69" s="4">
        <f t="shared" si="46"/>
        <v>1.7209166588178837E-2</v>
      </c>
      <c r="O69" s="4">
        <f t="shared" si="46"/>
        <v>1.8021502560239266E-2</v>
      </c>
      <c r="P69" s="4">
        <f t="shared" si="16"/>
        <v>1.7640260414143016E-2</v>
      </c>
      <c r="Q69" s="4">
        <f t="shared" si="16"/>
        <v>-1.5451984957536302E-3</v>
      </c>
      <c r="R69" s="4">
        <f t="shared" si="16"/>
        <v>-3.6307407054509966E-3</v>
      </c>
      <c r="S69" s="4">
        <f t="shared" si="17"/>
        <v>-1</v>
      </c>
      <c r="T69" s="4">
        <f t="shared" si="18"/>
        <v>0</v>
      </c>
      <c r="U69" s="4">
        <f t="shared" si="19"/>
        <v>0</v>
      </c>
      <c r="V69" s="4">
        <f t="shared" ca="1" si="19"/>
        <v>0</v>
      </c>
    </row>
    <row r="70" spans="1:22">
      <c r="B70" s="40" t="s">
        <v>189</v>
      </c>
      <c r="C70" s="40" t="s">
        <v>189</v>
      </c>
      <c r="D70" s="49">
        <f t="shared" ref="D70:R70" si="47">IFERROR(D35/C35-1,0)</f>
        <v>0</v>
      </c>
      <c r="E70" s="49">
        <f t="shared" si="47"/>
        <v>2.1628563748312013E-2</v>
      </c>
      <c r="F70" s="49">
        <f t="shared" si="47"/>
        <v>1.6889044632021788E-2</v>
      </c>
      <c r="G70" s="49">
        <f t="shared" si="47"/>
        <v>-1.4374630071038674E-2</v>
      </c>
      <c r="H70" s="49">
        <f t="shared" si="47"/>
        <v>-3.2254064042199992E-2</v>
      </c>
      <c r="I70" s="49">
        <f t="shared" si="47"/>
        <v>-3.9151189288797461E-3</v>
      </c>
      <c r="J70" s="49">
        <f t="shared" si="47"/>
        <v>-6.9432012869286019E-4</v>
      </c>
      <c r="K70" s="49">
        <f t="shared" si="47"/>
        <v>-2.9563310602394699E-2</v>
      </c>
      <c r="L70" s="49">
        <f t="shared" si="47"/>
        <v>-1.1189626933865604E-2</v>
      </c>
      <c r="M70" s="49">
        <f t="shared" si="47"/>
        <v>1.2638233625386297E-2</v>
      </c>
      <c r="N70" s="49">
        <f t="shared" si="47"/>
        <v>1.6900030176459913E-2</v>
      </c>
      <c r="O70" s="49">
        <f t="shared" si="47"/>
        <v>2.4677798424434405E-2</v>
      </c>
      <c r="P70" s="49">
        <f t="shared" si="47"/>
        <v>2.5919849920981175E-2</v>
      </c>
      <c r="Q70" s="49">
        <f t="shared" si="47"/>
        <v>8.9640460015276702E-3</v>
      </c>
      <c r="R70" s="49">
        <f t="shared" si="47"/>
        <v>8.637106643661685E-3</v>
      </c>
      <c r="S70" s="49">
        <f t="shared" si="17"/>
        <v>-0.29838074052399921</v>
      </c>
      <c r="T70" s="49">
        <f t="shared" si="18"/>
        <v>8.9567022923171535E-2</v>
      </c>
      <c r="U70" s="49">
        <f t="shared" si="19"/>
        <v>7.0898647134731041E-2</v>
      </c>
      <c r="V70" s="49">
        <f t="shared" ca="1" si="19"/>
        <v>-2.7426378949922947E-3</v>
      </c>
    </row>
    <row r="71" spans="1:22">
      <c r="B71" s="40" t="s">
        <v>190</v>
      </c>
      <c r="C71" s="40" t="s">
        <v>190</v>
      </c>
      <c r="D71" s="49">
        <f t="shared" ref="D71:R71" si="48">IFERROR(D36/C36-1,0)</f>
        <v>0</v>
      </c>
      <c r="E71" s="49">
        <f t="shared" si="48"/>
        <v>2.3123326961140167E-2</v>
      </c>
      <c r="F71" s="49">
        <f t="shared" si="48"/>
        <v>1.8855550154747158E-2</v>
      </c>
      <c r="G71" s="49">
        <f t="shared" si="48"/>
        <v>-1.0166426308476084E-2</v>
      </c>
      <c r="H71" s="49">
        <f t="shared" si="48"/>
        <v>-3.1553839947021767E-2</v>
      </c>
      <c r="I71" s="49">
        <f t="shared" si="48"/>
        <v>-1.2253109110758054E-3</v>
      </c>
      <c r="J71" s="49">
        <f t="shared" si="48"/>
        <v>-5.866218542741608E-4</v>
      </c>
      <c r="K71" s="49">
        <f t="shared" si="48"/>
        <v>-3.2798715004038637E-2</v>
      </c>
      <c r="L71" s="49">
        <f t="shared" si="48"/>
        <v>-1.1914122795346205E-2</v>
      </c>
      <c r="M71" s="49">
        <f t="shared" si="48"/>
        <v>1.2701284221824372E-2</v>
      </c>
      <c r="N71" s="49">
        <f t="shared" si="48"/>
        <v>1.6847723971340267E-2</v>
      </c>
      <c r="O71" s="49">
        <f t="shared" si="48"/>
        <v>2.5804450997418016E-2</v>
      </c>
      <c r="P71" s="49">
        <f t="shared" si="48"/>
        <v>2.7310630356844445E-2</v>
      </c>
      <c r="Q71" s="49">
        <f t="shared" si="48"/>
        <v>1.071273976703857E-2</v>
      </c>
      <c r="R71" s="49">
        <f t="shared" si="48"/>
        <v>1.0653667342760409E-2</v>
      </c>
      <c r="S71" s="49">
        <f t="shared" si="17"/>
        <v>-0.18468023354535124</v>
      </c>
      <c r="T71" s="49">
        <f t="shared" si="18"/>
        <v>8.9567022923171535E-2</v>
      </c>
      <c r="U71" s="49">
        <f t="shared" si="19"/>
        <v>7.0898647134731041E-2</v>
      </c>
      <c r="V71" s="49">
        <f t="shared" ca="1" si="19"/>
        <v>-2.7426378949922947E-3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3CEF-4212-9547-8EF2-69E5A0AA2A4B}">
  <dimension ref="A1:AJ687"/>
  <sheetViews>
    <sheetView tabSelected="1" zoomScale="90" zoomScaleNormal="90" workbookViewId="0">
      <selection activeCell="F12" sqref="F12"/>
    </sheetView>
  </sheetViews>
  <sheetFormatPr baseColWidth="10" defaultRowHeight="13"/>
  <cols>
    <col min="5" max="5" width="12" customWidth="1"/>
    <col min="8" max="8" width="13.5" customWidth="1"/>
    <col min="14" max="14" width="13" customWidth="1"/>
    <col min="15" max="15" width="13.1640625" customWidth="1"/>
    <col min="16" max="16" width="11.83203125" customWidth="1"/>
  </cols>
  <sheetData>
    <row r="1" spans="1:34">
      <c r="A1" s="131" t="s">
        <v>248</v>
      </c>
      <c r="B1" s="131" t="s">
        <v>247</v>
      </c>
      <c r="C1" s="164" t="s">
        <v>244</v>
      </c>
      <c r="D1" s="131" t="s">
        <v>47</v>
      </c>
      <c r="E1" s="131" t="s">
        <v>49</v>
      </c>
      <c r="F1" s="131" t="s">
        <v>51</v>
      </c>
      <c r="G1" s="131" t="s">
        <v>53</v>
      </c>
      <c r="H1" s="131" t="s">
        <v>55</v>
      </c>
      <c r="I1" s="131" t="s">
        <v>57</v>
      </c>
      <c r="J1" s="131" t="s">
        <v>43</v>
      </c>
      <c r="K1" s="131" t="s">
        <v>249</v>
      </c>
      <c r="L1" s="5" t="s">
        <v>63</v>
      </c>
      <c r="M1" s="5" t="s">
        <v>67</v>
      </c>
      <c r="N1" s="5" t="s">
        <v>251</v>
      </c>
      <c r="O1" s="5" t="s">
        <v>250</v>
      </c>
      <c r="P1" s="5" t="s">
        <v>252</v>
      </c>
      <c r="Q1" s="5" t="s">
        <v>253</v>
      </c>
      <c r="R1" s="5" t="s">
        <v>59</v>
      </c>
    </row>
    <row r="2" spans="1:34">
      <c r="A2" s="123" t="s">
        <v>106</v>
      </c>
      <c r="B2" s="157">
        <v>2005</v>
      </c>
      <c r="C2" s="158">
        <v>4042.2109999999998</v>
      </c>
      <c r="D2" s="158">
        <v>13181</v>
      </c>
      <c r="E2" s="158">
        <v>7769.665</v>
      </c>
      <c r="F2" s="158">
        <v>0</v>
      </c>
      <c r="G2" s="158">
        <v>397.77699999999999</v>
      </c>
      <c r="H2" s="158">
        <v>225.57300000000001</v>
      </c>
      <c r="I2" s="158">
        <v>7096.7710278016602</v>
      </c>
      <c r="J2" s="158">
        <v>24992.876</v>
      </c>
      <c r="K2" s="158">
        <v>32712.997027801659</v>
      </c>
      <c r="L2" s="151">
        <v>7188.5119999999997</v>
      </c>
      <c r="M2" s="151">
        <v>11605.6800278017</v>
      </c>
      <c r="N2" s="151">
        <v>8985.5499999999993</v>
      </c>
      <c r="O2" s="151">
        <v>73.775999999999996</v>
      </c>
      <c r="P2" s="151">
        <v>9059.3259999999991</v>
      </c>
      <c r="Q2" s="151">
        <v>27853.5180278017</v>
      </c>
      <c r="R2" s="151">
        <v>27347.629000000001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>
      <c r="A3" s="123" t="s">
        <v>106</v>
      </c>
      <c r="B3" s="157">
        <v>2006</v>
      </c>
      <c r="C3" s="158">
        <v>3986.951</v>
      </c>
      <c r="D3" s="158">
        <v>12742.922</v>
      </c>
      <c r="E3" s="158">
        <v>7249.2730000000001</v>
      </c>
      <c r="F3" s="158">
        <v>0</v>
      </c>
      <c r="G3" s="158">
        <v>485.03199999999998</v>
      </c>
      <c r="H3" s="158">
        <v>545.52200000000005</v>
      </c>
      <c r="I3" s="158">
        <v>7615.3157527467301</v>
      </c>
      <c r="J3" s="158">
        <v>23979.146000000001</v>
      </c>
      <c r="K3" s="158">
        <v>32625.015752746731</v>
      </c>
      <c r="L3" s="151">
        <v>7354.402</v>
      </c>
      <c r="M3" s="151">
        <v>11572.4157527467</v>
      </c>
      <c r="N3" s="151">
        <v>8692.0990000000002</v>
      </c>
      <c r="O3" s="151">
        <v>256.08100000000002</v>
      </c>
      <c r="P3" s="151">
        <v>8948.18</v>
      </c>
      <c r="Q3" s="151">
        <v>27874.997752746698</v>
      </c>
      <c r="R3" s="151">
        <v>28494.317562703851</v>
      </c>
    </row>
    <row r="4" spans="1:34">
      <c r="A4" s="123" t="s">
        <v>106</v>
      </c>
      <c r="B4" s="157">
        <v>2007</v>
      </c>
      <c r="C4" s="158">
        <v>3855.0239999999999</v>
      </c>
      <c r="D4" s="158">
        <v>12300.249</v>
      </c>
      <c r="E4" s="158">
        <v>6845.7110000000002</v>
      </c>
      <c r="F4" s="158">
        <v>0</v>
      </c>
      <c r="G4" s="158">
        <v>476.12099999999998</v>
      </c>
      <c r="H4" s="158">
        <v>517.31700000000001</v>
      </c>
      <c r="I4" s="158">
        <v>8190.4980287570397</v>
      </c>
      <c r="J4" s="158">
        <v>23000.984</v>
      </c>
      <c r="K4" s="158">
        <v>32184.920028757038</v>
      </c>
      <c r="L4" s="151">
        <v>7429.8310000000001</v>
      </c>
      <c r="M4" s="151">
        <v>11042.450028757001</v>
      </c>
      <c r="N4" s="151">
        <v>8791.9629999999997</v>
      </c>
      <c r="O4" s="151">
        <v>322.10399999999998</v>
      </c>
      <c r="P4" s="151">
        <v>9114.0669999999991</v>
      </c>
      <c r="Q4" s="151">
        <v>27586.348028757002</v>
      </c>
      <c r="R4" s="151">
        <v>28199.254690494694</v>
      </c>
    </row>
    <row r="5" spans="1:34">
      <c r="A5" s="123" t="s">
        <v>106</v>
      </c>
      <c r="B5" s="157">
        <v>2008</v>
      </c>
      <c r="C5" s="158">
        <v>3816.5619999999999</v>
      </c>
      <c r="D5" s="158">
        <v>11971.199000000001</v>
      </c>
      <c r="E5" s="158">
        <v>7221.0919999999996</v>
      </c>
      <c r="F5" s="158">
        <v>0</v>
      </c>
      <c r="G5" s="158">
        <v>507.42700000000002</v>
      </c>
      <c r="H5" s="158">
        <v>418.03399999999999</v>
      </c>
      <c r="I5" s="158">
        <v>8525.9143727906703</v>
      </c>
      <c r="J5" s="158">
        <v>23008.852999999999</v>
      </c>
      <c r="K5" s="158">
        <v>32460.228372790669</v>
      </c>
      <c r="L5" s="151">
        <v>7365.5569999999998</v>
      </c>
      <c r="M5" s="151">
        <v>11534.225372790699</v>
      </c>
      <c r="N5" s="151">
        <v>8450.0509999999995</v>
      </c>
      <c r="O5" s="151">
        <v>395.21600000000001</v>
      </c>
      <c r="P5" s="151">
        <v>8845.2669999999998</v>
      </c>
      <c r="Q5" s="151">
        <v>27745.049372790701</v>
      </c>
      <c r="R5" s="151">
        <v>28361.482021762498</v>
      </c>
    </row>
    <row r="6" spans="1:34">
      <c r="A6" s="123" t="s">
        <v>106</v>
      </c>
      <c r="B6" s="157">
        <v>2009</v>
      </c>
      <c r="C6" s="158">
        <v>2854.6030000000001</v>
      </c>
      <c r="D6" s="158">
        <v>11143.874</v>
      </c>
      <c r="E6" s="158">
        <v>7030.259</v>
      </c>
      <c r="F6" s="158">
        <v>0</v>
      </c>
      <c r="G6" s="158">
        <v>540.81899999999996</v>
      </c>
      <c r="H6" s="158">
        <v>67.084000000000003</v>
      </c>
      <c r="I6" s="158">
        <v>9010.2125657781598</v>
      </c>
      <c r="J6" s="158">
        <v>21028.735999999997</v>
      </c>
      <c r="K6" s="158">
        <f>'PEC Fossil'!K6+'PEC Nuclear'!K6+'PEC Waste'!K6+'PEC Electricity'!K6+'PEC RES'!K6</f>
        <v>10060</v>
      </c>
      <c r="L6" s="151">
        <v>7125.4139999999998</v>
      </c>
      <c r="M6" s="151">
        <v>10740.128565778199</v>
      </c>
      <c r="N6" s="151">
        <v>8021.6640000000007</v>
      </c>
      <c r="O6" s="151">
        <v>511.12299999999999</v>
      </c>
      <c r="P6" s="151">
        <v>8532.7870000000003</v>
      </c>
      <c r="Q6" s="151">
        <v>26398.3295657782</v>
      </c>
      <c r="R6" s="151">
        <v>26984.841126958618</v>
      </c>
    </row>
    <row r="7" spans="1:34">
      <c r="A7" s="123" t="s">
        <v>106</v>
      </c>
      <c r="B7" s="157">
        <v>2010</v>
      </c>
      <c r="C7" s="158">
        <v>3367.7640000000001</v>
      </c>
      <c r="D7" s="158">
        <v>11601.279</v>
      </c>
      <c r="E7" s="158">
        <v>7746.0709999999999</v>
      </c>
      <c r="F7" s="158">
        <v>0</v>
      </c>
      <c r="G7" s="158">
        <v>612.61</v>
      </c>
      <c r="H7" s="158">
        <v>209.512</v>
      </c>
      <c r="I7" s="158">
        <v>9322.7596571128306</v>
      </c>
      <c r="J7" s="158">
        <v>22715.114000000001</v>
      </c>
      <c r="K7" s="158">
        <f>'PEC Fossil'!K7+'PEC Nuclear'!K7+'PEC Waste'!K7+'PEC Electricity'!K7+'PEC RES'!K7</f>
        <v>31673.771035826896</v>
      </c>
      <c r="L7" s="151">
        <v>7565.7169999999996</v>
      </c>
      <c r="M7" s="151">
        <v>11620.810657112799</v>
      </c>
      <c r="N7" s="151">
        <v>8335.0190000000002</v>
      </c>
      <c r="O7" s="151">
        <v>495.43</v>
      </c>
      <c r="P7" s="151">
        <v>8830.4490000000005</v>
      </c>
      <c r="Q7" s="151">
        <v>28016.976657112798</v>
      </c>
      <c r="R7" s="151">
        <v>28639.450919272957</v>
      </c>
    </row>
    <row r="8" spans="1:34">
      <c r="A8" s="123" t="s">
        <v>106</v>
      </c>
      <c r="B8" s="157">
        <v>2011</v>
      </c>
      <c r="C8" s="158">
        <v>3456.11</v>
      </c>
      <c r="D8" s="158">
        <v>10914.888000000001</v>
      </c>
      <c r="E8" s="158">
        <v>7335.2470000000003</v>
      </c>
      <c r="F8" s="158">
        <v>0</v>
      </c>
      <c r="G8" s="158">
        <v>678.20299999999997</v>
      </c>
      <c r="H8" s="158">
        <v>705.01800000000003</v>
      </c>
      <c r="I8" s="158">
        <v>8884.3080121333696</v>
      </c>
      <c r="J8" s="158">
        <v>21706.245000000003</v>
      </c>
      <c r="K8" s="158">
        <f>'PEC Fossil'!K8+'PEC Nuclear'!K8+'PEC Waste'!K8+'PEC Electricity'!K8+'PEC RES'!K8</f>
        <v>47074.505146173695</v>
      </c>
      <c r="L8" s="151">
        <v>7594.3130000000001</v>
      </c>
      <c r="M8" s="151">
        <v>11009.400012133399</v>
      </c>
      <c r="N8" s="151">
        <v>8077.476999999999</v>
      </c>
      <c r="O8" s="151">
        <v>497.78699999999998</v>
      </c>
      <c r="P8" s="151">
        <v>8575.2639999999992</v>
      </c>
      <c r="Q8" s="151">
        <v>27178.9770121334</v>
      </c>
      <c r="R8" s="151">
        <v>27782.832805317303</v>
      </c>
    </row>
    <row r="9" spans="1:34">
      <c r="A9" s="123" t="s">
        <v>106</v>
      </c>
      <c r="B9" s="157">
        <v>2012</v>
      </c>
      <c r="C9" s="158">
        <v>3217.3539999999998</v>
      </c>
      <c r="D9" s="158">
        <v>10460.945</v>
      </c>
      <c r="E9" s="158">
        <v>7011.1790000000001</v>
      </c>
      <c r="F9" s="158">
        <v>0</v>
      </c>
      <c r="G9" s="158">
        <v>653.01800000000003</v>
      </c>
      <c r="H9" s="158">
        <v>241.012</v>
      </c>
      <c r="I9" s="158">
        <v>10090.2630358269</v>
      </c>
      <c r="J9" s="158">
        <v>20689.477999999999</v>
      </c>
      <c r="K9" s="158">
        <f>'PEC Fossil'!K9+'PEC Nuclear'!K9+'PEC Waste'!K9+'PEC Electricity'!K9+'PEC RES'!K9</f>
        <v>17827.586253654343</v>
      </c>
      <c r="L9" s="151">
        <v>7652.5959999999995</v>
      </c>
      <c r="M9" s="151">
        <v>11092.554035826901</v>
      </c>
      <c r="N9" s="151">
        <v>7981.835</v>
      </c>
      <c r="O9" s="151">
        <v>490.97</v>
      </c>
      <c r="P9" s="151">
        <v>8472.8050000000003</v>
      </c>
      <c r="Q9" s="151">
        <v>27217.955035826901</v>
      </c>
      <c r="R9" s="151">
        <v>27822.676833106674</v>
      </c>
    </row>
    <row r="10" spans="1:34">
      <c r="A10" s="123" t="s">
        <v>106</v>
      </c>
      <c r="B10" s="159">
        <v>2013</v>
      </c>
      <c r="C10" s="161">
        <v>3280.1759999999999</v>
      </c>
      <c r="D10" s="161">
        <v>10752.21</v>
      </c>
      <c r="E10" s="161">
        <v>6763.8459999999995</v>
      </c>
      <c r="F10" s="161">
        <v>0</v>
      </c>
      <c r="G10" s="161">
        <v>633.26599999999996</v>
      </c>
      <c r="H10" s="161">
        <v>625.14700000000005</v>
      </c>
      <c r="I10" s="161">
        <v>10020.183213623801</v>
      </c>
      <c r="J10" s="161">
        <v>20796.231999999996</v>
      </c>
      <c r="K10" s="161">
        <f>'PEC Fossil'!K10+'PEC Nuclear'!K10+'PEC Waste'!K10+'PEC Electricity'!K10+'PEC RES'!K10</f>
        <v>2499.6651554409091</v>
      </c>
      <c r="L10" s="162">
        <v>7494.58</v>
      </c>
      <c r="M10" s="162">
        <v>11436.5452136238</v>
      </c>
      <c r="N10" s="162">
        <v>8440.8829999999998</v>
      </c>
      <c r="O10" s="162">
        <v>502.298</v>
      </c>
      <c r="P10" s="162">
        <v>8943.1810000000005</v>
      </c>
      <c r="Q10" s="162">
        <v>27874.3062136238</v>
      </c>
      <c r="R10" s="162">
        <v>28493.610659135655</v>
      </c>
    </row>
    <row r="11" spans="1:34">
      <c r="A11" s="123" t="s">
        <v>106</v>
      </c>
      <c r="B11" s="159">
        <v>2014</v>
      </c>
      <c r="C11" s="161">
        <v>3013.0970000000002</v>
      </c>
      <c r="D11" s="161">
        <v>10392.584999999999</v>
      </c>
      <c r="E11" s="161">
        <v>6122.7619999999997</v>
      </c>
      <c r="F11" s="161">
        <v>0</v>
      </c>
      <c r="G11" s="161">
        <v>641.14300000000003</v>
      </c>
      <c r="H11" s="161">
        <v>797.48299999999995</v>
      </c>
      <c r="I11" s="161">
        <v>9834.3937516957994</v>
      </c>
      <c r="J11" s="161">
        <v>19528.444</v>
      </c>
      <c r="K11" s="161">
        <f>'PEC Fossil'!K11+'PEC Nuclear'!K11+'PEC Waste'!K11+'PEC Electricity'!K11+'PEC RES'!K11</f>
        <v>40381.877185439946</v>
      </c>
      <c r="L11" s="162">
        <v>7340.5519999999997</v>
      </c>
      <c r="M11" s="162">
        <v>10569.3857516958</v>
      </c>
      <c r="N11" s="162">
        <v>8280.1859999999997</v>
      </c>
      <c r="O11" s="162">
        <v>597.00099999999998</v>
      </c>
      <c r="P11" s="162">
        <v>8877.1869999999999</v>
      </c>
      <c r="Q11" s="162">
        <v>26787.124751695799</v>
      </c>
      <c r="R11" s="162">
        <v>27382.274468214939</v>
      </c>
    </row>
    <row r="12" spans="1:34">
      <c r="A12" s="123" t="s">
        <v>106</v>
      </c>
      <c r="B12" s="159">
        <v>2015</v>
      </c>
      <c r="C12" s="161">
        <v>3204.6350000000002</v>
      </c>
      <c r="D12" s="161">
        <v>10561.612999999999</v>
      </c>
      <c r="E12" s="161">
        <v>6576.1149999999998</v>
      </c>
      <c r="F12" s="161">
        <v>0</v>
      </c>
      <c r="G12" s="161">
        <v>666.351</v>
      </c>
      <c r="H12" s="161">
        <v>865.13499999999999</v>
      </c>
      <c r="I12" s="161">
        <v>9790.2164500811996</v>
      </c>
      <c r="J12" s="161">
        <v>20342.362999999998</v>
      </c>
      <c r="K12" s="161">
        <f>'PEC Fossil'!K12+'PEC Nuclear'!K12+'PEC Waste'!K12+'PEC Electricity'!K12+'PEC RES'!K12</f>
        <v>301130.0156422088</v>
      </c>
      <c r="L12" s="162">
        <v>7363.8969999999999</v>
      </c>
      <c r="M12" s="162">
        <v>10977.0154500812</v>
      </c>
      <c r="N12" s="162">
        <v>8509.4840000000004</v>
      </c>
      <c r="O12" s="162">
        <v>653.56899999999996</v>
      </c>
      <c r="P12" s="162">
        <v>9163.0529999999999</v>
      </c>
      <c r="Q12" s="162">
        <v>27503.965450081203</v>
      </c>
      <c r="R12" s="162">
        <v>28115.041756049119</v>
      </c>
    </row>
    <row r="13" spans="1:34">
      <c r="A13" s="123" t="s">
        <v>106</v>
      </c>
      <c r="B13" s="159">
        <v>2016</v>
      </c>
      <c r="C13" s="161">
        <v>2998.0650000000001</v>
      </c>
      <c r="D13" s="161">
        <v>10753.028</v>
      </c>
      <c r="E13" s="161">
        <v>6902.2120000000004</v>
      </c>
      <c r="F13" s="161">
        <v>0</v>
      </c>
      <c r="G13" s="161">
        <v>712.30600000000004</v>
      </c>
      <c r="H13" s="161">
        <v>615.58699999999999</v>
      </c>
      <c r="I13" s="161">
        <v>10063.774793541599</v>
      </c>
      <c r="J13" s="161">
        <v>20653.305</v>
      </c>
      <c r="K13" s="161">
        <f>'PEC Fossil'!K13+'PEC Nuclear'!K13+'PEC Waste'!K13+'PEC Electricity'!K13+'PEC RES'!K13</f>
        <v>17728.739926913149</v>
      </c>
      <c r="L13" s="162">
        <v>7608.4470000000001</v>
      </c>
      <c r="M13" s="162">
        <v>11104.4027935416</v>
      </c>
      <c r="N13" s="162">
        <v>8818.2690000000002</v>
      </c>
      <c r="O13" s="162">
        <v>543.51599999999996</v>
      </c>
      <c r="P13" s="162">
        <v>9361.7849999999999</v>
      </c>
      <c r="Q13" s="162">
        <v>28074.634793541598</v>
      </c>
      <c r="R13" s="162">
        <v>28698.390089925055</v>
      </c>
    </row>
    <row r="14" spans="1:34">
      <c r="A14" s="123" t="s">
        <v>106</v>
      </c>
      <c r="B14" s="159">
        <v>2017</v>
      </c>
      <c r="C14" s="161">
        <v>3071.127</v>
      </c>
      <c r="D14" s="161">
        <v>10974.093999999999</v>
      </c>
      <c r="E14" s="161">
        <v>7445.643</v>
      </c>
      <c r="F14" s="161">
        <v>0</v>
      </c>
      <c r="G14" s="161">
        <v>683.21299999999997</v>
      </c>
      <c r="H14" s="161">
        <v>562.84699999999998</v>
      </c>
      <c r="I14" s="161">
        <v>10081.396752937801</v>
      </c>
      <c r="J14" s="161">
        <v>21490.864000000001</v>
      </c>
      <c r="K14" s="161">
        <f>'PEC Fossil'!K14+'PEC Nuclear'!K14+'PEC Waste'!K14+'PEC Electricity'!K14+'PEC RES'!K14</f>
        <v>5201.7049999999999</v>
      </c>
      <c r="L14" s="162">
        <v>7629.1559999999999</v>
      </c>
      <c r="M14" s="162">
        <v>11439.7707529378</v>
      </c>
      <c r="N14" s="162">
        <v>8983.3220000000001</v>
      </c>
      <c r="O14" s="162">
        <v>478.43400000000003</v>
      </c>
      <c r="P14" s="162">
        <v>9461.7559999999994</v>
      </c>
      <c r="Q14" s="162">
        <v>28530.682752937799</v>
      </c>
      <c r="R14" s="162">
        <v>29164.570410157652</v>
      </c>
    </row>
    <row r="15" spans="1:34">
      <c r="A15" s="123" t="s">
        <v>106</v>
      </c>
      <c r="B15" s="159">
        <v>2018</v>
      </c>
      <c r="C15" s="161">
        <v>2714.2489999999998</v>
      </c>
      <c r="D15" s="161">
        <v>10931.789000000001</v>
      </c>
      <c r="E15" s="161">
        <v>7086.232</v>
      </c>
      <c r="F15" s="161">
        <v>0</v>
      </c>
      <c r="G15" s="161">
        <v>648.26499999999999</v>
      </c>
      <c r="H15" s="161">
        <v>769.28700000000003</v>
      </c>
      <c r="I15" s="161">
        <v>9676.87732053119</v>
      </c>
      <c r="J15" s="161">
        <v>20732.27</v>
      </c>
      <c r="K15" s="161">
        <f>'PEC Fossil'!K15+'PEC Nuclear'!K15+'PEC Waste'!K15+'PEC Electricity'!K15+'PEC RES'!K15</f>
        <v>123027.981</v>
      </c>
      <c r="L15" s="162">
        <v>7563.2910000000002</v>
      </c>
      <c r="M15" s="162">
        <v>10622.6008631891</v>
      </c>
      <c r="N15" s="162">
        <v>9173.7030000000013</v>
      </c>
      <c r="O15" s="162">
        <v>493.52300000000002</v>
      </c>
      <c r="P15" s="162">
        <v>9667.2260000000006</v>
      </c>
      <c r="Q15" s="162">
        <v>27853.117863189102</v>
      </c>
      <c r="R15" s="162">
        <v>28471.951551168313</v>
      </c>
      <c r="AA15" s="3"/>
    </row>
    <row r="16" spans="1:34">
      <c r="A16" s="123" t="s">
        <v>106</v>
      </c>
      <c r="B16" s="159">
        <v>2019</v>
      </c>
      <c r="C16" s="161">
        <v>2858.35</v>
      </c>
      <c r="D16" s="161">
        <v>11140.467000000001</v>
      </c>
      <c r="E16" s="161">
        <v>7321.5110000000004</v>
      </c>
      <c r="F16" s="161">
        <v>0</v>
      </c>
      <c r="G16" s="161">
        <v>629.875</v>
      </c>
      <c r="H16" s="161">
        <v>269.01</v>
      </c>
      <c r="I16" s="161">
        <v>10054.064829941701</v>
      </c>
      <c r="J16" s="161">
        <v>21320.328000000001</v>
      </c>
      <c r="K16" s="161">
        <f>'PEC Fossil'!K16+'PEC Nuclear'!K16+'PEC Waste'!K16+'PEC Electricity'!K16+'PEC RES'!K16</f>
        <v>32976.447</v>
      </c>
      <c r="L16" s="162">
        <v>7542.2849999999999</v>
      </c>
      <c r="M16" s="162">
        <v>11002.472851820001</v>
      </c>
      <c r="N16" s="162">
        <v>9305.7710000000006</v>
      </c>
      <c r="O16" s="162">
        <v>484.45299999999997</v>
      </c>
      <c r="P16" s="162">
        <v>9790.2240000000002</v>
      </c>
      <c r="Q16" s="162">
        <v>28334.981851819997</v>
      </c>
      <c r="R16" s="162">
        <v>28964.521474791964</v>
      </c>
    </row>
    <row r="17" spans="1:18">
      <c r="A17" s="123" t="s">
        <v>106</v>
      </c>
      <c r="B17" s="159">
        <v>2020</v>
      </c>
      <c r="C17" s="161">
        <v>2449.069</v>
      </c>
      <c r="D17" s="161">
        <v>9471.268</v>
      </c>
      <c r="E17" s="161">
        <v>6980.2820000000002</v>
      </c>
      <c r="F17" s="161">
        <v>0</v>
      </c>
      <c r="G17" s="161">
        <v>668.30399999999997</v>
      </c>
      <c r="H17" s="161">
        <v>188.80600000000001</v>
      </c>
      <c r="I17" s="161">
        <v>10094.3249914971</v>
      </c>
      <c r="J17" s="161">
        <v>18900.618999999999</v>
      </c>
      <c r="K17" s="161">
        <f>'PEC Fossil'!K17+'PEC Nuclear'!K17+'PEC Waste'!K17+'PEC Electricity'!K17+'PEC RES'!K17</f>
        <v>249113.71621486571</v>
      </c>
      <c r="L17" s="162">
        <v>7247.23</v>
      </c>
      <c r="M17" s="162">
        <v>10860.3773624725</v>
      </c>
      <c r="N17" s="162">
        <v>7622.5</v>
      </c>
      <c r="O17" s="162">
        <v>409.476</v>
      </c>
      <c r="P17" s="162">
        <v>8031.9759999999997</v>
      </c>
      <c r="Q17" s="162">
        <v>26139.583362472498</v>
      </c>
      <c r="R17" s="162">
        <v>26720.346164464489</v>
      </c>
    </row>
    <row r="18" spans="1:18">
      <c r="A18" s="123" t="s">
        <v>106</v>
      </c>
      <c r="B18" s="159">
        <v>2021</v>
      </c>
      <c r="C18" s="161">
        <v>2516.1289999999999</v>
      </c>
      <c r="D18" s="161">
        <v>9989.8439999999991</v>
      </c>
      <c r="E18" s="161">
        <v>7402.5519999999997</v>
      </c>
      <c r="F18" s="161">
        <v>0</v>
      </c>
      <c r="G18" s="161">
        <v>659.65099999999995</v>
      </c>
      <c r="H18" s="161">
        <v>648.59500000000003</v>
      </c>
      <c r="I18" s="161">
        <v>10395.863697238899</v>
      </c>
      <c r="J18" s="161">
        <v>19908.524999999998</v>
      </c>
      <c r="K18" s="161">
        <f>'PEC Fossil'!K18+'PEC Nuclear'!K18+'PEC Waste'!K18+'PEC Electricity'!K18+'PEC RES'!K18</f>
        <v>26537.122999999996</v>
      </c>
      <c r="L18" s="162">
        <v>7540.0479999999998</v>
      </c>
      <c r="M18" s="162">
        <v>11987.685821056601</v>
      </c>
      <c r="N18" s="162">
        <v>7960.1710000000003</v>
      </c>
      <c r="O18" s="162">
        <v>422.01900000000001</v>
      </c>
      <c r="P18" s="162">
        <v>8382.19</v>
      </c>
      <c r="Q18" s="162">
        <v>27909.923821056604</v>
      </c>
      <c r="R18" s="162">
        <v>28530.019609766478</v>
      </c>
    </row>
    <row r="19" spans="1:18">
      <c r="A19" s="123" t="s">
        <v>106</v>
      </c>
      <c r="B19" s="159">
        <v>2022</v>
      </c>
      <c r="C19" s="161">
        <v>2398.2689999999998</v>
      </c>
      <c r="D19" s="161">
        <v>9920.2099999999991</v>
      </c>
      <c r="E19" s="161">
        <v>6596.2740000000003</v>
      </c>
      <c r="F19" s="161">
        <v>0</v>
      </c>
      <c r="G19" s="161">
        <v>691.11800000000005</v>
      </c>
      <c r="H19" s="161">
        <v>748.48099999999999</v>
      </c>
      <c r="I19" s="161">
        <v>9801.8576942772397</v>
      </c>
      <c r="J19" s="161">
        <v>18914.753000000001</v>
      </c>
      <c r="K19" s="161">
        <f>'PEC Fossil'!K19+'PEC Nuclear'!K19+'PEC Waste'!K19+'PEC Electricity'!K19+'PEC RES'!K19</f>
        <v>8177.2468542084607</v>
      </c>
      <c r="L19" s="162">
        <v>7619.808</v>
      </c>
      <c r="M19" s="162">
        <v>10583.402493073499</v>
      </c>
      <c r="N19" s="162">
        <v>7733.3519999999999</v>
      </c>
      <c r="O19" s="162">
        <v>403.12799999999999</v>
      </c>
      <c r="P19" s="162">
        <v>8136.48</v>
      </c>
      <c r="Q19" s="162">
        <v>26339.6904930735</v>
      </c>
      <c r="R19" s="162">
        <v>26924.899225830908</v>
      </c>
    </row>
    <row r="20" spans="1:18">
      <c r="A20" s="123" t="s">
        <v>106</v>
      </c>
      <c r="B20" s="159">
        <v>2023</v>
      </c>
      <c r="C20" s="161">
        <v>2422.3573988443741</v>
      </c>
      <c r="D20" s="161">
        <v>10033.69644860114</v>
      </c>
      <c r="E20" s="161">
        <v>5596.183481278722</v>
      </c>
      <c r="F20" s="161">
        <v>0</v>
      </c>
      <c r="G20" s="161">
        <v>664.73561890938822</v>
      </c>
      <c r="H20" s="161">
        <v>748.48099999999999</v>
      </c>
      <c r="I20" s="161">
        <v>10925.272169771273</v>
      </c>
      <c r="J20" s="161">
        <v>18052.237328724237</v>
      </c>
      <c r="K20" s="161">
        <f>'PEC Fossil'!K20+'PEC Nuclear'!K20+'PEC Waste'!K20+'PEC Electricity'!K20+'PEC RES'!K20</f>
        <v>23133.983000000004</v>
      </c>
      <c r="L20" s="162">
        <v>7227.5408637137552</v>
      </c>
      <c r="M20" s="162">
        <v>9966.8852870742539</v>
      </c>
      <c r="N20" s="162">
        <v>7727.1623681365791</v>
      </c>
      <c r="O20" s="162">
        <v>405.21432333689279</v>
      </c>
      <c r="P20" s="162">
        <v>8132.3766914734715</v>
      </c>
      <c r="Q20" s="162">
        <v>25326.802842261481</v>
      </c>
      <c r="R20" s="162">
        <v>25889.507487557679</v>
      </c>
    </row>
    <row r="21" spans="1:18">
      <c r="A21" s="163" t="s">
        <v>177</v>
      </c>
      <c r="B21" s="157">
        <v>2005</v>
      </c>
      <c r="C21" s="158">
        <v>5006.2809999999999</v>
      </c>
      <c r="D21" s="158">
        <v>18268.008999999998</v>
      </c>
      <c r="E21" s="158">
        <v>13858.376</v>
      </c>
      <c r="F21" s="158">
        <v>12277.3</v>
      </c>
      <c r="G21" s="158">
        <v>502.15</v>
      </c>
      <c r="H21" s="158">
        <v>542.04600000000005</v>
      </c>
      <c r="I21" s="158">
        <v>1167.3510000000001</v>
      </c>
      <c r="J21" s="158">
        <v>37132.665999999997</v>
      </c>
      <c r="K21" s="158">
        <v>51621.513000000006</v>
      </c>
      <c r="L21" s="151">
        <v>10571.234</v>
      </c>
      <c r="M21" s="151">
        <v>16386.108</v>
      </c>
      <c r="N21" s="151">
        <v>9884.009</v>
      </c>
      <c r="O21" s="151">
        <v>0</v>
      </c>
      <c r="P21" s="151">
        <v>9884.009</v>
      </c>
      <c r="Q21" s="151">
        <v>36841.351000000002</v>
      </c>
      <c r="R21" s="151">
        <v>37223.040324080866</v>
      </c>
    </row>
    <row r="22" spans="1:18">
      <c r="A22" s="163" t="s">
        <v>177</v>
      </c>
      <c r="B22" s="157">
        <v>2006</v>
      </c>
      <c r="C22" s="158">
        <v>4784.6360000000004</v>
      </c>
      <c r="D22" s="158">
        <v>17580.722000000002</v>
      </c>
      <c r="E22" s="158">
        <v>14221.838</v>
      </c>
      <c r="F22" s="158">
        <v>12032.244000000001</v>
      </c>
      <c r="G22" s="158">
        <v>601.08000000000004</v>
      </c>
      <c r="H22" s="158">
        <v>873.34500000000003</v>
      </c>
      <c r="I22" s="158">
        <v>1368.9169999999999</v>
      </c>
      <c r="J22" s="158">
        <v>36587.195999999996</v>
      </c>
      <c r="K22" s="160">
        <v>51462.781999999999</v>
      </c>
      <c r="L22" s="151">
        <v>10661.995999999999</v>
      </c>
      <c r="M22" s="151">
        <v>15756.111000000001</v>
      </c>
      <c r="N22" s="151">
        <v>10067.156000000001</v>
      </c>
      <c r="O22" s="151">
        <v>0</v>
      </c>
      <c r="P22" s="151">
        <v>10067.156000000001</v>
      </c>
      <c r="Q22" s="151">
        <v>36485.263000000006</v>
      </c>
      <c r="R22" s="151">
        <v>36863.263127448714</v>
      </c>
    </row>
    <row r="23" spans="1:18">
      <c r="A23" s="163" t="s">
        <v>177</v>
      </c>
      <c r="B23" s="157">
        <v>2007</v>
      </c>
      <c r="C23" s="158">
        <v>4237.7150000000001</v>
      </c>
      <c r="D23" s="158">
        <v>16875.655999999999</v>
      </c>
      <c r="E23" s="158">
        <v>14022.933999999999</v>
      </c>
      <c r="F23" s="158">
        <v>12440.326999999999</v>
      </c>
      <c r="G23" s="158">
        <v>623.60299999999995</v>
      </c>
      <c r="H23" s="158">
        <v>582.88900000000001</v>
      </c>
      <c r="I23" s="158">
        <v>1599.086</v>
      </c>
      <c r="J23" s="158">
        <v>35136.305</v>
      </c>
      <c r="K23" s="158">
        <v>10070</v>
      </c>
      <c r="L23" s="151">
        <v>10153.681</v>
      </c>
      <c r="M23" s="151">
        <v>14647.385</v>
      </c>
      <c r="N23" s="151">
        <v>10429.254000000001</v>
      </c>
      <c r="O23" s="151">
        <v>0</v>
      </c>
      <c r="P23" s="151">
        <v>10429.254000000001</v>
      </c>
      <c r="Q23" s="151">
        <v>35230.32</v>
      </c>
      <c r="R23" s="151">
        <v>35595.318477606117</v>
      </c>
    </row>
    <row r="24" spans="1:18">
      <c r="A24" s="163" t="s">
        <v>177</v>
      </c>
      <c r="B24" s="157">
        <v>2008</v>
      </c>
      <c r="C24" s="158">
        <v>4360.3620000000001</v>
      </c>
      <c r="D24" s="158">
        <v>17644.487000000001</v>
      </c>
      <c r="E24" s="158">
        <v>13944.130999999999</v>
      </c>
      <c r="F24" s="158">
        <v>11754.428</v>
      </c>
      <c r="G24" s="158">
        <v>650.21</v>
      </c>
      <c r="H24" s="158">
        <v>911.178</v>
      </c>
      <c r="I24" s="158">
        <v>1920.325</v>
      </c>
      <c r="J24" s="158">
        <v>35948.980000000003</v>
      </c>
      <c r="K24" s="158">
        <v>30801.463751695799</v>
      </c>
      <c r="L24" s="151">
        <v>9954.6170000000002</v>
      </c>
      <c r="M24" s="151">
        <v>16415.848999999998</v>
      </c>
      <c r="N24" s="151">
        <v>10557.437</v>
      </c>
      <c r="O24" s="151">
        <v>0</v>
      </c>
      <c r="P24" s="151">
        <v>10557.437</v>
      </c>
      <c r="Q24" s="151">
        <v>36927.902999999998</v>
      </c>
      <c r="R24" s="151">
        <v>37310.489033172169</v>
      </c>
    </row>
    <row r="25" spans="1:18">
      <c r="A25" s="163" t="s">
        <v>177</v>
      </c>
      <c r="B25" s="157">
        <v>2009</v>
      </c>
      <c r="C25" s="158">
        <v>2968.2649999999999</v>
      </c>
      <c r="D25" s="158">
        <v>18106.984</v>
      </c>
      <c r="E25" s="158">
        <v>14313.339</v>
      </c>
      <c r="F25" s="158">
        <v>11853.287</v>
      </c>
      <c r="G25" s="158">
        <v>712.26199999999994</v>
      </c>
      <c r="H25" s="158">
        <v>-157.78200000000001</v>
      </c>
      <c r="I25" s="158">
        <v>2287.268</v>
      </c>
      <c r="J25" s="158">
        <v>35388.588000000003</v>
      </c>
      <c r="K25" s="158">
        <v>45238.492509983764</v>
      </c>
      <c r="L25" s="151">
        <v>9645.9639999999999</v>
      </c>
      <c r="M25" s="151">
        <v>14837.978999999999</v>
      </c>
      <c r="N25" s="151">
        <v>10156.166999999999</v>
      </c>
      <c r="O25" s="151">
        <v>134.54</v>
      </c>
      <c r="P25" s="151">
        <v>10290.707</v>
      </c>
      <c r="Q25" s="151">
        <v>34774.65</v>
      </c>
      <c r="R25" s="151">
        <v>35134.927576510388</v>
      </c>
    </row>
    <row r="26" spans="1:18">
      <c r="A26" s="163" t="s">
        <v>177</v>
      </c>
      <c r="B26" s="157">
        <v>2010</v>
      </c>
      <c r="C26" s="158">
        <v>3616.3020000000001</v>
      </c>
      <c r="D26" s="158">
        <v>18618.644</v>
      </c>
      <c r="E26" s="158">
        <v>15818.228999999999</v>
      </c>
      <c r="F26" s="158">
        <v>11608.852999999999</v>
      </c>
      <c r="G26" s="158">
        <v>702.553</v>
      </c>
      <c r="H26" s="158">
        <v>47.377000000000002</v>
      </c>
      <c r="I26" s="158">
        <v>2954.9127152001502</v>
      </c>
      <c r="J26" s="158">
        <v>38053.175000000003</v>
      </c>
      <c r="K26" s="158">
        <v>17257.64070077386</v>
      </c>
      <c r="L26" s="151">
        <v>10955.68</v>
      </c>
      <c r="M26" s="151">
        <v>16864.3027152002</v>
      </c>
      <c r="N26" s="151">
        <v>9966.107</v>
      </c>
      <c r="O26" s="151">
        <v>364.91</v>
      </c>
      <c r="P26" s="151">
        <v>10331.017</v>
      </c>
      <c r="Q26" s="151">
        <v>38150.999715200203</v>
      </c>
      <c r="R26" s="151">
        <v>38546.257459529501</v>
      </c>
    </row>
    <row r="27" spans="1:18">
      <c r="A27" s="163" t="s">
        <v>177</v>
      </c>
      <c r="B27" s="157">
        <v>2011</v>
      </c>
      <c r="C27" s="158">
        <v>3348.6370000000002</v>
      </c>
      <c r="D27" s="158">
        <v>17073.782999999999</v>
      </c>
      <c r="E27" s="158">
        <v>13460.516</v>
      </c>
      <c r="F27" s="158">
        <v>11700.611000000001</v>
      </c>
      <c r="G27" s="158">
        <v>726.99199999999996</v>
      </c>
      <c r="H27" s="158">
        <v>218.143</v>
      </c>
      <c r="I27" s="158">
        <v>2970.4780247444301</v>
      </c>
      <c r="J27" s="158">
        <v>33882.936000000002</v>
      </c>
      <c r="K27" s="158">
        <v>2221.1015016719207</v>
      </c>
      <c r="L27" s="151">
        <v>10559.995999999999</v>
      </c>
      <c r="M27" s="151">
        <v>14549.7410247444</v>
      </c>
      <c r="N27" s="151">
        <v>9915.9599999999991</v>
      </c>
      <c r="O27" s="151">
        <v>353.19200000000001</v>
      </c>
      <c r="P27" s="151">
        <v>10269.152</v>
      </c>
      <c r="Q27" s="151">
        <v>35378.8890247444</v>
      </c>
      <c r="R27" s="151">
        <v>35745.426729580104</v>
      </c>
    </row>
    <row r="28" spans="1:18">
      <c r="A28" s="163" t="s">
        <v>177</v>
      </c>
      <c r="B28" s="157">
        <v>2012</v>
      </c>
      <c r="C28" s="158">
        <v>3070.1860000000001</v>
      </c>
      <c r="D28" s="158">
        <v>15790.16</v>
      </c>
      <c r="E28" s="158">
        <v>13529.237999999999</v>
      </c>
      <c r="F28" s="158">
        <v>9765.3130000000001</v>
      </c>
      <c r="G28" s="158">
        <v>697.87199999999996</v>
      </c>
      <c r="H28" s="158">
        <v>854.34199999999998</v>
      </c>
      <c r="I28" s="158">
        <v>3367.3941461736899</v>
      </c>
      <c r="J28" s="158">
        <v>32389.584000000003</v>
      </c>
      <c r="K28" s="158">
        <v>38981.856803955277</v>
      </c>
      <c r="L28" s="151">
        <v>10534.388000000001</v>
      </c>
      <c r="M28" s="151">
        <v>15080.0031461737</v>
      </c>
      <c r="N28" s="151">
        <v>9545.2379999999994</v>
      </c>
      <c r="O28" s="151">
        <v>351.52</v>
      </c>
      <c r="P28" s="151">
        <v>9896.7579999999998</v>
      </c>
      <c r="Q28" s="151">
        <v>35511.149146173702</v>
      </c>
      <c r="R28" s="151">
        <v>35879.05711227782</v>
      </c>
    </row>
    <row r="29" spans="1:18">
      <c r="A29" t="s">
        <v>177</v>
      </c>
      <c r="B29" s="159">
        <v>2013</v>
      </c>
      <c r="C29" s="161">
        <v>3391.3090000000002</v>
      </c>
      <c r="D29" s="161">
        <v>16242.447</v>
      </c>
      <c r="E29" s="161">
        <v>13592.322</v>
      </c>
      <c r="F29" s="161">
        <v>10336.494000000001</v>
      </c>
      <c r="G29" s="161">
        <v>656.96500000000003</v>
      </c>
      <c r="H29" s="161">
        <v>828.89099999999996</v>
      </c>
      <c r="I29" s="161">
        <v>3586.4648833476599</v>
      </c>
      <c r="J29" s="161">
        <v>33226.078000000001</v>
      </c>
      <c r="K29" s="161">
        <v>293603.70135444729</v>
      </c>
      <c r="L29" s="162">
        <v>10771.87</v>
      </c>
      <c r="M29" s="162">
        <v>16257.2468833477</v>
      </c>
      <c r="N29" s="162">
        <v>9321.1560000000009</v>
      </c>
      <c r="O29" s="162">
        <v>348.899</v>
      </c>
      <c r="P29" s="162">
        <v>9670.0550000000003</v>
      </c>
      <c r="Q29" s="162">
        <v>36699.171883347706</v>
      </c>
      <c r="R29" s="162">
        <v>37079.388181889051</v>
      </c>
    </row>
    <row r="30" spans="1:18">
      <c r="A30" t="s">
        <v>177</v>
      </c>
      <c r="B30" s="159">
        <v>2014</v>
      </c>
      <c r="C30" s="161">
        <v>3262.373</v>
      </c>
      <c r="D30" s="161">
        <v>16371.261</v>
      </c>
      <c r="E30" s="161">
        <v>11819.824000000001</v>
      </c>
      <c r="F30" s="161">
        <v>8176.2370000000001</v>
      </c>
      <c r="G30" s="161">
        <v>672.36800000000005</v>
      </c>
      <c r="H30" s="161">
        <v>1513.586</v>
      </c>
      <c r="I30" s="161">
        <v>3422.8435099837602</v>
      </c>
      <c r="J30" s="161">
        <v>31453.458000000002</v>
      </c>
      <c r="K30" s="161">
        <v>16907.84246546288</v>
      </c>
      <c r="L30" s="162">
        <v>10565.653</v>
      </c>
      <c r="M30" s="162">
        <v>13951.354509983799</v>
      </c>
      <c r="N30" s="162">
        <v>9438.9279999999999</v>
      </c>
      <c r="O30" s="162">
        <v>418.85899999999998</v>
      </c>
      <c r="P30" s="162">
        <v>9857.7870000000003</v>
      </c>
      <c r="Q30" s="162">
        <v>34374.794509983803</v>
      </c>
      <c r="R30" s="162">
        <v>34730.929443307345</v>
      </c>
    </row>
    <row r="31" spans="1:18">
      <c r="A31" t="s">
        <v>177</v>
      </c>
      <c r="B31" s="159">
        <v>2015</v>
      </c>
      <c r="C31" s="161">
        <v>3162.84</v>
      </c>
      <c r="D31" s="161">
        <v>17042.802</v>
      </c>
      <c r="E31" s="161">
        <v>13002.466</v>
      </c>
      <c r="F31" s="161">
        <v>6283.1779999999999</v>
      </c>
      <c r="G31" s="161">
        <v>669.30399999999997</v>
      </c>
      <c r="H31" s="161">
        <v>1805.5889999999999</v>
      </c>
      <c r="I31" s="161">
        <v>3689.2244742524099</v>
      </c>
      <c r="J31" s="161">
        <v>33208.108</v>
      </c>
      <c r="K31" s="161">
        <v>5480.186999999999</v>
      </c>
      <c r="L31" s="162">
        <v>10577.956</v>
      </c>
      <c r="M31" s="162">
        <v>15017.1714742524</v>
      </c>
      <c r="N31" s="162">
        <v>10096.337</v>
      </c>
      <c r="O31" s="162">
        <v>260.91899999999998</v>
      </c>
      <c r="P31" s="162">
        <v>10357.255999999999</v>
      </c>
      <c r="Q31" s="162">
        <v>35952.383474252398</v>
      </c>
      <c r="R31" s="162">
        <v>36324.862782825621</v>
      </c>
    </row>
    <row r="32" spans="1:18">
      <c r="A32" t="s">
        <v>177</v>
      </c>
      <c r="B32" s="159">
        <v>2016</v>
      </c>
      <c r="C32" s="161">
        <v>2911.5949999999998</v>
      </c>
      <c r="D32" s="161">
        <v>16505.440999999999</v>
      </c>
      <c r="E32" s="161">
        <v>13335.358</v>
      </c>
      <c r="F32" s="161">
        <v>10588.967000000001</v>
      </c>
      <c r="G32" s="161">
        <v>670.36599999999999</v>
      </c>
      <c r="H32" s="161">
        <v>531.64200000000005</v>
      </c>
      <c r="I32" s="161">
        <v>3910.8106550109901</v>
      </c>
      <c r="J32" s="161">
        <v>32752.394</v>
      </c>
      <c r="K32" s="161">
        <v>113815.63119661791</v>
      </c>
      <c r="L32" s="162">
        <v>10631.382</v>
      </c>
      <c r="M32" s="162">
        <v>15356.212655011001</v>
      </c>
      <c r="N32" s="162">
        <v>10004.874</v>
      </c>
      <c r="O32" s="162">
        <v>440.67099999999999</v>
      </c>
      <c r="P32" s="162">
        <v>10445.545</v>
      </c>
      <c r="Q32" s="162">
        <v>36433.139655011</v>
      </c>
      <c r="R32" s="162">
        <v>36810.599766315412</v>
      </c>
    </row>
    <row r="33" spans="1:18">
      <c r="A33" t="s">
        <v>177</v>
      </c>
      <c r="B33" s="159">
        <v>2017</v>
      </c>
      <c r="C33" s="161">
        <v>2821.9059999999999</v>
      </c>
      <c r="D33" s="161">
        <v>16647.311000000002</v>
      </c>
      <c r="E33" s="161">
        <v>13503.15</v>
      </c>
      <c r="F33" s="161">
        <v>10299.709999999999</v>
      </c>
      <c r="G33" s="161">
        <v>633.04200000000003</v>
      </c>
      <c r="H33" s="161">
        <v>517.76400000000001</v>
      </c>
      <c r="I33" s="161">
        <v>4063.5848465653899</v>
      </c>
      <c r="J33" s="161">
        <v>32972.366999999998</v>
      </c>
      <c r="K33" s="161">
        <v>32673.637000000002</v>
      </c>
      <c r="L33" s="162">
        <v>10443.973</v>
      </c>
      <c r="M33" s="162">
        <v>15233.581846565399</v>
      </c>
      <c r="N33" s="162">
        <v>9961.9740000000002</v>
      </c>
      <c r="O33" s="162">
        <v>477.55399999999997</v>
      </c>
      <c r="P33" s="162">
        <v>10439.528</v>
      </c>
      <c r="Q33" s="162">
        <v>36117.082846565398</v>
      </c>
      <c r="R33" s="162">
        <v>36491.268498429199</v>
      </c>
    </row>
    <row r="34" spans="1:18">
      <c r="A34" t="s">
        <v>177</v>
      </c>
      <c r="B34" s="159">
        <v>2018</v>
      </c>
      <c r="C34" s="161">
        <v>2817.7950000000001</v>
      </c>
      <c r="D34" s="161">
        <v>16401.298999999999</v>
      </c>
      <c r="E34" s="161">
        <v>14006.696</v>
      </c>
      <c r="F34" s="161">
        <v>6960.8620000000001</v>
      </c>
      <c r="G34" s="161">
        <v>638.65</v>
      </c>
      <c r="H34" s="161">
        <v>1489.8969999999999</v>
      </c>
      <c r="I34" s="161">
        <v>4154.6880390751903</v>
      </c>
      <c r="J34" s="161">
        <v>33225.789999999994</v>
      </c>
      <c r="K34" s="161">
        <v>239868.17765825932</v>
      </c>
      <c r="L34" s="162">
        <v>10680.29</v>
      </c>
      <c r="M34" s="162">
        <v>15124.909039075201</v>
      </c>
      <c r="N34" s="162">
        <v>10109.033000000001</v>
      </c>
      <c r="O34" s="162">
        <v>477.69400000000002</v>
      </c>
      <c r="P34" s="162">
        <v>10586.727000000001</v>
      </c>
      <c r="Q34" s="162">
        <v>36391.926039075202</v>
      </c>
      <c r="R34" s="162">
        <v>36768.959162856561</v>
      </c>
    </row>
    <row r="35" spans="1:18">
      <c r="A35" t="s">
        <v>177</v>
      </c>
      <c r="B35" s="159">
        <v>2019</v>
      </c>
      <c r="C35" s="161">
        <v>2792.4409999999998</v>
      </c>
      <c r="D35" s="161">
        <v>16034.904</v>
      </c>
      <c r="E35" s="161">
        <v>14227.029</v>
      </c>
      <c r="F35" s="161">
        <v>10593.545</v>
      </c>
      <c r="G35" s="161">
        <v>647.18200000000002</v>
      </c>
      <c r="H35" s="161">
        <v>-159.46700000000001</v>
      </c>
      <c r="I35" s="161">
        <v>4273.3142912964504</v>
      </c>
      <c r="J35" s="161">
        <v>33054.374000000003</v>
      </c>
      <c r="K35" s="161">
        <v>23289.041000000001</v>
      </c>
      <c r="L35" s="162">
        <v>10310.040999999999</v>
      </c>
      <c r="M35" s="162">
        <v>14953.8432912965</v>
      </c>
      <c r="N35" s="162">
        <v>10039.273999999999</v>
      </c>
      <c r="O35" s="162">
        <v>484.27699999999999</v>
      </c>
      <c r="P35" s="162">
        <v>10523.550999999999</v>
      </c>
      <c r="Q35" s="162">
        <v>35787.435291296497</v>
      </c>
      <c r="R35" s="162">
        <v>36158.205678813574</v>
      </c>
    </row>
    <row r="36" spans="1:18">
      <c r="A36" t="s">
        <v>177</v>
      </c>
      <c r="B36" s="159">
        <v>2020</v>
      </c>
      <c r="C36" s="161">
        <v>2121.2460000000001</v>
      </c>
      <c r="D36" s="161">
        <v>13954.281000000001</v>
      </c>
      <c r="E36" s="161">
        <v>14029.834000000001</v>
      </c>
      <c r="F36" s="161">
        <v>8371.0149999999994</v>
      </c>
      <c r="G36" s="161">
        <v>636.62</v>
      </c>
      <c r="H36" s="161">
        <v>-28.623999999999999</v>
      </c>
      <c r="I36" s="161">
        <v>4799.3108455144702</v>
      </c>
      <c r="J36" s="161">
        <v>30105.361000000004</v>
      </c>
      <c r="K36" s="161">
        <v>7597.3447325881298</v>
      </c>
      <c r="L36" s="162">
        <v>10003.808999999999</v>
      </c>
      <c r="M36" s="162">
        <v>14275.120845514501</v>
      </c>
      <c r="N36" s="162">
        <v>8212.9930000000004</v>
      </c>
      <c r="O36" s="162">
        <v>700.60500000000002</v>
      </c>
      <c r="P36" s="162">
        <v>8913.598</v>
      </c>
      <c r="Q36" s="162">
        <v>33192.527845514502</v>
      </c>
      <c r="R36" s="162">
        <v>33536.41408133386</v>
      </c>
    </row>
    <row r="37" spans="1:18">
      <c r="A37" t="s">
        <v>177</v>
      </c>
      <c r="B37" s="159">
        <v>2021</v>
      </c>
      <c r="C37" s="161">
        <v>2378.3359999999998</v>
      </c>
      <c r="D37" s="161">
        <v>15017.28</v>
      </c>
      <c r="E37" s="161">
        <v>14208.162</v>
      </c>
      <c r="F37" s="161">
        <v>12223.218000000001</v>
      </c>
      <c r="G37" s="161">
        <v>661.197</v>
      </c>
      <c r="H37" s="161">
        <v>-677.25699999999995</v>
      </c>
      <c r="I37" s="161">
        <v>4933.1227662176298</v>
      </c>
      <c r="J37" s="161">
        <v>31603.778000000002</v>
      </c>
      <c r="K37" s="161">
        <v>21994.77</v>
      </c>
      <c r="L37" s="162">
        <v>10578.786</v>
      </c>
      <c r="M37" s="162">
        <v>15235.847766217599</v>
      </c>
      <c r="N37" s="162">
        <v>9268.0390000000007</v>
      </c>
      <c r="O37" s="162">
        <v>772.07799999999997</v>
      </c>
      <c r="P37" s="162">
        <v>10040.117</v>
      </c>
      <c r="Q37" s="162">
        <v>35854.750766217599</v>
      </c>
      <c r="R37" s="162">
        <v>36226.218565676027</v>
      </c>
    </row>
    <row r="38" spans="1:18">
      <c r="A38" t="s">
        <v>177</v>
      </c>
      <c r="B38" s="159">
        <v>2022</v>
      </c>
      <c r="C38" s="161">
        <v>2518.145</v>
      </c>
      <c r="D38" s="161">
        <v>14837.376</v>
      </c>
      <c r="E38" s="161">
        <v>12143.852000000001</v>
      </c>
      <c r="F38" s="161">
        <v>10697.550999999999</v>
      </c>
      <c r="G38" s="161">
        <v>614.69100000000003</v>
      </c>
      <c r="H38" s="161">
        <v>-647.24800000000005</v>
      </c>
      <c r="I38" s="161">
        <v>5068.0637862806898</v>
      </c>
      <c r="J38" s="161">
        <v>29499.373</v>
      </c>
      <c r="K38" s="161">
        <v>13166.463934747298</v>
      </c>
      <c r="L38" s="162">
        <v>9580.5740000000005</v>
      </c>
      <c r="M38" s="162">
        <v>13426.7887862807</v>
      </c>
      <c r="N38" s="162">
        <v>9609.857</v>
      </c>
      <c r="O38" s="162">
        <v>802.17100000000005</v>
      </c>
      <c r="P38" s="162">
        <v>10412.028</v>
      </c>
      <c r="Q38" s="162">
        <v>33419.390786280695</v>
      </c>
      <c r="R38" s="162">
        <v>33765.627401773156</v>
      </c>
    </row>
    <row r="39" spans="1:18">
      <c r="A39" t="s">
        <v>177</v>
      </c>
      <c r="B39" s="159">
        <v>2023</v>
      </c>
      <c r="C39" s="161">
        <v>2236.921809214849</v>
      </c>
      <c r="D39" s="161">
        <v>14680.683208781613</v>
      </c>
      <c r="E39" s="161">
        <v>11436.832080282495</v>
      </c>
      <c r="F39" s="161">
        <v>8027.6917615197217</v>
      </c>
      <c r="G39" s="161">
        <v>602.01067982856625</v>
      </c>
      <c r="H39" s="161">
        <v>-838.63077639799837</v>
      </c>
      <c r="I39" s="161">
        <v>5391.6679364765296</v>
      </c>
      <c r="J39" s="161">
        <v>28354.437098278955</v>
      </c>
      <c r="K39" s="161">
        <v>142658.34100000001</v>
      </c>
      <c r="L39" s="162">
        <v>9272.5843464413574</v>
      </c>
      <c r="M39" s="162">
        <v>13426.7887862807</v>
      </c>
      <c r="N39" s="162">
        <v>9759.8716410786219</v>
      </c>
      <c r="O39" s="162">
        <v>928.3914999999688</v>
      </c>
      <c r="P39" s="162">
        <v>10688.263141078591</v>
      </c>
      <c r="Q39" s="162">
        <v>33387.636273800643</v>
      </c>
      <c r="R39" s="162">
        <v>33733.54390140107</v>
      </c>
    </row>
    <row r="40" spans="1:18">
      <c r="A40" t="s">
        <v>178</v>
      </c>
      <c r="B40" s="157">
        <v>2005</v>
      </c>
      <c r="C40" s="158">
        <v>6915.8429999999998</v>
      </c>
      <c r="D40" s="158">
        <v>4449.9319999999998</v>
      </c>
      <c r="E40" s="158">
        <v>2493.5859999999998</v>
      </c>
      <c r="F40" s="158">
        <v>4854.7430000000004</v>
      </c>
      <c r="G40" s="158">
        <v>58.326000000000001</v>
      </c>
      <c r="H40" s="158">
        <v>-651.84900000000005</v>
      </c>
      <c r="I40" s="158">
        <v>1094.7802149613101</v>
      </c>
      <c r="J40" s="158">
        <v>13859.360999999999</v>
      </c>
      <c r="K40" s="158">
        <v>19215.361214961311</v>
      </c>
      <c r="L40" s="151">
        <v>3649.8989999999999</v>
      </c>
      <c r="M40" s="151">
        <v>3582.0812150000002</v>
      </c>
      <c r="N40" s="151">
        <v>2905.752</v>
      </c>
      <c r="O40" s="151">
        <v>0</v>
      </c>
      <c r="P40" s="151">
        <v>2905.752</v>
      </c>
      <c r="Q40" s="151">
        <v>10137.732215</v>
      </c>
      <c r="R40" s="151">
        <v>10550.30111307116</v>
      </c>
    </row>
    <row r="41" spans="1:18">
      <c r="A41" t="s">
        <v>178</v>
      </c>
      <c r="B41" s="157">
        <v>2006</v>
      </c>
      <c r="C41" s="158">
        <v>6980.29</v>
      </c>
      <c r="D41" s="158">
        <v>4613.5190000000002</v>
      </c>
      <c r="E41" s="158">
        <v>2655.9340000000002</v>
      </c>
      <c r="F41" s="158">
        <v>5070.2060000000001</v>
      </c>
      <c r="G41" s="158">
        <v>59.21</v>
      </c>
      <c r="H41" s="158">
        <v>-665.77800000000002</v>
      </c>
      <c r="I41" s="158">
        <v>1138.3430627687001</v>
      </c>
      <c r="J41" s="158">
        <v>14249.743000000002</v>
      </c>
      <c r="K41" s="158">
        <v>19851.724062768702</v>
      </c>
      <c r="L41" s="151">
        <v>3680.9520000000002</v>
      </c>
      <c r="M41" s="151">
        <v>3795.728063</v>
      </c>
      <c r="N41" s="151">
        <v>3030.598</v>
      </c>
      <c r="O41" s="151">
        <v>5.4279999999999999</v>
      </c>
      <c r="P41" s="151">
        <v>3036.0259999999998</v>
      </c>
      <c r="Q41" s="151">
        <v>10512.706063</v>
      </c>
      <c r="R41" s="151">
        <v>10940.535035414609</v>
      </c>
    </row>
    <row r="42" spans="1:18">
      <c r="A42" t="s">
        <v>178</v>
      </c>
      <c r="B42" s="157">
        <v>2007</v>
      </c>
      <c r="C42" s="158">
        <v>7884.0420000000004</v>
      </c>
      <c r="D42" s="158">
        <v>4383.2849999999999</v>
      </c>
      <c r="E42" s="158">
        <v>2766.279</v>
      </c>
      <c r="F42" s="158">
        <v>3838.4059999999999</v>
      </c>
      <c r="G42" s="158">
        <v>67.569999999999993</v>
      </c>
      <c r="H42" s="158">
        <v>-384.78100000000001</v>
      </c>
      <c r="I42" s="158">
        <v>957.80564660361097</v>
      </c>
      <c r="J42" s="158">
        <v>15033.606000000002</v>
      </c>
      <c r="K42" s="158">
        <v>19512.606646603614</v>
      </c>
      <c r="L42" s="151">
        <v>3811.018</v>
      </c>
      <c r="M42" s="151">
        <v>3575.041647</v>
      </c>
      <c r="N42" s="151">
        <v>2946.5240000000003</v>
      </c>
      <c r="O42" s="151">
        <v>2.323</v>
      </c>
      <c r="P42" s="151">
        <v>2948.8470000000002</v>
      </c>
      <c r="Q42" s="151">
        <v>10334.906647</v>
      </c>
      <c r="R42" s="151">
        <v>10755.499828649858</v>
      </c>
    </row>
    <row r="43" spans="1:18">
      <c r="A43" t="s">
        <v>178</v>
      </c>
      <c r="B43" s="157">
        <v>2008</v>
      </c>
      <c r="C43" s="158">
        <v>7426.7120000000004</v>
      </c>
      <c r="D43" s="158">
        <v>4216.2839999999997</v>
      </c>
      <c r="E43" s="158">
        <v>2643.2049999999999</v>
      </c>
      <c r="F43" s="158">
        <v>4131.5559999999996</v>
      </c>
      <c r="G43" s="158">
        <v>1.887</v>
      </c>
      <c r="H43" s="158">
        <v>-459.50099999999998</v>
      </c>
      <c r="I43" s="158">
        <v>1056.3607635425601</v>
      </c>
      <c r="J43" s="158">
        <v>14286.200999999999</v>
      </c>
      <c r="K43" s="158">
        <v>10075</v>
      </c>
      <c r="L43" s="151">
        <v>3453.8420000000001</v>
      </c>
      <c r="M43" s="151">
        <v>3424.7777639999999</v>
      </c>
      <c r="N43" s="151">
        <v>3091.6600000000003</v>
      </c>
      <c r="O43" s="151">
        <v>4.18</v>
      </c>
      <c r="P43" s="151">
        <v>3095.84</v>
      </c>
      <c r="Q43" s="151">
        <v>9974.4597640000011</v>
      </c>
      <c r="R43" s="151">
        <v>10380.384066044569</v>
      </c>
    </row>
    <row r="44" spans="1:18">
      <c r="A44" t="s">
        <v>178</v>
      </c>
      <c r="B44" s="157">
        <v>2009</v>
      </c>
      <c r="C44" s="158">
        <v>6364.4960000000001</v>
      </c>
      <c r="D44" s="158">
        <v>3995.0520000000001</v>
      </c>
      <c r="E44" s="158">
        <v>2004.481</v>
      </c>
      <c r="F44" s="158">
        <v>3877.91</v>
      </c>
      <c r="G44" s="158">
        <v>4.49</v>
      </c>
      <c r="H44" s="158">
        <v>-436.19900000000001</v>
      </c>
      <c r="I44" s="158">
        <v>1104.56781169389</v>
      </c>
      <c r="J44" s="158">
        <v>12364.029</v>
      </c>
      <c r="K44" s="158">
        <v>31664.065450081194</v>
      </c>
      <c r="L44" s="151">
        <v>2442.0630000000001</v>
      </c>
      <c r="M44" s="151">
        <v>3236.0938116938901</v>
      </c>
      <c r="N44" s="151">
        <v>2909.7560000000003</v>
      </c>
      <c r="O44" s="151">
        <v>3.7469999999999999</v>
      </c>
      <c r="P44" s="151">
        <v>2913.5030000000002</v>
      </c>
      <c r="Q44" s="151">
        <v>8591.6598116938912</v>
      </c>
      <c r="R44" s="151">
        <v>8941.3091756678277</v>
      </c>
    </row>
    <row r="45" spans="1:18">
      <c r="A45" t="s">
        <v>178</v>
      </c>
      <c r="B45" s="157">
        <v>2010</v>
      </c>
      <c r="C45" s="158">
        <v>6881.674</v>
      </c>
      <c r="D45" s="158">
        <v>3834.9409999999998</v>
      </c>
      <c r="E45" s="158">
        <v>2108.1060000000002</v>
      </c>
      <c r="F45" s="158">
        <v>3849.12</v>
      </c>
      <c r="G45" s="158">
        <v>3.3919999999999999</v>
      </c>
      <c r="H45" s="158">
        <v>-726.22500000000002</v>
      </c>
      <c r="I45" s="158">
        <v>1447.7808022356</v>
      </c>
      <c r="J45" s="158">
        <v>12824.721</v>
      </c>
      <c r="K45" s="158">
        <v>45655.403474252409</v>
      </c>
      <c r="L45" s="151">
        <v>2549.9609999999998</v>
      </c>
      <c r="M45" s="151">
        <v>3416.8888022356</v>
      </c>
      <c r="N45" s="151">
        <v>2848.7509999999997</v>
      </c>
      <c r="O45" s="151">
        <v>13.409000000000001</v>
      </c>
      <c r="P45" s="151">
        <v>2862.16</v>
      </c>
      <c r="Q45" s="151">
        <v>8829.0098022355996</v>
      </c>
      <c r="R45" s="151">
        <v>9188.3184491712709</v>
      </c>
    </row>
    <row r="46" spans="1:18">
      <c r="A46" t="s">
        <v>178</v>
      </c>
      <c r="B46" s="157">
        <v>2011</v>
      </c>
      <c r="C46" s="158">
        <v>8037.857</v>
      </c>
      <c r="D46" s="158">
        <v>3606.2840000000001</v>
      </c>
      <c r="E46" s="158">
        <v>2380.9789999999998</v>
      </c>
      <c r="F46" s="158">
        <v>4105.07</v>
      </c>
      <c r="G46" s="158">
        <v>9.0760000000000005</v>
      </c>
      <c r="H46" s="158">
        <v>-916.68100000000004</v>
      </c>
      <c r="I46" s="158">
        <v>1352.2088426483199</v>
      </c>
      <c r="J46" s="158">
        <v>14025.119999999999</v>
      </c>
      <c r="K46" s="158">
        <v>17957.95877892424</v>
      </c>
      <c r="L46" s="151">
        <v>2696.44</v>
      </c>
      <c r="M46" s="151">
        <v>3626.2838426483199</v>
      </c>
      <c r="N46" s="151">
        <v>2912.1969999999997</v>
      </c>
      <c r="O46" s="151">
        <v>17.186</v>
      </c>
      <c r="P46" s="151">
        <v>2929.3829999999998</v>
      </c>
      <c r="Q46" s="151">
        <v>9252.1068426483198</v>
      </c>
      <c r="R46" s="151">
        <v>9628.6340031566779</v>
      </c>
    </row>
    <row r="47" spans="1:18">
      <c r="A47" t="s">
        <v>178</v>
      </c>
      <c r="B47" s="157">
        <v>2012</v>
      </c>
      <c r="C47" s="158">
        <v>6862.77</v>
      </c>
      <c r="D47" s="158">
        <v>3780.6489999999999</v>
      </c>
      <c r="E47" s="158">
        <v>2266.991</v>
      </c>
      <c r="F47" s="158">
        <v>4020.24</v>
      </c>
      <c r="G47" s="158">
        <v>7.3090000000000002</v>
      </c>
      <c r="H47" s="158">
        <v>-714.35900000000004</v>
      </c>
      <c r="I47" s="158">
        <v>1603.9862536543401</v>
      </c>
      <c r="J47" s="158">
        <v>12910.41</v>
      </c>
      <c r="K47" s="158">
        <v>2274.4075016719207</v>
      </c>
      <c r="L47" s="151">
        <v>2566.576</v>
      </c>
      <c r="M47" s="151">
        <v>3575.4372536543401</v>
      </c>
      <c r="N47" s="151">
        <v>2991.761</v>
      </c>
      <c r="O47" s="151">
        <v>85.927999999999997</v>
      </c>
      <c r="P47" s="151">
        <v>3077.6889999999999</v>
      </c>
      <c r="Q47" s="151">
        <v>9219.7022536543391</v>
      </c>
      <c r="R47" s="151">
        <v>9594.910665029247</v>
      </c>
    </row>
    <row r="48" spans="1:18">
      <c r="A48" t="s">
        <v>178</v>
      </c>
      <c r="B48" s="159">
        <v>2013</v>
      </c>
      <c r="C48" s="161">
        <v>5894.06</v>
      </c>
      <c r="D48" s="161">
        <v>3455.8879999999999</v>
      </c>
      <c r="E48" s="161">
        <v>2190.5650000000001</v>
      </c>
      <c r="F48" s="161">
        <v>3667.58</v>
      </c>
      <c r="G48" s="161">
        <v>13.446999999999999</v>
      </c>
      <c r="H48" s="161">
        <v>-531.47</v>
      </c>
      <c r="I48" s="161">
        <v>1816.7796079105799</v>
      </c>
      <c r="J48" s="161">
        <v>11540.513000000001</v>
      </c>
      <c r="K48" s="161">
        <v>39438.928581350912</v>
      </c>
      <c r="L48" s="162">
        <v>2595.527</v>
      </c>
      <c r="M48" s="162">
        <v>3400.4006079105802</v>
      </c>
      <c r="N48" s="162">
        <v>2675.2710000000002</v>
      </c>
      <c r="O48" s="162">
        <v>104.261</v>
      </c>
      <c r="P48" s="162">
        <v>2779.5320000000002</v>
      </c>
      <c r="Q48" s="162">
        <v>8775.4596079105795</v>
      </c>
      <c r="R48" s="162">
        <v>9132.5889563408637</v>
      </c>
    </row>
    <row r="49" spans="1:36">
      <c r="A49" t="s">
        <v>178</v>
      </c>
      <c r="B49" s="159">
        <v>2014</v>
      </c>
      <c r="C49" s="161">
        <v>6300.143</v>
      </c>
      <c r="D49" s="161">
        <v>3773.2429999999999</v>
      </c>
      <c r="E49" s="161">
        <v>2142.3290000000002</v>
      </c>
      <c r="F49" s="161">
        <v>4046.7</v>
      </c>
      <c r="G49" s="161">
        <v>13.089</v>
      </c>
      <c r="H49" s="161">
        <v>-812.98400000000004</v>
      </c>
      <c r="I49" s="161">
        <v>1795.1207007738601</v>
      </c>
      <c r="J49" s="161">
        <v>12215.715</v>
      </c>
      <c r="K49" s="161">
        <v>295932.86478093051</v>
      </c>
      <c r="L49" s="162">
        <v>2617.5230000000001</v>
      </c>
      <c r="M49" s="162">
        <v>3282.4867007738599</v>
      </c>
      <c r="N49" s="162">
        <v>2975.2379999999998</v>
      </c>
      <c r="O49" s="162">
        <v>110.71</v>
      </c>
      <c r="P49" s="162">
        <v>3085.9479999999999</v>
      </c>
      <c r="Q49" s="162">
        <v>8985.957700773859</v>
      </c>
      <c r="R49" s="162">
        <v>9351.6535574109967</v>
      </c>
    </row>
    <row r="50" spans="1:36">
      <c r="A50" t="s">
        <v>178</v>
      </c>
      <c r="B50" s="159">
        <v>2015</v>
      </c>
      <c r="C50" s="161">
        <v>6554.4660000000003</v>
      </c>
      <c r="D50" s="161">
        <v>4058.596</v>
      </c>
      <c r="E50" s="161">
        <v>2322.54</v>
      </c>
      <c r="F50" s="161">
        <v>3912</v>
      </c>
      <c r="G50" s="161">
        <v>18.271999999999998</v>
      </c>
      <c r="H50" s="161">
        <v>-909.28599999999994</v>
      </c>
      <c r="I50" s="161">
        <v>2001.3707789242401</v>
      </c>
      <c r="J50" s="161">
        <v>12935.601999999999</v>
      </c>
      <c r="K50" s="161">
        <v>16815.3143885545</v>
      </c>
      <c r="L50" s="162">
        <v>2719.6410000000001</v>
      </c>
      <c r="M50" s="162">
        <v>3382.4677789242401</v>
      </c>
      <c r="N50" s="162">
        <v>3242.0230000000001</v>
      </c>
      <c r="O50" s="162">
        <v>146.21199999999999</v>
      </c>
      <c r="P50" s="162">
        <v>3388.2350000000001</v>
      </c>
      <c r="Q50" s="162">
        <v>9490.3437789242398</v>
      </c>
      <c r="R50" s="162">
        <v>9876.5663178658324</v>
      </c>
    </row>
    <row r="51" spans="1:36">
      <c r="A51" t="s">
        <v>178</v>
      </c>
      <c r="B51" s="159">
        <v>2016</v>
      </c>
      <c r="C51" s="161">
        <v>5641.3239999999996</v>
      </c>
      <c r="D51" s="161">
        <v>4189.5879999999997</v>
      </c>
      <c r="E51" s="161">
        <v>2398.5770000000002</v>
      </c>
      <c r="F51" s="161">
        <v>4010.9</v>
      </c>
      <c r="G51" s="161">
        <v>31.504000000000001</v>
      </c>
      <c r="H51" s="161">
        <v>-547.89300000000003</v>
      </c>
      <c r="I51" s="161">
        <v>1941.37234823732</v>
      </c>
      <c r="J51" s="161">
        <v>12229.489000000001</v>
      </c>
      <c r="K51" s="161">
        <v>4759.1329999999998</v>
      </c>
      <c r="L51" s="162">
        <v>2655.4589999999998</v>
      </c>
      <c r="M51" s="162">
        <v>3513.22834823732</v>
      </c>
      <c r="N51" s="162">
        <v>3317.5360000000001</v>
      </c>
      <c r="O51" s="162">
        <v>163.13800000000001</v>
      </c>
      <c r="P51" s="162">
        <v>3480.674</v>
      </c>
      <c r="Q51" s="162">
        <v>9649.3613482373203</v>
      </c>
      <c r="R51" s="162">
        <v>10042.055324967374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>
      <c r="A52" t="s">
        <v>178</v>
      </c>
      <c r="B52" s="159">
        <v>2017</v>
      </c>
      <c r="C52" s="161">
        <v>6074.74</v>
      </c>
      <c r="D52" s="161">
        <v>4389.8289999999997</v>
      </c>
      <c r="E52" s="161">
        <v>2484.2640000000001</v>
      </c>
      <c r="F52" s="161">
        <v>3940.7</v>
      </c>
      <c r="G52" s="161">
        <v>38.719000000000001</v>
      </c>
      <c r="H52" s="161">
        <v>-471.22699999999998</v>
      </c>
      <c r="I52" s="161">
        <v>1864.79195251743</v>
      </c>
      <c r="J52" s="161">
        <v>12948.832999999999</v>
      </c>
      <c r="K52" s="161">
        <v>118156.4250528327</v>
      </c>
      <c r="L52" s="162">
        <v>2757.5160000000001</v>
      </c>
      <c r="M52" s="162">
        <v>3576.0639525174302</v>
      </c>
      <c r="N52" s="162">
        <v>3396.6369999999997</v>
      </c>
      <c r="O52" s="162">
        <v>166.244</v>
      </c>
      <c r="P52" s="162">
        <v>3562.8809999999999</v>
      </c>
      <c r="Q52" s="162">
        <v>9896.460952517431</v>
      </c>
      <c r="R52" s="162">
        <v>10299.210986094284</v>
      </c>
    </row>
    <row r="53" spans="1:36">
      <c r="A53" t="s">
        <v>178</v>
      </c>
      <c r="B53" s="159">
        <v>2018</v>
      </c>
      <c r="C53" s="161">
        <v>5443.1469999999999</v>
      </c>
      <c r="D53" s="161">
        <v>4383.8509999999997</v>
      </c>
      <c r="E53" s="161">
        <v>2404.2350000000001</v>
      </c>
      <c r="F53" s="161">
        <v>4168.3</v>
      </c>
      <c r="G53" s="161">
        <v>50.040999999999997</v>
      </c>
      <c r="H53" s="161">
        <v>-671.30899999999997</v>
      </c>
      <c r="I53" s="161">
        <v>2449.0660173879801</v>
      </c>
      <c r="J53" s="161">
        <v>12231.233</v>
      </c>
      <c r="K53" s="161">
        <v>31197.11</v>
      </c>
      <c r="L53" s="162">
        <v>2736.1439999999998</v>
      </c>
      <c r="M53" s="162">
        <v>3554.3950173879798</v>
      </c>
      <c r="N53" s="162">
        <v>3467.1689999999999</v>
      </c>
      <c r="O53" s="162">
        <v>163.62700000000001</v>
      </c>
      <c r="P53" s="162">
        <v>3630.7959999999998</v>
      </c>
      <c r="Q53" s="162">
        <v>9921.335017387979</v>
      </c>
      <c r="R53" s="162">
        <v>10325.097335104572</v>
      </c>
    </row>
    <row r="54" spans="1:36">
      <c r="A54" t="s">
        <v>178</v>
      </c>
      <c r="B54" s="159">
        <v>2019</v>
      </c>
      <c r="C54" s="161">
        <v>5034.3900000000003</v>
      </c>
      <c r="D54" s="161">
        <v>4486.4579999999996</v>
      </c>
      <c r="E54" s="161">
        <v>2290.9499999999998</v>
      </c>
      <c r="F54" s="161">
        <v>4301.7619999999997</v>
      </c>
      <c r="G54" s="161">
        <v>66.527000000000001</v>
      </c>
      <c r="H54" s="161">
        <v>-499.58600000000001</v>
      </c>
      <c r="I54" s="161">
        <v>2363.88254896341</v>
      </c>
      <c r="J54" s="161">
        <v>11811.797999999999</v>
      </c>
      <c r="K54" s="161">
        <v>244459.32489433451</v>
      </c>
      <c r="L54" s="162">
        <v>2678.806</v>
      </c>
      <c r="M54" s="162">
        <v>3521.71054896341</v>
      </c>
      <c r="N54" s="162">
        <v>3472.29</v>
      </c>
      <c r="O54" s="162">
        <v>179.43299999999999</v>
      </c>
      <c r="P54" s="162">
        <v>3651.723</v>
      </c>
      <c r="Q54" s="162">
        <v>9852.2395489634109</v>
      </c>
      <c r="R54" s="162">
        <v>10253.189931952882</v>
      </c>
    </row>
    <row r="55" spans="1:36">
      <c r="A55" t="s">
        <v>178</v>
      </c>
      <c r="B55" s="159">
        <v>2020</v>
      </c>
      <c r="C55" s="161">
        <v>4117.6329999999998</v>
      </c>
      <c r="D55" s="161">
        <v>4039.36</v>
      </c>
      <c r="E55" s="161">
        <v>2365.6089999999999</v>
      </c>
      <c r="F55" s="161">
        <v>4334.6769999999997</v>
      </c>
      <c r="G55" s="161">
        <v>66.158000000000001</v>
      </c>
      <c r="H55" s="161">
        <v>-293.04399999999998</v>
      </c>
      <c r="I55" s="161">
        <v>2437.3965477214101</v>
      </c>
      <c r="J55" s="161">
        <v>10522.602000000001</v>
      </c>
      <c r="K55" s="161">
        <v>23388.514999999999</v>
      </c>
      <c r="L55" s="162">
        <v>2646.35</v>
      </c>
      <c r="M55" s="162">
        <v>3531.9525477214102</v>
      </c>
      <c r="N55" s="162">
        <v>3175.2610000000004</v>
      </c>
      <c r="O55" s="162">
        <v>172.05699999999999</v>
      </c>
      <c r="P55" s="162">
        <v>3347.3180000000002</v>
      </c>
      <c r="Q55" s="162">
        <v>9525.6205477214098</v>
      </c>
      <c r="R55" s="162">
        <v>9913.2787230875492</v>
      </c>
    </row>
    <row r="56" spans="1:36">
      <c r="A56" t="s">
        <v>178</v>
      </c>
      <c r="B56" s="159">
        <v>2021</v>
      </c>
      <c r="C56" s="161">
        <v>5225.4470000000001</v>
      </c>
      <c r="D56" s="161">
        <v>4252.6940000000004</v>
      </c>
      <c r="E56" s="161">
        <v>2680.0050000000001</v>
      </c>
      <c r="F56" s="161">
        <v>4294.9440000000004</v>
      </c>
      <c r="G56" s="161">
        <v>74.215999999999994</v>
      </c>
      <c r="H56" s="161">
        <v>-754.79899999999998</v>
      </c>
      <c r="I56" s="161">
        <v>2793.1766397248498</v>
      </c>
      <c r="J56" s="161">
        <v>12158.146000000001</v>
      </c>
      <c r="K56" s="161">
        <v>7958.0781159835697</v>
      </c>
      <c r="L56" s="162">
        <v>2823.82</v>
      </c>
      <c r="M56" s="162">
        <v>3775.1566397248498</v>
      </c>
      <c r="N56" s="162">
        <v>3430.9340000000002</v>
      </c>
      <c r="O56" s="162">
        <v>167.518</v>
      </c>
      <c r="P56" s="162">
        <v>3598.4520000000002</v>
      </c>
      <c r="Q56" s="162">
        <v>10197.428639724851</v>
      </c>
      <c r="R56" s="162">
        <v>10612.42696556597</v>
      </c>
    </row>
    <row r="57" spans="1:36">
      <c r="A57" t="s">
        <v>178</v>
      </c>
      <c r="B57" s="159">
        <v>2022</v>
      </c>
      <c r="C57" s="161">
        <v>6212.3389999999999</v>
      </c>
      <c r="D57" s="161">
        <v>4606.8590000000004</v>
      </c>
      <c r="E57" s="161">
        <v>2196.9589999999998</v>
      </c>
      <c r="F57" s="161">
        <v>4289.7290000000003</v>
      </c>
      <c r="G57" s="161">
        <v>77.534000000000006</v>
      </c>
      <c r="H57" s="161">
        <v>-1048.549</v>
      </c>
      <c r="I57" s="161">
        <v>2594.8567280022899</v>
      </c>
      <c r="J57" s="161">
        <v>13016.156999999999</v>
      </c>
      <c r="K57" s="161">
        <v>23298.063999999998</v>
      </c>
      <c r="L57" s="162">
        <v>2700.703</v>
      </c>
      <c r="M57" s="162">
        <v>3531.4227280022901</v>
      </c>
      <c r="N57" s="162">
        <v>3496.8159999999998</v>
      </c>
      <c r="O57" s="162">
        <v>190.148</v>
      </c>
      <c r="P57" s="162">
        <v>3686.9639999999999</v>
      </c>
      <c r="Q57" s="162">
        <v>9919.0897280022891</v>
      </c>
      <c r="R57" s="162">
        <v>10322.760670591975</v>
      </c>
    </row>
    <row r="58" spans="1:36" ht="15" customHeight="1">
      <c r="A58" t="s">
        <v>178</v>
      </c>
      <c r="B58" s="159">
        <v>2023</v>
      </c>
      <c r="C58" s="161">
        <v>3808.3399162672658</v>
      </c>
      <c r="D58" s="161">
        <v>4553.1278214938884</v>
      </c>
      <c r="E58" s="161">
        <v>2052.7541818603486</v>
      </c>
      <c r="F58" s="161">
        <v>4211.8817870448211</v>
      </c>
      <c r="G58" s="161">
        <v>113.09941366547338</v>
      </c>
      <c r="H58" s="161">
        <v>-1454.3023333332967</v>
      </c>
      <c r="I58" s="161">
        <v>2998.710015200631</v>
      </c>
      <c r="J58" s="161">
        <v>10414.221919621505</v>
      </c>
      <c r="K58" s="161">
        <v>13915.526764689019</v>
      </c>
      <c r="L58" s="162">
        <v>2700.703</v>
      </c>
      <c r="M58" s="162">
        <v>3531.4227280022901</v>
      </c>
      <c r="N58" s="162">
        <v>3642.9729549759313</v>
      </c>
      <c r="O58" s="162">
        <v>188.00080642999279</v>
      </c>
      <c r="P58" s="162">
        <v>3830.9737614059241</v>
      </c>
      <c r="Q58" s="162">
        <v>10063.099489408214</v>
      </c>
      <c r="R58" s="162">
        <v>10472.63110648749</v>
      </c>
    </row>
    <row r="59" spans="1:36">
      <c r="A59" t="s">
        <v>179</v>
      </c>
      <c r="B59" s="157">
        <v>2005</v>
      </c>
      <c r="C59" s="158">
        <v>35.670999999999999</v>
      </c>
      <c r="D59" s="158">
        <v>2382.8130000000001</v>
      </c>
      <c r="E59" s="158">
        <v>0</v>
      </c>
      <c r="F59" s="158">
        <v>0</v>
      </c>
      <c r="G59" s="158">
        <v>3.2959999999999998</v>
      </c>
      <c r="H59" s="158">
        <v>0</v>
      </c>
      <c r="I59" s="158">
        <v>53.71</v>
      </c>
      <c r="J59" s="158">
        <v>2418.4839999999999</v>
      </c>
      <c r="K59" s="158">
        <v>2475.4899999999998</v>
      </c>
      <c r="L59" s="151">
        <v>320.37299999999999</v>
      </c>
      <c r="M59" s="151">
        <v>531.15899999999999</v>
      </c>
      <c r="N59" s="151">
        <v>982.46799999999996</v>
      </c>
      <c r="O59" s="151">
        <v>0</v>
      </c>
      <c r="P59" s="151">
        <v>982.46799999999996</v>
      </c>
      <c r="Q59" s="151">
        <v>1834</v>
      </c>
      <c r="R59" s="151">
        <v>1854.9163529599173</v>
      </c>
    </row>
    <row r="60" spans="1:36">
      <c r="A60" t="s">
        <v>179</v>
      </c>
      <c r="B60" s="157">
        <v>2006</v>
      </c>
      <c r="C60" s="158">
        <v>38.81</v>
      </c>
      <c r="D60" s="158">
        <v>2478.3040000000001</v>
      </c>
      <c r="E60" s="158">
        <v>0</v>
      </c>
      <c r="F60" s="158">
        <v>0</v>
      </c>
      <c r="G60" s="158">
        <v>1.744</v>
      </c>
      <c r="H60" s="158">
        <v>0</v>
      </c>
      <c r="I60" s="158">
        <v>55.848999999999997</v>
      </c>
      <c r="J60" s="158">
        <v>2517.114</v>
      </c>
      <c r="K60" s="158">
        <v>2574.7070000000003</v>
      </c>
      <c r="L60" s="151">
        <v>286.12</v>
      </c>
      <c r="M60" s="151">
        <v>589.61900000000003</v>
      </c>
      <c r="N60" s="151">
        <v>989.48800000000006</v>
      </c>
      <c r="O60" s="151">
        <v>0</v>
      </c>
      <c r="P60" s="151">
        <v>989.48800000000006</v>
      </c>
      <c r="Q60" s="151">
        <v>1865.2270000000003</v>
      </c>
      <c r="R60" s="151">
        <v>1886.4994897940937</v>
      </c>
    </row>
    <row r="61" spans="1:36">
      <c r="A61" t="s">
        <v>179</v>
      </c>
      <c r="B61" s="157">
        <v>2007</v>
      </c>
      <c r="C61" s="158">
        <v>33.314999999999998</v>
      </c>
      <c r="D61" s="158">
        <v>2590.6179999999999</v>
      </c>
      <c r="E61" s="158">
        <v>0</v>
      </c>
      <c r="F61" s="158">
        <v>0</v>
      </c>
      <c r="G61" s="158">
        <v>6.8789999999999996</v>
      </c>
      <c r="H61" s="158">
        <v>0</v>
      </c>
      <c r="I61" s="158">
        <v>72.985038693035193</v>
      </c>
      <c r="J61" s="158">
        <v>2623.933</v>
      </c>
      <c r="K61" s="158">
        <v>2703.7970386930351</v>
      </c>
      <c r="L61" s="151">
        <v>294.96699999999998</v>
      </c>
      <c r="M61" s="151">
        <v>611.21403900000007</v>
      </c>
      <c r="N61" s="151">
        <v>1020.8579999999999</v>
      </c>
      <c r="O61" s="151">
        <v>0.88400000000000001</v>
      </c>
      <c r="P61" s="151">
        <v>1021.742</v>
      </c>
      <c r="Q61" s="151">
        <v>1927.9230389999998</v>
      </c>
      <c r="R61" s="151">
        <v>1949.9105628622028</v>
      </c>
    </row>
    <row r="62" spans="1:36">
      <c r="A62" t="s">
        <v>179</v>
      </c>
      <c r="B62" s="157">
        <v>2008</v>
      </c>
      <c r="C62" s="158">
        <v>28.068999999999999</v>
      </c>
      <c r="D62" s="158">
        <v>2720.2919999999999</v>
      </c>
      <c r="E62" s="158">
        <v>0</v>
      </c>
      <c r="F62" s="158">
        <v>0</v>
      </c>
      <c r="G62" s="158">
        <v>5.7080000000000002</v>
      </c>
      <c r="H62" s="158">
        <v>0</v>
      </c>
      <c r="I62" s="158">
        <v>98.392269513709707</v>
      </c>
      <c r="J62" s="158">
        <v>2748.3609999999999</v>
      </c>
      <c r="K62" s="158">
        <v>2852.4612695137098</v>
      </c>
      <c r="L62" s="151">
        <v>297.13200000000001</v>
      </c>
      <c r="M62" s="151">
        <v>629.19227000000001</v>
      </c>
      <c r="N62" s="151">
        <v>1034.694</v>
      </c>
      <c r="O62" s="151">
        <v>14.14</v>
      </c>
      <c r="P62" s="151">
        <v>1048.8340000000001</v>
      </c>
      <c r="Q62" s="151">
        <v>1975.1582700000001</v>
      </c>
      <c r="R62" s="151">
        <v>1997.6845009307631</v>
      </c>
    </row>
    <row r="63" spans="1:36">
      <c r="A63" t="s">
        <v>179</v>
      </c>
      <c r="B63" s="157">
        <v>2009</v>
      </c>
      <c r="C63" s="158">
        <v>14.558999999999999</v>
      </c>
      <c r="D63" s="158">
        <v>2642.2179999999998</v>
      </c>
      <c r="E63" s="158">
        <v>0</v>
      </c>
      <c r="F63" s="158">
        <v>0</v>
      </c>
      <c r="G63" s="158">
        <v>6.5919999999999996</v>
      </c>
      <c r="H63" s="158">
        <v>0</v>
      </c>
      <c r="I63" s="158">
        <v>106.02573115505901</v>
      </c>
      <c r="J63" s="158">
        <v>2656.777</v>
      </c>
      <c r="K63" s="158">
        <v>2769.3947311550592</v>
      </c>
      <c r="L63" s="151">
        <v>261.12900000000002</v>
      </c>
      <c r="M63" s="151">
        <v>650.84273115505903</v>
      </c>
      <c r="N63" s="151">
        <v>1013.6239999999999</v>
      </c>
      <c r="O63" s="151">
        <v>15.023</v>
      </c>
      <c r="P63" s="151">
        <v>1028.6469999999999</v>
      </c>
      <c r="Q63" s="151">
        <v>1940.6187311550589</v>
      </c>
      <c r="R63" s="151">
        <v>1962.7510464993695</v>
      </c>
    </row>
    <row r="64" spans="1:36">
      <c r="A64" t="s">
        <v>179</v>
      </c>
      <c r="B64" s="157">
        <v>2010</v>
      </c>
      <c r="C64" s="158">
        <v>16.779</v>
      </c>
      <c r="D64" s="158">
        <v>2541.8780000000002</v>
      </c>
      <c r="E64" s="158">
        <v>0</v>
      </c>
      <c r="F64" s="158">
        <v>0</v>
      </c>
      <c r="G64" s="158">
        <v>7.141</v>
      </c>
      <c r="H64" s="158">
        <v>0</v>
      </c>
      <c r="I64" s="158">
        <v>108.68069313079199</v>
      </c>
      <c r="J64" s="158">
        <v>2558.6570000000002</v>
      </c>
      <c r="K64" s="158">
        <v>2674.4786931307922</v>
      </c>
      <c r="L64" s="151">
        <v>236.322</v>
      </c>
      <c r="M64" s="151">
        <v>643.25469313079202</v>
      </c>
      <c r="N64" s="151">
        <v>1034.818</v>
      </c>
      <c r="O64" s="151">
        <v>15.023</v>
      </c>
      <c r="P64" s="151">
        <v>1049.8409999999999</v>
      </c>
      <c r="Q64" s="151">
        <v>1929.417693130792</v>
      </c>
      <c r="R64" s="151">
        <v>1951.4222631834816</v>
      </c>
    </row>
    <row r="65" spans="1:18">
      <c r="A65" t="s">
        <v>179</v>
      </c>
      <c r="B65" s="157">
        <v>2011</v>
      </c>
      <c r="C65" s="158">
        <v>7.46</v>
      </c>
      <c r="D65" s="158">
        <v>2512.9929999999999</v>
      </c>
      <c r="E65" s="158">
        <v>0</v>
      </c>
      <c r="F65" s="158">
        <v>0</v>
      </c>
      <c r="G65" s="158">
        <v>9.6000000000000002E-2</v>
      </c>
      <c r="H65" s="158">
        <v>0</v>
      </c>
      <c r="I65" s="158">
        <v>124.73207805483899</v>
      </c>
      <c r="J65" s="158">
        <v>2520.453</v>
      </c>
      <c r="K65" s="158">
        <v>2645.2810780548389</v>
      </c>
      <c r="L65" s="151">
        <v>210.304</v>
      </c>
      <c r="M65" s="151">
        <v>658.54307805483904</v>
      </c>
      <c r="N65" s="151">
        <v>1038.0810000000001</v>
      </c>
      <c r="O65" s="151">
        <v>15.907</v>
      </c>
      <c r="P65" s="151">
        <v>1053.9880000000001</v>
      </c>
      <c r="Q65" s="151">
        <v>1922.8350780548392</v>
      </c>
      <c r="R65" s="151">
        <v>1944.764574879433</v>
      </c>
    </row>
    <row r="66" spans="1:18">
      <c r="A66" t="s">
        <v>179</v>
      </c>
      <c r="B66" s="157">
        <v>2012</v>
      </c>
      <c r="C66" s="158">
        <v>0.124</v>
      </c>
      <c r="D66" s="158">
        <v>2364.7420000000002</v>
      </c>
      <c r="E66" s="158">
        <v>0</v>
      </c>
      <c r="F66" s="158">
        <v>0</v>
      </c>
      <c r="G66" s="158">
        <v>0.57299999999999995</v>
      </c>
      <c r="H66" s="158">
        <v>0</v>
      </c>
      <c r="I66" s="158">
        <v>134.226155440909</v>
      </c>
      <c r="J66" s="158">
        <v>2364.866</v>
      </c>
      <c r="K66" s="158">
        <v>2499.6651554409091</v>
      </c>
      <c r="L66" s="151">
        <v>173.464</v>
      </c>
      <c r="M66" s="151">
        <v>629.91415544090898</v>
      </c>
      <c r="N66" s="151">
        <v>950.10799999999995</v>
      </c>
      <c r="O66" s="151">
        <v>15.907</v>
      </c>
      <c r="P66" s="151">
        <v>966.01499999999999</v>
      </c>
      <c r="Q66" s="151">
        <v>1769.3931554409091</v>
      </c>
      <c r="R66" s="151">
        <v>1789.5726820298207</v>
      </c>
    </row>
    <row r="67" spans="1:18">
      <c r="A67" t="s">
        <v>179</v>
      </c>
      <c r="B67" s="159">
        <v>2013</v>
      </c>
      <c r="C67" s="161">
        <v>0.124</v>
      </c>
      <c r="D67" s="161">
        <v>2035.6389999999999</v>
      </c>
      <c r="E67" s="161">
        <v>0</v>
      </c>
      <c r="F67" s="161">
        <v>0</v>
      </c>
      <c r="G67" s="161">
        <v>1.075</v>
      </c>
      <c r="H67" s="161">
        <v>0</v>
      </c>
      <c r="I67" s="161">
        <v>138.287155440909</v>
      </c>
      <c r="J67" s="161">
        <v>2035.7629999999999</v>
      </c>
      <c r="K67" s="161">
        <v>2175.1251554409091</v>
      </c>
      <c r="L67" s="162">
        <v>186.089</v>
      </c>
      <c r="M67" s="162">
        <v>564.94915544090895</v>
      </c>
      <c r="N67" s="162">
        <v>852.44100000000003</v>
      </c>
      <c r="O67" s="162">
        <v>15.023</v>
      </c>
      <c r="P67" s="162">
        <v>867.46400000000006</v>
      </c>
      <c r="Q67" s="162">
        <v>1618.5021554409091</v>
      </c>
      <c r="R67" s="162">
        <v>1636.9608044864863</v>
      </c>
    </row>
    <row r="68" spans="1:18">
      <c r="A68" t="s">
        <v>179</v>
      </c>
      <c r="B68" s="159">
        <v>2014</v>
      </c>
      <c r="C68" s="161">
        <v>2.218</v>
      </c>
      <c r="D68" s="161">
        <v>2076.4670000000001</v>
      </c>
      <c r="E68" s="161">
        <v>0</v>
      </c>
      <c r="F68" s="161">
        <v>0</v>
      </c>
      <c r="G68" s="161">
        <v>7.548</v>
      </c>
      <c r="H68" s="161">
        <v>0</v>
      </c>
      <c r="I68" s="161">
        <v>134.868501671921</v>
      </c>
      <c r="J68" s="161">
        <v>2078.6849999999999</v>
      </c>
      <c r="K68" s="161">
        <v>2175.1251554409091</v>
      </c>
      <c r="L68" s="162">
        <v>225.53899999999999</v>
      </c>
      <c r="M68" s="162">
        <v>550.71350167192099</v>
      </c>
      <c r="N68" s="162">
        <v>833.13599999999997</v>
      </c>
      <c r="O68" s="162">
        <v>9.7210000000000001</v>
      </c>
      <c r="P68" s="162">
        <v>842.85699999999997</v>
      </c>
      <c r="Q68" s="162">
        <v>1619.109501671921</v>
      </c>
      <c r="R68" s="162">
        <v>1637.5750773631562</v>
      </c>
    </row>
    <row r="69" spans="1:18">
      <c r="A69" t="s">
        <v>179</v>
      </c>
      <c r="B69" s="159">
        <v>2015</v>
      </c>
      <c r="C69" s="161">
        <v>3.6789999999999998</v>
      </c>
      <c r="D69" s="161">
        <v>2103.9989999999998</v>
      </c>
      <c r="E69" s="161">
        <v>0</v>
      </c>
      <c r="F69" s="161">
        <v>0</v>
      </c>
      <c r="G69" s="161">
        <v>12.324</v>
      </c>
      <c r="H69" s="161">
        <v>0</v>
      </c>
      <c r="I69" s="161">
        <v>154.405501671921</v>
      </c>
      <c r="J69" s="161">
        <v>2107.6779999999999</v>
      </c>
      <c r="K69" s="161">
        <v>2175.1251554409091</v>
      </c>
      <c r="L69" s="162">
        <v>211.59200000000001</v>
      </c>
      <c r="M69" s="162">
        <v>588.82950167192098</v>
      </c>
      <c r="N69" s="162">
        <v>857.649</v>
      </c>
      <c r="O69" s="162">
        <v>9.7210000000000001</v>
      </c>
      <c r="P69" s="162">
        <v>867.37</v>
      </c>
      <c r="Q69" s="162">
        <v>1667.791501671921</v>
      </c>
      <c r="R69" s="162">
        <v>1686.8122845031751</v>
      </c>
    </row>
    <row r="70" spans="1:18">
      <c r="A70" t="s">
        <v>179</v>
      </c>
      <c r="B70" s="159">
        <v>2016</v>
      </c>
      <c r="C70" s="161">
        <v>0</v>
      </c>
      <c r="D70" s="161">
        <v>2248.2330000000002</v>
      </c>
      <c r="E70" s="161">
        <v>0</v>
      </c>
      <c r="F70" s="161">
        <v>0</v>
      </c>
      <c r="G70" s="161">
        <v>15.835000000000001</v>
      </c>
      <c r="H70" s="161">
        <v>0</v>
      </c>
      <c r="I70" s="161">
        <v>160.602501671921</v>
      </c>
      <c r="J70" s="161">
        <v>2248.2330000000002</v>
      </c>
      <c r="K70" s="161">
        <v>2175.1251554409091</v>
      </c>
      <c r="L70" s="162">
        <v>215.369</v>
      </c>
      <c r="M70" s="162">
        <v>615.53750167192095</v>
      </c>
      <c r="N70" s="162">
        <v>926.33100000000002</v>
      </c>
      <c r="O70" s="162">
        <v>8.8369999999999997</v>
      </c>
      <c r="P70" s="162">
        <v>935.16800000000001</v>
      </c>
      <c r="Q70" s="162">
        <v>1766.0745016719211</v>
      </c>
      <c r="R70" s="162">
        <v>1786.2161797692384</v>
      </c>
    </row>
    <row r="71" spans="1:18">
      <c r="A71" t="s">
        <v>179</v>
      </c>
      <c r="B71" s="159">
        <v>2017</v>
      </c>
      <c r="C71" s="161">
        <v>2.98</v>
      </c>
      <c r="D71" s="161">
        <v>2331.5529999999999</v>
      </c>
      <c r="E71" s="161">
        <v>0</v>
      </c>
      <c r="F71" s="161">
        <v>0</v>
      </c>
      <c r="G71" s="161">
        <v>21.553000000000001</v>
      </c>
      <c r="H71" s="161">
        <v>0</v>
      </c>
      <c r="I71" s="161">
        <v>177.13950797745301</v>
      </c>
      <c r="J71" s="161">
        <v>2334.5329999999999</v>
      </c>
      <c r="K71" s="161">
        <v>2175.1251554409091</v>
      </c>
      <c r="L71" s="162">
        <v>234.2</v>
      </c>
      <c r="M71" s="162">
        <v>634.64050797745301</v>
      </c>
      <c r="N71" s="162">
        <v>986.26699999999994</v>
      </c>
      <c r="O71" s="162">
        <v>8.57</v>
      </c>
      <c r="P71" s="162">
        <v>994.83699999999999</v>
      </c>
      <c r="Q71" s="162">
        <v>1863.6775079774529</v>
      </c>
      <c r="R71" s="162">
        <v>1884.932326167374</v>
      </c>
    </row>
    <row r="72" spans="1:18">
      <c r="A72" t="s">
        <v>179</v>
      </c>
      <c r="B72" s="159">
        <v>2018</v>
      </c>
      <c r="C72" s="161">
        <v>13.614000000000001</v>
      </c>
      <c r="D72" s="161">
        <v>2319.4589999999998</v>
      </c>
      <c r="E72" s="161">
        <v>0</v>
      </c>
      <c r="F72" s="161">
        <v>0</v>
      </c>
      <c r="G72" s="161">
        <v>22.969000000000001</v>
      </c>
      <c r="H72" s="161">
        <v>0</v>
      </c>
      <c r="I72" s="161">
        <v>190.678596923664</v>
      </c>
      <c r="J72" s="161">
        <v>2333.0729999999999</v>
      </c>
      <c r="K72" s="161">
        <v>2175.1251554409091</v>
      </c>
      <c r="L72" s="162">
        <v>227.68799999999999</v>
      </c>
      <c r="M72" s="162">
        <v>621.17059692366399</v>
      </c>
      <c r="N72" s="162">
        <v>1000.486</v>
      </c>
      <c r="O72" s="162">
        <v>8.9499999999999993</v>
      </c>
      <c r="P72" s="162">
        <v>1009.436</v>
      </c>
      <c r="Q72" s="162">
        <v>1858.2945969236639</v>
      </c>
      <c r="R72" s="162">
        <v>1879.4880242370566</v>
      </c>
    </row>
    <row r="73" spans="1:18">
      <c r="A73" t="s">
        <v>179</v>
      </c>
      <c r="B73" s="159">
        <v>2019</v>
      </c>
      <c r="C73" s="161">
        <v>17.199000000000002</v>
      </c>
      <c r="D73" s="161">
        <v>2291.9949999999999</v>
      </c>
      <c r="E73" s="161">
        <v>0</v>
      </c>
      <c r="F73" s="161">
        <v>0</v>
      </c>
      <c r="G73" s="161">
        <v>30.786000000000001</v>
      </c>
      <c r="H73" s="161">
        <v>0</v>
      </c>
      <c r="I73" s="161">
        <v>195.462803668672</v>
      </c>
      <c r="J73" s="161">
        <v>2309.194</v>
      </c>
      <c r="K73" s="161">
        <v>2175.1251554409091</v>
      </c>
      <c r="L73" s="162">
        <v>228.648</v>
      </c>
      <c r="M73" s="162">
        <v>654.88980366867202</v>
      </c>
      <c r="N73" s="162">
        <v>992.48899999999992</v>
      </c>
      <c r="O73" s="162">
        <v>10.739000000000001</v>
      </c>
      <c r="P73" s="162">
        <v>1003.228</v>
      </c>
      <c r="Q73" s="162">
        <v>1886.7658036686721</v>
      </c>
      <c r="R73" s="162">
        <v>1908.2839386208182</v>
      </c>
    </row>
    <row r="74" spans="1:18">
      <c r="A74" t="s">
        <v>179</v>
      </c>
      <c r="B74" s="159">
        <v>2020</v>
      </c>
      <c r="C74" s="161">
        <v>14.004</v>
      </c>
      <c r="D74" s="161">
        <v>1919.356</v>
      </c>
      <c r="E74" s="161">
        <v>0</v>
      </c>
      <c r="F74" s="161">
        <v>0</v>
      </c>
      <c r="G74" s="161">
        <v>34.802</v>
      </c>
      <c r="H74" s="161">
        <v>0</v>
      </c>
      <c r="I74" s="161">
        <v>229.67961536256701</v>
      </c>
      <c r="J74" s="161">
        <v>1933.36</v>
      </c>
      <c r="K74" s="161">
        <v>2175.1251554409091</v>
      </c>
      <c r="L74" s="162">
        <v>244.584</v>
      </c>
      <c r="M74" s="162">
        <v>615.42161536256697</v>
      </c>
      <c r="N74" s="162">
        <v>688.00800000000004</v>
      </c>
      <c r="O74" s="162">
        <v>24.738</v>
      </c>
      <c r="P74" s="162">
        <v>712.74599999999998</v>
      </c>
      <c r="Q74" s="162">
        <v>1572.751615362567</v>
      </c>
      <c r="R74" s="162">
        <v>1590.6884899019362</v>
      </c>
    </row>
    <row r="75" spans="1:18">
      <c r="A75" t="s">
        <v>179</v>
      </c>
      <c r="B75" s="159">
        <v>2021</v>
      </c>
      <c r="C75" s="161">
        <v>40.104999999999997</v>
      </c>
      <c r="D75" s="161">
        <v>1983.5050000000001</v>
      </c>
      <c r="E75" s="161">
        <v>0</v>
      </c>
      <c r="F75" s="161">
        <v>0</v>
      </c>
      <c r="G75" s="161">
        <v>40.420999999999999</v>
      </c>
      <c r="H75" s="161">
        <v>0</v>
      </c>
      <c r="I75" s="161">
        <v>247.67363905607999</v>
      </c>
      <c r="J75" s="161">
        <v>2023.6100000000001</v>
      </c>
      <c r="K75" s="161">
        <v>2175.1251554409091</v>
      </c>
      <c r="L75" s="162">
        <v>246.34399999999999</v>
      </c>
      <c r="M75" s="162">
        <v>627.25163905607997</v>
      </c>
      <c r="N75" s="162">
        <v>794.91499999999996</v>
      </c>
      <c r="O75" s="162">
        <v>24.369</v>
      </c>
      <c r="P75" s="162">
        <v>819.28399999999999</v>
      </c>
      <c r="Q75" s="162">
        <v>1692.8796390560799</v>
      </c>
      <c r="R75" s="162">
        <v>1712.1865463893155</v>
      </c>
    </row>
    <row r="76" spans="1:18">
      <c r="A76" t="s">
        <v>179</v>
      </c>
      <c r="B76" s="159">
        <v>2022</v>
      </c>
      <c r="C76" s="161">
        <v>30.593</v>
      </c>
      <c r="D76" s="161">
        <v>2149.279</v>
      </c>
      <c r="E76" s="161">
        <v>0</v>
      </c>
      <c r="F76" s="161">
        <v>0</v>
      </c>
      <c r="G76" s="161">
        <v>46.52</v>
      </c>
      <c r="H76" s="161">
        <v>0</v>
      </c>
      <c r="I76" s="161">
        <v>255.84669122002401</v>
      </c>
      <c r="J76" s="161">
        <v>2179.8719999999998</v>
      </c>
      <c r="K76" s="161">
        <v>2175.1251554409091</v>
      </c>
      <c r="L76" s="162">
        <v>248.447</v>
      </c>
      <c r="M76" s="162">
        <v>656.34869122002397</v>
      </c>
      <c r="N76" s="162">
        <v>895.56299999999999</v>
      </c>
      <c r="O76" s="162">
        <v>23.273</v>
      </c>
      <c r="P76" s="162">
        <v>918.83600000000001</v>
      </c>
      <c r="Q76" s="162">
        <v>1823.6316912200239</v>
      </c>
      <c r="R76" s="162">
        <v>1844.4297959759938</v>
      </c>
    </row>
    <row r="77" spans="1:18">
      <c r="A77" t="s">
        <v>179</v>
      </c>
      <c r="B77" s="159">
        <v>2023</v>
      </c>
      <c r="C77" s="161">
        <v>27.849758979223981</v>
      </c>
      <c r="D77" s="161">
        <v>2144.9961325888007</v>
      </c>
      <c r="E77" s="161">
        <v>0</v>
      </c>
      <c r="F77" s="161">
        <v>0</v>
      </c>
      <c r="G77" s="161">
        <v>52.120699999999488</v>
      </c>
      <c r="H77" s="161">
        <v>0</v>
      </c>
      <c r="I77" s="161">
        <v>278.63237644024048</v>
      </c>
      <c r="J77" s="161">
        <v>2172.8458915680249</v>
      </c>
      <c r="K77" s="161">
        <v>2503.5989680082648</v>
      </c>
      <c r="L77" s="162">
        <v>256.90639999999985</v>
      </c>
      <c r="M77" s="162">
        <v>656.34869122002397</v>
      </c>
      <c r="N77" s="162">
        <v>898.54527569817583</v>
      </c>
      <c r="O77" s="162">
        <v>21.44751577941879</v>
      </c>
      <c r="P77" s="162">
        <v>919.99279147759466</v>
      </c>
      <c r="Q77" s="162">
        <v>1833.2478826976185</v>
      </c>
      <c r="R77" s="162">
        <v>1854.1556579307287</v>
      </c>
    </row>
    <row r="78" spans="1:18">
      <c r="A78" t="s">
        <v>180</v>
      </c>
      <c r="B78" s="157">
        <v>2005</v>
      </c>
      <c r="C78" s="158">
        <v>19943.041000000001</v>
      </c>
      <c r="D78" s="158">
        <v>7239.6949999999997</v>
      </c>
      <c r="E78" s="158">
        <v>7703.4390000000003</v>
      </c>
      <c r="F78" s="158">
        <v>6457.2079999999996</v>
      </c>
      <c r="G78" s="158">
        <v>171.94499999999999</v>
      </c>
      <c r="H78" s="158">
        <v>-1086.328</v>
      </c>
      <c r="I78" s="158">
        <v>2087.2686509028399</v>
      </c>
      <c r="J78" s="158">
        <v>34886.175000000003</v>
      </c>
      <c r="K78" s="158">
        <v>42516.268650902843</v>
      </c>
      <c r="L78" s="151">
        <v>8685.3690000000006</v>
      </c>
      <c r="M78" s="151">
        <v>11400.8546509028</v>
      </c>
      <c r="N78" s="151">
        <v>6059.6580000000004</v>
      </c>
      <c r="O78" s="151">
        <v>2.6509999999999998</v>
      </c>
      <c r="P78" s="151">
        <v>6062.3090000000002</v>
      </c>
      <c r="Q78" s="151">
        <v>26148.532650902802</v>
      </c>
      <c r="R78" s="151">
        <v>26729.444502483053</v>
      </c>
    </row>
    <row r="79" spans="1:18">
      <c r="A79" t="s">
        <v>180</v>
      </c>
      <c r="B79" s="157">
        <v>2006</v>
      </c>
      <c r="C79" s="158">
        <v>20570.131000000001</v>
      </c>
      <c r="D79" s="158">
        <v>7241.6859999999997</v>
      </c>
      <c r="E79" s="158">
        <v>7593.53</v>
      </c>
      <c r="F79" s="158">
        <v>6795.3280000000004</v>
      </c>
      <c r="G79" s="158">
        <v>162.34399999999999</v>
      </c>
      <c r="H79" s="158">
        <v>-1086.0709999999999</v>
      </c>
      <c r="I79" s="158">
        <v>2213.0930672589998</v>
      </c>
      <c r="J79" s="158">
        <v>35405.347000000002</v>
      </c>
      <c r="K79" s="158">
        <v>43490.041067259001</v>
      </c>
      <c r="L79" s="151">
        <v>8627.3209999999999</v>
      </c>
      <c r="M79" s="151">
        <v>11614.833067259</v>
      </c>
      <c r="N79" s="151">
        <v>6281.3249999999998</v>
      </c>
      <c r="O79" s="151">
        <v>18.081</v>
      </c>
      <c r="P79" s="151">
        <v>6299.4059999999999</v>
      </c>
      <c r="Q79" s="151">
        <v>26541.560067259001</v>
      </c>
      <c r="R79" s="151">
        <v>27131.203356553382</v>
      </c>
    </row>
    <row r="80" spans="1:18">
      <c r="A80" t="s">
        <v>180</v>
      </c>
      <c r="B80" s="157">
        <v>2007</v>
      </c>
      <c r="C80" s="158">
        <v>20928.385999999999</v>
      </c>
      <c r="D80" s="158">
        <v>7547.4269999999997</v>
      </c>
      <c r="E80" s="158">
        <v>7238.65</v>
      </c>
      <c r="F80" s="158">
        <v>6823.03</v>
      </c>
      <c r="G80" s="158">
        <v>187.494</v>
      </c>
      <c r="H80" s="158">
        <v>-1388.9079999999999</v>
      </c>
      <c r="I80" s="158">
        <v>2319.9437083213902</v>
      </c>
      <c r="J80" s="158">
        <v>35714.462999999996</v>
      </c>
      <c r="K80" s="158">
        <v>43656.022708321383</v>
      </c>
      <c r="L80" s="151">
        <v>8303.8979999999992</v>
      </c>
      <c r="M80" s="151">
        <v>11141.2028984427</v>
      </c>
      <c r="N80" s="151">
        <v>6605.8810000000003</v>
      </c>
      <c r="O80" s="151">
        <v>30.047000000000001</v>
      </c>
      <c r="P80" s="151">
        <v>6635.9279999999999</v>
      </c>
      <c r="Q80" s="151">
        <v>26081.028898442699</v>
      </c>
      <c r="R80" s="151">
        <v>26660.441096854884</v>
      </c>
    </row>
    <row r="81" spans="1:18">
      <c r="A81" t="s">
        <v>180</v>
      </c>
      <c r="B81" s="157">
        <v>2008</v>
      </c>
      <c r="C81" s="158">
        <v>19340.726999999999</v>
      </c>
      <c r="D81" s="158">
        <v>7458.1840000000002</v>
      </c>
      <c r="E81" s="158">
        <v>7077.2349999999997</v>
      </c>
      <c r="F81" s="158">
        <v>6918.4290000000001</v>
      </c>
      <c r="G81" s="158">
        <v>190.48</v>
      </c>
      <c r="H81" s="158">
        <v>-986.15599999999995</v>
      </c>
      <c r="I81" s="158">
        <v>2518.5065836438298</v>
      </c>
      <c r="J81" s="158">
        <v>33876.146000000001</v>
      </c>
      <c r="K81" s="158">
        <v>42517.405583643827</v>
      </c>
      <c r="L81" s="151">
        <v>7946.5230000000001</v>
      </c>
      <c r="M81" s="151">
        <v>11303.0127350721</v>
      </c>
      <c r="N81" s="151">
        <v>6570.8559999999998</v>
      </c>
      <c r="O81" s="151">
        <v>109.941</v>
      </c>
      <c r="P81" s="151">
        <v>6680.7969999999996</v>
      </c>
      <c r="Q81" s="151">
        <v>25930.332735072101</v>
      </c>
      <c r="R81" s="151">
        <v>26506.397090281822</v>
      </c>
    </row>
    <row r="82" spans="1:18">
      <c r="A82" t="s">
        <v>180</v>
      </c>
      <c r="B82" s="157">
        <v>2009</v>
      </c>
      <c r="C82" s="158">
        <v>17369.66</v>
      </c>
      <c r="D82" s="158">
        <v>7200.8829999999998</v>
      </c>
      <c r="E82" s="158">
        <v>6745.2920000000004</v>
      </c>
      <c r="F82" s="158">
        <v>6975.3509999999997</v>
      </c>
      <c r="G82" s="158">
        <v>196.905</v>
      </c>
      <c r="H82" s="158">
        <v>-1173.173</v>
      </c>
      <c r="I82" s="158">
        <v>2842.7156117321101</v>
      </c>
      <c r="J82" s="158">
        <v>31315.834999999999</v>
      </c>
      <c r="K82" s="158">
        <v>40157.633611732104</v>
      </c>
      <c r="L82" s="151">
        <v>7355.3630000000003</v>
      </c>
      <c r="M82" s="151">
        <v>11026.9346477501</v>
      </c>
      <c r="N82" s="151">
        <v>6366.3130000000001</v>
      </c>
      <c r="O82" s="151">
        <v>194.779</v>
      </c>
      <c r="P82" s="151">
        <v>6561.0919999999996</v>
      </c>
      <c r="Q82" s="151">
        <v>24943.3896477501</v>
      </c>
      <c r="R82" s="151">
        <v>25497.528224411759</v>
      </c>
    </row>
    <row r="83" spans="1:18">
      <c r="A83" t="s">
        <v>180</v>
      </c>
      <c r="B83" s="157">
        <v>2010</v>
      </c>
      <c r="C83" s="158">
        <v>18508.439999999999</v>
      </c>
      <c r="D83" s="158">
        <v>6849.5709999999999</v>
      </c>
      <c r="E83" s="158">
        <v>7978.9340000000002</v>
      </c>
      <c r="F83" s="158">
        <v>7160.3950000000004</v>
      </c>
      <c r="G83" s="158">
        <v>200.822</v>
      </c>
      <c r="H83" s="158">
        <v>-1285.297</v>
      </c>
      <c r="I83" s="158">
        <v>3129.77750578007</v>
      </c>
      <c r="J83" s="158">
        <v>33336.945</v>
      </c>
      <c r="K83" s="158">
        <v>42542.642505780066</v>
      </c>
      <c r="L83" s="151">
        <v>6888.6980000000003</v>
      </c>
      <c r="M83" s="151">
        <v>12135.225657208401</v>
      </c>
      <c r="N83" s="151">
        <v>5998.2219999999998</v>
      </c>
      <c r="O83" s="151">
        <v>231.251</v>
      </c>
      <c r="P83" s="151">
        <v>6229.473</v>
      </c>
      <c r="Q83" s="151">
        <v>25253.396657208403</v>
      </c>
      <c r="R83" s="151">
        <v>25814.42230276496</v>
      </c>
    </row>
    <row r="84" spans="1:18">
      <c r="A84" t="s">
        <v>180</v>
      </c>
      <c r="B84" s="157">
        <v>2011</v>
      </c>
      <c r="C84" s="158">
        <v>17974.857</v>
      </c>
      <c r="D84" s="158">
        <v>6789.88</v>
      </c>
      <c r="E84" s="158">
        <v>6714.1660000000002</v>
      </c>
      <c r="F84" s="158">
        <v>7199.85</v>
      </c>
      <c r="G84" s="158">
        <v>219.929</v>
      </c>
      <c r="H84" s="158">
        <v>-1465.52</v>
      </c>
      <c r="I84" s="158">
        <v>3439.9107089901599</v>
      </c>
      <c r="J84" s="158">
        <v>31478.903000000002</v>
      </c>
      <c r="K84" s="158">
        <v>40873.072708990163</v>
      </c>
      <c r="L84" s="151">
        <v>6771.9880000000003</v>
      </c>
      <c r="M84" s="151">
        <v>11438.8658223942</v>
      </c>
      <c r="N84" s="151">
        <v>5945.7430000000004</v>
      </c>
      <c r="O84" s="151">
        <v>300.11</v>
      </c>
      <c r="P84" s="151">
        <v>6245.8530000000001</v>
      </c>
      <c r="Q84" s="151">
        <v>24456.706822394201</v>
      </c>
      <c r="R84" s="151">
        <v>25000.033326922239</v>
      </c>
    </row>
    <row r="85" spans="1:18">
      <c r="A85" t="s">
        <v>180</v>
      </c>
      <c r="B85" s="157">
        <v>2012</v>
      </c>
      <c r="C85" s="158">
        <v>16921.309000000001</v>
      </c>
      <c r="D85" s="158">
        <v>6587.2569999999996</v>
      </c>
      <c r="E85" s="158">
        <v>6759.1360000000004</v>
      </c>
      <c r="F85" s="158">
        <v>7673.9849999999997</v>
      </c>
      <c r="G85" s="158">
        <v>225.208</v>
      </c>
      <c r="H85" s="158">
        <v>-1472.0550000000001</v>
      </c>
      <c r="I85" s="158">
        <v>3687.03718543995</v>
      </c>
      <c r="J85" s="158">
        <v>30267.701999999997</v>
      </c>
      <c r="K85" s="158">
        <v>40381.877185439946</v>
      </c>
      <c r="L85" s="151">
        <v>6726.299</v>
      </c>
      <c r="M85" s="151">
        <v>11608.494952613</v>
      </c>
      <c r="N85" s="151">
        <v>5807.3330000000005</v>
      </c>
      <c r="O85" s="151">
        <v>275.27</v>
      </c>
      <c r="P85" s="151">
        <v>6082.6030000000001</v>
      </c>
      <c r="Q85" s="151">
        <v>24417.396952613002</v>
      </c>
      <c r="R85" s="151">
        <v>24959.850155011824</v>
      </c>
    </row>
    <row r="86" spans="1:18">
      <c r="A86" t="s">
        <v>180</v>
      </c>
      <c r="B86" s="159">
        <v>2013</v>
      </c>
      <c r="C86" s="161">
        <v>16896.043000000001</v>
      </c>
      <c r="D86" s="161">
        <v>6352.277</v>
      </c>
      <c r="E86" s="161">
        <v>6853.848</v>
      </c>
      <c r="F86" s="161">
        <v>7758.5209999999997</v>
      </c>
      <c r="G86" s="161">
        <v>216.29900000000001</v>
      </c>
      <c r="H86" s="161">
        <v>-1452.021</v>
      </c>
      <c r="I86" s="161">
        <v>4048.5647252316799</v>
      </c>
      <c r="J86" s="161">
        <v>30102.167999999998</v>
      </c>
      <c r="K86" s="161">
        <v>40673.531725231674</v>
      </c>
      <c r="L86" s="162">
        <v>6426.7439999999997</v>
      </c>
      <c r="M86" s="162">
        <v>11767.451761918401</v>
      </c>
      <c r="N86" s="162">
        <v>5744.9439999999995</v>
      </c>
      <c r="O86" s="162">
        <v>277.10899999999998</v>
      </c>
      <c r="P86" s="162">
        <v>6022.0529999999999</v>
      </c>
      <c r="Q86" s="162">
        <v>24216.248761918399</v>
      </c>
      <c r="R86" s="162">
        <v>24754.233286496616</v>
      </c>
    </row>
    <row r="87" spans="1:18">
      <c r="A87" t="s">
        <v>180</v>
      </c>
      <c r="B87" s="159">
        <v>2014</v>
      </c>
      <c r="C87" s="161">
        <v>15610.630999999999</v>
      </c>
      <c r="D87" s="161">
        <v>6629.4780000000001</v>
      </c>
      <c r="E87" s="161">
        <v>6087.5969999999998</v>
      </c>
      <c r="F87" s="161">
        <v>7630.7659999999996</v>
      </c>
      <c r="G87" s="161">
        <v>250.69300000000001</v>
      </c>
      <c r="H87" s="161">
        <v>-1401.548</v>
      </c>
      <c r="I87" s="161">
        <v>4174.23980395529</v>
      </c>
      <c r="J87" s="161">
        <v>28327.705999999998</v>
      </c>
      <c r="K87" s="161">
        <v>38981.856803955277</v>
      </c>
      <c r="L87" s="162">
        <v>6331.7550000000001</v>
      </c>
      <c r="M87" s="162">
        <v>11011.8649173593</v>
      </c>
      <c r="N87" s="162">
        <v>5924.6900000000005</v>
      </c>
      <c r="O87" s="162">
        <v>316.75700000000001</v>
      </c>
      <c r="P87" s="162">
        <v>6241.4470000000001</v>
      </c>
      <c r="Q87" s="162">
        <v>23585.066917359301</v>
      </c>
      <c r="R87" s="162">
        <v>24109.029201420173</v>
      </c>
    </row>
    <row r="88" spans="1:18">
      <c r="A88" t="s">
        <v>180</v>
      </c>
      <c r="B88" s="159">
        <v>2015</v>
      </c>
      <c r="C88" s="161">
        <v>16000.541999999999</v>
      </c>
      <c r="D88" s="161">
        <v>6893.1350000000002</v>
      </c>
      <c r="E88" s="161">
        <v>6386.8440000000001</v>
      </c>
      <c r="F88" s="161">
        <v>6680.3519999999999</v>
      </c>
      <c r="G88" s="161">
        <v>277.3</v>
      </c>
      <c r="H88" s="161">
        <v>-1076.096</v>
      </c>
      <c r="I88" s="161">
        <v>4276.8515813509102</v>
      </c>
      <c r="J88" s="161">
        <v>29280.521000000001</v>
      </c>
      <c r="K88" s="161">
        <v>39438.928581350912</v>
      </c>
      <c r="L88" s="162">
        <v>6477.94</v>
      </c>
      <c r="M88" s="162">
        <v>11233.260733448</v>
      </c>
      <c r="N88" s="162">
        <v>6193.4650000000001</v>
      </c>
      <c r="O88" s="162">
        <v>296.50299999999999</v>
      </c>
      <c r="P88" s="162">
        <v>6489.9679999999998</v>
      </c>
      <c r="Q88" s="162">
        <v>24201.168733448001</v>
      </c>
      <c r="R88" s="162">
        <v>24738.81824239159</v>
      </c>
    </row>
    <row r="89" spans="1:18">
      <c r="A89" t="s">
        <v>180</v>
      </c>
      <c r="B89" s="159">
        <v>2016</v>
      </c>
      <c r="C89" s="161">
        <v>16172.17</v>
      </c>
      <c r="D89" s="161">
        <v>7006.7709999999997</v>
      </c>
      <c r="E89" s="161">
        <v>6915.9769999999999</v>
      </c>
      <c r="F89" s="161">
        <v>5977.4979999999996</v>
      </c>
      <c r="G89" s="161">
        <v>304.48099999999999</v>
      </c>
      <c r="H89" s="161">
        <v>-943.59400000000005</v>
      </c>
      <c r="I89" s="161">
        <v>4308.1873948600296</v>
      </c>
      <c r="J89" s="161">
        <v>30094.917999999998</v>
      </c>
      <c r="K89" s="161">
        <v>39741.490394860026</v>
      </c>
      <c r="L89" s="162">
        <v>6412.09</v>
      </c>
      <c r="M89" s="162">
        <v>11680.2164702398</v>
      </c>
      <c r="N89" s="162">
        <v>6432.4459999999999</v>
      </c>
      <c r="O89" s="162">
        <v>301.113</v>
      </c>
      <c r="P89" s="162">
        <v>6733.5590000000002</v>
      </c>
      <c r="Q89" s="162">
        <v>24825.865470239802</v>
      </c>
      <c r="R89" s="162">
        <v>25377.393147526171</v>
      </c>
    </row>
    <row r="90" spans="1:18">
      <c r="A90" t="s">
        <v>180</v>
      </c>
      <c r="B90" s="159">
        <v>2017</v>
      </c>
      <c r="C90" s="161">
        <v>15477.130999999999</v>
      </c>
      <c r="D90" s="161">
        <v>7171.6750000000002</v>
      </c>
      <c r="E90" s="161">
        <v>7112.2529999999997</v>
      </c>
      <c r="F90" s="161">
        <v>7016.777</v>
      </c>
      <c r="G90" s="161">
        <v>305.66000000000003</v>
      </c>
      <c r="H90" s="161">
        <v>-1120.9749999999999</v>
      </c>
      <c r="I90" s="161">
        <v>4393.4273585554602</v>
      </c>
      <c r="J90" s="161">
        <v>29761.059000000001</v>
      </c>
      <c r="K90" s="161">
        <v>40355.94835855547</v>
      </c>
      <c r="L90" s="162">
        <v>6734.1210000000001</v>
      </c>
      <c r="M90" s="162">
        <v>11796.5570870354</v>
      </c>
      <c r="N90" s="162">
        <v>6658.152</v>
      </c>
      <c r="O90" s="162">
        <v>313.84399999999999</v>
      </c>
      <c r="P90" s="162">
        <v>6971.9960000000001</v>
      </c>
      <c r="Q90" s="162">
        <v>25502.674087035401</v>
      </c>
      <c r="R90" s="162">
        <v>26069.237642319102</v>
      </c>
    </row>
    <row r="91" spans="1:18">
      <c r="A91" t="s">
        <v>180</v>
      </c>
      <c r="B91" s="159">
        <v>2018</v>
      </c>
      <c r="C91" s="161">
        <v>15464.55</v>
      </c>
      <c r="D91" s="161">
        <v>7292.3789999999999</v>
      </c>
      <c r="E91" s="161">
        <v>6729.9750000000004</v>
      </c>
      <c r="F91" s="161">
        <v>7449</v>
      </c>
      <c r="G91" s="161">
        <v>346.48399999999998</v>
      </c>
      <c r="H91" s="161">
        <v>-1195.7950000000001</v>
      </c>
      <c r="I91" s="161">
        <v>4394.6999203210098</v>
      </c>
      <c r="J91" s="161">
        <v>29486.904000000002</v>
      </c>
      <c r="K91" s="161">
        <v>40481.292920321008</v>
      </c>
      <c r="L91" s="162">
        <v>6699.1059999999998</v>
      </c>
      <c r="M91" s="162">
        <v>11560.928956338999</v>
      </c>
      <c r="N91" s="162">
        <v>6760.7270000000008</v>
      </c>
      <c r="O91" s="162">
        <v>308.70800000000003</v>
      </c>
      <c r="P91" s="162">
        <v>7069.4350000000004</v>
      </c>
      <c r="Q91" s="162">
        <v>25329.469956339002</v>
      </c>
      <c r="R91" s="162">
        <v>25892.185634818008</v>
      </c>
    </row>
    <row r="92" spans="1:18">
      <c r="A92" t="s">
        <v>180</v>
      </c>
      <c r="B92" s="159">
        <v>2019</v>
      </c>
      <c r="C92" s="161">
        <v>13840.290999999999</v>
      </c>
      <c r="D92" s="161">
        <v>7348.3109999999997</v>
      </c>
      <c r="E92" s="161">
        <v>7060.95</v>
      </c>
      <c r="F92" s="161">
        <v>7548.2039999999997</v>
      </c>
      <c r="G92" s="161">
        <v>359.44600000000003</v>
      </c>
      <c r="H92" s="161">
        <v>-1126.105</v>
      </c>
      <c r="I92" s="161">
        <v>4710.7177886691497</v>
      </c>
      <c r="J92" s="161">
        <v>28249.552</v>
      </c>
      <c r="K92" s="161">
        <v>39741.814788669151</v>
      </c>
      <c r="L92" s="162">
        <v>6618.6189999999997</v>
      </c>
      <c r="M92" s="162">
        <v>11453.609920512101</v>
      </c>
      <c r="N92" s="162">
        <v>6857.2269999999999</v>
      </c>
      <c r="O92" s="162">
        <v>340.40300000000002</v>
      </c>
      <c r="P92" s="162">
        <v>7197.63</v>
      </c>
      <c r="Q92" s="162">
        <v>25269.858920512102</v>
      </c>
      <c r="R92" s="162">
        <v>25831.250289223553</v>
      </c>
    </row>
    <row r="93" spans="1:18">
      <c r="A93" t="s">
        <v>180</v>
      </c>
      <c r="B93" s="159">
        <v>2020</v>
      </c>
      <c r="C93" s="161">
        <v>12018.674999999999</v>
      </c>
      <c r="D93" s="161">
        <v>6502.8410000000003</v>
      </c>
      <c r="E93" s="161">
        <v>7180.8980000000001</v>
      </c>
      <c r="F93" s="161">
        <v>7496.2950000000001</v>
      </c>
      <c r="G93" s="161">
        <v>368.49299999999999</v>
      </c>
      <c r="H93" s="161">
        <v>-872.98900000000003</v>
      </c>
      <c r="I93" s="161">
        <v>4890.2103614216103</v>
      </c>
      <c r="J93" s="161">
        <v>25702.414000000001</v>
      </c>
      <c r="K93" s="161">
        <v>37584.423361421614</v>
      </c>
      <c r="L93" s="162">
        <v>6567.0690000000004</v>
      </c>
      <c r="M93" s="162">
        <v>11433.3102866151</v>
      </c>
      <c r="N93" s="162">
        <v>6118.8310000000001</v>
      </c>
      <c r="O93" s="162">
        <v>373.61</v>
      </c>
      <c r="P93" s="162">
        <v>6492.4409999999998</v>
      </c>
      <c r="Q93" s="162">
        <v>24492.8202866151</v>
      </c>
      <c r="R93" s="162">
        <v>25036.949082409254</v>
      </c>
    </row>
    <row r="94" spans="1:18">
      <c r="A94" t="s">
        <v>180</v>
      </c>
      <c r="B94" s="159">
        <v>2021</v>
      </c>
      <c r="C94" s="161">
        <v>12584.885</v>
      </c>
      <c r="D94" s="161">
        <v>6969.4660000000003</v>
      </c>
      <c r="E94" s="161">
        <v>7714.3609999999999</v>
      </c>
      <c r="F94" s="161">
        <v>7641.6319999999996</v>
      </c>
      <c r="G94" s="161">
        <v>363.96899999999999</v>
      </c>
      <c r="H94" s="161">
        <v>-952.30100000000004</v>
      </c>
      <c r="I94" s="161">
        <v>5227.4150975446601</v>
      </c>
      <c r="J94" s="161">
        <v>27268.712000000003</v>
      </c>
      <c r="K94" s="161">
        <v>39549.427097544663</v>
      </c>
      <c r="L94" s="162">
        <v>7013.2709999999997</v>
      </c>
      <c r="M94" s="162">
        <v>12171.9491447406</v>
      </c>
      <c r="N94" s="162">
        <v>6559.0199999999995</v>
      </c>
      <c r="O94" s="162">
        <v>361.613</v>
      </c>
      <c r="P94" s="162">
        <v>6920.6329999999998</v>
      </c>
      <c r="Q94" s="162">
        <v>26105.853144740599</v>
      </c>
      <c r="R94" s="162">
        <v>26685.816834858779</v>
      </c>
    </row>
    <row r="95" spans="1:18">
      <c r="A95" t="s">
        <v>180</v>
      </c>
      <c r="B95" s="159">
        <v>2022</v>
      </c>
      <c r="C95" s="161">
        <v>13138.154</v>
      </c>
      <c r="D95" s="161">
        <v>7245.7420000000002</v>
      </c>
      <c r="E95" s="161">
        <v>6279.9759999999997</v>
      </c>
      <c r="F95" s="161">
        <v>7714.5510000000004</v>
      </c>
      <c r="G95" s="161">
        <v>352.57</v>
      </c>
      <c r="H95" s="161">
        <v>-1163.271</v>
      </c>
      <c r="I95" s="161">
        <v>5067.0484142543201</v>
      </c>
      <c r="J95" s="161">
        <v>26663.871999999999</v>
      </c>
      <c r="K95" s="161">
        <v>38634.770414254323</v>
      </c>
      <c r="L95" s="162">
        <v>6613.95</v>
      </c>
      <c r="M95" s="162">
        <v>11114.4324899207</v>
      </c>
      <c r="N95" s="162">
        <v>6827.9179999999997</v>
      </c>
      <c r="O95" s="162">
        <v>362.12200000000001</v>
      </c>
      <c r="P95" s="162">
        <v>7190.04</v>
      </c>
      <c r="Q95" s="162">
        <v>24918.4224899207</v>
      </c>
      <c r="R95" s="162">
        <v>25472.006399975362</v>
      </c>
    </row>
    <row r="96" spans="1:18">
      <c r="A96" t="s">
        <v>180</v>
      </c>
      <c r="B96" s="159">
        <v>2023</v>
      </c>
      <c r="C96" s="161">
        <v>11162.011403884668</v>
      </c>
      <c r="D96" s="161">
        <v>7273.9831870550643</v>
      </c>
      <c r="E96" s="161">
        <v>5701.9487508192906</v>
      </c>
      <c r="F96" s="161">
        <v>7562.5205447929702</v>
      </c>
      <c r="G96" s="161">
        <v>368.08408879087943</v>
      </c>
      <c r="H96" s="161">
        <v>-1286.4689999999246</v>
      </c>
      <c r="I96" s="161">
        <v>5259.1634591647189</v>
      </c>
      <c r="J96" s="161">
        <v>24137.943341759023</v>
      </c>
      <c r="K96" s="161">
        <v>36041.242434507665</v>
      </c>
      <c r="L96" s="162">
        <v>6821.0112999583926</v>
      </c>
      <c r="M96" s="162">
        <v>11114.4324899207</v>
      </c>
      <c r="N96" s="162">
        <v>7374.5793117360217</v>
      </c>
      <c r="O96" s="162">
        <v>340.12321226289458</v>
      </c>
      <c r="P96" s="162">
        <v>7714.7025239989161</v>
      </c>
      <c r="Q96" s="162">
        <v>25650.146313878009</v>
      </c>
      <c r="R96" s="162">
        <v>26219.986089877246</v>
      </c>
    </row>
    <row r="97" spans="1:18">
      <c r="A97" t="s">
        <v>91</v>
      </c>
      <c r="B97" s="157">
        <v>2005</v>
      </c>
      <c r="C97" s="158">
        <v>81600.438999999998</v>
      </c>
      <c r="D97" s="158">
        <v>102639.455</v>
      </c>
      <c r="E97" s="158">
        <v>75309.751000000004</v>
      </c>
      <c r="F97" s="158">
        <v>42060.618999999999</v>
      </c>
      <c r="G97" s="158">
        <v>1844.846</v>
      </c>
      <c r="H97" s="158">
        <v>-392.60500000000002</v>
      </c>
      <c r="I97" s="158">
        <v>18560.657557561899</v>
      </c>
      <c r="J97" s="158">
        <v>259549.64500000002</v>
      </c>
      <c r="K97" s="158">
        <v>321623.16255756194</v>
      </c>
      <c r="L97" s="151">
        <v>54516.457000000002</v>
      </c>
      <c r="M97" s="151">
        <v>102894.2516</v>
      </c>
      <c r="N97" s="151">
        <v>60459.726999999999</v>
      </c>
      <c r="O97" s="151">
        <v>1824.2570000000001</v>
      </c>
      <c r="P97" s="151">
        <v>62283.983999999997</v>
      </c>
      <c r="Q97" s="151">
        <v>219694.69260000001</v>
      </c>
      <c r="R97" s="151">
        <v>223567.10227438362</v>
      </c>
    </row>
    <row r="98" spans="1:18">
      <c r="A98" t="s">
        <v>91</v>
      </c>
      <c r="B98" s="157">
        <v>2006</v>
      </c>
      <c r="C98" s="158">
        <v>85842.312999999995</v>
      </c>
      <c r="D98" s="158">
        <v>103479.33500000001</v>
      </c>
      <c r="E98" s="158">
        <v>76931.313999999998</v>
      </c>
      <c r="F98" s="158">
        <v>43147.635000000002</v>
      </c>
      <c r="G98" s="158">
        <v>2159.692</v>
      </c>
      <c r="H98" s="158">
        <v>-1459.759</v>
      </c>
      <c r="I98" s="158">
        <v>22650.925177414701</v>
      </c>
      <c r="J98" s="158">
        <v>266252.962</v>
      </c>
      <c r="K98" s="158">
        <v>332751.4551774147</v>
      </c>
      <c r="L98" s="151">
        <v>55561.963000000003</v>
      </c>
      <c r="M98" s="151">
        <v>106396.1102</v>
      </c>
      <c r="N98" s="151">
        <v>60051.179000000004</v>
      </c>
      <c r="O98" s="151">
        <v>3341.6239999999998</v>
      </c>
      <c r="P98" s="151">
        <v>63392.803</v>
      </c>
      <c r="Q98" s="151">
        <v>225350.8762</v>
      </c>
      <c r="R98" s="151">
        <v>229322.98359504095</v>
      </c>
    </row>
    <row r="99" spans="1:18">
      <c r="A99" t="s">
        <v>91</v>
      </c>
      <c r="B99" s="157">
        <v>2007</v>
      </c>
      <c r="C99" s="158">
        <v>85796.483999999997</v>
      </c>
      <c r="D99" s="158">
        <v>92308.763000000006</v>
      </c>
      <c r="E99" s="158">
        <v>74194.948000000004</v>
      </c>
      <c r="F99" s="158">
        <v>36251.247000000003</v>
      </c>
      <c r="G99" s="158">
        <v>2478.2649999999999</v>
      </c>
      <c r="H99" s="158">
        <v>-1423.4739999999999</v>
      </c>
      <c r="I99" s="158">
        <v>26187.217202923501</v>
      </c>
      <c r="J99" s="158">
        <v>252300.19500000001</v>
      </c>
      <c r="K99" s="158">
        <v>315793.45020292356</v>
      </c>
      <c r="L99" s="151">
        <v>57769.582000000002</v>
      </c>
      <c r="M99" s="151">
        <v>92782.565199999997</v>
      </c>
      <c r="N99" s="151">
        <v>58611.276999999995</v>
      </c>
      <c r="O99" s="151">
        <v>3788.027</v>
      </c>
      <c r="P99" s="151">
        <v>62399.303999999996</v>
      </c>
      <c r="Q99" s="151">
        <v>212951.45120000001</v>
      </c>
      <c r="R99" s="151">
        <v>216705.00232152088</v>
      </c>
    </row>
    <row r="100" spans="1:18">
      <c r="A100" t="s">
        <v>91</v>
      </c>
      <c r="B100" s="157">
        <v>2008</v>
      </c>
      <c r="C100" s="158">
        <v>79781.577999999994</v>
      </c>
      <c r="D100" s="158">
        <v>99091.047000000006</v>
      </c>
      <c r="E100" s="158">
        <v>74985.209000000003</v>
      </c>
      <c r="F100" s="158">
        <v>38304.815000000002</v>
      </c>
      <c r="G100" s="158">
        <v>3124.9639999999999</v>
      </c>
      <c r="H100" s="158">
        <v>-1728.289</v>
      </c>
      <c r="I100" s="158">
        <v>27203.452738129399</v>
      </c>
      <c r="J100" s="158">
        <v>253857.834</v>
      </c>
      <c r="K100" s="158">
        <v>320762.77673812938</v>
      </c>
      <c r="L100" s="151">
        <v>57047.381000000001</v>
      </c>
      <c r="M100" s="151">
        <v>102976.7277</v>
      </c>
      <c r="N100" s="151">
        <v>58770.46</v>
      </c>
      <c r="O100" s="151">
        <v>2918.174</v>
      </c>
      <c r="P100" s="151">
        <v>61688.633999999998</v>
      </c>
      <c r="Q100" s="151">
        <v>221712.7427</v>
      </c>
      <c r="R100" s="151">
        <v>225620.72317783887</v>
      </c>
    </row>
    <row r="101" spans="1:18">
      <c r="A101" t="s">
        <v>91</v>
      </c>
      <c r="B101" s="157">
        <v>2009</v>
      </c>
      <c r="C101" s="158">
        <v>71730.861999999994</v>
      </c>
      <c r="D101" s="158">
        <v>93029.126999999993</v>
      </c>
      <c r="E101" s="158">
        <v>70793.573000000004</v>
      </c>
      <c r="F101" s="158">
        <v>34733.199999999997</v>
      </c>
      <c r="G101" s="158">
        <v>3609.511</v>
      </c>
      <c r="H101" s="158">
        <v>-1055.288</v>
      </c>
      <c r="I101" s="158">
        <v>27084.676318047201</v>
      </c>
      <c r="J101" s="158">
        <v>235553.56200000001</v>
      </c>
      <c r="K101" s="158">
        <v>299925.6613180472</v>
      </c>
      <c r="L101" s="151">
        <v>50487.292000000001</v>
      </c>
      <c r="M101" s="151">
        <v>97177.083318047196</v>
      </c>
      <c r="N101" s="151">
        <v>57954.326999999997</v>
      </c>
      <c r="O101" s="151">
        <v>2628.6019999999999</v>
      </c>
      <c r="P101" s="151">
        <v>60582.928999999996</v>
      </c>
      <c r="Q101" s="151">
        <v>208247.30431804719</v>
      </c>
      <c r="R101" s="151">
        <v>211917.93862587624</v>
      </c>
    </row>
    <row r="102" spans="1:18">
      <c r="A102" t="s">
        <v>91</v>
      </c>
      <c r="B102" s="157">
        <v>2010</v>
      </c>
      <c r="C102" s="158">
        <v>78721.364000000001</v>
      </c>
      <c r="D102" s="158">
        <v>93348.841</v>
      </c>
      <c r="E102" s="158">
        <v>73512.323999999993</v>
      </c>
      <c r="F102" s="158">
        <v>36200.800000000003</v>
      </c>
      <c r="G102" s="158">
        <v>3906.1570000000002</v>
      </c>
      <c r="H102" s="158">
        <v>-1285.8989999999999</v>
      </c>
      <c r="I102" s="158">
        <v>30757.034126779399</v>
      </c>
      <c r="J102" s="158">
        <v>245582.52900000001</v>
      </c>
      <c r="K102" s="158">
        <v>315160.62112677947</v>
      </c>
      <c r="L102" s="151">
        <v>56668.913999999997</v>
      </c>
      <c r="M102" s="151">
        <v>105264.60312677899</v>
      </c>
      <c r="N102" s="151">
        <v>58199.547000000006</v>
      </c>
      <c r="O102" s="151">
        <v>2889.8589999999999</v>
      </c>
      <c r="P102" s="151">
        <v>61089.406000000003</v>
      </c>
      <c r="Q102" s="151">
        <v>223022.923126779</v>
      </c>
      <c r="R102" s="151">
        <v>226953.9972683737</v>
      </c>
    </row>
    <row r="103" spans="1:18">
      <c r="A103" t="s">
        <v>91</v>
      </c>
      <c r="B103" s="157">
        <v>2011</v>
      </c>
      <c r="C103" s="158">
        <v>77599.752999999997</v>
      </c>
      <c r="D103" s="158">
        <v>89713.917000000001</v>
      </c>
      <c r="E103" s="158">
        <v>67279.656000000003</v>
      </c>
      <c r="F103" s="158">
        <v>27807.200000000001</v>
      </c>
      <c r="G103" s="158">
        <v>3873.8649999999998</v>
      </c>
      <c r="H103" s="158">
        <v>-323.73200000000003</v>
      </c>
      <c r="I103" s="158">
        <v>31852.184746727798</v>
      </c>
      <c r="J103" s="158">
        <v>234593.326</v>
      </c>
      <c r="K103" s="158">
        <v>297802.8437467278</v>
      </c>
      <c r="L103" s="151">
        <v>57409.743999999999</v>
      </c>
      <c r="M103" s="151">
        <v>93007.550746727793</v>
      </c>
      <c r="N103" s="151">
        <v>58498.428</v>
      </c>
      <c r="O103" s="151">
        <v>2795.9540000000002</v>
      </c>
      <c r="P103" s="151">
        <v>61294.381999999998</v>
      </c>
      <c r="Q103" s="151">
        <v>211711.67674672778</v>
      </c>
      <c r="R103" s="151">
        <v>215443.37520294258</v>
      </c>
    </row>
    <row r="104" spans="1:18">
      <c r="A104" t="s">
        <v>91</v>
      </c>
      <c r="B104" s="157">
        <v>2012</v>
      </c>
      <c r="C104" s="158">
        <v>79574.741999999998</v>
      </c>
      <c r="D104" s="158">
        <v>90138.994999999995</v>
      </c>
      <c r="E104" s="158">
        <v>67762.425000000003</v>
      </c>
      <c r="F104" s="158">
        <v>25618.6</v>
      </c>
      <c r="G104" s="158">
        <v>4016.433</v>
      </c>
      <c r="H104" s="158">
        <v>-1766.2940000000001</v>
      </c>
      <c r="I104" s="158">
        <v>35785.114642208799</v>
      </c>
      <c r="J104" s="158">
        <v>237476.16200000001</v>
      </c>
      <c r="K104" s="158">
        <v>301130.0156422088</v>
      </c>
      <c r="L104" s="151">
        <v>56712.955000000002</v>
      </c>
      <c r="M104" s="151">
        <v>97642.078642208799</v>
      </c>
      <c r="N104" s="151">
        <v>58478.441000000006</v>
      </c>
      <c r="O104" s="151">
        <v>2948.518</v>
      </c>
      <c r="P104" s="151">
        <v>61426.959000000003</v>
      </c>
      <c r="Q104" s="151">
        <v>215781.99264220882</v>
      </c>
      <c r="R104" s="151">
        <v>219585.43580224382</v>
      </c>
    </row>
    <row r="105" spans="1:18">
      <c r="A105" t="s">
        <v>91</v>
      </c>
      <c r="B105" s="159">
        <v>2013</v>
      </c>
      <c r="C105" s="161">
        <v>81189.146999999997</v>
      </c>
      <c r="D105" s="161">
        <v>93138.356</v>
      </c>
      <c r="E105" s="161">
        <v>70691.436000000002</v>
      </c>
      <c r="F105" s="161">
        <v>25052.2</v>
      </c>
      <c r="G105" s="161">
        <v>4107.3609999999999</v>
      </c>
      <c r="H105" s="161">
        <v>-2768.1</v>
      </c>
      <c r="I105" s="161">
        <v>36881.323923951502</v>
      </c>
      <c r="J105" s="161">
        <v>245018.93900000001</v>
      </c>
      <c r="K105" s="161">
        <v>308291.7239239515</v>
      </c>
      <c r="L105" s="162">
        <v>56347.485999999997</v>
      </c>
      <c r="M105" s="162">
        <v>102090.477923951</v>
      </c>
      <c r="N105" s="162">
        <v>59874.856999999996</v>
      </c>
      <c r="O105" s="162">
        <v>2696.6080000000002</v>
      </c>
      <c r="P105" s="162">
        <v>62571.464999999997</v>
      </c>
      <c r="Q105" s="162">
        <v>221009.428923951</v>
      </c>
      <c r="R105" s="162">
        <v>224905.01256580683</v>
      </c>
    </row>
    <row r="106" spans="1:18">
      <c r="A106" t="s">
        <v>91</v>
      </c>
      <c r="B106" s="159">
        <v>2014</v>
      </c>
      <c r="C106" s="161">
        <v>79255.159</v>
      </c>
      <c r="D106" s="161">
        <v>90477.554000000004</v>
      </c>
      <c r="E106" s="161">
        <v>60846.313000000002</v>
      </c>
      <c r="F106" s="161">
        <v>25010.7</v>
      </c>
      <c r="G106" s="161">
        <v>4302.1639999999998</v>
      </c>
      <c r="H106" s="161">
        <v>-2913.5859999999998</v>
      </c>
      <c r="I106" s="161">
        <v>36625.397354447297</v>
      </c>
      <c r="J106" s="161">
        <v>230579.02599999998</v>
      </c>
      <c r="K106" s="161">
        <v>293603.70135444729</v>
      </c>
      <c r="L106" s="162">
        <v>55725.644</v>
      </c>
      <c r="M106" s="162">
        <v>90803.660354447304</v>
      </c>
      <c r="N106" s="162">
        <v>60671.020000000004</v>
      </c>
      <c r="O106" s="162">
        <v>2774.9650000000001</v>
      </c>
      <c r="P106" s="162">
        <v>63445.985000000001</v>
      </c>
      <c r="Q106" s="162">
        <v>209975.2893544473</v>
      </c>
      <c r="R106" s="162">
        <v>213676.38168514872</v>
      </c>
    </row>
    <row r="107" spans="1:18">
      <c r="A107" t="s">
        <v>91</v>
      </c>
      <c r="B107" s="159">
        <v>2015</v>
      </c>
      <c r="C107" s="161">
        <v>79053.922000000006</v>
      </c>
      <c r="D107" s="161">
        <v>91334.837</v>
      </c>
      <c r="E107" s="161">
        <v>62781.951999999997</v>
      </c>
      <c r="F107" s="161">
        <v>23636.344000000001</v>
      </c>
      <c r="G107" s="161">
        <v>4251.9110000000001</v>
      </c>
      <c r="H107" s="161">
        <v>-4151.5050000000001</v>
      </c>
      <c r="I107" s="161">
        <v>39025.403780930501</v>
      </c>
      <c r="J107" s="161">
        <v>233170.71100000001</v>
      </c>
      <c r="K107" s="161">
        <v>295932.86478093051</v>
      </c>
      <c r="L107" s="162">
        <v>56067.59</v>
      </c>
      <c r="M107" s="162">
        <v>93523.169780930504</v>
      </c>
      <c r="N107" s="162">
        <v>60589.708999999995</v>
      </c>
      <c r="O107" s="162">
        <v>2565.48</v>
      </c>
      <c r="P107" s="162">
        <v>63155.188999999998</v>
      </c>
      <c r="Q107" s="162">
        <v>212745.94878093048</v>
      </c>
      <c r="R107" s="162">
        <v>216495.87765037827</v>
      </c>
    </row>
    <row r="108" spans="1:18">
      <c r="A108" t="s">
        <v>91</v>
      </c>
      <c r="B108" s="159">
        <v>2016</v>
      </c>
      <c r="C108" s="161">
        <v>76759.960000000006</v>
      </c>
      <c r="D108" s="161">
        <v>92344.331999999995</v>
      </c>
      <c r="E108" s="161">
        <v>67706.938999999998</v>
      </c>
      <c r="F108" s="161">
        <v>21794.7</v>
      </c>
      <c r="G108" s="161">
        <v>4513.4709999999995</v>
      </c>
      <c r="H108" s="161">
        <v>-4344.3680000000004</v>
      </c>
      <c r="I108" s="161">
        <v>38853.080902550901</v>
      </c>
      <c r="J108" s="161">
        <v>236811.23100000003</v>
      </c>
      <c r="K108" s="161">
        <v>297628.11490255099</v>
      </c>
      <c r="L108" s="162">
        <v>56677.082000000002</v>
      </c>
      <c r="M108" s="162">
        <v>95016.431902550801</v>
      </c>
      <c r="N108" s="162">
        <v>62601.203999999998</v>
      </c>
      <c r="O108" s="162">
        <v>2572.018</v>
      </c>
      <c r="P108" s="162">
        <v>65173.222000000002</v>
      </c>
      <c r="Q108" s="162">
        <v>216866.7359025508</v>
      </c>
      <c r="R108" s="162">
        <v>220689.29909796701</v>
      </c>
    </row>
    <row r="109" spans="1:18">
      <c r="A109" t="s">
        <v>91</v>
      </c>
      <c r="B109" s="159">
        <v>2017</v>
      </c>
      <c r="C109" s="161">
        <v>70917.228000000003</v>
      </c>
      <c r="D109" s="161">
        <v>93342.142999999996</v>
      </c>
      <c r="E109" s="161">
        <v>72759.745999999999</v>
      </c>
      <c r="F109" s="161">
        <v>19654.7</v>
      </c>
      <c r="G109" s="161">
        <v>4514.0200000000004</v>
      </c>
      <c r="H109" s="161">
        <v>-4510.6620000000003</v>
      </c>
      <c r="I109" s="161">
        <v>41447.067148944298</v>
      </c>
      <c r="J109" s="161">
        <v>237019.11699999997</v>
      </c>
      <c r="K109" s="161">
        <v>298124.24214894423</v>
      </c>
      <c r="L109" s="162">
        <v>57146.089</v>
      </c>
      <c r="M109" s="162">
        <v>94704.943148944294</v>
      </c>
      <c r="N109" s="162">
        <v>64169.716</v>
      </c>
      <c r="O109" s="162">
        <v>2603.9540000000002</v>
      </c>
      <c r="P109" s="162">
        <v>66773.67</v>
      </c>
      <c r="Q109" s="162">
        <v>218624.70214894428</v>
      </c>
      <c r="R109" s="162">
        <v>222478.25182573247</v>
      </c>
    </row>
    <row r="110" spans="1:18">
      <c r="A110" t="s">
        <v>91</v>
      </c>
      <c r="B110" s="159">
        <v>2018</v>
      </c>
      <c r="C110" s="161">
        <v>69356.668000000005</v>
      </c>
      <c r="D110" s="161">
        <v>90106.588000000003</v>
      </c>
      <c r="E110" s="161">
        <v>70544.786999999997</v>
      </c>
      <c r="F110" s="161">
        <v>19571</v>
      </c>
      <c r="G110" s="161">
        <v>4217.6360000000004</v>
      </c>
      <c r="H110" s="161">
        <v>-4190.5420000000004</v>
      </c>
      <c r="I110" s="161">
        <v>42348.033558135103</v>
      </c>
      <c r="J110" s="161">
        <v>230008.04300000001</v>
      </c>
      <c r="K110" s="161">
        <v>291954.17055813514</v>
      </c>
      <c r="L110" s="162">
        <v>57090.091999999997</v>
      </c>
      <c r="M110" s="162">
        <v>92788.233442724697</v>
      </c>
      <c r="N110" s="162">
        <v>62599.843999999997</v>
      </c>
      <c r="O110" s="162">
        <v>2695.4989999999998</v>
      </c>
      <c r="P110" s="162">
        <v>65295.343000000001</v>
      </c>
      <c r="Q110" s="162">
        <v>215173.66844272468</v>
      </c>
      <c r="R110" s="162">
        <v>218966.38908376131</v>
      </c>
    </row>
    <row r="111" spans="1:18">
      <c r="A111" t="s">
        <v>91</v>
      </c>
      <c r="B111" s="159">
        <v>2019</v>
      </c>
      <c r="C111" s="161">
        <v>56076.794999999998</v>
      </c>
      <c r="D111" s="161">
        <v>92147.938999999998</v>
      </c>
      <c r="E111" s="161">
        <v>72189.164999999994</v>
      </c>
      <c r="F111" s="161">
        <v>19332</v>
      </c>
      <c r="G111" s="161">
        <v>4248.0889999999999</v>
      </c>
      <c r="H111" s="161">
        <v>-2808.8560000000002</v>
      </c>
      <c r="I111" s="161">
        <v>44054.402818572598</v>
      </c>
      <c r="J111" s="161">
        <v>220413.89899999998</v>
      </c>
      <c r="K111" s="161">
        <v>285239.53481857257</v>
      </c>
      <c r="L111" s="162">
        <v>55649.345999999998</v>
      </c>
      <c r="M111" s="162">
        <v>93089.016818572607</v>
      </c>
      <c r="N111" s="162">
        <v>63285.678</v>
      </c>
      <c r="O111" s="162">
        <v>2678.97</v>
      </c>
      <c r="P111" s="162">
        <v>65964.648000000001</v>
      </c>
      <c r="Q111" s="162">
        <v>214703.0108185726</v>
      </c>
      <c r="R111" s="162">
        <v>218487.43549617234</v>
      </c>
    </row>
    <row r="112" spans="1:18">
      <c r="A112" t="s">
        <v>91</v>
      </c>
      <c r="B112" s="159">
        <v>2020</v>
      </c>
      <c r="C112" s="161">
        <v>44281.726000000002</v>
      </c>
      <c r="D112" s="161">
        <v>81326.607999999993</v>
      </c>
      <c r="E112" s="161">
        <v>71752.308999999994</v>
      </c>
      <c r="F112" s="161">
        <v>16576.8</v>
      </c>
      <c r="G112" s="161">
        <v>4203.1149999999998</v>
      </c>
      <c r="H112" s="161">
        <v>-1636.1990000000001</v>
      </c>
      <c r="I112" s="161">
        <v>45645.891317760601</v>
      </c>
      <c r="J112" s="161">
        <v>197360.64299999998</v>
      </c>
      <c r="K112" s="161">
        <v>262150.25031776057</v>
      </c>
      <c r="L112" s="162">
        <v>54762.64</v>
      </c>
      <c r="M112" s="162">
        <v>91949.112139772595</v>
      </c>
      <c r="N112" s="162">
        <v>52205.896000000001</v>
      </c>
      <c r="O112" s="162">
        <v>3348.248</v>
      </c>
      <c r="P112" s="162">
        <v>55554.144</v>
      </c>
      <c r="Q112" s="162">
        <v>202265.89613977261</v>
      </c>
      <c r="R112" s="162">
        <v>205831.10021338949</v>
      </c>
    </row>
    <row r="113" spans="1:18">
      <c r="A113" t="s">
        <v>91</v>
      </c>
      <c r="B113" s="159">
        <v>2021</v>
      </c>
      <c r="C113" s="161">
        <v>53544.925000000003</v>
      </c>
      <c r="D113" s="161">
        <v>77651.165999999997</v>
      </c>
      <c r="E113" s="161">
        <v>74296.981</v>
      </c>
      <c r="F113" s="161">
        <v>17768.59</v>
      </c>
      <c r="G113" s="161">
        <v>4270.5169999999998</v>
      </c>
      <c r="H113" s="161">
        <v>-1597.163</v>
      </c>
      <c r="I113" s="161">
        <v>45555.721590235997</v>
      </c>
      <c r="J113" s="161">
        <v>205493.07200000001</v>
      </c>
      <c r="K113" s="161">
        <v>271490.73759023601</v>
      </c>
      <c r="L113" s="162">
        <v>56214.334000000003</v>
      </c>
      <c r="M113" s="162">
        <v>95806.144104709994</v>
      </c>
      <c r="N113" s="162">
        <v>53033.525999999998</v>
      </c>
      <c r="O113" s="162">
        <v>2887.2979999999998</v>
      </c>
      <c r="P113" s="162">
        <v>55920.824000000001</v>
      </c>
      <c r="Q113" s="162">
        <v>207941.30210470999</v>
      </c>
      <c r="R113" s="162">
        <v>211606.54271860275</v>
      </c>
    </row>
    <row r="114" spans="1:18">
      <c r="A114" t="s">
        <v>91</v>
      </c>
      <c r="B114" s="159">
        <v>2022</v>
      </c>
      <c r="C114" s="161">
        <v>55145.472000000002</v>
      </c>
      <c r="D114" s="161">
        <v>82722.2</v>
      </c>
      <c r="E114" s="161">
        <v>64557.114999999998</v>
      </c>
      <c r="F114" s="161">
        <v>8938</v>
      </c>
      <c r="G114" s="161">
        <v>4066.4949999999999</v>
      </c>
      <c r="H114" s="161">
        <v>-2343.5940000000001</v>
      </c>
      <c r="I114" s="161">
        <v>47498.705109964598</v>
      </c>
      <c r="J114" s="161">
        <v>202424.78699999998</v>
      </c>
      <c r="K114" s="161">
        <v>260584.39310996456</v>
      </c>
      <c r="L114" s="162">
        <v>53449.375</v>
      </c>
      <c r="M114" s="162">
        <v>89962.108302092296</v>
      </c>
      <c r="N114" s="162">
        <v>56484.409999999996</v>
      </c>
      <c r="O114" s="162">
        <v>2940.9679999999998</v>
      </c>
      <c r="P114" s="162">
        <v>59425.377999999997</v>
      </c>
      <c r="Q114" s="162">
        <v>202836.86130209229</v>
      </c>
      <c r="R114" s="162">
        <v>206412.1293922411</v>
      </c>
    </row>
    <row r="115" spans="1:18">
      <c r="A115" t="s">
        <v>91</v>
      </c>
      <c r="B115" s="159">
        <v>2023</v>
      </c>
      <c r="C115" s="161">
        <v>43591.182628571434</v>
      </c>
      <c r="D115" s="161">
        <v>77075.633447098968</v>
      </c>
      <c r="E115" s="161">
        <v>62991.231284454239</v>
      </c>
      <c r="F115" s="161">
        <v>1863.0659630606856</v>
      </c>
      <c r="G115" s="161">
        <v>4066.4949999999999</v>
      </c>
      <c r="H115" s="161">
        <v>1004.3974285714287</v>
      </c>
      <c r="I115" s="161">
        <v>48962.706294860771</v>
      </c>
      <c r="J115" s="161">
        <v>183658.04736012465</v>
      </c>
      <c r="K115" s="161">
        <v>239554.71204661753</v>
      </c>
      <c r="L115" s="162">
        <v>53449.375</v>
      </c>
      <c r="M115" s="162">
        <v>85113.150664609522</v>
      </c>
      <c r="N115" s="162">
        <v>55388.612445999999</v>
      </c>
      <c r="O115" s="162">
        <v>3080.6639800000003</v>
      </c>
      <c r="P115" s="162">
        <v>58469.276425999997</v>
      </c>
      <c r="Q115" s="162">
        <v>197031.8020906095</v>
      </c>
      <c r="R115" s="162">
        <v>200504.74833044468</v>
      </c>
    </row>
    <row r="116" spans="1:18">
      <c r="A116" t="s">
        <v>115</v>
      </c>
      <c r="B116" s="157">
        <v>2005</v>
      </c>
      <c r="C116" s="158">
        <v>3713.87</v>
      </c>
      <c r="D116" s="158">
        <v>7966.8670000000002</v>
      </c>
      <c r="E116" s="158">
        <v>4399.4660000000003</v>
      </c>
      <c r="F116" s="158">
        <v>0</v>
      </c>
      <c r="G116" s="158">
        <v>406.18099999999998</v>
      </c>
      <c r="H116" s="158">
        <v>117.71299999999999</v>
      </c>
      <c r="I116" s="158">
        <v>2835.3301730199701</v>
      </c>
      <c r="J116" s="158">
        <v>16080.203000000001</v>
      </c>
      <c r="K116" s="158">
        <v>19439.427173019973</v>
      </c>
      <c r="L116" s="151">
        <v>2873.232</v>
      </c>
      <c r="M116" s="151">
        <v>7362.8174805579401</v>
      </c>
      <c r="N116" s="151">
        <v>5265.6750000000002</v>
      </c>
      <c r="O116" s="151">
        <v>0</v>
      </c>
      <c r="P116" s="151">
        <v>5265.6750000000002</v>
      </c>
      <c r="Q116" s="151">
        <v>15501.724480557939</v>
      </c>
      <c r="R116" s="151">
        <v>16439.519328510025</v>
      </c>
    </row>
    <row r="117" spans="1:18">
      <c r="A117" t="s">
        <v>115</v>
      </c>
      <c r="B117" s="157">
        <v>2006</v>
      </c>
      <c r="C117" s="158">
        <v>5477.0020000000004</v>
      </c>
      <c r="D117" s="158">
        <v>8117.9570000000003</v>
      </c>
      <c r="E117" s="158">
        <v>4536.5290000000005</v>
      </c>
      <c r="F117" s="158">
        <v>0</v>
      </c>
      <c r="G117" s="158">
        <v>413.012</v>
      </c>
      <c r="H117" s="158">
        <v>-596.303</v>
      </c>
      <c r="I117" s="158">
        <v>2882.4801456959899</v>
      </c>
      <c r="J117" s="158">
        <v>18131.488000000001</v>
      </c>
      <c r="K117" s="158">
        <v>20830.67714569599</v>
      </c>
      <c r="L117" s="151">
        <v>2914.1709999999998</v>
      </c>
      <c r="M117" s="151">
        <v>7386.6104532339696</v>
      </c>
      <c r="N117" s="151">
        <v>5361.89</v>
      </c>
      <c r="O117" s="151">
        <v>3.8260000000000001</v>
      </c>
      <c r="P117" s="151">
        <v>5365.7160000000003</v>
      </c>
      <c r="Q117" s="151">
        <v>15666.497453233969</v>
      </c>
      <c r="R117" s="151">
        <v>16614.260433767118</v>
      </c>
    </row>
    <row r="118" spans="1:18">
      <c r="A118" t="s">
        <v>115</v>
      </c>
      <c r="B118" s="157">
        <v>2007</v>
      </c>
      <c r="C118" s="158">
        <v>4651.6760000000004</v>
      </c>
      <c r="D118" s="158">
        <v>8101.8950000000004</v>
      </c>
      <c r="E118" s="158">
        <v>4061.6289999999999</v>
      </c>
      <c r="F118" s="158">
        <v>0</v>
      </c>
      <c r="G118" s="158">
        <v>427.27100000000002</v>
      </c>
      <c r="H118" s="158">
        <v>-81.685000000000002</v>
      </c>
      <c r="I118" s="158">
        <v>3198.2974605904301</v>
      </c>
      <c r="J118" s="158">
        <v>16815.2</v>
      </c>
      <c r="K118" s="158">
        <v>20359.083460590431</v>
      </c>
      <c r="L118" s="151">
        <v>2832.3589999999999</v>
      </c>
      <c r="M118" s="151">
        <v>7322.8566527180601</v>
      </c>
      <c r="N118" s="151">
        <v>5560.308</v>
      </c>
      <c r="O118" s="151">
        <v>5.7389999999999999</v>
      </c>
      <c r="P118" s="151">
        <v>5566.0469999999996</v>
      </c>
      <c r="Q118" s="151">
        <v>15721.262652718058</v>
      </c>
      <c r="R118" s="151">
        <v>16672.338717675309</v>
      </c>
    </row>
    <row r="119" spans="1:18">
      <c r="A119" t="s">
        <v>115</v>
      </c>
      <c r="B119" s="157">
        <v>2008</v>
      </c>
      <c r="C119" s="158">
        <v>4005.8649999999998</v>
      </c>
      <c r="D119" s="158">
        <v>7995.6769999999997</v>
      </c>
      <c r="E119" s="158">
        <v>4075.9459999999999</v>
      </c>
      <c r="F119" s="158">
        <v>0</v>
      </c>
      <c r="G119" s="158">
        <v>446.14</v>
      </c>
      <c r="H119" s="158">
        <v>125.107</v>
      </c>
      <c r="I119" s="158">
        <v>3193.9403939046501</v>
      </c>
      <c r="J119" s="158">
        <v>16077.487999999999</v>
      </c>
      <c r="K119" s="158">
        <v>19842.67539390465</v>
      </c>
      <c r="L119" s="151">
        <v>2716.491</v>
      </c>
      <c r="M119" s="151">
        <v>7299.0190476736398</v>
      </c>
      <c r="N119" s="151">
        <v>5506.576</v>
      </c>
      <c r="O119" s="151">
        <v>5.1020000000000003</v>
      </c>
      <c r="P119" s="151">
        <v>5511.6779999999999</v>
      </c>
      <c r="Q119" s="151">
        <v>15527.188047673641</v>
      </c>
      <c r="R119" s="151">
        <v>16466.523343727586</v>
      </c>
    </row>
    <row r="120" spans="1:18">
      <c r="A120" t="s">
        <v>115</v>
      </c>
      <c r="B120" s="157">
        <v>2009</v>
      </c>
      <c r="C120" s="158">
        <v>4003.471</v>
      </c>
      <c r="D120" s="158">
        <v>7451.9750000000004</v>
      </c>
      <c r="E120" s="158">
        <v>3897.4520000000002</v>
      </c>
      <c r="F120" s="158">
        <v>0</v>
      </c>
      <c r="G120" s="158">
        <v>422.87700000000001</v>
      </c>
      <c r="H120" s="158">
        <v>28.719000000000001</v>
      </c>
      <c r="I120" s="158">
        <v>3251.7925960638199</v>
      </c>
      <c r="J120" s="158">
        <v>15352.898000000001</v>
      </c>
      <c r="K120" s="158">
        <v>19056.286596063819</v>
      </c>
      <c r="L120" s="151">
        <v>2352.5039999999999</v>
      </c>
      <c r="M120" s="151">
        <v>7280.4813652431403</v>
      </c>
      <c r="N120" s="151">
        <v>5154.0369999999994</v>
      </c>
      <c r="O120" s="151">
        <v>8.6839999999999993</v>
      </c>
      <c r="P120" s="151">
        <v>5162.7209999999995</v>
      </c>
      <c r="Q120" s="151">
        <v>14795.706365243139</v>
      </c>
      <c r="R120" s="151">
        <v>15690.789826347042</v>
      </c>
    </row>
    <row r="121" spans="1:18">
      <c r="A121" t="s">
        <v>115</v>
      </c>
      <c r="B121" s="157">
        <v>2010</v>
      </c>
      <c r="C121" s="158">
        <v>3808.9409999999998</v>
      </c>
      <c r="D121" s="158">
        <v>7519.5379999999996</v>
      </c>
      <c r="E121" s="158">
        <v>4422.0259999999998</v>
      </c>
      <c r="F121" s="158">
        <v>0</v>
      </c>
      <c r="G121" s="158">
        <v>409.572</v>
      </c>
      <c r="H121" s="158">
        <v>-97.591999999999999</v>
      </c>
      <c r="I121" s="158">
        <v>3864.2918518199999</v>
      </c>
      <c r="J121" s="158">
        <v>15750.504999999999</v>
      </c>
      <c r="K121" s="158">
        <v>19926.776851819999</v>
      </c>
      <c r="L121" s="151">
        <v>2446.4949999999999</v>
      </c>
      <c r="M121" s="151">
        <v>7917.0286111588803</v>
      </c>
      <c r="N121" s="151">
        <v>5132.1060000000007</v>
      </c>
      <c r="O121" s="151">
        <v>26.783999999999999</v>
      </c>
      <c r="P121" s="151">
        <v>5158.8900000000003</v>
      </c>
      <c r="Q121" s="151">
        <v>15522.413611158881</v>
      </c>
      <c r="R121" s="151">
        <v>16461.460072124119</v>
      </c>
    </row>
    <row r="122" spans="1:18">
      <c r="A122" t="s">
        <v>115</v>
      </c>
      <c r="B122" s="157">
        <v>2011</v>
      </c>
      <c r="C122" s="158">
        <v>3234.4749999999999</v>
      </c>
      <c r="D122" s="158">
        <v>7049.9709999999995</v>
      </c>
      <c r="E122" s="158">
        <v>3708.54</v>
      </c>
      <c r="F122" s="158">
        <v>0</v>
      </c>
      <c r="G122" s="158">
        <v>413.02</v>
      </c>
      <c r="H122" s="158">
        <v>113.5</v>
      </c>
      <c r="I122" s="158">
        <v>3980.7353226330401</v>
      </c>
      <c r="J122" s="158">
        <v>13992.986000000001</v>
      </c>
      <c r="K122" s="158">
        <v>18500.241322633043</v>
      </c>
      <c r="L122" s="151">
        <v>2442.2840000000001</v>
      </c>
      <c r="M122" s="151">
        <v>7188.6400600936204</v>
      </c>
      <c r="N122" s="151">
        <v>5039.402</v>
      </c>
      <c r="O122" s="151">
        <v>130.489</v>
      </c>
      <c r="P122" s="151">
        <v>5169.8909999999996</v>
      </c>
      <c r="Q122" s="151">
        <v>14800.815060093621</v>
      </c>
      <c r="R122" s="151">
        <v>15696.207577632926</v>
      </c>
    </row>
    <row r="123" spans="1:18">
      <c r="A123" t="s">
        <v>115</v>
      </c>
      <c r="B123" s="157">
        <v>2012</v>
      </c>
      <c r="C123" s="158">
        <v>2467.7640000000001</v>
      </c>
      <c r="D123" s="158">
        <v>6789.3620000000001</v>
      </c>
      <c r="E123" s="158">
        <v>3484.462</v>
      </c>
      <c r="F123" s="158">
        <v>0</v>
      </c>
      <c r="G123" s="158">
        <v>401.37400000000002</v>
      </c>
      <c r="H123" s="158">
        <v>448.32299999999998</v>
      </c>
      <c r="I123" s="158">
        <v>4137.4549269131503</v>
      </c>
      <c r="J123" s="158">
        <v>12741.588</v>
      </c>
      <c r="K123" s="158">
        <v>17728.739926913149</v>
      </c>
      <c r="L123" s="151">
        <v>2303.364</v>
      </c>
      <c r="M123" s="151">
        <v>7088.83230428967</v>
      </c>
      <c r="N123" s="151">
        <v>4695.9830000000002</v>
      </c>
      <c r="O123" s="151">
        <v>206.227</v>
      </c>
      <c r="P123" s="151">
        <v>4902.21</v>
      </c>
      <c r="Q123" s="151">
        <v>14294.406304289671</v>
      </c>
      <c r="R123" s="151">
        <v>15159.163035291394</v>
      </c>
    </row>
    <row r="124" spans="1:18">
      <c r="A124" t="s">
        <v>115</v>
      </c>
      <c r="B124" s="159">
        <v>2013</v>
      </c>
      <c r="C124" s="161">
        <v>3173.5450000000001</v>
      </c>
      <c r="D124" s="161">
        <v>6544.9179999999997</v>
      </c>
      <c r="E124" s="161">
        <v>3315.9360000000001</v>
      </c>
      <c r="F124" s="161">
        <v>0</v>
      </c>
      <c r="G124" s="161">
        <v>402.61399999999998</v>
      </c>
      <c r="H124" s="161">
        <v>93.034999999999997</v>
      </c>
      <c r="I124" s="161">
        <v>4289.13840957294</v>
      </c>
      <c r="J124" s="161">
        <v>13034.398999999999</v>
      </c>
      <c r="K124" s="161">
        <v>17819.18640957294</v>
      </c>
      <c r="L124" s="162">
        <v>2179.3850000000002</v>
      </c>
      <c r="M124" s="162">
        <v>7119.3029777395604</v>
      </c>
      <c r="N124" s="162">
        <v>4618.0309999999999</v>
      </c>
      <c r="O124" s="162">
        <v>208.03200000000001</v>
      </c>
      <c r="P124" s="162">
        <v>4826.0630000000001</v>
      </c>
      <c r="Q124" s="162">
        <v>14124.750977739561</v>
      </c>
      <c r="R124" s="162">
        <v>14979.244212485377</v>
      </c>
    </row>
    <row r="125" spans="1:18">
      <c r="A125" t="s">
        <v>115</v>
      </c>
      <c r="B125" s="159">
        <v>2014</v>
      </c>
      <c r="C125" s="161">
        <v>2533.67</v>
      </c>
      <c r="D125" s="161">
        <v>6413.2520000000004</v>
      </c>
      <c r="E125" s="161">
        <v>2804.0250000000001</v>
      </c>
      <c r="F125" s="161">
        <v>0</v>
      </c>
      <c r="G125" s="161">
        <v>416.202</v>
      </c>
      <c r="H125" s="161">
        <v>245.48599999999999</v>
      </c>
      <c r="I125" s="161">
        <v>4495.2074654628796</v>
      </c>
      <c r="J125" s="161">
        <v>11750.947</v>
      </c>
      <c r="K125" s="161">
        <v>16907.84246546288</v>
      </c>
      <c r="L125" s="162">
        <v>2120.5990000000002</v>
      </c>
      <c r="M125" s="162">
        <v>6607.1505791535301</v>
      </c>
      <c r="N125" s="162">
        <v>4715.6710000000003</v>
      </c>
      <c r="O125" s="162">
        <v>213.34700000000001</v>
      </c>
      <c r="P125" s="162">
        <v>4929.018</v>
      </c>
      <c r="Q125" s="162">
        <v>13656.767579153529</v>
      </c>
      <c r="R125" s="162">
        <v>14482.949614027904</v>
      </c>
    </row>
    <row r="126" spans="1:18">
      <c r="A126" t="s">
        <v>115</v>
      </c>
      <c r="B126" s="159">
        <v>2015</v>
      </c>
      <c r="C126" s="161">
        <v>1817.65</v>
      </c>
      <c r="D126" s="161">
        <v>6434.893</v>
      </c>
      <c r="E126" s="161">
        <v>2854.0219999999999</v>
      </c>
      <c r="F126" s="161">
        <v>0</v>
      </c>
      <c r="G126" s="161">
        <v>429.05799999999999</v>
      </c>
      <c r="H126" s="161">
        <v>508.303</v>
      </c>
      <c r="I126" s="161">
        <v>4771.3883885545001</v>
      </c>
      <c r="J126" s="161">
        <v>11106.564999999999</v>
      </c>
      <c r="K126" s="161">
        <v>16815.3143885545</v>
      </c>
      <c r="L126" s="162">
        <v>2109.3850000000002</v>
      </c>
      <c r="M126" s="162">
        <v>6944.6232912964497</v>
      </c>
      <c r="N126" s="162">
        <v>4882.7049999999999</v>
      </c>
      <c r="O126" s="162">
        <v>214.28299999999999</v>
      </c>
      <c r="P126" s="162">
        <v>5096.9880000000003</v>
      </c>
      <c r="Q126" s="162">
        <v>14150.996291296451</v>
      </c>
      <c r="R126" s="162">
        <v>15007.077266804103</v>
      </c>
    </row>
    <row r="127" spans="1:18">
      <c r="A127" t="s">
        <v>115</v>
      </c>
      <c r="B127" s="159">
        <v>2016</v>
      </c>
      <c r="C127" s="161">
        <v>2004.7739999999999</v>
      </c>
      <c r="D127" s="161">
        <v>6571.0680000000002</v>
      </c>
      <c r="E127" s="161">
        <v>2879.1149999999998</v>
      </c>
      <c r="F127" s="161">
        <v>0</v>
      </c>
      <c r="G127" s="161">
        <v>429.41699999999997</v>
      </c>
      <c r="H127" s="161">
        <v>434.83199999999999</v>
      </c>
      <c r="I127" s="161">
        <v>4959.0456191841004</v>
      </c>
      <c r="J127" s="161">
        <v>11454.957</v>
      </c>
      <c r="K127" s="161">
        <v>17278.251619184099</v>
      </c>
      <c r="L127" s="162">
        <v>2165.623</v>
      </c>
      <c r="M127" s="162">
        <v>7112.14418458011</v>
      </c>
      <c r="N127" s="162">
        <v>5003.0029999999997</v>
      </c>
      <c r="O127" s="162">
        <v>217.46600000000001</v>
      </c>
      <c r="P127" s="162">
        <v>5220.4690000000001</v>
      </c>
      <c r="Q127" s="162">
        <v>14498.23618458011</v>
      </c>
      <c r="R127" s="162">
        <v>15375.323841204645</v>
      </c>
    </row>
    <row r="128" spans="1:18">
      <c r="A128" t="s">
        <v>115</v>
      </c>
      <c r="B128" s="159">
        <v>2017</v>
      </c>
      <c r="C128" s="161">
        <v>1535.847</v>
      </c>
      <c r="D128" s="161">
        <v>6760.6890000000003</v>
      </c>
      <c r="E128" s="161">
        <v>2748.8470000000002</v>
      </c>
      <c r="F128" s="161">
        <v>0</v>
      </c>
      <c r="G128" s="161">
        <v>439.34899999999999</v>
      </c>
      <c r="H128" s="161">
        <v>392.32299999999998</v>
      </c>
      <c r="I128" s="161">
        <v>5521.6544380433697</v>
      </c>
      <c r="J128" s="161">
        <v>11045.383</v>
      </c>
      <c r="K128" s="161">
        <v>17398.70943804337</v>
      </c>
      <c r="L128" s="162">
        <v>2284.7649999999999</v>
      </c>
      <c r="M128" s="162">
        <v>7050.4627750071604</v>
      </c>
      <c r="N128" s="162">
        <v>5024.9779999999992</v>
      </c>
      <c r="O128" s="162">
        <v>215.77</v>
      </c>
      <c r="P128" s="162">
        <v>5240.7479999999996</v>
      </c>
      <c r="Q128" s="162">
        <v>14575.975775007159</v>
      </c>
      <c r="R128" s="162">
        <v>15457.766378550652</v>
      </c>
    </row>
    <row r="129" spans="1:18">
      <c r="A129" t="s">
        <v>115</v>
      </c>
      <c r="B129" s="159">
        <v>2018</v>
      </c>
      <c r="C129" s="161">
        <v>1592.4780000000001</v>
      </c>
      <c r="D129" s="161">
        <v>6798.2510000000002</v>
      </c>
      <c r="E129" s="161">
        <v>2674.4720000000002</v>
      </c>
      <c r="F129" s="161">
        <v>0</v>
      </c>
      <c r="G129" s="161">
        <v>435.24400000000003</v>
      </c>
      <c r="H129" s="161">
        <v>449.21300000000002</v>
      </c>
      <c r="I129" s="161">
        <v>5453.1282430495803</v>
      </c>
      <c r="J129" s="161">
        <v>11065.200999999999</v>
      </c>
      <c r="K129" s="161">
        <v>17402.786243049581</v>
      </c>
      <c r="L129" s="162">
        <v>2314.636</v>
      </c>
      <c r="M129" s="162">
        <v>6919.9899395242101</v>
      </c>
      <c r="N129" s="162">
        <v>5117.4150000000009</v>
      </c>
      <c r="O129" s="162">
        <v>213.91300000000001</v>
      </c>
      <c r="P129" s="162">
        <v>5331.3280000000004</v>
      </c>
      <c r="Q129" s="162">
        <v>14565.95393952421</v>
      </c>
      <c r="R129" s="162">
        <v>15447.13826047671</v>
      </c>
    </row>
    <row r="130" spans="1:18">
      <c r="A130" t="s">
        <v>115</v>
      </c>
      <c r="B130" s="159">
        <v>2019</v>
      </c>
      <c r="C130" s="161">
        <v>968.92600000000004</v>
      </c>
      <c r="D130" s="161">
        <v>6728.6469999999999</v>
      </c>
      <c r="E130" s="161">
        <v>2529.2469999999998</v>
      </c>
      <c r="F130" s="161">
        <v>0</v>
      </c>
      <c r="G130" s="161">
        <v>446.322</v>
      </c>
      <c r="H130" s="161">
        <v>499.64400000000001</v>
      </c>
      <c r="I130" s="161">
        <v>5706.1223625680695</v>
      </c>
      <c r="J130" s="161">
        <v>10226.82</v>
      </c>
      <c r="K130" s="161">
        <v>16878.908362568069</v>
      </c>
      <c r="L130" s="162">
        <v>2257.7159999999999</v>
      </c>
      <c r="M130" s="162">
        <v>6769.1337801662303</v>
      </c>
      <c r="N130" s="162">
        <v>5055.3249999999998</v>
      </c>
      <c r="O130" s="162">
        <v>227.15799999999999</v>
      </c>
      <c r="P130" s="162">
        <v>5282.4830000000002</v>
      </c>
      <c r="Q130" s="162">
        <v>14309.332780166231</v>
      </c>
      <c r="R130" s="162">
        <v>15174.992505682705</v>
      </c>
    </row>
    <row r="131" spans="1:18">
      <c r="A131" t="s">
        <v>115</v>
      </c>
      <c r="B131" s="159">
        <v>2020</v>
      </c>
      <c r="C131" s="161">
        <v>819.71400000000006</v>
      </c>
      <c r="D131" s="161">
        <v>5625.8180000000002</v>
      </c>
      <c r="E131" s="161">
        <v>2112.2359999999999</v>
      </c>
      <c r="F131" s="161">
        <v>0</v>
      </c>
      <c r="G131" s="161">
        <v>447.19</v>
      </c>
      <c r="H131" s="161">
        <v>591.79499999999996</v>
      </c>
      <c r="I131" s="161">
        <v>5872.4762984618301</v>
      </c>
      <c r="J131" s="161">
        <v>8557.768</v>
      </c>
      <c r="K131" s="161">
        <v>15469.229298461831</v>
      </c>
      <c r="L131" s="162">
        <v>2304.3739999999998</v>
      </c>
      <c r="M131" s="162">
        <v>6511.5389719117202</v>
      </c>
      <c r="N131" s="162">
        <v>4018.7919999999995</v>
      </c>
      <c r="O131" s="162">
        <v>251.47399999999999</v>
      </c>
      <c r="P131" s="162">
        <v>4270.2659999999996</v>
      </c>
      <c r="Q131" s="162">
        <v>13086.178971911719</v>
      </c>
      <c r="R131" s="162">
        <v>13877.842585507053</v>
      </c>
    </row>
    <row r="132" spans="1:18">
      <c r="A132" t="s">
        <v>115</v>
      </c>
      <c r="B132" s="159">
        <v>2021</v>
      </c>
      <c r="C132" s="161">
        <v>1120.0170000000001</v>
      </c>
      <c r="D132" s="161">
        <v>5810.902</v>
      </c>
      <c r="E132" s="161">
        <v>1933.425</v>
      </c>
      <c r="F132" s="161">
        <v>0</v>
      </c>
      <c r="G132" s="161">
        <v>432.654</v>
      </c>
      <c r="H132" s="161">
        <v>418.64499999999998</v>
      </c>
      <c r="I132" s="161">
        <v>6635.6550366867205</v>
      </c>
      <c r="J132" s="161">
        <v>8864.3439999999991</v>
      </c>
      <c r="K132" s="161">
        <v>16351.29803668672</v>
      </c>
      <c r="L132" s="162">
        <v>2474.7359999999999</v>
      </c>
      <c r="M132" s="162">
        <v>6954.0839229005396</v>
      </c>
      <c r="N132" s="162">
        <v>4193.3230000000003</v>
      </c>
      <c r="O132" s="162">
        <v>256.63200000000001</v>
      </c>
      <c r="P132" s="162">
        <v>4449.9549999999999</v>
      </c>
      <c r="Q132" s="162">
        <v>13878.774922900539</v>
      </c>
      <c r="R132" s="162">
        <v>14718.387550186395</v>
      </c>
    </row>
    <row r="133" spans="1:18">
      <c r="A133" t="s">
        <v>115</v>
      </c>
      <c r="B133" s="159">
        <v>2022</v>
      </c>
      <c r="C133" s="161">
        <v>1075.4860000000001</v>
      </c>
      <c r="D133" s="161">
        <v>6425.2669999999998</v>
      </c>
      <c r="E133" s="161">
        <v>1439.123</v>
      </c>
      <c r="F133" s="161">
        <v>0</v>
      </c>
      <c r="G133" s="161">
        <v>424.02699999999999</v>
      </c>
      <c r="H133" s="161">
        <v>117.17</v>
      </c>
      <c r="I133" s="161">
        <v>6506.8531536256696</v>
      </c>
      <c r="J133" s="161">
        <v>8939.8760000000002</v>
      </c>
      <c r="K133" s="161">
        <v>15987.926153625671</v>
      </c>
      <c r="L133" s="162">
        <v>2368.076</v>
      </c>
      <c r="M133" s="162">
        <v>6263.3746295022402</v>
      </c>
      <c r="N133" s="162">
        <v>4484.4569999999994</v>
      </c>
      <c r="O133" s="162">
        <v>233.63499999999999</v>
      </c>
      <c r="P133" s="162">
        <v>4718.0919999999996</v>
      </c>
      <c r="Q133" s="162">
        <v>13349.542629502241</v>
      </c>
      <c r="R133" s="162">
        <v>14157.138733804397</v>
      </c>
    </row>
    <row r="134" spans="1:18">
      <c r="A134" t="s">
        <v>115</v>
      </c>
      <c r="B134" s="159">
        <v>2023</v>
      </c>
      <c r="C134" s="161">
        <v>715.2097284728053</v>
      </c>
      <c r="D134" s="161">
        <v>6419.0050175706137</v>
      </c>
      <c r="E134" s="161">
        <v>1392.9499543721238</v>
      </c>
      <c r="F134" s="161">
        <v>0</v>
      </c>
      <c r="G134" s="161">
        <v>423.16690466531441</v>
      </c>
      <c r="H134" s="161">
        <v>269.32146525371917</v>
      </c>
      <c r="I134" s="161">
        <v>6608.844748025328</v>
      </c>
      <c r="J134" s="161">
        <v>8527.164700415542</v>
      </c>
      <c r="K134" s="161">
        <v>15828.497818359905</v>
      </c>
      <c r="L134" s="162">
        <v>2364.2443354938664</v>
      </c>
      <c r="M134" s="162">
        <v>6263.3746295022402</v>
      </c>
      <c r="N134" s="162">
        <v>4331.1485804349923</v>
      </c>
      <c r="O134" s="162">
        <v>238.65501783786087</v>
      </c>
      <c r="P134" s="162">
        <v>4569.8035982728534</v>
      </c>
      <c r="Q134" s="162">
        <v>13197.422563268959</v>
      </c>
      <c r="R134" s="162">
        <v>13995.815987278182</v>
      </c>
    </row>
    <row r="135" spans="1:18">
      <c r="A135" t="s">
        <v>120</v>
      </c>
      <c r="B135" s="157">
        <v>2005</v>
      </c>
      <c r="C135" s="158">
        <v>3418.1779999999999</v>
      </c>
      <c r="D135" s="158">
        <v>729.12800000000004</v>
      </c>
      <c r="E135" s="158">
        <v>682.46</v>
      </c>
      <c r="F135" s="158">
        <v>0</v>
      </c>
      <c r="G135" s="158">
        <v>0</v>
      </c>
      <c r="H135" s="158">
        <v>-138.26300000000001</v>
      </c>
      <c r="I135" s="158">
        <v>588.73400000000004</v>
      </c>
      <c r="J135" s="158">
        <v>4829.7659999999996</v>
      </c>
      <c r="K135" s="158">
        <v>5280.2370000000001</v>
      </c>
      <c r="L135" s="151">
        <v>710.31399999999996</v>
      </c>
      <c r="M135" s="151">
        <v>1381.921</v>
      </c>
      <c r="N135" s="151">
        <v>768.47</v>
      </c>
      <c r="O135" s="151">
        <v>0.155</v>
      </c>
      <c r="P135" s="151">
        <v>768.625</v>
      </c>
      <c r="Q135" s="151">
        <v>2860.8599999999997</v>
      </c>
      <c r="R135" s="151">
        <v>2952.7976193291033</v>
      </c>
    </row>
    <row r="136" spans="1:18">
      <c r="A136" t="s">
        <v>120</v>
      </c>
      <c r="B136" s="157">
        <v>2006</v>
      </c>
      <c r="C136" s="158">
        <v>3346.252</v>
      </c>
      <c r="D136" s="158">
        <v>716.26300000000003</v>
      </c>
      <c r="E136" s="158">
        <v>691.20799999999997</v>
      </c>
      <c r="F136" s="158">
        <v>0</v>
      </c>
      <c r="G136" s="158">
        <v>0</v>
      </c>
      <c r="H136" s="158">
        <v>-64.488</v>
      </c>
      <c r="I136" s="158">
        <v>531.93899999999996</v>
      </c>
      <c r="J136" s="158">
        <v>4753.723</v>
      </c>
      <c r="K136" s="158">
        <v>5221.174</v>
      </c>
      <c r="L136" s="151">
        <v>684.66</v>
      </c>
      <c r="M136" s="151">
        <v>1376.9159999999999</v>
      </c>
      <c r="N136" s="151">
        <v>818.63700000000006</v>
      </c>
      <c r="O136" s="151">
        <v>1.121</v>
      </c>
      <c r="P136" s="151">
        <v>819.75800000000004</v>
      </c>
      <c r="Q136" s="151">
        <v>2881.3339999999998</v>
      </c>
      <c r="R136" s="151">
        <v>2973.9295791097793</v>
      </c>
    </row>
    <row r="137" spans="1:18">
      <c r="A137" t="s">
        <v>120</v>
      </c>
      <c r="B137" s="157">
        <v>2007</v>
      </c>
      <c r="C137" s="158">
        <v>4343.915</v>
      </c>
      <c r="D137" s="158">
        <v>723.11800000000005</v>
      </c>
      <c r="E137" s="158">
        <v>691.22900000000004</v>
      </c>
      <c r="F137" s="158">
        <v>0</v>
      </c>
      <c r="G137" s="158">
        <v>0</v>
      </c>
      <c r="H137" s="158">
        <v>-208.083</v>
      </c>
      <c r="I137" s="158">
        <v>602.202</v>
      </c>
      <c r="J137" s="158">
        <v>5758.2620000000006</v>
      </c>
      <c r="K137" s="158">
        <v>6152.3810000000012</v>
      </c>
      <c r="L137" s="151">
        <v>755.28599999999994</v>
      </c>
      <c r="M137" s="151">
        <v>1464.675</v>
      </c>
      <c r="N137" s="151">
        <v>862.19400000000007</v>
      </c>
      <c r="O137" s="151">
        <v>0.51600000000000001</v>
      </c>
      <c r="P137" s="151">
        <v>862.71</v>
      </c>
      <c r="Q137" s="151">
        <v>3082.6710000000003</v>
      </c>
      <c r="R137" s="151">
        <v>3181.7368168924272</v>
      </c>
    </row>
    <row r="138" spans="1:18">
      <c r="A138" t="s">
        <v>120</v>
      </c>
      <c r="B138" s="157">
        <v>2008</v>
      </c>
      <c r="C138" s="158">
        <v>3470.663</v>
      </c>
      <c r="D138" s="158">
        <v>683.06600000000003</v>
      </c>
      <c r="E138" s="158">
        <v>654.44899999999996</v>
      </c>
      <c r="F138" s="158">
        <v>0</v>
      </c>
      <c r="G138" s="158">
        <v>0</v>
      </c>
      <c r="H138" s="158">
        <v>-80.911000000000001</v>
      </c>
      <c r="I138" s="158">
        <v>650.327</v>
      </c>
      <c r="J138" s="158">
        <v>4808.1779999999999</v>
      </c>
      <c r="K138" s="158">
        <v>5377.5940000000001</v>
      </c>
      <c r="L138" s="151">
        <v>732.029</v>
      </c>
      <c r="M138" s="151">
        <v>1480.088</v>
      </c>
      <c r="N138" s="151">
        <v>841.15600000000006</v>
      </c>
      <c r="O138" s="151">
        <v>4.1559999999999997</v>
      </c>
      <c r="P138" s="151">
        <v>845.31200000000001</v>
      </c>
      <c r="Q138" s="151">
        <v>3057.4290000000001</v>
      </c>
      <c r="R138" s="151">
        <v>3155.6836309598384</v>
      </c>
    </row>
    <row r="139" spans="1:18">
      <c r="A139" t="s">
        <v>120</v>
      </c>
      <c r="B139" s="157">
        <v>2009</v>
      </c>
      <c r="C139" s="158">
        <v>2571.7260000000001</v>
      </c>
      <c r="D139" s="158">
        <v>515.76800000000003</v>
      </c>
      <c r="E139" s="158">
        <v>512.25300000000004</v>
      </c>
      <c r="F139" s="158">
        <v>0</v>
      </c>
      <c r="G139" s="158">
        <v>0</v>
      </c>
      <c r="H139" s="158">
        <v>7.0510000000000002</v>
      </c>
      <c r="I139" s="158">
        <v>719.30499999999995</v>
      </c>
      <c r="J139" s="158">
        <v>3599.7470000000003</v>
      </c>
      <c r="K139" s="158">
        <v>4326.1030000000001</v>
      </c>
      <c r="L139" s="151">
        <v>529.85400000000004</v>
      </c>
      <c r="M139" s="151">
        <v>1481.4369999999999</v>
      </c>
      <c r="N139" s="151">
        <v>748.16600000000005</v>
      </c>
      <c r="O139" s="151">
        <v>1.7609999999999999</v>
      </c>
      <c r="P139" s="151">
        <v>749.92700000000002</v>
      </c>
      <c r="Q139" s="151">
        <v>2761.2179999999998</v>
      </c>
      <c r="R139" s="151">
        <v>2849.9534884086147</v>
      </c>
    </row>
    <row r="140" spans="1:18">
      <c r="A140" t="s">
        <v>120</v>
      </c>
      <c r="B140" s="157">
        <v>2010</v>
      </c>
      <c r="C140" s="158">
        <v>4172.5410000000002</v>
      </c>
      <c r="D140" s="158">
        <v>524.53800000000001</v>
      </c>
      <c r="E140" s="158">
        <v>562.51099999999997</v>
      </c>
      <c r="F140" s="158">
        <v>0</v>
      </c>
      <c r="G140" s="158">
        <v>0</v>
      </c>
      <c r="H140" s="158">
        <v>-279.79399999999998</v>
      </c>
      <c r="I140" s="158">
        <v>854.23099999999999</v>
      </c>
      <c r="J140" s="158">
        <v>5259.59</v>
      </c>
      <c r="K140" s="158">
        <v>5834.027</v>
      </c>
      <c r="L140" s="151">
        <v>577.67100000000005</v>
      </c>
      <c r="M140" s="151">
        <v>1546.21</v>
      </c>
      <c r="N140" s="151">
        <v>780.51099999999997</v>
      </c>
      <c r="O140" s="151">
        <v>7.7389999999999999</v>
      </c>
      <c r="P140" s="151">
        <v>788.25</v>
      </c>
      <c r="Q140" s="151">
        <v>2912.1310000000003</v>
      </c>
      <c r="R140" s="151">
        <v>3005.716282507527</v>
      </c>
    </row>
    <row r="141" spans="1:18">
      <c r="A141" t="s">
        <v>120</v>
      </c>
      <c r="B141" s="157">
        <v>2011</v>
      </c>
      <c r="C141" s="158">
        <v>4147.6360000000004</v>
      </c>
      <c r="D141" s="158">
        <v>507.87700000000001</v>
      </c>
      <c r="E141" s="158">
        <v>503.28899999999999</v>
      </c>
      <c r="F141" s="158">
        <v>0</v>
      </c>
      <c r="G141" s="158">
        <v>0</v>
      </c>
      <c r="H141" s="158">
        <v>-306.27699999999999</v>
      </c>
      <c r="I141" s="158">
        <v>836.16499999999996</v>
      </c>
      <c r="J141" s="158">
        <v>5158.8020000000006</v>
      </c>
      <c r="K141" s="158">
        <v>5688.6900000000005</v>
      </c>
      <c r="L141" s="151">
        <v>586.04499999999996</v>
      </c>
      <c r="M141" s="151">
        <v>1446.3810000000001</v>
      </c>
      <c r="N141" s="151">
        <v>790.149</v>
      </c>
      <c r="O141" s="151">
        <v>4.4969999999999999</v>
      </c>
      <c r="P141" s="151">
        <v>794.64599999999996</v>
      </c>
      <c r="Q141" s="151">
        <v>2827.0720000000001</v>
      </c>
      <c r="R141" s="151">
        <v>2917.9237960864807</v>
      </c>
    </row>
    <row r="142" spans="1:18">
      <c r="A142" t="s">
        <v>120</v>
      </c>
      <c r="B142" s="157">
        <v>2012</v>
      </c>
      <c r="C142" s="158">
        <v>3488.2379999999998</v>
      </c>
      <c r="D142" s="158">
        <v>509.80599999999998</v>
      </c>
      <c r="E142" s="158">
        <v>534.82399999999996</v>
      </c>
      <c r="F142" s="158">
        <v>0</v>
      </c>
      <c r="G142" s="158">
        <v>0</v>
      </c>
      <c r="H142" s="158">
        <v>-192.60499999999999</v>
      </c>
      <c r="I142" s="158">
        <v>861.44200000000001</v>
      </c>
      <c r="J142" s="158">
        <v>4532.8679999999995</v>
      </c>
      <c r="K142" s="158">
        <v>5201.7049999999999</v>
      </c>
      <c r="L142" s="151">
        <v>564.24699999999996</v>
      </c>
      <c r="M142" s="151">
        <v>1505.1659999999999</v>
      </c>
      <c r="N142" s="151">
        <v>813.69200000000001</v>
      </c>
      <c r="O142" s="151">
        <v>3.8410000000000002</v>
      </c>
      <c r="P142" s="151">
        <v>817.53300000000002</v>
      </c>
      <c r="Q142" s="151">
        <v>2886.9459999999999</v>
      </c>
      <c r="R142" s="151">
        <v>2979.7219283473078</v>
      </c>
    </row>
    <row r="143" spans="1:18">
      <c r="A143" t="s">
        <v>120</v>
      </c>
      <c r="B143" s="157">
        <v>2013</v>
      </c>
      <c r="C143" s="158">
        <v>4154.4459999999999</v>
      </c>
      <c r="D143" s="158">
        <v>435.35899999999998</v>
      </c>
      <c r="E143" s="158">
        <v>486.28500000000003</v>
      </c>
      <c r="F143" s="158">
        <v>0</v>
      </c>
      <c r="G143" s="158">
        <v>104.328</v>
      </c>
      <c r="H143" s="158">
        <v>-308.512</v>
      </c>
      <c r="I143" s="158">
        <v>851.13800000000003</v>
      </c>
      <c r="J143" s="158">
        <v>5076.09</v>
      </c>
      <c r="K143" s="158">
        <v>5723.0440000000008</v>
      </c>
      <c r="L143" s="151">
        <v>639.59699999999998</v>
      </c>
      <c r="M143" s="151">
        <v>1461.521</v>
      </c>
      <c r="N143" s="151">
        <v>783.64300000000003</v>
      </c>
      <c r="O143" s="151">
        <v>3.2010000000000001</v>
      </c>
      <c r="P143" s="151">
        <v>786.84400000000005</v>
      </c>
      <c r="Q143" s="151">
        <v>2887.962</v>
      </c>
      <c r="R143" s="151">
        <v>2980.77057888639</v>
      </c>
    </row>
    <row r="144" spans="1:18">
      <c r="A144" t="s">
        <v>120</v>
      </c>
      <c r="B144" s="159">
        <v>2014</v>
      </c>
      <c r="C144" s="161">
        <v>3985.4389999999999</v>
      </c>
      <c r="D144" s="161">
        <v>369.488</v>
      </c>
      <c r="E144" s="161">
        <v>435.55500000000001</v>
      </c>
      <c r="F144" s="161">
        <v>0</v>
      </c>
      <c r="G144" s="161">
        <v>68.262</v>
      </c>
      <c r="H144" s="161">
        <v>-236.80099999999999</v>
      </c>
      <c r="I144" s="161">
        <v>858.24400000000003</v>
      </c>
      <c r="J144" s="161">
        <v>4790.482</v>
      </c>
      <c r="K144" s="161">
        <v>5480.186999999999</v>
      </c>
      <c r="L144" s="162">
        <v>555.81899999999996</v>
      </c>
      <c r="M144" s="162">
        <v>1477.019</v>
      </c>
      <c r="N144" s="162">
        <v>784.05899999999997</v>
      </c>
      <c r="O144" s="162">
        <v>5.1210000000000004</v>
      </c>
      <c r="P144" s="162">
        <v>789.18</v>
      </c>
      <c r="Q144" s="162">
        <v>2822.018</v>
      </c>
      <c r="R144" s="162">
        <v>2912.7073789363617</v>
      </c>
    </row>
    <row r="145" spans="1:18">
      <c r="A145" t="s">
        <v>120</v>
      </c>
      <c r="B145" s="159">
        <v>2015</v>
      </c>
      <c r="C145" s="161">
        <v>3203.567</v>
      </c>
      <c r="D145" s="161">
        <v>263.51600000000002</v>
      </c>
      <c r="E145" s="161">
        <v>390.45600000000002</v>
      </c>
      <c r="F145" s="161">
        <v>0</v>
      </c>
      <c r="G145" s="161">
        <v>47.338999999999999</v>
      </c>
      <c r="H145" s="161">
        <v>-79.536000000000001</v>
      </c>
      <c r="I145" s="161">
        <v>933.79100000000005</v>
      </c>
      <c r="J145" s="161">
        <v>3857.5390000000002</v>
      </c>
      <c r="K145" s="161">
        <v>4759.1329999999998</v>
      </c>
      <c r="L145" s="162">
        <v>535.03300000000002</v>
      </c>
      <c r="M145" s="162">
        <v>1455.308</v>
      </c>
      <c r="N145" s="162">
        <v>807.42700000000002</v>
      </c>
      <c r="O145" s="162">
        <v>2.56</v>
      </c>
      <c r="P145" s="162">
        <v>809.98699999999997</v>
      </c>
      <c r="Q145" s="162">
        <v>2800.328</v>
      </c>
      <c r="R145" s="162">
        <v>2890.3203413451306</v>
      </c>
    </row>
    <row r="146" spans="1:18">
      <c r="A146" t="s">
        <v>120</v>
      </c>
      <c r="B146" s="159">
        <v>2016</v>
      </c>
      <c r="C146" s="161">
        <v>4244.37</v>
      </c>
      <c r="D146" s="161">
        <v>413.005</v>
      </c>
      <c r="E146" s="161">
        <v>428.267</v>
      </c>
      <c r="F146" s="161">
        <v>0</v>
      </c>
      <c r="G146" s="161">
        <v>46.36</v>
      </c>
      <c r="H146" s="161">
        <v>-175.15</v>
      </c>
      <c r="I146" s="161">
        <v>1001.066</v>
      </c>
      <c r="J146" s="161">
        <v>5085.6419999999998</v>
      </c>
      <c r="K146" s="161">
        <v>5957.9179999999997</v>
      </c>
      <c r="L146" s="162">
        <v>457.75700000000001</v>
      </c>
      <c r="M146" s="162">
        <v>1560.182</v>
      </c>
      <c r="N146" s="162">
        <v>820.81000000000006</v>
      </c>
      <c r="O146" s="162">
        <v>1.92</v>
      </c>
      <c r="P146" s="162">
        <v>822.73</v>
      </c>
      <c r="Q146" s="162">
        <v>2840.6689999999999</v>
      </c>
      <c r="R146" s="162">
        <v>2931.957754137562</v>
      </c>
    </row>
    <row r="147" spans="1:18">
      <c r="A147" t="s">
        <v>120</v>
      </c>
      <c r="B147" s="159">
        <v>2017</v>
      </c>
      <c r="C147" s="161">
        <v>4330.0789999999997</v>
      </c>
      <c r="D147" s="161">
        <v>153.79499999999999</v>
      </c>
      <c r="E147" s="161">
        <v>405.95800000000003</v>
      </c>
      <c r="F147" s="161">
        <v>0</v>
      </c>
      <c r="G147" s="161">
        <v>45.097000000000001</v>
      </c>
      <c r="H147" s="161">
        <v>-235.08199999999999</v>
      </c>
      <c r="I147" s="161">
        <v>1075.6790000000001</v>
      </c>
      <c r="J147" s="161">
        <v>4889.8319999999994</v>
      </c>
      <c r="K147" s="161">
        <v>5775.5259999999989</v>
      </c>
      <c r="L147" s="162">
        <v>462.92599999999999</v>
      </c>
      <c r="M147" s="162">
        <v>1540.625</v>
      </c>
      <c r="N147" s="162">
        <v>861.04399999999998</v>
      </c>
      <c r="O147" s="162">
        <v>2.4710000000000001</v>
      </c>
      <c r="P147" s="162">
        <v>863.51499999999999</v>
      </c>
      <c r="Q147" s="162">
        <v>2867.0659999999998</v>
      </c>
      <c r="R147" s="162">
        <v>2959.2030575629065</v>
      </c>
    </row>
    <row r="148" spans="1:18">
      <c r="A148" t="s">
        <v>120</v>
      </c>
      <c r="B148" s="159">
        <v>2018</v>
      </c>
      <c r="C148" s="161">
        <v>4056.319</v>
      </c>
      <c r="D148" s="161">
        <v>82.613</v>
      </c>
      <c r="E148" s="161">
        <v>413.613</v>
      </c>
      <c r="F148" s="161">
        <v>0</v>
      </c>
      <c r="G148" s="161">
        <v>49.783999999999999</v>
      </c>
      <c r="H148" s="161">
        <v>-163.113</v>
      </c>
      <c r="I148" s="161">
        <v>1156.0889999999999</v>
      </c>
      <c r="J148" s="161">
        <v>4552.5450000000001</v>
      </c>
      <c r="K148" s="161">
        <v>5595.3049999999994</v>
      </c>
      <c r="L148" s="162">
        <v>485.92099999999999</v>
      </c>
      <c r="M148" s="162">
        <v>1567.3810000000001</v>
      </c>
      <c r="N148" s="162">
        <v>885.52300000000002</v>
      </c>
      <c r="O148" s="162">
        <v>18.678999999999998</v>
      </c>
      <c r="P148" s="162">
        <v>904.202</v>
      </c>
      <c r="Q148" s="162">
        <v>2957.5039999999999</v>
      </c>
      <c r="R148" s="162">
        <v>3052.5474054502147</v>
      </c>
    </row>
    <row r="149" spans="1:18">
      <c r="A149" t="s">
        <v>120</v>
      </c>
      <c r="B149" s="159">
        <v>2019</v>
      </c>
      <c r="C149" s="161">
        <v>3014.694</v>
      </c>
      <c r="D149" s="161">
        <v>-7.5810000000000004</v>
      </c>
      <c r="E149" s="161">
        <v>380.173</v>
      </c>
      <c r="F149" s="161">
        <v>0</v>
      </c>
      <c r="G149" s="161">
        <v>42.216999999999999</v>
      </c>
      <c r="H149" s="161">
        <v>185.46899999999999</v>
      </c>
      <c r="I149" s="161">
        <v>1179.377</v>
      </c>
      <c r="J149" s="161">
        <v>3387.2860000000001</v>
      </c>
      <c r="K149" s="161">
        <v>4794.3490000000002</v>
      </c>
      <c r="L149" s="162">
        <v>459.30700000000002</v>
      </c>
      <c r="M149" s="162">
        <v>1526.913</v>
      </c>
      <c r="N149" s="162">
        <v>878.428</v>
      </c>
      <c r="O149" s="162">
        <v>29.893000000000001</v>
      </c>
      <c r="P149" s="162">
        <v>908.32100000000003</v>
      </c>
      <c r="Q149" s="162">
        <v>2894.5410000000002</v>
      </c>
      <c r="R149" s="162">
        <v>2987.5610039814896</v>
      </c>
    </row>
    <row r="150" spans="1:18">
      <c r="A150" t="s">
        <v>120</v>
      </c>
      <c r="B150" s="159">
        <v>2020</v>
      </c>
      <c r="C150" s="161">
        <v>2431.1509999999998</v>
      </c>
      <c r="D150" s="161">
        <v>-126.509</v>
      </c>
      <c r="E150" s="161">
        <v>348.00200000000001</v>
      </c>
      <c r="F150" s="161">
        <v>0</v>
      </c>
      <c r="G150" s="161">
        <v>34.223999999999997</v>
      </c>
      <c r="H150" s="161">
        <v>313.32799999999997</v>
      </c>
      <c r="I150" s="161">
        <v>1319.63</v>
      </c>
      <c r="J150" s="161">
        <v>2652.6439999999998</v>
      </c>
      <c r="K150" s="161">
        <v>4319.826</v>
      </c>
      <c r="L150" s="162">
        <v>408.03699999999998</v>
      </c>
      <c r="M150" s="162">
        <v>1521.8309999999999</v>
      </c>
      <c r="N150" s="162">
        <v>777.63300000000004</v>
      </c>
      <c r="O150" s="162">
        <v>41.997</v>
      </c>
      <c r="P150" s="162">
        <v>819.63</v>
      </c>
      <c r="Q150" s="162">
        <v>2749.4979999999996</v>
      </c>
      <c r="R150" s="162">
        <v>2837.8568503003053</v>
      </c>
    </row>
    <row r="151" spans="1:18">
      <c r="A151" t="s">
        <v>120</v>
      </c>
      <c r="B151" s="159">
        <v>2021</v>
      </c>
      <c r="C151" s="161">
        <v>2658.0259999999998</v>
      </c>
      <c r="D151" s="161">
        <v>-182.81299999999999</v>
      </c>
      <c r="E151" s="161">
        <v>394.22300000000001</v>
      </c>
      <c r="F151" s="161">
        <v>0</v>
      </c>
      <c r="G151" s="161">
        <v>35.926000000000002</v>
      </c>
      <c r="H151" s="161">
        <v>226.05600000000001</v>
      </c>
      <c r="I151" s="161">
        <v>1319.855</v>
      </c>
      <c r="J151" s="161">
        <v>2869.4359999999997</v>
      </c>
      <c r="K151" s="161">
        <v>4451.2729999999992</v>
      </c>
      <c r="L151" s="162">
        <v>383.584</v>
      </c>
      <c r="M151" s="162">
        <v>1565.825</v>
      </c>
      <c r="N151" s="162">
        <v>832.88200000000006</v>
      </c>
      <c r="O151" s="162">
        <v>50.405999999999999</v>
      </c>
      <c r="P151" s="162">
        <v>883.28800000000001</v>
      </c>
      <c r="Q151" s="162">
        <v>2832.6970000000001</v>
      </c>
      <c r="R151" s="162">
        <v>2923.7295630966546</v>
      </c>
    </row>
    <row r="152" spans="1:18">
      <c r="A152" t="s">
        <v>120</v>
      </c>
      <c r="B152" s="159">
        <v>2022</v>
      </c>
      <c r="C152" s="161">
        <v>2890.6190000000001</v>
      </c>
      <c r="D152" s="161">
        <v>98.085999999999999</v>
      </c>
      <c r="E152" s="161">
        <v>292.09300000000002</v>
      </c>
      <c r="F152" s="161">
        <v>0</v>
      </c>
      <c r="G152" s="161">
        <v>34.899000000000001</v>
      </c>
      <c r="H152" s="161">
        <v>86.93</v>
      </c>
      <c r="I152" s="161">
        <v>1320.3040000000001</v>
      </c>
      <c r="J152" s="161">
        <v>3280.7979999999998</v>
      </c>
      <c r="K152" s="161">
        <v>4722.9309999999996</v>
      </c>
      <c r="L152" s="162">
        <v>358.4</v>
      </c>
      <c r="M152" s="162">
        <v>1516.5920000000001</v>
      </c>
      <c r="N152" s="162">
        <v>869.99099999999999</v>
      </c>
      <c r="O152" s="162">
        <v>33.097000000000001</v>
      </c>
      <c r="P152" s="162">
        <v>903.08799999999997</v>
      </c>
      <c r="Q152" s="162">
        <v>2778.08</v>
      </c>
      <c r="R152" s="162">
        <v>2867.357371666491</v>
      </c>
    </row>
    <row r="153" spans="1:18">
      <c r="A153" t="s">
        <v>120</v>
      </c>
      <c r="B153" s="159">
        <v>2023</v>
      </c>
      <c r="C153" s="161">
        <v>2322.3457737974936</v>
      </c>
      <c r="D153" s="161">
        <v>97.722381835032436</v>
      </c>
      <c r="E153" s="161">
        <v>267.64816032360704</v>
      </c>
      <c r="F153" s="161">
        <v>0</v>
      </c>
      <c r="G153" s="161">
        <v>36.065417708073838</v>
      </c>
      <c r="H153" s="161">
        <v>-17.626666666648816</v>
      </c>
      <c r="I153" s="161">
        <v>1377.9060137721651</v>
      </c>
      <c r="J153" s="161">
        <v>2687.7163159561333</v>
      </c>
      <c r="K153" s="161">
        <v>4084.061080769723</v>
      </c>
      <c r="L153" s="162">
        <v>319.82029999999213</v>
      </c>
      <c r="M153" s="162">
        <v>1516.5920000000001</v>
      </c>
      <c r="N153" s="162">
        <v>901.44191528866224</v>
      </c>
      <c r="O153" s="162">
        <v>48.613035716935549</v>
      </c>
      <c r="P153" s="162">
        <v>950.05495100559779</v>
      </c>
      <c r="Q153" s="162">
        <v>2786.4672510055898</v>
      </c>
      <c r="R153" s="162">
        <v>2876.0141583677</v>
      </c>
    </row>
    <row r="154" spans="1:18">
      <c r="A154" t="s">
        <v>85</v>
      </c>
      <c r="B154" s="157">
        <v>2005</v>
      </c>
      <c r="C154" s="158">
        <v>20516.621999999999</v>
      </c>
      <c r="D154" s="158">
        <v>62845.224999999999</v>
      </c>
      <c r="E154" s="158">
        <v>29364.008999999998</v>
      </c>
      <c r="F154" s="158">
        <v>14842.39</v>
      </c>
      <c r="G154" s="158">
        <v>189.261</v>
      </c>
      <c r="H154" s="158">
        <v>-115.477</v>
      </c>
      <c r="I154" s="158">
        <v>8392.9599999999991</v>
      </c>
      <c r="J154" s="158">
        <v>112725.856</v>
      </c>
      <c r="K154" s="158">
        <v>136034.99</v>
      </c>
      <c r="L154" s="151">
        <v>29937.214</v>
      </c>
      <c r="M154" s="151">
        <v>28011.563999999998</v>
      </c>
      <c r="N154" s="151">
        <v>39907.572</v>
      </c>
      <c r="O154" s="151">
        <v>261.30200000000002</v>
      </c>
      <c r="P154" s="151">
        <v>40168.874000000003</v>
      </c>
      <c r="Q154" s="151">
        <v>98117.652000000002</v>
      </c>
      <c r="R154" s="151">
        <v>101166.35074893417</v>
      </c>
    </row>
    <row r="155" spans="1:18">
      <c r="A155" t="s">
        <v>85</v>
      </c>
      <c r="B155" s="157">
        <v>2006</v>
      </c>
      <c r="C155" s="158">
        <v>17851.634999999998</v>
      </c>
      <c r="D155" s="158">
        <v>62928.588000000003</v>
      </c>
      <c r="E155" s="158">
        <v>31169.347000000002</v>
      </c>
      <c r="F155" s="158">
        <v>15509.716</v>
      </c>
      <c r="G155" s="158">
        <v>252.126</v>
      </c>
      <c r="H155" s="158">
        <v>-282.029</v>
      </c>
      <c r="I155" s="158">
        <v>9156.91</v>
      </c>
      <c r="J155" s="158">
        <v>111949.57</v>
      </c>
      <c r="K155" s="158">
        <v>136586.29300000001</v>
      </c>
      <c r="L155" s="151">
        <v>24473.267</v>
      </c>
      <c r="M155" s="151">
        <v>30128.84</v>
      </c>
      <c r="N155" s="151">
        <v>41046.256000000001</v>
      </c>
      <c r="O155" s="151">
        <v>172.66200000000001</v>
      </c>
      <c r="P155" s="151">
        <v>41218.917999999998</v>
      </c>
      <c r="Q155" s="151">
        <v>95821.024999999994</v>
      </c>
      <c r="R155" s="151">
        <v>98798.363257534831</v>
      </c>
    </row>
    <row r="156" spans="1:18">
      <c r="A156" t="s">
        <v>85</v>
      </c>
      <c r="B156" s="157">
        <v>2007</v>
      </c>
      <c r="C156" s="158">
        <v>19980.971000000001</v>
      </c>
      <c r="D156" s="158">
        <v>63520.864999999998</v>
      </c>
      <c r="E156" s="158">
        <v>31306.834999999999</v>
      </c>
      <c r="F156" s="158">
        <v>14214.014999999999</v>
      </c>
      <c r="G156" s="158">
        <v>309.18599999999998</v>
      </c>
      <c r="H156" s="158">
        <v>-494.49700000000001</v>
      </c>
      <c r="I156" s="158">
        <v>10000.718000000001</v>
      </c>
      <c r="J156" s="158">
        <v>114808.671</v>
      </c>
      <c r="K156" s="158">
        <v>138838.09299999999</v>
      </c>
      <c r="L156" s="151">
        <v>26483.143</v>
      </c>
      <c r="M156" s="151">
        <v>29512.846000000001</v>
      </c>
      <c r="N156" s="151">
        <v>42088.477999999996</v>
      </c>
      <c r="O156" s="151">
        <v>389.38299999999998</v>
      </c>
      <c r="P156" s="151">
        <v>42477.860999999997</v>
      </c>
      <c r="Q156" s="151">
        <v>98473.85</v>
      </c>
      <c r="R156" s="151">
        <v>101533.61648623565</v>
      </c>
    </row>
    <row r="157" spans="1:18">
      <c r="A157" t="s">
        <v>85</v>
      </c>
      <c r="B157" s="157">
        <v>2008</v>
      </c>
      <c r="C157" s="158">
        <v>13446.439</v>
      </c>
      <c r="D157" s="158">
        <v>60817.078000000001</v>
      </c>
      <c r="E157" s="158">
        <v>34517.796000000002</v>
      </c>
      <c r="F157" s="158">
        <v>15212.296</v>
      </c>
      <c r="G157" s="158">
        <v>328.05500000000001</v>
      </c>
      <c r="H157" s="158">
        <v>-949.18299999999999</v>
      </c>
      <c r="I157" s="158">
        <v>10545.269</v>
      </c>
      <c r="J157" s="158">
        <v>108781.31300000001</v>
      </c>
      <c r="K157" s="158">
        <v>133917.75</v>
      </c>
      <c r="L157" s="151">
        <v>24964.963</v>
      </c>
      <c r="M157" s="151">
        <v>29337.120999999999</v>
      </c>
      <c r="N157" s="151">
        <v>40073.876000000004</v>
      </c>
      <c r="O157" s="151">
        <v>626.99</v>
      </c>
      <c r="P157" s="151">
        <v>40700.866000000002</v>
      </c>
      <c r="Q157" s="151">
        <v>95002.95</v>
      </c>
      <c r="R157" s="151">
        <v>97954.869138974667</v>
      </c>
    </row>
    <row r="158" spans="1:18">
      <c r="A158" t="s">
        <v>85</v>
      </c>
      <c r="B158" s="157">
        <v>2009</v>
      </c>
      <c r="C158" s="158">
        <v>9665.2279999999992</v>
      </c>
      <c r="D158" s="158">
        <v>56424.983</v>
      </c>
      <c r="E158" s="158">
        <v>30846.419000000002</v>
      </c>
      <c r="F158" s="158">
        <v>13783</v>
      </c>
      <c r="G158" s="158">
        <v>426.238</v>
      </c>
      <c r="H158" s="158">
        <v>-696.81899999999996</v>
      </c>
      <c r="I158" s="158">
        <v>12564.989</v>
      </c>
      <c r="J158" s="158">
        <v>96936.63</v>
      </c>
      <c r="K158" s="158">
        <v>123014.038</v>
      </c>
      <c r="L158" s="151">
        <v>20698.891</v>
      </c>
      <c r="M158" s="151">
        <v>29373.125</v>
      </c>
      <c r="N158" s="151">
        <v>36984.177000000003</v>
      </c>
      <c r="O158" s="151">
        <v>1085.742</v>
      </c>
      <c r="P158" s="151">
        <v>38069.919000000002</v>
      </c>
      <c r="Q158" s="151">
        <v>88141.934999999998</v>
      </c>
      <c r="R158" s="151">
        <v>90880.669585323514</v>
      </c>
    </row>
    <row r="159" spans="1:18">
      <c r="A159" t="s">
        <v>85</v>
      </c>
      <c r="B159" s="157">
        <v>2010</v>
      </c>
      <c r="C159" s="158">
        <v>7281.0870000000004</v>
      </c>
      <c r="D159" s="158">
        <v>54282.356</v>
      </c>
      <c r="E159" s="158">
        <v>30659.276999999998</v>
      </c>
      <c r="F159" s="158">
        <v>16134.8</v>
      </c>
      <c r="G159" s="158">
        <v>322.24799999999999</v>
      </c>
      <c r="H159" s="158">
        <v>-716.50900000000001</v>
      </c>
      <c r="I159" s="158">
        <v>15044.344999999999</v>
      </c>
      <c r="J159" s="158">
        <v>92222.720000000001</v>
      </c>
      <c r="K159" s="158">
        <v>123007.60400000001</v>
      </c>
      <c r="L159" s="151">
        <v>20781.483</v>
      </c>
      <c r="M159" s="151">
        <v>31414.866999999998</v>
      </c>
      <c r="N159" s="151">
        <v>35928.415000000001</v>
      </c>
      <c r="O159" s="151">
        <v>1453.019</v>
      </c>
      <c r="P159" s="151">
        <v>37381.434000000001</v>
      </c>
      <c r="Q159" s="151">
        <v>89577.784</v>
      </c>
      <c r="R159" s="151">
        <v>92361.133096175836</v>
      </c>
    </row>
    <row r="160" spans="1:18">
      <c r="A160" t="s">
        <v>85</v>
      </c>
      <c r="B160" s="157">
        <v>2011</v>
      </c>
      <c r="C160" s="158">
        <v>12716.137000000001</v>
      </c>
      <c r="D160" s="158">
        <v>51788.053</v>
      </c>
      <c r="E160" s="158">
        <v>28450.743999999999</v>
      </c>
      <c r="F160" s="158">
        <v>15044.7</v>
      </c>
      <c r="G160" s="158">
        <v>374.31400000000002</v>
      </c>
      <c r="H160" s="158">
        <v>-523.73199999999997</v>
      </c>
      <c r="I160" s="158">
        <v>14814.235000000001</v>
      </c>
      <c r="J160" s="158">
        <v>92954.934000000008</v>
      </c>
      <c r="K160" s="158">
        <v>122664.451</v>
      </c>
      <c r="L160" s="151">
        <v>20627.827000000001</v>
      </c>
      <c r="M160" s="151">
        <v>30223.287</v>
      </c>
      <c r="N160" s="151">
        <v>34470.649999999994</v>
      </c>
      <c r="O160" s="151">
        <v>1742.175</v>
      </c>
      <c r="P160" s="151">
        <v>36212.824999999997</v>
      </c>
      <c r="Q160" s="151">
        <v>87063.938999999998</v>
      </c>
      <c r="R160" s="151">
        <v>89769.178235714498</v>
      </c>
    </row>
    <row r="161" spans="1:18">
      <c r="A161" t="s">
        <v>85</v>
      </c>
      <c r="B161" s="157">
        <v>2012</v>
      </c>
      <c r="C161" s="158">
        <v>15518.743</v>
      </c>
      <c r="D161" s="158">
        <v>47793.107000000004</v>
      </c>
      <c r="E161" s="158">
        <v>28220.100999999999</v>
      </c>
      <c r="F161" s="158">
        <v>15990.5</v>
      </c>
      <c r="G161" s="158">
        <v>345.17500000000001</v>
      </c>
      <c r="H161" s="158">
        <v>-962.94100000000003</v>
      </c>
      <c r="I161" s="158">
        <v>16123.296</v>
      </c>
      <c r="J161" s="158">
        <v>91531.951000000001</v>
      </c>
      <c r="K161" s="158">
        <v>123027.981</v>
      </c>
      <c r="L161" s="151">
        <v>20107.727999999999</v>
      </c>
      <c r="M161" s="151">
        <v>29939.992999999999</v>
      </c>
      <c r="N161" s="151">
        <v>31337.944</v>
      </c>
      <c r="O161" s="151">
        <v>2152.02</v>
      </c>
      <c r="P161" s="151">
        <v>33489.964</v>
      </c>
      <c r="Q161" s="151">
        <v>83537.684999999998</v>
      </c>
      <c r="R161" s="151">
        <v>86133.356936262368</v>
      </c>
    </row>
    <row r="162" spans="1:18">
      <c r="A162" t="s">
        <v>85</v>
      </c>
      <c r="B162" s="159">
        <v>2013</v>
      </c>
      <c r="C162" s="161">
        <v>11447.726000000001</v>
      </c>
      <c r="D162" s="161">
        <v>46257.733999999997</v>
      </c>
      <c r="E162" s="161">
        <v>25692.868999999999</v>
      </c>
      <c r="F162" s="161">
        <v>14785</v>
      </c>
      <c r="G162" s="161">
        <v>352.649</v>
      </c>
      <c r="H162" s="161">
        <v>-580.48199999999997</v>
      </c>
      <c r="I162" s="161">
        <v>17716.014999999999</v>
      </c>
      <c r="J162" s="161">
        <v>83398.328999999998</v>
      </c>
      <c r="K162" s="161">
        <v>115671.511</v>
      </c>
      <c r="L162" s="162">
        <v>19601.616999999998</v>
      </c>
      <c r="M162" s="162">
        <v>29446.364000000001</v>
      </c>
      <c r="N162" s="162">
        <v>30975.037</v>
      </c>
      <c r="O162" s="162">
        <v>908.64300000000003</v>
      </c>
      <c r="P162" s="162">
        <v>31883.68</v>
      </c>
      <c r="Q162" s="162">
        <v>80931.660999999993</v>
      </c>
      <c r="R162" s="162">
        <v>83446.358902064181</v>
      </c>
    </row>
    <row r="163" spans="1:18">
      <c r="A163" t="s">
        <v>85</v>
      </c>
      <c r="B163" s="159">
        <v>2014</v>
      </c>
      <c r="C163" s="161">
        <v>11568.18</v>
      </c>
      <c r="D163" s="161">
        <v>46303.173999999999</v>
      </c>
      <c r="E163" s="161">
        <v>23181.642</v>
      </c>
      <c r="F163" s="161">
        <v>14931.1</v>
      </c>
      <c r="G163" s="161">
        <v>374.404</v>
      </c>
      <c r="H163" s="161">
        <v>-292.863</v>
      </c>
      <c r="I163" s="161">
        <v>17749.994196617899</v>
      </c>
      <c r="J163" s="161">
        <v>81052.995999999999</v>
      </c>
      <c r="K163" s="161">
        <v>113815.63119661791</v>
      </c>
      <c r="L163" s="162">
        <v>19311.864000000001</v>
      </c>
      <c r="M163" s="162">
        <v>28058.844196617902</v>
      </c>
      <c r="N163" s="162">
        <v>31194.933000000001</v>
      </c>
      <c r="O163" s="162">
        <v>977.76900000000001</v>
      </c>
      <c r="P163" s="162">
        <v>32172.702000000001</v>
      </c>
      <c r="Q163" s="162">
        <v>79543.410196617915</v>
      </c>
      <c r="R163" s="162">
        <v>82014.972552720632</v>
      </c>
    </row>
    <row r="164" spans="1:18">
      <c r="A164" t="s">
        <v>85</v>
      </c>
      <c r="B164" s="159">
        <v>2015</v>
      </c>
      <c r="C164" s="161">
        <v>13583.196</v>
      </c>
      <c r="D164" s="161">
        <v>48564.317999999999</v>
      </c>
      <c r="E164" s="161">
        <v>24102.152999999998</v>
      </c>
      <c r="F164" s="161">
        <v>14903.2</v>
      </c>
      <c r="G164" s="161">
        <v>413.69499999999999</v>
      </c>
      <c r="H164" s="161">
        <v>-11.436</v>
      </c>
      <c r="I164" s="161">
        <v>16601.299052832699</v>
      </c>
      <c r="J164" s="161">
        <v>86249.666999999987</v>
      </c>
      <c r="K164" s="161">
        <v>118156.4250528327</v>
      </c>
      <c r="L164" s="162">
        <v>18691.280999999999</v>
      </c>
      <c r="M164" s="162">
        <v>28399.138052832699</v>
      </c>
      <c r="N164" s="162">
        <v>32412.53</v>
      </c>
      <c r="O164" s="162">
        <v>985.22</v>
      </c>
      <c r="P164" s="162">
        <v>33397.75</v>
      </c>
      <c r="Q164" s="162">
        <v>80488.169052832702</v>
      </c>
      <c r="R164" s="162">
        <v>82989.086831576264</v>
      </c>
    </row>
    <row r="165" spans="1:18">
      <c r="A165" t="s">
        <v>85</v>
      </c>
      <c r="B165" s="159">
        <v>2016</v>
      </c>
      <c r="C165" s="161">
        <v>10795.880999999999</v>
      </c>
      <c r="D165" s="161">
        <v>49688.974999999999</v>
      </c>
      <c r="E165" s="161">
        <v>24595.004000000001</v>
      </c>
      <c r="F165" s="161">
        <v>15272.9</v>
      </c>
      <c r="G165" s="161">
        <v>438.815</v>
      </c>
      <c r="H165" s="161">
        <v>659.24300000000005</v>
      </c>
      <c r="I165" s="161">
        <v>16981.8939026464</v>
      </c>
      <c r="J165" s="161">
        <v>85079.86</v>
      </c>
      <c r="K165" s="161">
        <v>118432.71190264641</v>
      </c>
      <c r="L165" s="162">
        <v>19897.234</v>
      </c>
      <c r="M165" s="162">
        <v>27481.909902646399</v>
      </c>
      <c r="N165" s="162">
        <v>33706.735000000001</v>
      </c>
      <c r="O165" s="162">
        <v>1121.617</v>
      </c>
      <c r="P165" s="162">
        <v>34828.351999999999</v>
      </c>
      <c r="Q165" s="162">
        <v>82207.495902646391</v>
      </c>
      <c r="R165" s="162">
        <v>84761.836378623222</v>
      </c>
    </row>
    <row r="166" spans="1:18">
      <c r="A166" t="s">
        <v>85</v>
      </c>
      <c r="B166" s="159">
        <v>2017</v>
      </c>
      <c r="C166" s="161">
        <v>12869.106</v>
      </c>
      <c r="D166" s="161">
        <v>52851.285000000003</v>
      </c>
      <c r="E166" s="161">
        <v>26829.651000000002</v>
      </c>
      <c r="F166" s="161">
        <v>15131.49</v>
      </c>
      <c r="G166" s="161">
        <v>472.31700000000001</v>
      </c>
      <c r="H166" s="161">
        <v>788.39200000000005</v>
      </c>
      <c r="I166" s="161">
        <v>15977.9632195471</v>
      </c>
      <c r="J166" s="161">
        <v>92550.042000000001</v>
      </c>
      <c r="K166" s="161">
        <v>124920.20421954711</v>
      </c>
      <c r="L166" s="162">
        <v>20394.456999999999</v>
      </c>
      <c r="M166" s="162">
        <v>28027.6672195471</v>
      </c>
      <c r="N166" s="162">
        <v>35040.573000000004</v>
      </c>
      <c r="O166" s="162">
        <v>1289.829</v>
      </c>
      <c r="P166" s="162">
        <v>36330.402000000002</v>
      </c>
      <c r="Q166" s="162">
        <v>84752.5262195471</v>
      </c>
      <c r="R166" s="162">
        <v>87385.945542041125</v>
      </c>
    </row>
    <row r="167" spans="1:18">
      <c r="A167" t="s">
        <v>85</v>
      </c>
      <c r="B167" s="159">
        <v>2018</v>
      </c>
      <c r="C167" s="161">
        <v>11472.62</v>
      </c>
      <c r="D167" s="161">
        <v>52799.347999999998</v>
      </c>
      <c r="E167" s="161">
        <v>26617.239000000001</v>
      </c>
      <c r="F167" s="161">
        <v>14478.8</v>
      </c>
      <c r="G167" s="161">
        <v>547.30499999999995</v>
      </c>
      <c r="H167" s="161">
        <v>954.6</v>
      </c>
      <c r="I167" s="161">
        <v>17434.107661316499</v>
      </c>
      <c r="J167" s="161">
        <v>90889.206999999995</v>
      </c>
      <c r="K167" s="161">
        <v>124304.0196613165</v>
      </c>
      <c r="L167" s="162">
        <v>20666.438999999998</v>
      </c>
      <c r="M167" s="162">
        <v>28767.4346613165</v>
      </c>
      <c r="N167" s="162">
        <v>35604.265999999996</v>
      </c>
      <c r="O167" s="162">
        <v>1681.883</v>
      </c>
      <c r="P167" s="162">
        <v>37286.148999999998</v>
      </c>
      <c r="Q167" s="162">
        <v>86720.0226613165</v>
      </c>
      <c r="R167" s="162">
        <v>89414.575773890974</v>
      </c>
    </row>
    <row r="168" spans="1:18">
      <c r="A168" t="s">
        <v>85</v>
      </c>
      <c r="B168" s="159">
        <v>2019</v>
      </c>
      <c r="C168" s="161">
        <v>5036.5469999999996</v>
      </c>
      <c r="D168" s="161">
        <v>51311.241999999998</v>
      </c>
      <c r="E168" s="161">
        <v>30430.632000000001</v>
      </c>
      <c r="F168" s="161">
        <v>15218</v>
      </c>
      <c r="G168" s="161">
        <v>525.78700000000003</v>
      </c>
      <c r="H168" s="161">
        <v>590.05399999999997</v>
      </c>
      <c r="I168" s="161">
        <v>17516.499051017501</v>
      </c>
      <c r="J168" s="161">
        <v>86778.421000000002</v>
      </c>
      <c r="K168" s="161">
        <v>120628.7610510175</v>
      </c>
      <c r="L168" s="162">
        <v>20642.725999999999</v>
      </c>
      <c r="M168" s="162">
        <v>28034.766051017501</v>
      </c>
      <c r="N168" s="162">
        <v>36174.631999999998</v>
      </c>
      <c r="O168" s="162">
        <v>1630.9939999999999</v>
      </c>
      <c r="P168" s="162">
        <v>37805.625999999997</v>
      </c>
      <c r="Q168" s="162">
        <v>86483.118051017504</v>
      </c>
      <c r="R168" s="162">
        <v>89170.310094769869</v>
      </c>
    </row>
    <row r="169" spans="1:18">
      <c r="A169" t="s">
        <v>85</v>
      </c>
      <c r="B169" s="159">
        <v>2020</v>
      </c>
      <c r="C169" s="161">
        <v>3081.364</v>
      </c>
      <c r="D169" s="161">
        <v>40349.175999999999</v>
      </c>
      <c r="E169" s="161">
        <v>27470.656999999999</v>
      </c>
      <c r="F169" s="161">
        <v>15174</v>
      </c>
      <c r="G169" s="161">
        <v>539.72199999999998</v>
      </c>
      <c r="H169" s="161">
        <v>281.99299999999999</v>
      </c>
      <c r="I169" s="161">
        <v>18129.254574185499</v>
      </c>
      <c r="J169" s="161">
        <v>70901.197</v>
      </c>
      <c r="K169" s="161">
        <v>105026.1665741855</v>
      </c>
      <c r="L169" s="162">
        <v>18838.477999999999</v>
      </c>
      <c r="M169" s="162">
        <v>27283.816574185501</v>
      </c>
      <c r="N169" s="162">
        <v>26232.352999999999</v>
      </c>
      <c r="O169" s="162">
        <v>1402.4659999999999</v>
      </c>
      <c r="P169" s="162">
        <v>27634.819</v>
      </c>
      <c r="Q169" s="162">
        <v>73757.113574185496</v>
      </c>
      <c r="R169" s="162">
        <v>76048.884884393934</v>
      </c>
    </row>
    <row r="170" spans="1:18">
      <c r="A170" t="s">
        <v>85</v>
      </c>
      <c r="B170" s="159">
        <v>2021</v>
      </c>
      <c r="C170" s="161">
        <v>3064.2919999999999</v>
      </c>
      <c r="D170" s="161">
        <v>45298.258999999998</v>
      </c>
      <c r="E170" s="161">
        <v>29024.848000000002</v>
      </c>
      <c r="F170" s="161">
        <v>14725</v>
      </c>
      <c r="G170" s="161">
        <v>517.32399999999996</v>
      </c>
      <c r="H170" s="161">
        <v>73.296999999999997</v>
      </c>
      <c r="I170" s="161">
        <v>18753.231816566298</v>
      </c>
      <c r="J170" s="161">
        <v>77387.399000000005</v>
      </c>
      <c r="K170" s="161">
        <v>111456.25181656631</v>
      </c>
      <c r="L170" s="162">
        <v>20164.098000000002</v>
      </c>
      <c r="M170" s="162">
        <v>27967.567816566301</v>
      </c>
      <c r="N170" s="162">
        <v>30796.064000000002</v>
      </c>
      <c r="O170" s="162">
        <v>1401.3</v>
      </c>
      <c r="P170" s="162">
        <v>32197.364000000001</v>
      </c>
      <c r="Q170" s="162">
        <v>80329.029816566297</v>
      </c>
      <c r="R170" s="162">
        <v>82825.002841938549</v>
      </c>
    </row>
    <row r="171" spans="1:18">
      <c r="A171" t="s">
        <v>85</v>
      </c>
      <c r="B171" s="159">
        <v>2022</v>
      </c>
      <c r="C171" s="161">
        <v>3555.7</v>
      </c>
      <c r="D171" s="161">
        <v>49454.35</v>
      </c>
      <c r="E171" s="161">
        <v>27711.064999999999</v>
      </c>
      <c r="F171" s="161">
        <v>15295</v>
      </c>
      <c r="G171" s="161">
        <v>515.08699999999999</v>
      </c>
      <c r="H171" s="161">
        <v>-1702.6389999999999</v>
      </c>
      <c r="I171" s="161">
        <v>18400.396280691701</v>
      </c>
      <c r="J171" s="161">
        <v>80721.114999999991</v>
      </c>
      <c r="K171" s="161">
        <v>113228.95928069169</v>
      </c>
      <c r="L171" s="162">
        <v>17946.562999999998</v>
      </c>
      <c r="M171" s="162">
        <v>27138.1442806917</v>
      </c>
      <c r="N171" s="162">
        <v>34770.008999999998</v>
      </c>
      <c r="O171" s="162">
        <v>1373.3530000000001</v>
      </c>
      <c r="P171" s="162">
        <v>36143.362000000001</v>
      </c>
      <c r="Q171" s="162">
        <v>81228.069280691707</v>
      </c>
      <c r="R171" s="162">
        <v>83751.97714178059</v>
      </c>
    </row>
    <row r="172" spans="1:18">
      <c r="A172" t="s">
        <v>85</v>
      </c>
      <c r="B172" s="159">
        <v>2023</v>
      </c>
      <c r="C172" s="161">
        <v>2762.778580533492</v>
      </c>
      <c r="D172" s="161">
        <v>47285.55074049074</v>
      </c>
      <c r="E172" s="161">
        <v>24670.917401376093</v>
      </c>
      <c r="F172" s="161">
        <v>14827.992124509077</v>
      </c>
      <c r="G172" s="161">
        <v>493.00607142806535</v>
      </c>
      <c r="H172" s="161">
        <v>-1200.0651854323041</v>
      </c>
      <c r="I172" s="161">
        <v>22202.563302715818</v>
      </c>
      <c r="J172" s="161">
        <v>74719.246722400334</v>
      </c>
      <c r="K172" s="161">
        <v>111042.743035621</v>
      </c>
      <c r="L172" s="162">
        <v>16867.928204262997</v>
      </c>
      <c r="M172" s="162">
        <v>27138.1442806917</v>
      </c>
      <c r="N172" s="162">
        <v>34627.904517263378</v>
      </c>
      <c r="O172" s="162">
        <v>1243.9729999999981</v>
      </c>
      <c r="P172" s="162">
        <v>35871.877517263376</v>
      </c>
      <c r="Q172" s="162">
        <v>79877.950002218073</v>
      </c>
      <c r="R172" s="162">
        <v>82359.907135060887</v>
      </c>
    </row>
    <row r="173" spans="1:18">
      <c r="A173" s="123" t="s">
        <v>2</v>
      </c>
      <c r="B173" s="157">
        <v>2005</v>
      </c>
      <c r="C173" s="158">
        <v>4914.3100000000004</v>
      </c>
      <c r="D173" s="158">
        <v>9399.0069999999996</v>
      </c>
      <c r="E173" s="158">
        <v>3588.8649999999998</v>
      </c>
      <c r="F173" s="158">
        <v>6002.8370000000004</v>
      </c>
      <c r="G173" s="158">
        <v>106.38200000000001</v>
      </c>
      <c r="H173" s="158">
        <v>1463.027</v>
      </c>
      <c r="I173" s="158">
        <v>8085.7619999999997</v>
      </c>
      <c r="J173" s="158">
        <v>17902.182000000001</v>
      </c>
      <c r="K173" s="158">
        <v>33560.19</v>
      </c>
      <c r="L173" s="151">
        <v>11123.59</v>
      </c>
      <c r="M173" s="151">
        <v>9450.527</v>
      </c>
      <c r="N173" s="151">
        <v>4644.433</v>
      </c>
      <c r="O173" s="151">
        <v>0</v>
      </c>
      <c r="P173" s="151">
        <v>4644.433</v>
      </c>
      <c r="Q173" s="151">
        <v>25218.550000000003</v>
      </c>
      <c r="R173" s="151">
        <v>25893.719897991999</v>
      </c>
    </row>
    <row r="174" spans="1:18">
      <c r="A174" s="123" t="s">
        <v>2</v>
      </c>
      <c r="B174" s="157">
        <v>2006</v>
      </c>
      <c r="C174" s="158">
        <v>7332.4229999999998</v>
      </c>
      <c r="D174" s="158">
        <v>9793.3549999999996</v>
      </c>
      <c r="E174" s="158">
        <v>3873.9259999999999</v>
      </c>
      <c r="F174" s="158">
        <v>5908.6840000000002</v>
      </c>
      <c r="G174" s="158">
        <v>95.561999999999998</v>
      </c>
      <c r="H174" s="158">
        <v>980.31</v>
      </c>
      <c r="I174" s="158">
        <v>8690.7129999999997</v>
      </c>
      <c r="J174" s="158">
        <v>20999.703999999998</v>
      </c>
      <c r="K174" s="158">
        <v>36674.972999999998</v>
      </c>
      <c r="L174" s="151">
        <v>12152.857</v>
      </c>
      <c r="M174" s="151">
        <v>9605.8109999999997</v>
      </c>
      <c r="N174" s="151">
        <v>4751.2749999999996</v>
      </c>
      <c r="O174" s="151">
        <v>0.69299999999999995</v>
      </c>
      <c r="P174" s="151">
        <v>4751.9679999999998</v>
      </c>
      <c r="Q174" s="151">
        <v>26510.635999999999</v>
      </c>
      <c r="R174" s="151">
        <v>27220.398591577348</v>
      </c>
    </row>
    <row r="175" spans="1:18">
      <c r="A175" s="123" t="s">
        <v>2</v>
      </c>
      <c r="B175" s="157">
        <v>2007</v>
      </c>
      <c r="C175" s="158">
        <v>7205.8620000000001</v>
      </c>
      <c r="D175" s="158">
        <v>9236.7870000000003</v>
      </c>
      <c r="E175" s="158">
        <v>3712.962</v>
      </c>
      <c r="F175" s="158">
        <v>6042.0460000000003</v>
      </c>
      <c r="G175" s="158">
        <v>98.763000000000005</v>
      </c>
      <c r="H175" s="158">
        <v>1079.7080000000001</v>
      </c>
      <c r="I175" s="158">
        <v>8656.9480000000003</v>
      </c>
      <c r="J175" s="158">
        <v>20155.611000000001</v>
      </c>
      <c r="K175" s="158">
        <v>36033.076000000001</v>
      </c>
      <c r="L175" s="151">
        <v>11888.177</v>
      </c>
      <c r="M175" s="151">
        <v>9720.8539999999994</v>
      </c>
      <c r="N175" s="151">
        <v>4935.4389999999994</v>
      </c>
      <c r="O175" s="151">
        <v>1.385</v>
      </c>
      <c r="P175" s="151">
        <v>4936.8239999999996</v>
      </c>
      <c r="Q175" s="151">
        <v>26545.855</v>
      </c>
      <c r="R175" s="151">
        <v>27256.560501008596</v>
      </c>
    </row>
    <row r="176" spans="1:18">
      <c r="A176" s="123" t="s">
        <v>2</v>
      </c>
      <c r="B176" s="157">
        <v>2008</v>
      </c>
      <c r="C176" s="158">
        <v>5379.9549999999999</v>
      </c>
      <c r="D176" s="158">
        <v>9067.1239999999998</v>
      </c>
      <c r="E176" s="158">
        <v>3842.0219999999999</v>
      </c>
      <c r="F176" s="158">
        <v>5922.098</v>
      </c>
      <c r="G176" s="158">
        <v>116.39</v>
      </c>
      <c r="H176" s="158">
        <v>1098.194</v>
      </c>
      <c r="I176" s="158">
        <v>9091.7510000000002</v>
      </c>
      <c r="J176" s="158">
        <v>18289.100999999999</v>
      </c>
      <c r="K176" s="158">
        <v>34517.534</v>
      </c>
      <c r="L176" s="151">
        <v>11245.535</v>
      </c>
      <c r="M176" s="151">
        <v>9556.0249999999996</v>
      </c>
      <c r="N176" s="151">
        <v>4771.1329999999998</v>
      </c>
      <c r="O176" s="151">
        <v>72.260000000000005</v>
      </c>
      <c r="P176" s="151">
        <v>4843.393</v>
      </c>
      <c r="Q176" s="151">
        <v>25644.953000000001</v>
      </c>
      <c r="R176" s="151">
        <v>26331.538878292748</v>
      </c>
    </row>
    <row r="177" spans="1:18">
      <c r="A177" s="123" t="s">
        <v>2</v>
      </c>
      <c r="B177" s="157">
        <v>2009</v>
      </c>
      <c r="C177" s="158">
        <v>5301.7740000000003</v>
      </c>
      <c r="D177" s="158">
        <v>8622.8649999999998</v>
      </c>
      <c r="E177" s="158">
        <v>3465.4229999999998</v>
      </c>
      <c r="F177" s="158">
        <v>5762</v>
      </c>
      <c r="G177" s="158">
        <v>144.64500000000001</v>
      </c>
      <c r="H177" s="158">
        <v>1039.123</v>
      </c>
      <c r="I177" s="158">
        <v>7999.0320000000002</v>
      </c>
      <c r="J177" s="158">
        <v>17390.061999999998</v>
      </c>
      <c r="K177" s="158">
        <v>32334.861999999997</v>
      </c>
      <c r="L177" s="151">
        <v>9374.2090000000007</v>
      </c>
      <c r="M177" s="151">
        <v>9808.4249999999993</v>
      </c>
      <c r="N177" s="151">
        <v>4511.8379999999997</v>
      </c>
      <c r="O177" s="151">
        <v>132.215</v>
      </c>
      <c r="P177" s="151">
        <v>4644.0529999999999</v>
      </c>
      <c r="Q177" s="151">
        <v>23826.686999999998</v>
      </c>
      <c r="R177" s="151">
        <v>24464.592899874384</v>
      </c>
    </row>
    <row r="178" spans="1:18">
      <c r="A178" s="123" t="s">
        <v>2</v>
      </c>
      <c r="B178" s="157">
        <v>2010</v>
      </c>
      <c r="C178" s="158">
        <v>6877.63</v>
      </c>
      <c r="D178" s="158">
        <v>8852.9699999999993</v>
      </c>
      <c r="E178" s="158">
        <v>3804.127</v>
      </c>
      <c r="F178" s="158">
        <v>5565</v>
      </c>
      <c r="G178" s="158">
        <v>146.15</v>
      </c>
      <c r="H178" s="158">
        <v>902.923</v>
      </c>
      <c r="I178" s="158">
        <v>9293.3340000000007</v>
      </c>
      <c r="J178" s="158">
        <v>19534.726999999999</v>
      </c>
      <c r="K178" s="158">
        <v>35442.133999999998</v>
      </c>
      <c r="L178" s="151">
        <v>10715.222</v>
      </c>
      <c r="M178" s="151">
        <v>10665.416999999999</v>
      </c>
      <c r="N178" s="151">
        <v>4704.3359999999993</v>
      </c>
      <c r="O178" s="151">
        <v>140.256</v>
      </c>
      <c r="P178" s="151">
        <v>4844.5919999999996</v>
      </c>
      <c r="Q178" s="151">
        <v>26225.231</v>
      </c>
      <c r="R178" s="151">
        <v>26927.352515276911</v>
      </c>
    </row>
    <row r="179" spans="1:18">
      <c r="A179" s="123" t="s">
        <v>2</v>
      </c>
      <c r="B179" s="157">
        <v>2011</v>
      </c>
      <c r="C179" s="158">
        <v>5978.5360000000001</v>
      </c>
      <c r="D179" s="158">
        <v>8824.8780000000006</v>
      </c>
      <c r="E179" s="158">
        <v>3334.7570000000001</v>
      </c>
      <c r="F179" s="158">
        <v>5627</v>
      </c>
      <c r="G179" s="158">
        <v>144.50200000000001</v>
      </c>
      <c r="H179" s="158">
        <v>1191.058</v>
      </c>
      <c r="I179" s="158">
        <v>9097.3780000000006</v>
      </c>
      <c r="J179" s="158">
        <v>18138.171000000002</v>
      </c>
      <c r="K179" s="158">
        <v>34198.109000000004</v>
      </c>
      <c r="L179" s="151">
        <v>10517.329</v>
      </c>
      <c r="M179" s="151">
        <v>9546.3130000000001</v>
      </c>
      <c r="N179" s="151">
        <v>4741.2809999999999</v>
      </c>
      <c r="O179" s="151">
        <v>197.33199999999999</v>
      </c>
      <c r="P179" s="151">
        <v>4938.6130000000003</v>
      </c>
      <c r="Q179" s="151">
        <v>25002.254999999997</v>
      </c>
      <c r="R179" s="151">
        <v>25671.634086343973</v>
      </c>
    </row>
    <row r="180" spans="1:18">
      <c r="A180" s="123" t="s">
        <v>2</v>
      </c>
      <c r="B180" s="157">
        <v>2012</v>
      </c>
      <c r="C180" s="158">
        <v>4552.7420000000002</v>
      </c>
      <c r="D180" s="158">
        <v>8269.6080000000002</v>
      </c>
      <c r="E180" s="158">
        <v>2980.0990000000002</v>
      </c>
      <c r="F180" s="158">
        <v>5536</v>
      </c>
      <c r="G180" s="158">
        <v>183.864</v>
      </c>
      <c r="H180" s="158">
        <v>1499.914</v>
      </c>
      <c r="I180" s="158">
        <v>9954.2199999999993</v>
      </c>
      <c r="J180" s="158">
        <v>15802.449000000001</v>
      </c>
      <c r="K180" s="158">
        <v>32976.447</v>
      </c>
      <c r="L180" s="151">
        <v>10233.196</v>
      </c>
      <c r="M180" s="151">
        <v>10115.406999999999</v>
      </c>
      <c r="N180" s="151">
        <v>4619.7349999999997</v>
      </c>
      <c r="O180" s="151">
        <v>194.34399999999999</v>
      </c>
      <c r="P180" s="151">
        <v>4814.0789999999997</v>
      </c>
      <c r="Q180" s="151">
        <v>25162.682000000001</v>
      </c>
      <c r="R180" s="151">
        <v>25836.356158075901</v>
      </c>
    </row>
    <row r="181" spans="1:18">
      <c r="A181" s="123" t="s">
        <v>2</v>
      </c>
      <c r="B181" s="159">
        <v>2013</v>
      </c>
      <c r="C181" s="161">
        <v>5138.1530000000002</v>
      </c>
      <c r="D181" s="161">
        <v>6896.8810000000003</v>
      </c>
      <c r="E181" s="161">
        <v>2835.328</v>
      </c>
      <c r="F181" s="161">
        <v>5694</v>
      </c>
      <c r="G181" s="161">
        <v>209.18100000000001</v>
      </c>
      <c r="H181" s="161">
        <v>1351.2470000000001</v>
      </c>
      <c r="I181" s="161">
        <v>9861.5190000000002</v>
      </c>
      <c r="J181" s="161">
        <v>14870.361999999999</v>
      </c>
      <c r="K181" s="161">
        <v>31986.309000000001</v>
      </c>
      <c r="L181" s="162">
        <v>10270.023999999999</v>
      </c>
      <c r="M181" s="162">
        <v>9565.7060000000001</v>
      </c>
      <c r="N181" s="162">
        <v>4623.6859999999997</v>
      </c>
      <c r="O181" s="162">
        <v>222.32599999999999</v>
      </c>
      <c r="P181" s="162">
        <v>4846.0119999999997</v>
      </c>
      <c r="Q181" s="162">
        <v>24681.741999999998</v>
      </c>
      <c r="R181" s="162">
        <v>25342.540072387379</v>
      </c>
    </row>
    <row r="182" spans="1:18">
      <c r="A182" s="123" t="s">
        <v>2</v>
      </c>
      <c r="B182" s="159">
        <v>2014</v>
      </c>
      <c r="C182" s="161">
        <v>4497.402</v>
      </c>
      <c r="D182" s="161">
        <v>7940.1189999999997</v>
      </c>
      <c r="E182" s="161">
        <v>2490.241</v>
      </c>
      <c r="F182" s="161">
        <v>5688.5</v>
      </c>
      <c r="G182" s="161">
        <v>236.26599999999999</v>
      </c>
      <c r="H182" s="161">
        <v>1544.884</v>
      </c>
      <c r="I182" s="161">
        <v>10276.225</v>
      </c>
      <c r="J182" s="161">
        <v>14927.762000000001</v>
      </c>
      <c r="K182" s="161">
        <v>32673.637000000002</v>
      </c>
      <c r="L182" s="162">
        <v>10218.642</v>
      </c>
      <c r="M182" s="162">
        <v>9567.357</v>
      </c>
      <c r="N182" s="162">
        <v>4244.1630000000005</v>
      </c>
      <c r="O182" s="162">
        <v>496.35500000000002</v>
      </c>
      <c r="P182" s="162">
        <v>4740.518</v>
      </c>
      <c r="Q182" s="162">
        <v>24526.517</v>
      </c>
      <c r="R182" s="162">
        <v>25183.15927249342</v>
      </c>
    </row>
    <row r="183" spans="1:18">
      <c r="A183" s="123" t="s">
        <v>2</v>
      </c>
      <c r="B183" s="159">
        <v>2015</v>
      </c>
      <c r="C183" s="161">
        <v>4120.5879999999997</v>
      </c>
      <c r="D183" s="161">
        <v>7121.6090000000004</v>
      </c>
      <c r="E183" s="161">
        <v>2215.6489999999999</v>
      </c>
      <c r="F183" s="161">
        <v>5606.2</v>
      </c>
      <c r="G183" s="161">
        <v>239.32400000000001</v>
      </c>
      <c r="H183" s="161">
        <v>1404.729</v>
      </c>
      <c r="I183" s="161">
        <v>10489.011</v>
      </c>
      <c r="J183" s="161">
        <v>13457.846</v>
      </c>
      <c r="K183" s="161">
        <v>31197.11</v>
      </c>
      <c r="L183" s="162">
        <v>10156.882</v>
      </c>
      <c r="M183" s="162">
        <v>9308.866</v>
      </c>
      <c r="N183" s="162">
        <v>4249.665</v>
      </c>
      <c r="O183" s="162">
        <v>496.02499999999998</v>
      </c>
      <c r="P183" s="162">
        <v>4745.6899999999996</v>
      </c>
      <c r="Q183" s="162">
        <v>24211.438000000002</v>
      </c>
      <c r="R183" s="162">
        <v>24859.644741652457</v>
      </c>
    </row>
    <row r="184" spans="1:18">
      <c r="A184" s="123" t="s">
        <v>2</v>
      </c>
      <c r="B184" s="159">
        <v>2016</v>
      </c>
      <c r="C184" s="161">
        <v>4302.0959999999995</v>
      </c>
      <c r="D184" s="161">
        <v>7792.8509999999997</v>
      </c>
      <c r="E184" s="161">
        <v>2044.989</v>
      </c>
      <c r="F184" s="161">
        <v>5589.8</v>
      </c>
      <c r="G184" s="161">
        <v>263.27999999999997</v>
      </c>
      <c r="H184" s="161">
        <v>1629.4929999999999</v>
      </c>
      <c r="I184" s="161">
        <v>10635.281000000001</v>
      </c>
      <c r="J184" s="161">
        <v>14139.936</v>
      </c>
      <c r="K184" s="161">
        <v>32257.79</v>
      </c>
      <c r="L184" s="162">
        <v>10500.773999999999</v>
      </c>
      <c r="M184" s="162">
        <v>9869.6810000000005</v>
      </c>
      <c r="N184" s="162">
        <v>4646.058</v>
      </c>
      <c r="O184" s="162">
        <v>176.67699999999999</v>
      </c>
      <c r="P184" s="162">
        <v>4822.7349999999997</v>
      </c>
      <c r="Q184" s="162">
        <v>25193.19</v>
      </c>
      <c r="R184" s="162">
        <v>25867.680941088718</v>
      </c>
    </row>
    <row r="185" spans="1:18">
      <c r="A185" s="123" t="s">
        <v>2</v>
      </c>
      <c r="B185" s="159">
        <v>2017</v>
      </c>
      <c r="C185" s="161">
        <v>4119.5720000000001</v>
      </c>
      <c r="D185" s="161">
        <v>7467.4669999999996</v>
      </c>
      <c r="E185" s="161">
        <v>1917.5350000000001</v>
      </c>
      <c r="F185" s="161">
        <v>5390.1</v>
      </c>
      <c r="G185" s="161">
        <v>289.577</v>
      </c>
      <c r="H185" s="161">
        <v>1756.2339999999999</v>
      </c>
      <c r="I185" s="161">
        <v>11235.546552498299</v>
      </c>
      <c r="J185" s="161">
        <v>13504.574000000001</v>
      </c>
      <c r="K185" s="161">
        <v>32176.031552498302</v>
      </c>
      <c r="L185" s="162">
        <v>10699.834999999999</v>
      </c>
      <c r="M185" s="162">
        <v>9745.3445524983199</v>
      </c>
      <c r="N185" s="162">
        <v>4484.1469999999999</v>
      </c>
      <c r="O185" s="162">
        <v>391.17599999999999</v>
      </c>
      <c r="P185" s="162">
        <v>4875.3230000000003</v>
      </c>
      <c r="Q185" s="162">
        <v>25320.502552498321</v>
      </c>
      <c r="R185" s="162">
        <v>25998.402000542574</v>
      </c>
    </row>
    <row r="186" spans="1:18">
      <c r="A186" s="123" t="s">
        <v>2</v>
      </c>
      <c r="B186" s="159">
        <v>2018</v>
      </c>
      <c r="C186" s="161">
        <v>4213.2830000000004</v>
      </c>
      <c r="D186" s="161">
        <v>7503.5950000000003</v>
      </c>
      <c r="E186" s="161">
        <v>2158.8249999999998</v>
      </c>
      <c r="F186" s="161">
        <v>5444.1</v>
      </c>
      <c r="G186" s="161">
        <v>293.94799999999998</v>
      </c>
      <c r="H186" s="161">
        <v>1714.1869999999999</v>
      </c>
      <c r="I186" s="161">
        <v>11487.7506132607</v>
      </c>
      <c r="J186" s="161">
        <v>13875.703000000001</v>
      </c>
      <c r="K186" s="161">
        <v>32815.688613260703</v>
      </c>
      <c r="L186" s="162">
        <v>11038.16</v>
      </c>
      <c r="M186" s="162">
        <v>9720.4696132607096</v>
      </c>
      <c r="N186" s="162">
        <v>4653.4900000000007</v>
      </c>
      <c r="O186" s="162">
        <v>366.83300000000003</v>
      </c>
      <c r="P186" s="162">
        <v>5020.3230000000003</v>
      </c>
      <c r="Q186" s="162">
        <v>25778.95261326071</v>
      </c>
      <c r="R186" s="162">
        <v>26469.126029505329</v>
      </c>
    </row>
    <row r="187" spans="1:18">
      <c r="A187" s="123" t="s">
        <v>2</v>
      </c>
      <c r="B187" s="159">
        <v>2019</v>
      </c>
      <c r="C187" s="161">
        <v>3481.7249999999999</v>
      </c>
      <c r="D187" s="161">
        <v>7169.4620000000004</v>
      </c>
      <c r="E187" s="161">
        <v>2114.761</v>
      </c>
      <c r="F187" s="161">
        <v>5675.9</v>
      </c>
      <c r="G187" s="161">
        <v>295.858</v>
      </c>
      <c r="H187" s="161">
        <v>1723.3019999999999</v>
      </c>
      <c r="I187" s="161">
        <v>11613.7064145409</v>
      </c>
      <c r="J187" s="161">
        <v>12765.948</v>
      </c>
      <c r="K187" s="161">
        <v>32074.714414540897</v>
      </c>
      <c r="L187" s="162">
        <v>10980.155000000001</v>
      </c>
      <c r="M187" s="162">
        <v>9470.0804145409293</v>
      </c>
      <c r="N187" s="162">
        <v>4588.5659999999998</v>
      </c>
      <c r="O187" s="162">
        <v>429.22800000000001</v>
      </c>
      <c r="P187" s="162">
        <v>5017.7939999999999</v>
      </c>
      <c r="Q187" s="162">
        <v>25468.029414540928</v>
      </c>
      <c r="R187" s="162">
        <v>26149.878562167287</v>
      </c>
    </row>
    <row r="188" spans="1:18">
      <c r="A188" s="123" t="s">
        <v>2</v>
      </c>
      <c r="B188" s="159">
        <v>2020</v>
      </c>
      <c r="C188" s="161">
        <v>2869.0430000000001</v>
      </c>
      <c r="D188" s="161">
        <v>6375.3670000000002</v>
      </c>
      <c r="E188" s="161">
        <v>2099.8719999999998</v>
      </c>
      <c r="F188" s="161">
        <v>5547.6</v>
      </c>
      <c r="G188" s="161">
        <v>293.709</v>
      </c>
      <c r="H188" s="161">
        <v>1298.71</v>
      </c>
      <c r="I188" s="161">
        <v>11448.810879430601</v>
      </c>
      <c r="J188" s="161">
        <v>11344.281999999999</v>
      </c>
      <c r="K188" s="161">
        <v>29933.111879430595</v>
      </c>
      <c r="L188" s="162">
        <v>10257.530000000001</v>
      </c>
      <c r="M188" s="162">
        <v>8955.1268794305797</v>
      </c>
      <c r="N188" s="162">
        <v>3766.817</v>
      </c>
      <c r="O188" s="162">
        <v>399.048</v>
      </c>
      <c r="P188" s="162">
        <v>4165.8649999999998</v>
      </c>
      <c r="Q188" s="162">
        <v>23378.52187943058</v>
      </c>
      <c r="R188" s="162">
        <v>24004.429167222257</v>
      </c>
    </row>
    <row r="189" spans="1:18">
      <c r="A189" s="123" t="s">
        <v>2</v>
      </c>
      <c r="B189" s="159">
        <v>2021</v>
      </c>
      <c r="C189" s="161">
        <v>2994.3980000000001</v>
      </c>
      <c r="D189" s="161">
        <v>5976.2640000000001</v>
      </c>
      <c r="E189" s="161">
        <v>2082.0340000000001</v>
      </c>
      <c r="F189" s="161">
        <v>5609.2</v>
      </c>
      <c r="G189" s="161">
        <v>322.63299999999998</v>
      </c>
      <c r="H189" s="161">
        <v>1527.7729999999999</v>
      </c>
      <c r="I189" s="161">
        <v>12987.2629705742</v>
      </c>
      <c r="J189" s="161">
        <v>11052.696</v>
      </c>
      <c r="K189" s="161">
        <v>31499.564970574203</v>
      </c>
      <c r="L189" s="162">
        <v>10760.748</v>
      </c>
      <c r="M189" s="162">
        <v>9864.9689705741694</v>
      </c>
      <c r="N189" s="162">
        <v>3624.4399999999996</v>
      </c>
      <c r="O189" s="162">
        <v>676.21500000000003</v>
      </c>
      <c r="P189" s="162">
        <v>4300.6549999999997</v>
      </c>
      <c r="Q189" s="162">
        <v>24926.371970574168</v>
      </c>
      <c r="R189" s="162">
        <v>25593.719459651973</v>
      </c>
    </row>
    <row r="190" spans="1:18">
      <c r="A190" s="123" t="s">
        <v>2</v>
      </c>
      <c r="B190" s="159">
        <v>2022</v>
      </c>
      <c r="C190" s="161">
        <v>3028.7689999999998</v>
      </c>
      <c r="D190" s="161">
        <v>6474.6549999999997</v>
      </c>
      <c r="E190" s="161">
        <v>1049.402</v>
      </c>
      <c r="F190" s="161">
        <v>6115.2</v>
      </c>
      <c r="G190" s="161">
        <v>317.928</v>
      </c>
      <c r="H190" s="161">
        <v>1076.268</v>
      </c>
      <c r="I190" s="161">
        <v>12133.3706198529</v>
      </c>
      <c r="J190" s="161">
        <v>10552.825999999999</v>
      </c>
      <c r="K190" s="161">
        <v>30195.592619852898</v>
      </c>
      <c r="L190" s="162">
        <v>9751.5229999999992</v>
      </c>
      <c r="M190" s="162">
        <v>9199.5666198528597</v>
      </c>
      <c r="N190" s="162">
        <v>3824.8670000000002</v>
      </c>
      <c r="O190" s="162">
        <v>563.61599999999999</v>
      </c>
      <c r="P190" s="162">
        <v>4388.4830000000002</v>
      </c>
      <c r="Q190" s="162">
        <v>23339.572619852857</v>
      </c>
      <c r="R190" s="162">
        <v>23964.437128911581</v>
      </c>
    </row>
    <row r="191" spans="1:18">
      <c r="A191" s="123" t="s">
        <v>2</v>
      </c>
      <c r="B191" s="159">
        <v>2023</v>
      </c>
      <c r="C191" s="161">
        <v>2388.6946441777604</v>
      </c>
      <c r="D191" s="161">
        <v>6078.8700285371315</v>
      </c>
      <c r="E191" s="161">
        <v>1114.8697088995402</v>
      </c>
      <c r="F191" s="161">
        <v>8258.0797737258836</v>
      </c>
      <c r="G191" s="161">
        <v>323.51699797160245</v>
      </c>
      <c r="H191" s="161">
        <v>148.24568883563015</v>
      </c>
      <c r="I191" s="161">
        <v>12435.286767048521</v>
      </c>
      <c r="J191" s="161">
        <v>9582.4343816144319</v>
      </c>
      <c r="K191" s="161">
        <v>30747.56360919607</v>
      </c>
      <c r="L191" s="162">
        <v>9552.9962587410118</v>
      </c>
      <c r="M191" s="162">
        <v>9278.2407332436942</v>
      </c>
      <c r="N191" s="162">
        <v>3741.0454168221563</v>
      </c>
      <c r="O191" s="162">
        <v>574.9584483133716</v>
      </c>
      <c r="P191" s="162">
        <v>4316.003865135528</v>
      </c>
      <c r="Q191" s="162">
        <v>23147.240857120232</v>
      </c>
      <c r="R191" s="162">
        <v>23766.956116256781</v>
      </c>
    </row>
    <row r="192" spans="1:18">
      <c r="A192" s="123" t="s">
        <v>82</v>
      </c>
      <c r="B192" s="157">
        <v>2005</v>
      </c>
      <c r="C192" s="158">
        <v>14065.181</v>
      </c>
      <c r="D192" s="158">
        <v>79030.130999999994</v>
      </c>
      <c r="E192" s="158">
        <v>39814.438999999998</v>
      </c>
      <c r="F192" s="158">
        <v>116473.51700000001</v>
      </c>
      <c r="G192" s="158">
        <v>1057.92</v>
      </c>
      <c r="H192" s="158">
        <v>-5187.2740000000003</v>
      </c>
      <c r="I192" s="158">
        <v>15614.818512563301</v>
      </c>
      <c r="J192" s="158">
        <v>132909.75099999999</v>
      </c>
      <c r="K192" s="158">
        <v>260868.73251256329</v>
      </c>
      <c r="L192" s="151">
        <v>32516.391</v>
      </c>
      <c r="M192" s="151">
        <v>77806.554512563307</v>
      </c>
      <c r="N192" s="151">
        <v>49220.794999999998</v>
      </c>
      <c r="O192" s="151">
        <v>584.88599999999997</v>
      </c>
      <c r="P192" s="151">
        <v>49805.680999999997</v>
      </c>
      <c r="Q192" s="151">
        <v>160128.62651256332</v>
      </c>
      <c r="R192" s="151">
        <v>164696.39476359953</v>
      </c>
    </row>
    <row r="193" spans="1:18">
      <c r="A193" s="123" t="s">
        <v>82</v>
      </c>
      <c r="B193" s="157">
        <v>2006</v>
      </c>
      <c r="C193" s="158">
        <v>12960.495000000001</v>
      </c>
      <c r="D193" s="158">
        <v>77548.942999999999</v>
      </c>
      <c r="E193" s="158">
        <v>38673.031000000003</v>
      </c>
      <c r="F193" s="158">
        <v>116128.375</v>
      </c>
      <c r="G193" s="158">
        <v>1021.783</v>
      </c>
      <c r="H193" s="158">
        <v>-5446.3459999999995</v>
      </c>
      <c r="I193" s="158">
        <v>15254.6049469762</v>
      </c>
      <c r="J193" s="158">
        <v>129182.469</v>
      </c>
      <c r="K193" s="158">
        <v>256140.8859469762</v>
      </c>
      <c r="L193" s="151">
        <v>31298.83</v>
      </c>
      <c r="M193" s="151">
        <v>76189.915946976194</v>
      </c>
      <c r="N193" s="151">
        <v>49542.712999999996</v>
      </c>
      <c r="O193" s="151">
        <v>707.86800000000005</v>
      </c>
      <c r="P193" s="151">
        <v>50250.580999999998</v>
      </c>
      <c r="Q193" s="151">
        <v>157739.32694697619</v>
      </c>
      <c r="R193" s="151">
        <v>162238.93894803015</v>
      </c>
    </row>
    <row r="194" spans="1:18">
      <c r="A194" s="123" t="s">
        <v>82</v>
      </c>
      <c r="B194" s="157">
        <v>2007</v>
      </c>
      <c r="C194" s="158">
        <v>13410.790999999999</v>
      </c>
      <c r="D194" s="158">
        <v>75749.225999999995</v>
      </c>
      <c r="E194" s="158">
        <v>37358.014000000003</v>
      </c>
      <c r="F194" s="158">
        <v>113429.923</v>
      </c>
      <c r="G194" s="158">
        <v>1105.7460000000001</v>
      </c>
      <c r="H194" s="158">
        <v>-4885.0389999999998</v>
      </c>
      <c r="I194" s="158">
        <v>16511.838166905502</v>
      </c>
      <c r="J194" s="158">
        <v>126518.03099999999</v>
      </c>
      <c r="K194" s="158">
        <v>252680.4991669055</v>
      </c>
      <c r="L194" s="151">
        <v>32212.924999999999</v>
      </c>
      <c r="M194" s="151">
        <v>70744.3661669055</v>
      </c>
      <c r="N194" s="151">
        <v>49438.159000000007</v>
      </c>
      <c r="O194" s="151">
        <v>1426.6980000000001</v>
      </c>
      <c r="P194" s="151">
        <v>50864.857000000004</v>
      </c>
      <c r="Q194" s="151">
        <v>153822.14816690551</v>
      </c>
      <c r="R194" s="151">
        <v>158210.02021705298</v>
      </c>
    </row>
    <row r="195" spans="1:18">
      <c r="A195" s="123" t="s">
        <v>82</v>
      </c>
      <c r="B195" s="157">
        <v>2008</v>
      </c>
      <c r="C195" s="158">
        <v>12690.17</v>
      </c>
      <c r="D195" s="158">
        <v>75071.095000000001</v>
      </c>
      <c r="E195" s="158">
        <v>38713.642999999996</v>
      </c>
      <c r="F195" s="158">
        <v>113356.92200000001</v>
      </c>
      <c r="G195" s="158">
        <v>1156.652</v>
      </c>
      <c r="H195" s="158">
        <v>-4126.2250000000004</v>
      </c>
      <c r="I195" s="158">
        <v>18601.004165185801</v>
      </c>
      <c r="J195" s="158">
        <v>126474.908</v>
      </c>
      <c r="K195" s="158">
        <v>255463.2611651858</v>
      </c>
      <c r="L195" s="151">
        <v>31702.967000000001</v>
      </c>
      <c r="M195" s="151">
        <v>74307.558165185794</v>
      </c>
      <c r="N195" s="151">
        <v>47514.074000000001</v>
      </c>
      <c r="O195" s="151">
        <v>2295.0700000000002</v>
      </c>
      <c r="P195" s="151">
        <v>49809.144</v>
      </c>
      <c r="Q195" s="151">
        <v>155819.6691651858</v>
      </c>
      <c r="R195" s="151">
        <v>160264.52173902499</v>
      </c>
    </row>
    <row r="196" spans="1:18">
      <c r="A196" s="123" t="s">
        <v>82</v>
      </c>
      <c r="B196" s="157">
        <v>2009</v>
      </c>
      <c r="C196" s="158">
        <v>11070.674999999999</v>
      </c>
      <c r="D196" s="158">
        <v>73244.998999999996</v>
      </c>
      <c r="E196" s="158">
        <v>37408.828000000001</v>
      </c>
      <c r="F196" s="158">
        <v>106857</v>
      </c>
      <c r="G196" s="158">
        <v>1235.4259999999999</v>
      </c>
      <c r="H196" s="158">
        <v>-2229.9229999999998</v>
      </c>
      <c r="I196" s="158">
        <v>18765.683318238302</v>
      </c>
      <c r="J196" s="158">
        <v>121724.50200000001</v>
      </c>
      <c r="K196" s="158">
        <v>246352.6883182383</v>
      </c>
      <c r="L196" s="151">
        <v>26277.824000000001</v>
      </c>
      <c r="M196" s="151">
        <v>74301.4983182383</v>
      </c>
      <c r="N196" s="151">
        <v>46485.023000000001</v>
      </c>
      <c r="O196" s="151">
        <v>2462.3820000000001</v>
      </c>
      <c r="P196" s="151">
        <v>48947.404999999999</v>
      </c>
      <c r="Q196" s="151">
        <v>149526.72731823829</v>
      </c>
      <c r="R196" s="151">
        <v>153792.06982819861</v>
      </c>
    </row>
    <row r="197" spans="1:18">
      <c r="A197" s="123" t="s">
        <v>82</v>
      </c>
      <c r="B197" s="157">
        <v>2010</v>
      </c>
      <c r="C197" s="158">
        <v>11916.643</v>
      </c>
      <c r="D197" s="158">
        <v>69822.991999999998</v>
      </c>
      <c r="E197" s="158">
        <v>41625.896000000001</v>
      </c>
      <c r="F197" s="158">
        <v>111612</v>
      </c>
      <c r="G197" s="158">
        <v>1251.2090000000001</v>
      </c>
      <c r="H197" s="158">
        <v>-2640.8429999999998</v>
      </c>
      <c r="I197" s="158">
        <v>20867.4923738416</v>
      </c>
      <c r="J197" s="158">
        <v>123365.53099999999</v>
      </c>
      <c r="K197" s="158">
        <v>254455.38937384161</v>
      </c>
      <c r="L197" s="151">
        <v>27739.167000000001</v>
      </c>
      <c r="M197" s="151">
        <v>77148.236373841602</v>
      </c>
      <c r="N197" s="151">
        <v>46656.787000000004</v>
      </c>
      <c r="O197" s="151">
        <v>2419.556</v>
      </c>
      <c r="P197" s="151">
        <v>49076.343000000001</v>
      </c>
      <c r="Q197" s="151">
        <v>153963.7463738416</v>
      </c>
      <c r="R197" s="151">
        <v>158355.65760054439</v>
      </c>
    </row>
    <row r="198" spans="1:18">
      <c r="A198" s="123" t="s">
        <v>82</v>
      </c>
      <c r="B198" s="157">
        <v>2011</v>
      </c>
      <c r="C198" s="158">
        <v>10995.088</v>
      </c>
      <c r="D198" s="158">
        <v>72134.100000000006</v>
      </c>
      <c r="E198" s="158">
        <v>35964.951999999997</v>
      </c>
      <c r="F198" s="158">
        <v>115209</v>
      </c>
      <c r="G198" s="158">
        <v>1559.3440000000001</v>
      </c>
      <c r="H198" s="158">
        <v>-4850.6450000000004</v>
      </c>
      <c r="I198" s="158">
        <v>18061.636498423599</v>
      </c>
      <c r="J198" s="158">
        <v>119094.14000000001</v>
      </c>
      <c r="K198" s="158">
        <v>249073.47549842362</v>
      </c>
      <c r="L198" s="151">
        <v>29453.648000000001</v>
      </c>
      <c r="M198" s="151">
        <v>68665.417711283095</v>
      </c>
      <c r="N198" s="151">
        <v>48299.847999999998</v>
      </c>
      <c r="O198" s="151">
        <v>2432.8020000000001</v>
      </c>
      <c r="P198" s="151">
        <v>50732.65</v>
      </c>
      <c r="Q198" s="151">
        <v>148851.71571128309</v>
      </c>
      <c r="R198" s="151">
        <v>153097.80309706929</v>
      </c>
    </row>
    <row r="199" spans="1:18">
      <c r="A199" s="123" t="s">
        <v>82</v>
      </c>
      <c r="B199" s="157">
        <v>2012</v>
      </c>
      <c r="C199" s="158">
        <v>12274.555</v>
      </c>
      <c r="D199" s="158">
        <v>69731.148000000001</v>
      </c>
      <c r="E199" s="158">
        <v>37193.673999999999</v>
      </c>
      <c r="F199" s="158">
        <v>110863</v>
      </c>
      <c r="G199" s="158">
        <v>1609.82</v>
      </c>
      <c r="H199" s="158">
        <v>-3828.1170000000002</v>
      </c>
      <c r="I199" s="158">
        <v>21269.636214865699</v>
      </c>
      <c r="J199" s="158">
        <v>119199.37700000001</v>
      </c>
      <c r="K199" s="158">
        <v>249113.71621486571</v>
      </c>
      <c r="L199" s="151">
        <v>29303.530999999999</v>
      </c>
      <c r="M199" s="151">
        <v>73413.711330085003</v>
      </c>
      <c r="N199" s="151">
        <v>47765.794999999998</v>
      </c>
      <c r="O199" s="151">
        <v>2678.5360000000001</v>
      </c>
      <c r="P199" s="151">
        <v>50444.330999999998</v>
      </c>
      <c r="Q199" s="151">
        <v>153161.573330085</v>
      </c>
      <c r="R199" s="151">
        <v>157530.60207386821</v>
      </c>
    </row>
    <row r="200" spans="1:18">
      <c r="A200" s="123" t="s">
        <v>82</v>
      </c>
      <c r="B200" s="159">
        <v>2013</v>
      </c>
      <c r="C200" s="161">
        <v>12976.879000000001</v>
      </c>
      <c r="D200" s="161">
        <v>68231.123000000007</v>
      </c>
      <c r="E200" s="161">
        <v>37741.381999999998</v>
      </c>
      <c r="F200" s="161">
        <v>110414.916</v>
      </c>
      <c r="G200" s="161">
        <v>1652.4159999999999</v>
      </c>
      <c r="H200" s="161">
        <v>-4166.8959999999997</v>
      </c>
      <c r="I200" s="161">
        <v>23659.8566668577</v>
      </c>
      <c r="J200" s="161">
        <v>118949.38400000001</v>
      </c>
      <c r="K200" s="161">
        <v>250509.67666685767</v>
      </c>
      <c r="L200" s="162">
        <v>29273.927</v>
      </c>
      <c r="M200" s="162">
        <v>76591.479640680205</v>
      </c>
      <c r="N200" s="162">
        <v>47385.506000000001</v>
      </c>
      <c r="O200" s="162">
        <v>2688.3470000000002</v>
      </c>
      <c r="P200" s="162">
        <v>50073.853000000003</v>
      </c>
      <c r="Q200" s="162">
        <v>155939.25964068022</v>
      </c>
      <c r="R200" s="162">
        <v>160387.52360690432</v>
      </c>
    </row>
    <row r="201" spans="1:18">
      <c r="A201" s="123" t="s">
        <v>82</v>
      </c>
      <c r="B201" s="159">
        <v>2014</v>
      </c>
      <c r="C201" s="161">
        <v>9500.3819999999996</v>
      </c>
      <c r="D201" s="161">
        <v>67127.767999999996</v>
      </c>
      <c r="E201" s="161">
        <v>31515.780999999999</v>
      </c>
      <c r="F201" s="161">
        <v>113747.77</v>
      </c>
      <c r="G201" s="161">
        <v>1695.9690000000001</v>
      </c>
      <c r="H201" s="161">
        <v>-5777.3</v>
      </c>
      <c r="I201" s="161">
        <v>22057.807658259298</v>
      </c>
      <c r="J201" s="161">
        <v>108143.931</v>
      </c>
      <c r="K201" s="161">
        <v>239868.17765825932</v>
      </c>
      <c r="L201" s="162">
        <v>27952.957999999999</v>
      </c>
      <c r="M201" s="162">
        <v>66682.839912677897</v>
      </c>
      <c r="N201" s="162">
        <v>47436.436000000002</v>
      </c>
      <c r="O201" s="162">
        <v>2954.5320000000002</v>
      </c>
      <c r="P201" s="162">
        <v>50390.968000000001</v>
      </c>
      <c r="Q201" s="162">
        <v>145026.76591267792</v>
      </c>
      <c r="R201" s="162">
        <v>149163.74423637832</v>
      </c>
    </row>
    <row r="202" spans="1:18">
      <c r="A202" s="123" t="s">
        <v>82</v>
      </c>
      <c r="B202" s="159">
        <v>2015</v>
      </c>
      <c r="C202" s="161">
        <v>9022.5949999999993</v>
      </c>
      <c r="D202" s="161">
        <v>68669.354000000007</v>
      </c>
      <c r="E202" s="161">
        <v>33903.082999999999</v>
      </c>
      <c r="F202" s="161">
        <v>113996.44500000001</v>
      </c>
      <c r="G202" s="161">
        <v>1680.3420000000001</v>
      </c>
      <c r="H202" s="161">
        <v>-5508.4260000000004</v>
      </c>
      <c r="I202" s="161">
        <v>22695.931894334499</v>
      </c>
      <c r="J202" s="161">
        <v>111595.03200000001</v>
      </c>
      <c r="K202" s="161">
        <v>244459.32489433451</v>
      </c>
      <c r="L202" s="162">
        <v>27584.304</v>
      </c>
      <c r="M202" s="162">
        <v>69400.825827744295</v>
      </c>
      <c r="N202" s="162">
        <v>48197.168000000005</v>
      </c>
      <c r="O202" s="162">
        <v>2994.433</v>
      </c>
      <c r="P202" s="162">
        <v>51191.601000000002</v>
      </c>
      <c r="Q202" s="162">
        <v>148176.73082774429</v>
      </c>
      <c r="R202" s="162">
        <v>152403.5638516584</v>
      </c>
    </row>
    <row r="203" spans="1:18">
      <c r="A203" s="123" t="s">
        <v>82</v>
      </c>
      <c r="B203" s="159">
        <v>2016</v>
      </c>
      <c r="C203" s="161">
        <v>8792.268</v>
      </c>
      <c r="D203" s="161">
        <v>66538.478000000003</v>
      </c>
      <c r="E203" s="161">
        <v>37114.19</v>
      </c>
      <c r="F203" s="161">
        <v>105078.837</v>
      </c>
      <c r="G203" s="161">
        <v>1747.4960000000001</v>
      </c>
      <c r="H203" s="161">
        <v>-3568.444</v>
      </c>
      <c r="I203" s="161">
        <v>24380.8540698385</v>
      </c>
      <c r="J203" s="161">
        <v>112444.936</v>
      </c>
      <c r="K203" s="161">
        <v>240083.67906983852</v>
      </c>
      <c r="L203" s="162">
        <v>28228.524000000001</v>
      </c>
      <c r="M203" s="162">
        <v>70563.940842361699</v>
      </c>
      <c r="N203" s="162">
        <v>48262.678999999996</v>
      </c>
      <c r="O203" s="162">
        <v>2991.125</v>
      </c>
      <c r="P203" s="162">
        <v>51253.803999999996</v>
      </c>
      <c r="Q203" s="162">
        <v>150046.26884236169</v>
      </c>
      <c r="R203" s="162">
        <v>154326.43159608898</v>
      </c>
    </row>
    <row r="204" spans="1:18">
      <c r="A204" s="123" t="s">
        <v>82</v>
      </c>
      <c r="B204" s="159">
        <v>2017</v>
      </c>
      <c r="C204" s="161">
        <v>9624.3639999999996</v>
      </c>
      <c r="D204" s="161">
        <v>66390.592999999993</v>
      </c>
      <c r="E204" s="161">
        <v>37315.758999999998</v>
      </c>
      <c r="F204" s="161">
        <v>103860.74</v>
      </c>
      <c r="G204" s="161">
        <v>1688.229</v>
      </c>
      <c r="H204" s="161">
        <v>-3450.4609999999998</v>
      </c>
      <c r="I204" s="161">
        <v>23861.943977070801</v>
      </c>
      <c r="J204" s="161">
        <v>113330.71599999999</v>
      </c>
      <c r="K204" s="161">
        <v>239291.16797707079</v>
      </c>
      <c r="L204" s="162">
        <v>27216.28</v>
      </c>
      <c r="M204" s="162">
        <v>70196.349340403103</v>
      </c>
      <c r="N204" s="162">
        <v>48588.028999999995</v>
      </c>
      <c r="O204" s="162">
        <v>3132.0709999999999</v>
      </c>
      <c r="P204" s="162">
        <v>51720.1</v>
      </c>
      <c r="Q204" s="162">
        <v>149132.72934040311</v>
      </c>
      <c r="R204" s="162">
        <v>153386.83281401295</v>
      </c>
    </row>
    <row r="205" spans="1:18">
      <c r="A205" s="123" t="s">
        <v>82</v>
      </c>
      <c r="B205" s="159">
        <v>2018</v>
      </c>
      <c r="C205" s="161">
        <v>8799.1239999999998</v>
      </c>
      <c r="D205" s="161">
        <v>64675.87</v>
      </c>
      <c r="E205" s="161">
        <v>35703.303999999996</v>
      </c>
      <c r="F205" s="161">
        <v>107628.69</v>
      </c>
      <c r="G205" s="161">
        <v>1685.7860000000001</v>
      </c>
      <c r="H205" s="161">
        <v>-5414.1610000000001</v>
      </c>
      <c r="I205" s="161">
        <v>25809.384845609999</v>
      </c>
      <c r="J205" s="161">
        <v>109178.29800000001</v>
      </c>
      <c r="K205" s="161">
        <v>238887.99784561002</v>
      </c>
      <c r="L205" s="162">
        <v>27264.789000000001</v>
      </c>
      <c r="M205" s="162">
        <v>68474.613914588699</v>
      </c>
      <c r="N205" s="162">
        <v>47898.172000000006</v>
      </c>
      <c r="O205" s="162">
        <v>3133.1640000000002</v>
      </c>
      <c r="P205" s="162">
        <v>51031.336000000003</v>
      </c>
      <c r="Q205" s="162">
        <v>146770.7389145887</v>
      </c>
      <c r="R205" s="162">
        <v>150957.46514834295</v>
      </c>
    </row>
    <row r="206" spans="1:18">
      <c r="A206" s="123" t="s">
        <v>82</v>
      </c>
      <c r="B206" s="159">
        <v>2019</v>
      </c>
      <c r="C206" s="161">
        <v>7059.9679999999998</v>
      </c>
      <c r="D206" s="161">
        <v>65214.27</v>
      </c>
      <c r="E206" s="161">
        <v>36434.080000000002</v>
      </c>
      <c r="F206" s="161">
        <v>103987</v>
      </c>
      <c r="G206" s="161">
        <v>1741.731</v>
      </c>
      <c r="H206" s="161">
        <v>-4958.4740000000002</v>
      </c>
      <c r="I206" s="161">
        <v>26012.993241616499</v>
      </c>
      <c r="J206" s="161">
        <v>108708.318</v>
      </c>
      <c r="K206" s="161">
        <v>235491.56824161651</v>
      </c>
      <c r="L206" s="162">
        <v>26954.699000000001</v>
      </c>
      <c r="M206" s="162">
        <v>67310.718914397599</v>
      </c>
      <c r="N206" s="162">
        <v>48105.869000000006</v>
      </c>
      <c r="O206" s="162">
        <v>3158.893</v>
      </c>
      <c r="P206" s="162">
        <v>51264.762000000002</v>
      </c>
      <c r="Q206" s="162">
        <v>145530.17991439759</v>
      </c>
      <c r="R206" s="162">
        <v>149681.51843429939</v>
      </c>
    </row>
    <row r="207" spans="1:18">
      <c r="A207" s="123" t="s">
        <v>82</v>
      </c>
      <c r="B207" s="159">
        <v>2020</v>
      </c>
      <c r="C207" s="161">
        <v>5055.8999999999996</v>
      </c>
      <c r="D207" s="161">
        <v>53297.563000000002</v>
      </c>
      <c r="E207" s="161">
        <v>33894.065999999999</v>
      </c>
      <c r="F207" s="161">
        <v>92211</v>
      </c>
      <c r="G207" s="161">
        <v>1634.9110000000001</v>
      </c>
      <c r="H207" s="161">
        <v>-3872.674</v>
      </c>
      <c r="I207" s="161">
        <v>25815.127567020099</v>
      </c>
      <c r="J207" s="161">
        <v>92247.52900000001</v>
      </c>
      <c r="K207" s="161">
        <v>208035.8935670201</v>
      </c>
      <c r="L207" s="162">
        <v>24767.383999999998</v>
      </c>
      <c r="M207" s="162">
        <v>64274.485120378296</v>
      </c>
      <c r="N207" s="162">
        <v>38046.747000000003</v>
      </c>
      <c r="O207" s="162">
        <v>2629.6990000000001</v>
      </c>
      <c r="P207" s="162">
        <v>40676.446000000004</v>
      </c>
      <c r="Q207" s="162">
        <v>129718.31512037831</v>
      </c>
      <c r="R207" s="162">
        <v>133418.61040354735</v>
      </c>
    </row>
    <row r="208" spans="1:18">
      <c r="A208" s="123" t="s">
        <v>82</v>
      </c>
      <c r="B208" s="159">
        <v>2021</v>
      </c>
      <c r="C208" s="161">
        <v>8184.9290000000001</v>
      </c>
      <c r="D208" s="161">
        <v>56755.529000000002</v>
      </c>
      <c r="E208" s="161">
        <v>35987.618999999999</v>
      </c>
      <c r="F208" s="161">
        <v>98864</v>
      </c>
      <c r="G208" s="161">
        <v>1723.6869999999999</v>
      </c>
      <c r="H208" s="161">
        <v>-3860.0390000000002</v>
      </c>
      <c r="I208" s="161">
        <v>27171.0308666284</v>
      </c>
      <c r="J208" s="161">
        <v>100928.07699999999</v>
      </c>
      <c r="K208" s="161">
        <v>224826.7558666284</v>
      </c>
      <c r="L208" s="162">
        <v>26707.221000000001</v>
      </c>
      <c r="M208" s="162">
        <v>70981.206508072893</v>
      </c>
      <c r="N208" s="162">
        <v>42461.167999999998</v>
      </c>
      <c r="O208" s="162">
        <v>2884.788</v>
      </c>
      <c r="P208" s="162">
        <v>45345.955999999998</v>
      </c>
      <c r="Q208" s="162">
        <v>143034.38350807287</v>
      </c>
      <c r="R208" s="162">
        <v>147114.52788964886</v>
      </c>
    </row>
    <row r="209" spans="1:18">
      <c r="A209" s="123" t="s">
        <v>82</v>
      </c>
      <c r="B209" s="159">
        <v>2022</v>
      </c>
      <c r="C209" s="161">
        <v>7203.0559999999996</v>
      </c>
      <c r="D209" s="161">
        <v>59902.481</v>
      </c>
      <c r="E209" s="161">
        <v>32355.530999999999</v>
      </c>
      <c r="F209" s="161">
        <v>76809</v>
      </c>
      <c r="G209" s="161">
        <v>1796.193</v>
      </c>
      <c r="H209" s="161">
        <v>1284.998</v>
      </c>
      <c r="I209" s="161">
        <v>26221.358844558999</v>
      </c>
      <c r="J209" s="161">
        <v>99461.067999999999</v>
      </c>
      <c r="K209" s="161">
        <v>205572.61784455899</v>
      </c>
      <c r="L209" s="162">
        <v>25302.136999999999</v>
      </c>
      <c r="M209" s="162">
        <v>63924.839849718097</v>
      </c>
      <c r="N209" s="162">
        <v>46229.445</v>
      </c>
      <c r="O209" s="162">
        <v>3077.0239999999999</v>
      </c>
      <c r="P209" s="162">
        <v>49306.468999999997</v>
      </c>
      <c r="Q209" s="162">
        <v>138533.44584971809</v>
      </c>
      <c r="R209" s="162">
        <v>142485.1981968185</v>
      </c>
    </row>
    <row r="210" spans="1:18">
      <c r="A210" s="123" t="s">
        <v>82</v>
      </c>
      <c r="B210" s="159">
        <v>2023</v>
      </c>
      <c r="C210" s="161">
        <v>5481.8936083919662</v>
      </c>
      <c r="D210" s="161">
        <v>58546.735664670836</v>
      </c>
      <c r="E210" s="161">
        <v>28650.415670905197</v>
      </c>
      <c r="F210" s="161">
        <v>88123.569696100647</v>
      </c>
      <c r="G210" s="161">
        <v>1735.6907407501783</v>
      </c>
      <c r="H210" s="161">
        <v>-4328.7961822017342</v>
      </c>
      <c r="I210" s="161">
        <v>28895.893567601011</v>
      </c>
      <c r="J210" s="161">
        <v>92679.044943968009</v>
      </c>
      <c r="K210" s="161">
        <v>207105.40276621812</v>
      </c>
      <c r="L210" s="162">
        <v>24001.635837505102</v>
      </c>
      <c r="M210" s="162">
        <v>62303.138074876828</v>
      </c>
      <c r="N210" s="162">
        <v>44637.660102599613</v>
      </c>
      <c r="O210" s="162">
        <v>3226.5544087334342</v>
      </c>
      <c r="P210" s="162">
        <v>47864.214511333048</v>
      </c>
      <c r="Q210" s="162">
        <v>134168.988423715</v>
      </c>
      <c r="R210" s="162">
        <v>137996.2419195002</v>
      </c>
    </row>
    <row r="211" spans="1:18">
      <c r="A211" s="123" t="s">
        <v>181</v>
      </c>
      <c r="B211" s="157">
        <v>2005</v>
      </c>
      <c r="C211" s="158">
        <v>8952.4879999999994</v>
      </c>
      <c r="D211" s="158">
        <v>17059.112000000001</v>
      </c>
      <c r="E211" s="158">
        <v>2225.4699999999998</v>
      </c>
      <c r="F211" s="158">
        <v>0</v>
      </c>
      <c r="G211" s="158">
        <v>24.84</v>
      </c>
      <c r="H211" s="158">
        <v>325.02100000000002</v>
      </c>
      <c r="I211" s="158">
        <v>1704.489</v>
      </c>
      <c r="J211" s="158">
        <v>28237.07</v>
      </c>
      <c r="K211" s="158">
        <v>30291.420000000002</v>
      </c>
      <c r="L211" s="151">
        <v>4168.76</v>
      </c>
      <c r="M211" s="151">
        <v>8682.2849999999999</v>
      </c>
      <c r="N211" s="151">
        <v>8171.3580000000002</v>
      </c>
      <c r="O211" s="151">
        <v>0</v>
      </c>
      <c r="P211" s="151">
        <v>8171.3580000000002</v>
      </c>
      <c r="Q211" s="151">
        <v>21022.402999999998</v>
      </c>
      <c r="R211" s="151">
        <v>21732.734175224206</v>
      </c>
    </row>
    <row r="212" spans="1:18">
      <c r="A212" s="123" t="s">
        <v>181</v>
      </c>
      <c r="B212" s="157">
        <v>2006</v>
      </c>
      <c r="C212" s="158">
        <v>8427.3940000000002</v>
      </c>
      <c r="D212" s="158">
        <v>17013.190999999999</v>
      </c>
      <c r="E212" s="158">
        <v>2617.665</v>
      </c>
      <c r="F212" s="158">
        <v>0</v>
      </c>
      <c r="G212" s="158">
        <v>5.5650000000000004</v>
      </c>
      <c r="H212" s="158">
        <v>361.30700000000002</v>
      </c>
      <c r="I212" s="158">
        <v>1848.4</v>
      </c>
      <c r="J212" s="158">
        <v>28058.25</v>
      </c>
      <c r="K212" s="158">
        <v>30273.522000000001</v>
      </c>
      <c r="L212" s="151">
        <v>4241.8980000000001</v>
      </c>
      <c r="M212" s="151">
        <v>8845.9850000000006</v>
      </c>
      <c r="N212" s="151">
        <v>8495.4030000000002</v>
      </c>
      <c r="O212" s="151">
        <v>45.07</v>
      </c>
      <c r="P212" s="151">
        <v>8540.473</v>
      </c>
      <c r="Q212" s="151">
        <v>21628.356</v>
      </c>
      <c r="R212" s="151">
        <v>22359.161871034226</v>
      </c>
    </row>
    <row r="213" spans="1:18">
      <c r="A213" s="123" t="s">
        <v>181</v>
      </c>
      <c r="B213" s="157">
        <v>2007</v>
      </c>
      <c r="C213" s="158">
        <v>8835.9879999999994</v>
      </c>
      <c r="D213" s="158">
        <v>16108.936</v>
      </c>
      <c r="E213" s="158">
        <v>3227.06</v>
      </c>
      <c r="F213" s="158">
        <v>0</v>
      </c>
      <c r="G213" s="158">
        <v>5.5650000000000004</v>
      </c>
      <c r="H213" s="158">
        <v>374.46300000000002</v>
      </c>
      <c r="I213" s="158">
        <v>1756.6559999999999</v>
      </c>
      <c r="J213" s="158">
        <v>28171.984</v>
      </c>
      <c r="K213" s="158">
        <v>30308.667999999998</v>
      </c>
      <c r="L213" s="151">
        <v>4617.99</v>
      </c>
      <c r="M213" s="151">
        <v>8673.6749999999993</v>
      </c>
      <c r="N213" s="151">
        <v>8723.64</v>
      </c>
      <c r="O213" s="151">
        <v>83.070999999999998</v>
      </c>
      <c r="P213" s="151">
        <v>8806.7109999999993</v>
      </c>
      <c r="Q213" s="151">
        <v>22098.375999999997</v>
      </c>
      <c r="R213" s="151">
        <v>22845.063493081849</v>
      </c>
    </row>
    <row r="214" spans="1:18">
      <c r="A214" s="123" t="s">
        <v>181</v>
      </c>
      <c r="B214" s="157">
        <v>2008</v>
      </c>
      <c r="C214" s="158">
        <v>8321.2070000000003</v>
      </c>
      <c r="D214" s="158">
        <v>16595.362000000001</v>
      </c>
      <c r="E214" s="158">
        <v>3316.5369999999998</v>
      </c>
      <c r="F214" s="158">
        <v>0</v>
      </c>
      <c r="G214" s="158">
        <v>4.0129999999999999</v>
      </c>
      <c r="H214" s="158">
        <v>482.63099999999997</v>
      </c>
      <c r="I214" s="158">
        <v>1755.7270000000001</v>
      </c>
      <c r="J214" s="158">
        <v>28233.106000000003</v>
      </c>
      <c r="K214" s="158">
        <v>30475.477000000003</v>
      </c>
      <c r="L214" s="151">
        <v>4231.4799999999996</v>
      </c>
      <c r="M214" s="151">
        <v>8599.2270000000008</v>
      </c>
      <c r="N214" s="151">
        <v>8537.8959999999988</v>
      </c>
      <c r="O214" s="151">
        <v>67.162999999999997</v>
      </c>
      <c r="P214" s="151">
        <v>8605.0589999999993</v>
      </c>
      <c r="Q214" s="151">
        <v>21435.766</v>
      </c>
      <c r="R214" s="151">
        <v>22160.06439988374</v>
      </c>
    </row>
    <row r="215" spans="1:18">
      <c r="A215" s="123" t="s">
        <v>181</v>
      </c>
      <c r="B215" s="157">
        <v>2009</v>
      </c>
      <c r="C215" s="158">
        <v>8425.2569999999996</v>
      </c>
      <c r="D215" s="158">
        <v>15982.334999999999</v>
      </c>
      <c r="E215" s="158">
        <v>2723.5479999999998</v>
      </c>
      <c r="F215" s="158">
        <v>0</v>
      </c>
      <c r="G215" s="158">
        <v>4.0359999999999996</v>
      </c>
      <c r="H215" s="158">
        <v>375.49400000000003</v>
      </c>
      <c r="I215" s="158">
        <v>1922.43</v>
      </c>
      <c r="J215" s="158">
        <v>27131.139999999996</v>
      </c>
      <c r="K215" s="158">
        <v>29433.099999999995</v>
      </c>
      <c r="L215" s="151">
        <v>3462.364</v>
      </c>
      <c r="M215" s="151">
        <v>7915.76</v>
      </c>
      <c r="N215" s="151">
        <v>9130.4979999999996</v>
      </c>
      <c r="O215" s="151">
        <v>76.001000000000005</v>
      </c>
      <c r="P215" s="151">
        <v>9206.4989999999998</v>
      </c>
      <c r="Q215" s="151">
        <v>20584.623</v>
      </c>
      <c r="R215" s="151">
        <v>21280.161918511705</v>
      </c>
    </row>
    <row r="216" spans="1:18">
      <c r="A216" s="123" t="s">
        <v>181</v>
      </c>
      <c r="B216" s="157">
        <v>2010</v>
      </c>
      <c r="C216" s="158">
        <v>7863.0330000000004</v>
      </c>
      <c r="D216" s="158">
        <v>13781.33</v>
      </c>
      <c r="E216" s="158">
        <v>2880.6</v>
      </c>
      <c r="F216" s="158">
        <v>0</v>
      </c>
      <c r="G216" s="158">
        <v>32.029000000000003</v>
      </c>
      <c r="H216" s="158">
        <v>490.62799999999999</v>
      </c>
      <c r="I216" s="158">
        <v>2190.6390000000001</v>
      </c>
      <c r="J216" s="158">
        <v>24524.963</v>
      </c>
      <c r="K216" s="158">
        <v>27238.258999999998</v>
      </c>
      <c r="L216" s="151">
        <v>3472.8110000000001</v>
      </c>
      <c r="M216" s="151">
        <v>7424.1019999999999</v>
      </c>
      <c r="N216" s="151">
        <v>8034.2340000000004</v>
      </c>
      <c r="O216" s="151">
        <v>124.60599999999999</v>
      </c>
      <c r="P216" s="151">
        <v>8158.84</v>
      </c>
      <c r="Q216" s="151">
        <v>19055.753000000001</v>
      </c>
      <c r="R216" s="151">
        <v>19699.63255188911</v>
      </c>
    </row>
    <row r="217" spans="1:18">
      <c r="A217" s="123" t="s">
        <v>181</v>
      </c>
      <c r="B217" s="157">
        <v>2011</v>
      </c>
      <c r="C217" s="158">
        <v>7886.86</v>
      </c>
      <c r="D217" s="158">
        <v>12676.279</v>
      </c>
      <c r="E217" s="158">
        <v>3586.7260000000001</v>
      </c>
      <c r="F217" s="158">
        <v>0</v>
      </c>
      <c r="G217" s="158">
        <v>28.064</v>
      </c>
      <c r="H217" s="158">
        <v>277.90199999999999</v>
      </c>
      <c r="I217" s="158">
        <v>2198.665</v>
      </c>
      <c r="J217" s="158">
        <v>24149.864999999998</v>
      </c>
      <c r="K217" s="158">
        <v>26654.495999999996</v>
      </c>
      <c r="L217" s="151">
        <v>3322.8229999999999</v>
      </c>
      <c r="M217" s="151">
        <v>8156.9840000000004</v>
      </c>
      <c r="N217" s="151">
        <v>7341.5960000000005</v>
      </c>
      <c r="O217" s="151">
        <v>103.396</v>
      </c>
      <c r="P217" s="151">
        <v>7444.9920000000002</v>
      </c>
      <c r="Q217" s="151">
        <v>18924.798999999999</v>
      </c>
      <c r="R217" s="151">
        <v>19564.253714789356</v>
      </c>
    </row>
    <row r="218" spans="1:18">
      <c r="A218" s="123" t="s">
        <v>181</v>
      </c>
      <c r="B218" s="157">
        <v>2012</v>
      </c>
      <c r="C218" s="158">
        <v>8134.8419999999996</v>
      </c>
      <c r="D218" s="158">
        <v>12429.116</v>
      </c>
      <c r="E218" s="158">
        <v>3297.8649999999998</v>
      </c>
      <c r="F218" s="158">
        <v>0</v>
      </c>
      <c r="G218" s="158">
        <v>14.928000000000001</v>
      </c>
      <c r="H218" s="158">
        <v>153.482</v>
      </c>
      <c r="I218" s="158">
        <v>2506.89</v>
      </c>
      <c r="J218" s="158">
        <v>23861.822999999997</v>
      </c>
      <c r="K218" s="158">
        <v>26537.122999999996</v>
      </c>
      <c r="L218" s="151">
        <v>2995.491</v>
      </c>
      <c r="M218" s="151">
        <v>7791.9480000000003</v>
      </c>
      <c r="N218" s="151">
        <v>6170.4810000000007</v>
      </c>
      <c r="O218" s="151">
        <v>103.396</v>
      </c>
      <c r="P218" s="151">
        <v>6273.8770000000004</v>
      </c>
      <c r="Q218" s="151">
        <v>17061.315999999999</v>
      </c>
      <c r="R218" s="151">
        <v>17637.805026737409</v>
      </c>
    </row>
    <row r="219" spans="1:18">
      <c r="A219" s="123" t="s">
        <v>181</v>
      </c>
      <c r="B219" s="159">
        <v>2013</v>
      </c>
      <c r="C219" s="161">
        <v>6981.0039999999999</v>
      </c>
      <c r="D219" s="161">
        <v>10663.062</v>
      </c>
      <c r="E219" s="161">
        <v>2914.8150000000001</v>
      </c>
      <c r="F219" s="161">
        <v>0</v>
      </c>
      <c r="G219" s="161">
        <v>21.09</v>
      </c>
      <c r="H219" s="161">
        <v>162.25299999999999</v>
      </c>
      <c r="I219" s="161">
        <v>2676.0839999999998</v>
      </c>
      <c r="J219" s="161">
        <v>20558.880999999998</v>
      </c>
      <c r="K219" s="161">
        <v>23418.307999999997</v>
      </c>
      <c r="L219" s="162">
        <v>2835.5309999999999</v>
      </c>
      <c r="M219" s="162">
        <v>6224.0349999999999</v>
      </c>
      <c r="N219" s="162">
        <v>6161.2109999999993</v>
      </c>
      <c r="O219" s="162">
        <v>121.29600000000001</v>
      </c>
      <c r="P219" s="162">
        <v>6282.5069999999996</v>
      </c>
      <c r="Q219" s="162">
        <v>15342.073</v>
      </c>
      <c r="R219" s="162">
        <v>15860.470099725735</v>
      </c>
    </row>
    <row r="220" spans="1:18">
      <c r="A220" s="123" t="s">
        <v>181</v>
      </c>
      <c r="B220" s="159">
        <v>2014</v>
      </c>
      <c r="C220" s="161">
        <v>6687.0829999999996</v>
      </c>
      <c r="D220" s="161">
        <v>11180.829</v>
      </c>
      <c r="E220" s="161">
        <v>2136.1489999999999</v>
      </c>
      <c r="F220" s="161">
        <v>0</v>
      </c>
      <c r="G220" s="161">
        <v>20.731999999999999</v>
      </c>
      <c r="H220" s="161">
        <v>758.298</v>
      </c>
      <c r="I220" s="161">
        <v>2505.9499999999998</v>
      </c>
      <c r="J220" s="161">
        <v>20004.061000000002</v>
      </c>
      <c r="K220" s="161">
        <v>23289.041000000001</v>
      </c>
      <c r="L220" s="162">
        <v>3088.3</v>
      </c>
      <c r="M220" s="162">
        <v>6080.3140000000003</v>
      </c>
      <c r="N220" s="162">
        <v>6278.4840000000004</v>
      </c>
      <c r="O220" s="162">
        <v>134.47999999999999</v>
      </c>
      <c r="P220" s="162">
        <v>6412.9639999999999</v>
      </c>
      <c r="Q220" s="162">
        <v>15581.578</v>
      </c>
      <c r="R220" s="162">
        <v>16108.067793416465</v>
      </c>
    </row>
    <row r="221" spans="1:18">
      <c r="A221" s="123" t="s">
        <v>181</v>
      </c>
      <c r="B221" s="159">
        <v>2015</v>
      </c>
      <c r="C221" s="161">
        <v>5606.3739999999998</v>
      </c>
      <c r="D221" s="161">
        <v>11697.286</v>
      </c>
      <c r="E221" s="161">
        <v>2329.1669999999999</v>
      </c>
      <c r="F221" s="161">
        <v>0</v>
      </c>
      <c r="G221" s="161">
        <v>89.137</v>
      </c>
      <c r="H221" s="161">
        <v>826.13900000000001</v>
      </c>
      <c r="I221" s="161">
        <v>2840.4119999999998</v>
      </c>
      <c r="J221" s="161">
        <v>19632.827000000001</v>
      </c>
      <c r="K221" s="161">
        <v>23388.514999999999</v>
      </c>
      <c r="L221" s="162">
        <v>3128.4459999999999</v>
      </c>
      <c r="M221" s="162">
        <v>6859.1769999999997</v>
      </c>
      <c r="N221" s="162">
        <v>6435.5719999999992</v>
      </c>
      <c r="O221" s="162">
        <v>141.511</v>
      </c>
      <c r="P221" s="162">
        <v>6577.0829999999996</v>
      </c>
      <c r="Q221" s="162">
        <v>16564.705999999998</v>
      </c>
      <c r="R221" s="162">
        <v>17124.414948602283</v>
      </c>
    </row>
    <row r="222" spans="1:18">
      <c r="A222" s="123" t="s">
        <v>181</v>
      </c>
      <c r="B222" s="159">
        <v>2016</v>
      </c>
      <c r="C222" s="161">
        <v>4369.4840000000004</v>
      </c>
      <c r="D222" s="161">
        <v>11828.769</v>
      </c>
      <c r="E222" s="161">
        <v>3343.4059999999999</v>
      </c>
      <c r="F222" s="161">
        <v>0</v>
      </c>
      <c r="G222" s="161">
        <v>60.118000000000002</v>
      </c>
      <c r="H222" s="161">
        <v>756.32</v>
      </c>
      <c r="I222" s="161">
        <v>2704.1030000000001</v>
      </c>
      <c r="J222" s="161">
        <v>19541.659</v>
      </c>
      <c r="K222" s="161">
        <v>23062.199999999997</v>
      </c>
      <c r="L222" s="162">
        <v>3073.1219999999998</v>
      </c>
      <c r="M222" s="162">
        <v>6897.78</v>
      </c>
      <c r="N222" s="162">
        <v>6626.77</v>
      </c>
      <c r="O222" s="162">
        <v>149.422</v>
      </c>
      <c r="P222" s="162">
        <v>6776.192</v>
      </c>
      <c r="Q222" s="162">
        <v>16747.094000000001</v>
      </c>
      <c r="R222" s="162">
        <v>17312.965701851132</v>
      </c>
    </row>
    <row r="223" spans="1:18">
      <c r="A223" s="123" t="s">
        <v>181</v>
      </c>
      <c r="B223" s="159">
        <v>2017</v>
      </c>
      <c r="C223" s="161">
        <v>4816.6350000000002</v>
      </c>
      <c r="D223" s="161">
        <v>11460.08</v>
      </c>
      <c r="E223" s="161">
        <v>3796.9920000000002</v>
      </c>
      <c r="F223" s="161">
        <v>0</v>
      </c>
      <c r="G223" s="161">
        <v>0</v>
      </c>
      <c r="H223" s="161">
        <v>536.28499999999997</v>
      </c>
      <c r="I223" s="161">
        <v>2625.4777128116898</v>
      </c>
      <c r="J223" s="161">
        <v>20073.707000000002</v>
      </c>
      <c r="K223" s="161">
        <v>23235.469712811693</v>
      </c>
      <c r="L223" s="162">
        <v>2762.817</v>
      </c>
      <c r="M223" s="162">
        <v>6840.9197128116903</v>
      </c>
      <c r="N223" s="162">
        <v>6636.058</v>
      </c>
      <c r="O223" s="162">
        <v>165.81200000000001</v>
      </c>
      <c r="P223" s="162">
        <v>6801.87</v>
      </c>
      <c r="Q223" s="162">
        <v>16405.606712811692</v>
      </c>
      <c r="R223" s="162">
        <v>16959.939816243193</v>
      </c>
    </row>
    <row r="224" spans="1:18">
      <c r="A224" s="123" t="s">
        <v>181</v>
      </c>
      <c r="B224" s="159">
        <v>2018</v>
      </c>
      <c r="C224" s="161">
        <v>4564.0690000000004</v>
      </c>
      <c r="D224" s="161">
        <v>11026.079</v>
      </c>
      <c r="E224" s="161">
        <v>3632.1120000000001</v>
      </c>
      <c r="F224" s="161">
        <v>0</v>
      </c>
      <c r="G224" s="161">
        <v>28.960999999999999</v>
      </c>
      <c r="H224" s="161">
        <v>539.81100000000004</v>
      </c>
      <c r="I224" s="161">
        <v>2817.2883871214199</v>
      </c>
      <c r="J224" s="161">
        <v>19222.260000000002</v>
      </c>
      <c r="K224" s="161">
        <v>22608.320387121421</v>
      </c>
      <c r="L224" s="162">
        <v>2738.8539999999998</v>
      </c>
      <c r="M224" s="162">
        <v>6181.9843871214198</v>
      </c>
      <c r="N224" s="162">
        <v>6827.777</v>
      </c>
      <c r="O224" s="162">
        <v>158.785</v>
      </c>
      <c r="P224" s="162">
        <v>6986.5619999999999</v>
      </c>
      <c r="Q224" s="162">
        <v>15907.400387121419</v>
      </c>
      <c r="R224" s="162">
        <v>16444.899473774167</v>
      </c>
    </row>
    <row r="225" spans="1:18">
      <c r="A225" s="123" t="s">
        <v>181</v>
      </c>
      <c r="B225" s="159">
        <v>2019</v>
      </c>
      <c r="C225" s="161">
        <v>3196.0880000000002</v>
      </c>
      <c r="D225" s="161">
        <v>11306.584000000001</v>
      </c>
      <c r="E225" s="161">
        <v>4061.3380000000002</v>
      </c>
      <c r="F225" s="161">
        <v>0</v>
      </c>
      <c r="G225" s="161">
        <v>41.978000000000002</v>
      </c>
      <c r="H225" s="161">
        <v>855.03</v>
      </c>
      <c r="I225" s="161">
        <v>2827.8285626253901</v>
      </c>
      <c r="J225" s="161">
        <v>18564.010000000002</v>
      </c>
      <c r="K225" s="161">
        <v>22288.846562625389</v>
      </c>
      <c r="L225" s="162">
        <v>2587.6060000000002</v>
      </c>
      <c r="M225" s="162">
        <v>6410.4605626253897</v>
      </c>
      <c r="N225" s="162">
        <v>6989.6959999999999</v>
      </c>
      <c r="O225" s="162">
        <v>186.11199999999999</v>
      </c>
      <c r="P225" s="162">
        <v>7175.808</v>
      </c>
      <c r="Q225" s="162">
        <v>16173.874562625391</v>
      </c>
      <c r="R225" s="162">
        <v>16720.377611111267</v>
      </c>
    </row>
    <row r="226" spans="1:18">
      <c r="A226" s="123" t="s">
        <v>181</v>
      </c>
      <c r="B226" s="159">
        <v>2020</v>
      </c>
      <c r="C226" s="161">
        <v>1830.92</v>
      </c>
      <c r="D226" s="161">
        <v>9121.5589999999993</v>
      </c>
      <c r="E226" s="161">
        <v>4553.4790000000003</v>
      </c>
      <c r="F226" s="161">
        <v>0</v>
      </c>
      <c r="G226" s="161">
        <v>9.673</v>
      </c>
      <c r="H226" s="161">
        <v>762.16700000000003</v>
      </c>
      <c r="I226" s="161">
        <v>2963.2556087704102</v>
      </c>
      <c r="J226" s="161">
        <v>15505.957999999999</v>
      </c>
      <c r="K226" s="161">
        <v>19241.053608770409</v>
      </c>
      <c r="L226" s="162">
        <v>2523.498</v>
      </c>
      <c r="M226" s="162">
        <v>6418.2176087704102</v>
      </c>
      <c r="N226" s="162">
        <v>5297.7429999999995</v>
      </c>
      <c r="O226" s="162">
        <v>199.53200000000001</v>
      </c>
      <c r="P226" s="162">
        <v>5497.2749999999996</v>
      </c>
      <c r="Q226" s="162">
        <v>14438.990608770409</v>
      </c>
      <c r="R226" s="162">
        <v>14926.873234185743</v>
      </c>
    </row>
    <row r="227" spans="1:18">
      <c r="A227" s="123" t="s">
        <v>181</v>
      </c>
      <c r="B227" s="159">
        <v>2021</v>
      </c>
      <c r="C227" s="161">
        <v>1710.922</v>
      </c>
      <c r="D227" s="161">
        <v>9756.0130000000008</v>
      </c>
      <c r="E227" s="161">
        <v>5144.183</v>
      </c>
      <c r="F227" s="161">
        <v>0</v>
      </c>
      <c r="G227" s="161">
        <v>7.8579999999999997</v>
      </c>
      <c r="H227" s="161">
        <v>316.767</v>
      </c>
      <c r="I227" s="161">
        <v>3398.4015450463298</v>
      </c>
      <c r="J227" s="161">
        <v>16611.118000000002</v>
      </c>
      <c r="K227" s="161">
        <v>20334.144545046332</v>
      </c>
      <c r="L227" s="162">
        <v>2565.4009999999998</v>
      </c>
      <c r="M227" s="162">
        <v>6376.5945450463296</v>
      </c>
      <c r="N227" s="162">
        <v>6010.3949999999995</v>
      </c>
      <c r="O227" s="162">
        <v>216.524</v>
      </c>
      <c r="P227" s="162">
        <v>6226.9189999999999</v>
      </c>
      <c r="Q227" s="162">
        <v>15168.914545046329</v>
      </c>
      <c r="R227" s="162">
        <v>15681.460750903878</v>
      </c>
    </row>
    <row r="228" spans="1:18">
      <c r="A228" s="123" t="s">
        <v>181</v>
      </c>
      <c r="B228" s="159">
        <v>2022</v>
      </c>
      <c r="C228" s="161">
        <v>1562.47</v>
      </c>
      <c r="D228" s="161">
        <v>11471.419</v>
      </c>
      <c r="E228" s="161">
        <v>4382.4040000000005</v>
      </c>
      <c r="F228" s="161">
        <v>0</v>
      </c>
      <c r="G228" s="161">
        <v>0</v>
      </c>
      <c r="H228" s="161">
        <v>296.38900000000001</v>
      </c>
      <c r="I228" s="161">
        <v>3213.12718018534</v>
      </c>
      <c r="J228" s="161">
        <v>17416.292999999998</v>
      </c>
      <c r="K228" s="161">
        <v>20925.809180185337</v>
      </c>
      <c r="L228" s="162">
        <v>2565.529</v>
      </c>
      <c r="M228" s="162">
        <v>6523.4481801853399</v>
      </c>
      <c r="N228" s="162">
        <v>6806.2469999999994</v>
      </c>
      <c r="O228" s="162">
        <v>216.524</v>
      </c>
      <c r="P228" s="162">
        <v>7022.7709999999997</v>
      </c>
      <c r="Q228" s="162">
        <v>16111.748180185339</v>
      </c>
      <c r="R228" s="162">
        <v>16656.152024966905</v>
      </c>
    </row>
    <row r="229" spans="1:18">
      <c r="A229" s="123" t="s">
        <v>181</v>
      </c>
      <c r="B229" s="159">
        <v>2023</v>
      </c>
      <c r="C229" s="161">
        <v>1127.4055439380743</v>
      </c>
      <c r="D229" s="161">
        <v>11464.05299421286</v>
      </c>
      <c r="E229" s="161">
        <v>3806.3767859915415</v>
      </c>
      <c r="F229" s="161">
        <v>0</v>
      </c>
      <c r="G229" s="161">
        <v>0</v>
      </c>
      <c r="H229" s="161">
        <v>296.38900000000001</v>
      </c>
      <c r="I229" s="161">
        <v>3379.1042453379341</v>
      </c>
      <c r="J229" s="161">
        <v>16397.835324142474</v>
      </c>
      <c r="K229" s="161">
        <v>20073.328569480407</v>
      </c>
      <c r="L229" s="162">
        <v>2552.6787632919318</v>
      </c>
      <c r="M229" s="162">
        <v>6523.4481801853399</v>
      </c>
      <c r="N229" s="162">
        <v>6806.2469999999994</v>
      </c>
      <c r="O229" s="162">
        <v>239.26239999999962</v>
      </c>
      <c r="P229" s="162">
        <v>7045.509399999999</v>
      </c>
      <c r="Q229" s="162">
        <v>16121.63634347727</v>
      </c>
      <c r="R229" s="162">
        <v>16666.374301854317</v>
      </c>
    </row>
    <row r="230" spans="1:18">
      <c r="A230" s="123" t="s">
        <v>183</v>
      </c>
      <c r="B230" s="157">
        <v>2005</v>
      </c>
      <c r="C230" s="158">
        <v>683.59</v>
      </c>
      <c r="D230" s="158">
        <v>4234.6390000000001</v>
      </c>
      <c r="E230" s="158">
        <v>1986.433</v>
      </c>
      <c r="F230" s="158">
        <v>0</v>
      </c>
      <c r="G230" s="158">
        <v>4.2039999999999997</v>
      </c>
      <c r="H230" s="158">
        <v>379.10599999999999</v>
      </c>
      <c r="I230" s="158">
        <v>1855.3981671921299</v>
      </c>
      <c r="J230" s="158">
        <v>6904.6620000000003</v>
      </c>
      <c r="K230" s="158">
        <v>9143.3701671921299</v>
      </c>
      <c r="L230" s="151">
        <v>1535.9970000000001</v>
      </c>
      <c r="M230" s="151">
        <v>3790.247167</v>
      </c>
      <c r="N230" s="151">
        <v>1919.2329999999999</v>
      </c>
      <c r="O230" s="151">
        <v>0</v>
      </c>
      <c r="P230" s="151">
        <v>1919.2329999999999</v>
      </c>
      <c r="Q230" s="151">
        <v>7245.477167</v>
      </c>
      <c r="R230" s="151">
        <v>7496.2394692212611</v>
      </c>
    </row>
    <row r="231" spans="1:18">
      <c r="A231" s="123" t="s">
        <v>183</v>
      </c>
      <c r="B231" s="157">
        <v>2006</v>
      </c>
      <c r="C231" s="158">
        <v>634.62900000000002</v>
      </c>
      <c r="D231" s="158">
        <v>4336.2349999999997</v>
      </c>
      <c r="E231" s="158">
        <v>1972.614</v>
      </c>
      <c r="F231" s="158">
        <v>0</v>
      </c>
      <c r="G231" s="158">
        <v>4.5620000000000003</v>
      </c>
      <c r="H231" s="158">
        <v>430.35300000000001</v>
      </c>
      <c r="I231" s="158">
        <v>1732.5068251647999</v>
      </c>
      <c r="J231" s="158">
        <v>6943.4779999999992</v>
      </c>
      <c r="K231" s="158">
        <v>9110.899825164799</v>
      </c>
      <c r="L231" s="151">
        <v>1600.307</v>
      </c>
      <c r="M231" s="151">
        <v>3619.5458250000001</v>
      </c>
      <c r="N231" s="151">
        <v>2038.3109999999999</v>
      </c>
      <c r="O231" s="151">
        <v>0</v>
      </c>
      <c r="P231" s="151">
        <v>2038.3109999999999</v>
      </c>
      <c r="Q231" s="151">
        <v>7258.1638249999996</v>
      </c>
      <c r="R231" s="151">
        <v>7509.3652060416398</v>
      </c>
    </row>
    <row r="232" spans="1:18">
      <c r="A232" s="123" t="s">
        <v>183</v>
      </c>
      <c r="B232" s="157">
        <v>2007</v>
      </c>
      <c r="C232" s="158">
        <v>689.16800000000001</v>
      </c>
      <c r="D232" s="158">
        <v>4407.9690000000001</v>
      </c>
      <c r="E232" s="158">
        <v>2286.3069999999998</v>
      </c>
      <c r="F232" s="158">
        <v>0</v>
      </c>
      <c r="G232" s="158">
        <v>6.4249999999999998</v>
      </c>
      <c r="H232" s="158">
        <v>507.05099999999999</v>
      </c>
      <c r="I232" s="158">
        <v>1536.85213604662</v>
      </c>
      <c r="J232" s="158">
        <v>7383.4439999999995</v>
      </c>
      <c r="K232" s="158">
        <v>9433.7721360466203</v>
      </c>
      <c r="L232" s="151">
        <v>1623.3320000000001</v>
      </c>
      <c r="M232" s="151">
        <v>3474.8281360000001</v>
      </c>
      <c r="N232" s="151">
        <v>2185.8500000000004</v>
      </c>
      <c r="O232" s="151">
        <v>2.6509999999999998</v>
      </c>
      <c r="P232" s="151">
        <v>2188.5010000000002</v>
      </c>
      <c r="Q232" s="151">
        <v>7286.6611360000006</v>
      </c>
      <c r="R232" s="151">
        <v>7538.8487945701963</v>
      </c>
    </row>
    <row r="233" spans="1:18">
      <c r="A233" s="123" t="s">
        <v>183</v>
      </c>
      <c r="B233" s="157">
        <v>2008</v>
      </c>
      <c r="C233" s="158">
        <v>709.14099999999996</v>
      </c>
      <c r="D233" s="158">
        <v>4159.4660000000003</v>
      </c>
      <c r="E233" s="158">
        <v>2170.1210000000001</v>
      </c>
      <c r="F233" s="158">
        <v>0</v>
      </c>
      <c r="G233" s="158">
        <v>8.5030000000000001</v>
      </c>
      <c r="H233" s="158">
        <v>516.93899999999996</v>
      </c>
      <c r="I233" s="158">
        <v>1631.25701910767</v>
      </c>
      <c r="J233" s="158">
        <v>7038.7280000000001</v>
      </c>
      <c r="K233" s="158">
        <v>9195.4270191076703</v>
      </c>
      <c r="L233" s="151">
        <v>1628.4749999999999</v>
      </c>
      <c r="M233" s="151">
        <v>3594.2190190000001</v>
      </c>
      <c r="N233" s="151">
        <v>2179.6440000000002</v>
      </c>
      <c r="O233" s="151">
        <v>3.5350000000000001</v>
      </c>
      <c r="P233" s="151">
        <v>2183.1790000000001</v>
      </c>
      <c r="Q233" s="151">
        <v>7405.8730190000006</v>
      </c>
      <c r="R233" s="151">
        <v>7662.1865405802082</v>
      </c>
    </row>
    <row r="234" spans="1:18">
      <c r="A234" s="123" t="s">
        <v>183</v>
      </c>
      <c r="B234" s="157">
        <v>2009</v>
      </c>
      <c r="C234" s="158">
        <v>506.56799999999998</v>
      </c>
      <c r="D234" s="158">
        <v>4110.7389999999996</v>
      </c>
      <c r="E234" s="158">
        <v>2062.5100000000002</v>
      </c>
      <c r="F234" s="158">
        <v>0</v>
      </c>
      <c r="G234" s="158">
        <v>8.9090000000000007</v>
      </c>
      <c r="H234" s="158">
        <v>430.18099999999998</v>
      </c>
      <c r="I234" s="158">
        <v>1829.0764405273701</v>
      </c>
      <c r="J234" s="158">
        <v>6679.817</v>
      </c>
      <c r="K234" s="158">
        <v>8947.9834405273687</v>
      </c>
      <c r="L234" s="151">
        <v>1371.2850000000001</v>
      </c>
      <c r="M234" s="151">
        <v>3647.7084410000002</v>
      </c>
      <c r="N234" s="151">
        <v>2151.2810000000004</v>
      </c>
      <c r="O234" s="151">
        <v>7.8360000000000003</v>
      </c>
      <c r="P234" s="151">
        <v>2159.1170000000002</v>
      </c>
      <c r="Q234" s="151">
        <v>7178.1104410000007</v>
      </c>
      <c r="R234" s="151">
        <v>7426.5412148877231</v>
      </c>
    </row>
    <row r="235" spans="1:18">
      <c r="A235" s="123" t="s">
        <v>183</v>
      </c>
      <c r="B235" s="157">
        <v>2010</v>
      </c>
      <c r="C235" s="158">
        <v>682.45100000000002</v>
      </c>
      <c r="D235" s="158">
        <v>3539.4580000000001</v>
      </c>
      <c r="E235" s="158">
        <v>2223.152</v>
      </c>
      <c r="F235" s="158">
        <v>0</v>
      </c>
      <c r="G235" s="158">
        <v>7.6189999999999998</v>
      </c>
      <c r="H235" s="158">
        <v>341.18700000000001</v>
      </c>
      <c r="I235" s="158">
        <v>2064.3234854304001</v>
      </c>
      <c r="J235" s="158">
        <v>6445.0609999999997</v>
      </c>
      <c r="K235" s="158">
        <v>8858.1904854303993</v>
      </c>
      <c r="L235" s="151">
        <v>1329.126</v>
      </c>
      <c r="M235" s="151">
        <v>3805.0414850000002</v>
      </c>
      <c r="N235" s="151">
        <v>2076.6610000000001</v>
      </c>
      <c r="O235" s="151">
        <v>2.6440000000000001</v>
      </c>
      <c r="P235" s="151">
        <v>2079.3049999999998</v>
      </c>
      <c r="Q235" s="151">
        <v>7213.4724850000002</v>
      </c>
      <c r="R235" s="151">
        <v>7463.1271213553418</v>
      </c>
    </row>
    <row r="236" spans="1:18">
      <c r="A236" s="123" t="s">
        <v>183</v>
      </c>
      <c r="B236" s="157">
        <v>2011</v>
      </c>
      <c r="C236" s="158">
        <v>702.84500000000003</v>
      </c>
      <c r="D236" s="158">
        <v>3465.9229999999998</v>
      </c>
      <c r="E236" s="158">
        <v>2155.826</v>
      </c>
      <c r="F236" s="158">
        <v>0</v>
      </c>
      <c r="G236" s="158">
        <v>4.2750000000000004</v>
      </c>
      <c r="H236" s="158">
        <v>615.21900000000005</v>
      </c>
      <c r="I236" s="158">
        <v>1704.19989223273</v>
      </c>
      <c r="J236" s="158">
        <v>6324.5940000000001</v>
      </c>
      <c r="K236" s="158">
        <v>8648.2878922327291</v>
      </c>
      <c r="L236" s="151">
        <v>1246.1110000000001</v>
      </c>
      <c r="M236" s="151">
        <v>3672.8458919999998</v>
      </c>
      <c r="N236" s="151">
        <v>2042.3319999999999</v>
      </c>
      <c r="O236" s="151">
        <v>3.94</v>
      </c>
      <c r="P236" s="151">
        <v>2046.2719999999999</v>
      </c>
      <c r="Q236" s="151">
        <v>6965.2288919999992</v>
      </c>
      <c r="R236" s="151">
        <v>7206.2919430866887</v>
      </c>
    </row>
    <row r="237" spans="1:18">
      <c r="A237" s="123" t="s">
        <v>183</v>
      </c>
      <c r="B237" s="157">
        <v>2012</v>
      </c>
      <c r="C237" s="158">
        <v>631.55499999999995</v>
      </c>
      <c r="D237" s="158">
        <v>3135.1170000000002</v>
      </c>
      <c r="E237" s="158">
        <v>2015.65</v>
      </c>
      <c r="F237" s="158">
        <v>0</v>
      </c>
      <c r="G237" s="158">
        <v>8.1449999999999996</v>
      </c>
      <c r="H237" s="158">
        <v>638.95100000000002</v>
      </c>
      <c r="I237" s="158">
        <v>1747.8288542084599</v>
      </c>
      <c r="J237" s="158">
        <v>5782.3220000000001</v>
      </c>
      <c r="K237" s="158">
        <v>8177.2468542084607</v>
      </c>
      <c r="L237" s="151">
        <v>1099.202</v>
      </c>
      <c r="M237" s="151">
        <v>3541.9158539999999</v>
      </c>
      <c r="N237" s="151">
        <v>1976.1969999999999</v>
      </c>
      <c r="O237" s="151">
        <v>36.94</v>
      </c>
      <c r="P237" s="151">
        <v>2013.1369999999999</v>
      </c>
      <c r="Q237" s="151">
        <v>6654.2548539999998</v>
      </c>
      <c r="R237" s="151">
        <v>6884.5552508263054</v>
      </c>
    </row>
    <row r="238" spans="1:18">
      <c r="A238" s="123" t="s">
        <v>183</v>
      </c>
      <c r="B238" s="159">
        <v>2013</v>
      </c>
      <c r="C238" s="161">
        <v>674.76400000000001</v>
      </c>
      <c r="D238" s="161">
        <v>3016.5529999999999</v>
      </c>
      <c r="E238" s="161">
        <v>1885.963</v>
      </c>
      <c r="F238" s="161">
        <v>0</v>
      </c>
      <c r="G238" s="161">
        <v>8.7420000000000009</v>
      </c>
      <c r="H238" s="161">
        <v>332.67399999999998</v>
      </c>
      <c r="I238" s="161">
        <v>2082.3077007738598</v>
      </c>
      <c r="J238" s="161">
        <v>5577.28</v>
      </c>
      <c r="K238" s="161">
        <v>8001.0037007738592</v>
      </c>
      <c r="L238" s="162">
        <v>1075.1410000000001</v>
      </c>
      <c r="M238" s="162">
        <v>3453.0617010000001</v>
      </c>
      <c r="N238" s="162">
        <v>2012.6480000000001</v>
      </c>
      <c r="O238" s="162">
        <v>32.734000000000002</v>
      </c>
      <c r="P238" s="162">
        <v>2045.3820000000001</v>
      </c>
      <c r="Q238" s="162">
        <v>6573.5847009999998</v>
      </c>
      <c r="R238" s="162">
        <v>6801.093144609069</v>
      </c>
    </row>
    <row r="239" spans="1:18">
      <c r="A239" s="123" t="s">
        <v>183</v>
      </c>
      <c r="B239" s="159">
        <v>2014</v>
      </c>
      <c r="C239" s="161">
        <v>646.75400000000002</v>
      </c>
      <c r="D239" s="161">
        <v>2990.2820000000002</v>
      </c>
      <c r="E239" s="161">
        <v>1605.6320000000001</v>
      </c>
      <c r="F239" s="161">
        <v>0</v>
      </c>
      <c r="G239" s="161">
        <v>10.151</v>
      </c>
      <c r="H239" s="161">
        <v>339.89699999999999</v>
      </c>
      <c r="I239" s="161">
        <v>2004.6287325881301</v>
      </c>
      <c r="J239" s="161">
        <v>5242.6679999999997</v>
      </c>
      <c r="K239" s="161">
        <v>7597.3447325881298</v>
      </c>
      <c r="L239" s="162">
        <v>1066.433</v>
      </c>
      <c r="M239" s="162">
        <v>3150.7947330000002</v>
      </c>
      <c r="N239" s="162">
        <v>1991.845</v>
      </c>
      <c r="O239" s="162">
        <v>29.824999999999999</v>
      </c>
      <c r="P239" s="162">
        <v>2021.67</v>
      </c>
      <c r="Q239" s="162">
        <v>6238.8977329999998</v>
      </c>
      <c r="R239" s="162">
        <v>6454.8228298280756</v>
      </c>
    </row>
    <row r="240" spans="1:18">
      <c r="A240" s="123" t="s">
        <v>183</v>
      </c>
      <c r="B240" s="159">
        <v>2015</v>
      </c>
      <c r="C240" s="161">
        <v>605.36199999999997</v>
      </c>
      <c r="D240" s="161">
        <v>3127.3229999999999</v>
      </c>
      <c r="E240" s="161">
        <v>1672.3340000000001</v>
      </c>
      <c r="F240" s="161">
        <v>0</v>
      </c>
      <c r="G240" s="161">
        <v>9.3149999999999995</v>
      </c>
      <c r="H240" s="161">
        <v>583.74900000000002</v>
      </c>
      <c r="I240" s="161">
        <v>1959.99511598357</v>
      </c>
      <c r="J240" s="161">
        <v>5405.0190000000002</v>
      </c>
      <c r="K240" s="161">
        <v>7958.0781159835697</v>
      </c>
      <c r="L240" s="162">
        <v>1056.1410000000001</v>
      </c>
      <c r="M240" s="162">
        <v>3416.189116</v>
      </c>
      <c r="N240" s="162">
        <v>2090.0619999999999</v>
      </c>
      <c r="O240" s="162">
        <v>24.286000000000001</v>
      </c>
      <c r="P240" s="162">
        <v>2114.348</v>
      </c>
      <c r="Q240" s="162">
        <v>6586.678116</v>
      </c>
      <c r="R240" s="162">
        <v>6814.6397160836068</v>
      </c>
    </row>
    <row r="241" spans="1:18">
      <c r="A241" s="123" t="s">
        <v>183</v>
      </c>
      <c r="B241" s="159">
        <v>2016</v>
      </c>
      <c r="C241" s="161">
        <v>651.15099999999995</v>
      </c>
      <c r="D241" s="161">
        <v>3114.933</v>
      </c>
      <c r="E241" s="161">
        <v>1791.3520000000001</v>
      </c>
      <c r="F241" s="161">
        <v>0</v>
      </c>
      <c r="G241" s="161">
        <v>10.151</v>
      </c>
      <c r="H241" s="161">
        <v>475.58</v>
      </c>
      <c r="I241" s="161">
        <v>2002.2824938377801</v>
      </c>
      <c r="J241" s="161">
        <v>5557.4359999999997</v>
      </c>
      <c r="K241" s="161">
        <v>8045.4494938377793</v>
      </c>
      <c r="L241" s="162">
        <v>1057.4269999999999</v>
      </c>
      <c r="M241" s="162">
        <v>3414.882494</v>
      </c>
      <c r="N241" s="162">
        <v>2168.1419999999998</v>
      </c>
      <c r="O241" s="162">
        <v>0.85299999999999998</v>
      </c>
      <c r="P241" s="162">
        <v>2168.9949999999999</v>
      </c>
      <c r="Q241" s="162">
        <v>6641.304494</v>
      </c>
      <c r="R241" s="162">
        <v>6871.1566854130051</v>
      </c>
    </row>
    <row r="242" spans="1:18">
      <c r="A242" s="123" t="s">
        <v>183</v>
      </c>
      <c r="B242" s="159">
        <v>2017</v>
      </c>
      <c r="C242" s="161">
        <v>392.33499999999998</v>
      </c>
      <c r="D242" s="161">
        <v>3350.2840000000001</v>
      </c>
      <c r="E242" s="161">
        <v>2084.172</v>
      </c>
      <c r="F242" s="161">
        <v>0</v>
      </c>
      <c r="G242" s="161">
        <v>11.529</v>
      </c>
      <c r="H242" s="161">
        <v>597.91099999999994</v>
      </c>
      <c r="I242" s="161">
        <v>1894.34963246393</v>
      </c>
      <c r="J242" s="161">
        <v>5826.7910000000002</v>
      </c>
      <c r="K242" s="161">
        <v>8330.5806324639307</v>
      </c>
      <c r="L242" s="162">
        <v>1148.1179999999999</v>
      </c>
      <c r="M242" s="162">
        <v>3432.3906320000001</v>
      </c>
      <c r="N242" s="162">
        <v>2343.9160000000002</v>
      </c>
      <c r="O242" s="162">
        <v>0.59299999999999997</v>
      </c>
      <c r="P242" s="162">
        <v>2344.509</v>
      </c>
      <c r="Q242" s="162">
        <v>6925.017632</v>
      </c>
      <c r="R242" s="162">
        <v>7164.6889917045473</v>
      </c>
    </row>
    <row r="243" spans="1:18">
      <c r="A243" s="123" t="s">
        <v>183</v>
      </c>
      <c r="B243" s="159">
        <v>2018</v>
      </c>
      <c r="C243" s="161">
        <v>366.35500000000002</v>
      </c>
      <c r="D243" s="161">
        <v>3219.7139999999999</v>
      </c>
      <c r="E243" s="161">
        <v>1938.3440000000001</v>
      </c>
      <c r="F243" s="161">
        <v>0</v>
      </c>
      <c r="G243" s="161">
        <v>19.53</v>
      </c>
      <c r="H243" s="161">
        <v>463.25</v>
      </c>
      <c r="I243" s="161">
        <v>2168.4424277252301</v>
      </c>
      <c r="J243" s="161">
        <v>5524.4130000000005</v>
      </c>
      <c r="K243" s="161">
        <v>8175.6354277252303</v>
      </c>
      <c r="L243" s="162">
        <v>1161.8530000000001</v>
      </c>
      <c r="M243" s="162">
        <v>3359.1294280000002</v>
      </c>
      <c r="N243" s="162">
        <v>2304.1280000000002</v>
      </c>
      <c r="O243" s="162">
        <v>27.004000000000001</v>
      </c>
      <c r="P243" s="162">
        <v>2331.1320000000001</v>
      </c>
      <c r="Q243" s="162">
        <v>6852.1144280000008</v>
      </c>
      <c r="R243" s="162">
        <v>7089.2626446660734</v>
      </c>
    </row>
    <row r="244" spans="1:18">
      <c r="A244" s="123" t="s">
        <v>183</v>
      </c>
      <c r="B244" s="159">
        <v>2019</v>
      </c>
      <c r="C244" s="161">
        <v>418.43099999999998</v>
      </c>
      <c r="D244" s="161">
        <v>3122.3879999999999</v>
      </c>
      <c r="E244" s="161">
        <v>1991.7909999999999</v>
      </c>
      <c r="F244" s="161">
        <v>0</v>
      </c>
      <c r="G244" s="161">
        <v>26.963000000000001</v>
      </c>
      <c r="H244" s="161">
        <v>527.34299999999996</v>
      </c>
      <c r="I244" s="161">
        <v>2121.9172616795599</v>
      </c>
      <c r="J244" s="161">
        <v>5532.61</v>
      </c>
      <c r="K244" s="161">
        <v>8208.8332616795597</v>
      </c>
      <c r="L244" s="162">
        <v>1172.434</v>
      </c>
      <c r="M244" s="162">
        <v>3304.8142619999999</v>
      </c>
      <c r="N244" s="162">
        <v>2372.1669999999999</v>
      </c>
      <c r="O244" s="162">
        <v>62.582000000000001</v>
      </c>
      <c r="P244" s="162">
        <v>2434.7489999999998</v>
      </c>
      <c r="Q244" s="162">
        <v>6911.9972619999999</v>
      </c>
      <c r="R244" s="162">
        <v>7151.2179932805366</v>
      </c>
    </row>
    <row r="245" spans="1:18">
      <c r="A245" s="123" t="s">
        <v>183</v>
      </c>
      <c r="B245" s="159">
        <v>2020</v>
      </c>
      <c r="C245" s="161">
        <v>361.19099999999997</v>
      </c>
      <c r="D245" s="161">
        <v>2648.877</v>
      </c>
      <c r="E245" s="161">
        <v>2130.1489999999999</v>
      </c>
      <c r="F245" s="161">
        <v>0</v>
      </c>
      <c r="G245" s="161">
        <v>38.939</v>
      </c>
      <c r="H245" s="161">
        <v>398.90800000000002</v>
      </c>
      <c r="I245" s="161">
        <v>2178.0108542084599</v>
      </c>
      <c r="J245" s="161">
        <v>5140.2169999999996</v>
      </c>
      <c r="K245" s="161">
        <v>7756.0748542084602</v>
      </c>
      <c r="L245" s="162">
        <v>1171.2719999999999</v>
      </c>
      <c r="M245" s="162">
        <v>3277.9638539999996</v>
      </c>
      <c r="N245" s="162">
        <v>1957.0049999999999</v>
      </c>
      <c r="O245" s="162">
        <v>65.554000000000002</v>
      </c>
      <c r="P245" s="162">
        <v>2022.559</v>
      </c>
      <c r="Q245" s="162">
        <v>6471.7948539999998</v>
      </c>
      <c r="R245" s="162">
        <v>6695.780402458322</v>
      </c>
    </row>
    <row r="246" spans="1:18">
      <c r="A246" s="123" t="s">
        <v>183</v>
      </c>
      <c r="B246" s="159">
        <v>2021</v>
      </c>
      <c r="C246" s="161">
        <v>415.33499999999998</v>
      </c>
      <c r="D246" s="161">
        <v>2802.549</v>
      </c>
      <c r="E246" s="161">
        <v>2165.0540000000001</v>
      </c>
      <c r="F246" s="161">
        <v>0</v>
      </c>
      <c r="G246" s="161">
        <v>45.177999999999997</v>
      </c>
      <c r="H246" s="161">
        <v>340.58499999999998</v>
      </c>
      <c r="I246" s="161">
        <v>2496.37770564632</v>
      </c>
      <c r="J246" s="161">
        <v>5382.9380000000001</v>
      </c>
      <c r="K246" s="161">
        <v>8265.0787056463196</v>
      </c>
      <c r="L246" s="162">
        <v>1191.3589999999999</v>
      </c>
      <c r="M246" s="162">
        <v>3532.4517056463201</v>
      </c>
      <c r="N246" s="162">
        <v>2154.962</v>
      </c>
      <c r="O246" s="162">
        <v>91.192999999999998</v>
      </c>
      <c r="P246" s="162">
        <v>2246.1550000000002</v>
      </c>
      <c r="Q246" s="162">
        <v>6969.9657056463202</v>
      </c>
      <c r="R246" s="162">
        <v>7211.1926954588889</v>
      </c>
    </row>
    <row r="247" spans="1:18">
      <c r="A247" s="123" t="s">
        <v>183</v>
      </c>
      <c r="B247" s="159">
        <v>2022</v>
      </c>
      <c r="C247" s="161">
        <v>406.488</v>
      </c>
      <c r="D247" s="161">
        <v>3151.9659999999999</v>
      </c>
      <c r="E247" s="161">
        <v>2081.0039999999999</v>
      </c>
      <c r="F247" s="161">
        <v>0</v>
      </c>
      <c r="G247" s="161">
        <v>46.216999999999999</v>
      </c>
      <c r="H247" s="161">
        <v>403.68</v>
      </c>
      <c r="I247" s="161">
        <v>2211.6374305913801</v>
      </c>
      <c r="J247" s="161">
        <v>5639.4579999999996</v>
      </c>
      <c r="K247" s="161">
        <v>8300.9924305913792</v>
      </c>
      <c r="L247" s="162">
        <v>1128.479</v>
      </c>
      <c r="M247" s="162">
        <v>3341.69743059138</v>
      </c>
      <c r="N247" s="162">
        <v>2399.8249999999998</v>
      </c>
      <c r="O247" s="162">
        <v>21.001000000000001</v>
      </c>
      <c r="P247" s="162">
        <v>2420.826</v>
      </c>
      <c r="Q247" s="162">
        <v>6891.0024305913803</v>
      </c>
      <c r="R247" s="162">
        <v>7129.4965413695782</v>
      </c>
    </row>
    <row r="248" spans="1:18">
      <c r="A248" s="123" t="s">
        <v>183</v>
      </c>
      <c r="B248" s="159">
        <v>2023</v>
      </c>
      <c r="C248" s="161">
        <v>336.60467621776507</v>
      </c>
      <c r="D248" s="161">
        <v>3206.8575344075216</v>
      </c>
      <c r="E248" s="161">
        <v>2097.4743343509576</v>
      </c>
      <c r="F248" s="161">
        <v>0</v>
      </c>
      <c r="G248" s="161">
        <v>56.842099999999846</v>
      </c>
      <c r="H248" s="161">
        <v>403.68</v>
      </c>
      <c r="I248" s="161">
        <v>2236.2335599876342</v>
      </c>
      <c r="J248" s="161">
        <v>5640.9365449762445</v>
      </c>
      <c r="K248" s="161">
        <v>8337.6922049638779</v>
      </c>
      <c r="L248" s="162">
        <v>1095.3662825808619</v>
      </c>
      <c r="M248" s="162">
        <v>3341.69743059138</v>
      </c>
      <c r="N248" s="162">
        <v>2399.8249999999998</v>
      </c>
      <c r="O248" s="162">
        <v>8.2200874372604336</v>
      </c>
      <c r="P248" s="162">
        <v>2408.0450874372605</v>
      </c>
      <c r="Q248" s="162">
        <v>6845.1088006095024</v>
      </c>
      <c r="R248" s="162">
        <v>7082.0145560528763</v>
      </c>
    </row>
    <row r="249" spans="1:18">
      <c r="A249" s="123" t="s">
        <v>88</v>
      </c>
      <c r="B249" s="157">
        <v>2005</v>
      </c>
      <c r="C249" s="158">
        <v>3070.1379999999999</v>
      </c>
      <c r="D249" s="158">
        <v>5632.1989999999996</v>
      </c>
      <c r="E249" s="158">
        <v>11734.351000000001</v>
      </c>
      <c r="F249" s="158">
        <v>3616.4659999999999</v>
      </c>
      <c r="G249" s="158">
        <v>62.433999999999997</v>
      </c>
      <c r="H249" s="158">
        <v>535.42600000000004</v>
      </c>
      <c r="I249" s="158">
        <v>1689.6980000000001</v>
      </c>
      <c r="J249" s="158">
        <v>20436.688000000002</v>
      </c>
      <c r="K249" s="158">
        <v>26340.712000000003</v>
      </c>
      <c r="L249" s="151">
        <v>3097.9520000000002</v>
      </c>
      <c r="M249" s="151">
        <v>11346.694</v>
      </c>
      <c r="N249" s="151">
        <v>4294.3489999999993</v>
      </c>
      <c r="O249" s="151">
        <v>2.56</v>
      </c>
      <c r="P249" s="151">
        <v>4296.9089999999997</v>
      </c>
      <c r="Q249" s="151">
        <v>18741.555</v>
      </c>
      <c r="R249" s="151">
        <v>19210.628946664794</v>
      </c>
    </row>
    <row r="250" spans="1:18">
      <c r="A250" s="123" t="s">
        <v>88</v>
      </c>
      <c r="B250" s="157">
        <v>2006</v>
      </c>
      <c r="C250" s="158">
        <v>3075.92</v>
      </c>
      <c r="D250" s="158">
        <v>5876.9110000000001</v>
      </c>
      <c r="E250" s="158">
        <v>11117.799000000001</v>
      </c>
      <c r="F250" s="158">
        <v>3514.875</v>
      </c>
      <c r="G250" s="158">
        <v>74.447999999999993</v>
      </c>
      <c r="H250" s="158">
        <v>619.69000000000005</v>
      </c>
      <c r="I250" s="158">
        <v>1704.557</v>
      </c>
      <c r="J250" s="158">
        <v>20070.63</v>
      </c>
      <c r="K250" s="158">
        <v>25984.2</v>
      </c>
      <c r="L250" s="151">
        <v>3117.723</v>
      </c>
      <c r="M250" s="151">
        <v>10757.300999999999</v>
      </c>
      <c r="N250" s="151">
        <v>4572.7380000000003</v>
      </c>
      <c r="O250" s="151">
        <v>10.882</v>
      </c>
      <c r="P250" s="151">
        <v>4583.62</v>
      </c>
      <c r="Q250" s="151">
        <v>18458.644</v>
      </c>
      <c r="R250" s="151">
        <v>18920.637094551676</v>
      </c>
    </row>
    <row r="251" spans="1:18">
      <c r="A251" s="123" t="s">
        <v>88</v>
      </c>
      <c r="B251" s="157">
        <v>2007</v>
      </c>
      <c r="C251" s="158">
        <v>3128.5369999999998</v>
      </c>
      <c r="D251" s="158">
        <v>5795.3919999999998</v>
      </c>
      <c r="E251" s="158">
        <v>10312.92</v>
      </c>
      <c r="F251" s="158">
        <v>3824.6779999999999</v>
      </c>
      <c r="G251" s="158">
        <v>74.281000000000006</v>
      </c>
      <c r="H251" s="158">
        <v>342.73399999999998</v>
      </c>
      <c r="I251" s="158">
        <v>1883.1010000000001</v>
      </c>
      <c r="J251" s="158">
        <v>19236.849000000002</v>
      </c>
      <c r="K251" s="158">
        <v>25361.643</v>
      </c>
      <c r="L251" s="151">
        <v>3073.7249999999999</v>
      </c>
      <c r="M251" s="151">
        <v>9729.3919999999998</v>
      </c>
      <c r="N251" s="151">
        <v>4612.7420000000002</v>
      </c>
      <c r="O251" s="151">
        <v>28.652000000000001</v>
      </c>
      <c r="P251" s="151">
        <v>4641.3940000000002</v>
      </c>
      <c r="Q251" s="151">
        <v>17444.510999999999</v>
      </c>
      <c r="R251" s="151">
        <v>17881.121816039937</v>
      </c>
    </row>
    <row r="252" spans="1:18">
      <c r="A252" s="123" t="s">
        <v>88</v>
      </c>
      <c r="B252" s="157">
        <v>2008</v>
      </c>
      <c r="C252" s="158">
        <v>3037.9879999999998</v>
      </c>
      <c r="D252" s="158">
        <v>5650</v>
      </c>
      <c r="E252" s="158">
        <v>10209.286</v>
      </c>
      <c r="F252" s="158">
        <v>3862.0520000000001</v>
      </c>
      <c r="G252" s="158">
        <v>68.070999999999998</v>
      </c>
      <c r="H252" s="158">
        <v>335.59800000000001</v>
      </c>
      <c r="I252" s="158">
        <v>1992.722</v>
      </c>
      <c r="J252" s="158">
        <v>18897.273999999998</v>
      </c>
      <c r="K252" s="158">
        <v>25155.717000000001</v>
      </c>
      <c r="L252" s="151">
        <v>3081.38</v>
      </c>
      <c r="M252" s="151">
        <v>9587.2430000000004</v>
      </c>
      <c r="N252" s="151">
        <v>4606.3029999999999</v>
      </c>
      <c r="O252" s="151">
        <v>164.608</v>
      </c>
      <c r="P252" s="151">
        <v>4770.9110000000001</v>
      </c>
      <c r="Q252" s="151">
        <v>17439.534</v>
      </c>
      <c r="R252" s="151">
        <v>17876.020248946515</v>
      </c>
    </row>
    <row r="253" spans="1:18">
      <c r="A253" s="123" t="s">
        <v>88</v>
      </c>
      <c r="B253" s="157">
        <v>2009</v>
      </c>
      <c r="C253" s="158">
        <v>2559.692</v>
      </c>
      <c r="D253" s="158">
        <v>5591.4449999999997</v>
      </c>
      <c r="E253" s="158">
        <v>8828.6329999999998</v>
      </c>
      <c r="F253" s="158">
        <v>3878</v>
      </c>
      <c r="G253" s="158">
        <v>73.564999999999998</v>
      </c>
      <c r="H253" s="158">
        <v>474.03300000000002</v>
      </c>
      <c r="I253" s="158">
        <v>2542.5459999999998</v>
      </c>
      <c r="J253" s="158">
        <v>16979.77</v>
      </c>
      <c r="K253" s="158">
        <v>23947.913999999997</v>
      </c>
      <c r="L253" s="151">
        <v>2424.5700000000002</v>
      </c>
      <c r="M253" s="151">
        <v>9932.5439999999999</v>
      </c>
      <c r="N253" s="151">
        <v>4542.1729999999998</v>
      </c>
      <c r="O253" s="151">
        <v>169.08600000000001</v>
      </c>
      <c r="P253" s="151">
        <v>4711.259</v>
      </c>
      <c r="Q253" s="151">
        <v>17068.373</v>
      </c>
      <c r="R253" s="151">
        <v>17495.56962729463</v>
      </c>
    </row>
    <row r="254" spans="1:18">
      <c r="A254" s="123" t="s">
        <v>88</v>
      </c>
      <c r="B254" s="157">
        <v>2010</v>
      </c>
      <c r="C254" s="158">
        <v>2703.3150000000001</v>
      </c>
      <c r="D254" s="158">
        <v>5186.1869999999999</v>
      </c>
      <c r="E254" s="158">
        <v>9453.6759999999995</v>
      </c>
      <c r="F254" s="158">
        <v>3963</v>
      </c>
      <c r="G254" s="158">
        <v>87.847999999999999</v>
      </c>
      <c r="H254" s="158">
        <v>446.69</v>
      </c>
      <c r="I254" s="158">
        <v>2777.5219999999999</v>
      </c>
      <c r="J254" s="158">
        <v>17343.178</v>
      </c>
      <c r="K254" s="158">
        <v>24618.238000000001</v>
      </c>
      <c r="L254" s="151">
        <v>2604.7910000000002</v>
      </c>
      <c r="M254" s="151">
        <v>10526.186</v>
      </c>
      <c r="N254" s="151">
        <v>4144.3229999999994</v>
      </c>
      <c r="O254" s="151">
        <v>174.773</v>
      </c>
      <c r="P254" s="151">
        <v>4319.0959999999995</v>
      </c>
      <c r="Q254" s="151">
        <v>17450.073</v>
      </c>
      <c r="R254" s="151">
        <v>17886.823024835117</v>
      </c>
    </row>
    <row r="255" spans="1:18">
      <c r="A255" s="123" t="s">
        <v>88</v>
      </c>
      <c r="B255" s="157">
        <v>2011</v>
      </c>
      <c r="C255" s="158">
        <v>2708.4270000000001</v>
      </c>
      <c r="D255" s="158">
        <v>5214.6260000000002</v>
      </c>
      <c r="E255" s="158">
        <v>8944.6910000000007</v>
      </c>
      <c r="F255" s="158">
        <v>3964.9</v>
      </c>
      <c r="G255" s="158">
        <v>100.363</v>
      </c>
      <c r="H255" s="158">
        <v>571.19500000000005</v>
      </c>
      <c r="I255" s="158">
        <v>2886.4189999999999</v>
      </c>
      <c r="J255" s="158">
        <v>16867.743999999999</v>
      </c>
      <c r="K255" s="158">
        <v>24390.620999999999</v>
      </c>
      <c r="L255" s="151">
        <v>2998.1489999999999</v>
      </c>
      <c r="M255" s="151">
        <v>10449.439</v>
      </c>
      <c r="N255" s="151">
        <v>3886.2380000000003</v>
      </c>
      <c r="O255" s="151">
        <v>159.43199999999999</v>
      </c>
      <c r="P255" s="151">
        <v>4045.67</v>
      </c>
      <c r="Q255" s="151">
        <v>17493.258000000002</v>
      </c>
      <c r="R255" s="151">
        <v>17931.08888276749</v>
      </c>
    </row>
    <row r="256" spans="1:18">
      <c r="A256" s="123" t="s">
        <v>88</v>
      </c>
      <c r="B256" s="157">
        <v>2012</v>
      </c>
      <c r="C256" s="158">
        <v>2604.277</v>
      </c>
      <c r="D256" s="158">
        <v>4893.4390000000003</v>
      </c>
      <c r="E256" s="158">
        <v>7923.1509999999998</v>
      </c>
      <c r="F256" s="158">
        <v>3986.1350000000002</v>
      </c>
      <c r="G256" s="158">
        <v>89.185000000000002</v>
      </c>
      <c r="H256" s="158">
        <v>685.03899999999999</v>
      </c>
      <c r="I256" s="158">
        <v>2952.7570000000001</v>
      </c>
      <c r="J256" s="158">
        <v>15420.867</v>
      </c>
      <c r="K256" s="158">
        <v>23133.983000000004</v>
      </c>
      <c r="L256" s="151">
        <v>3182.3919999999998</v>
      </c>
      <c r="M256" s="151">
        <v>9431.4089999999997</v>
      </c>
      <c r="N256" s="151">
        <v>3704.9269999999997</v>
      </c>
      <c r="O256" s="151">
        <v>153.82900000000001</v>
      </c>
      <c r="P256" s="151">
        <v>3858.7559999999999</v>
      </c>
      <c r="Q256" s="151">
        <v>16472.557000000001</v>
      </c>
      <c r="R256" s="151">
        <v>16884.84121673926</v>
      </c>
    </row>
    <row r="257" spans="1:18">
      <c r="A257" s="123" t="s">
        <v>88</v>
      </c>
      <c r="B257" s="159">
        <v>2013</v>
      </c>
      <c r="C257" s="161">
        <v>2265.0790000000002</v>
      </c>
      <c r="D257" s="161">
        <v>4744.1580000000004</v>
      </c>
      <c r="E257" s="161">
        <v>7310.6409999999996</v>
      </c>
      <c r="F257" s="161">
        <v>3869.5259999999998</v>
      </c>
      <c r="G257" s="161">
        <v>83.141999999999996</v>
      </c>
      <c r="H257" s="161">
        <v>1021.2380000000001</v>
      </c>
      <c r="I257" s="161">
        <v>3111.5439999999999</v>
      </c>
      <c r="J257" s="161">
        <v>14319.878000000001</v>
      </c>
      <c r="K257" s="161">
        <v>22405.328000000001</v>
      </c>
      <c r="L257" s="162">
        <v>3725.701</v>
      </c>
      <c r="M257" s="162">
        <v>9236.2630000000008</v>
      </c>
      <c r="N257" s="162">
        <v>3485.6769999999997</v>
      </c>
      <c r="O257" s="162">
        <v>136.82</v>
      </c>
      <c r="P257" s="162">
        <v>3622.4969999999998</v>
      </c>
      <c r="Q257" s="162">
        <v>16584.461000000003</v>
      </c>
      <c r="R257" s="162">
        <v>16999.546011600072</v>
      </c>
    </row>
    <row r="258" spans="1:18">
      <c r="A258" s="123" t="s">
        <v>88</v>
      </c>
      <c r="B258" s="159">
        <v>2014</v>
      </c>
      <c r="C258" s="161">
        <v>2203.3409999999999</v>
      </c>
      <c r="D258" s="161">
        <v>5253.2340000000004</v>
      </c>
      <c r="E258" s="161">
        <v>6486.9089999999997</v>
      </c>
      <c r="F258" s="161">
        <v>3937.4140000000002</v>
      </c>
      <c r="G258" s="161">
        <v>102.465</v>
      </c>
      <c r="H258" s="161">
        <v>1151.3330000000001</v>
      </c>
      <c r="I258" s="161">
        <v>2860.0740000000001</v>
      </c>
      <c r="J258" s="161">
        <v>13943.484</v>
      </c>
      <c r="K258" s="161">
        <v>21994.77</v>
      </c>
      <c r="L258" s="162">
        <v>3705.0250000000001</v>
      </c>
      <c r="M258" s="162">
        <v>8471.8469999999998</v>
      </c>
      <c r="N258" s="162">
        <v>3855.58</v>
      </c>
      <c r="O258" s="162">
        <v>188.43700000000001</v>
      </c>
      <c r="P258" s="162">
        <v>4044.0169999999998</v>
      </c>
      <c r="Q258" s="162">
        <v>16220.888999999999</v>
      </c>
      <c r="R258" s="162">
        <v>16626.874331614239</v>
      </c>
    </row>
    <row r="259" spans="1:18">
      <c r="A259" s="123" t="s">
        <v>88</v>
      </c>
      <c r="B259" s="159">
        <v>2015</v>
      </c>
      <c r="C259" s="161">
        <v>2345.7719999999999</v>
      </c>
      <c r="D259" s="161">
        <v>5583.64</v>
      </c>
      <c r="E259" s="161">
        <v>7045.701</v>
      </c>
      <c r="F259" s="161">
        <v>3994.2820000000002</v>
      </c>
      <c r="G259" s="161">
        <v>132.321</v>
      </c>
      <c r="H259" s="161">
        <v>1176.7840000000001</v>
      </c>
      <c r="I259" s="161">
        <v>3019.5639999999999</v>
      </c>
      <c r="J259" s="161">
        <v>14975.113000000001</v>
      </c>
      <c r="K259" s="161">
        <v>23298.063999999998</v>
      </c>
      <c r="L259" s="162">
        <v>3867.221</v>
      </c>
      <c r="M259" s="162">
        <v>9176.6409999999996</v>
      </c>
      <c r="N259" s="162">
        <v>4180.8419999999996</v>
      </c>
      <c r="O259" s="162">
        <v>175.12700000000001</v>
      </c>
      <c r="P259" s="162">
        <v>4355.9690000000001</v>
      </c>
      <c r="Q259" s="162">
        <v>17399.830999999998</v>
      </c>
      <c r="R259" s="162">
        <v>17835.323540425296</v>
      </c>
    </row>
    <row r="260" spans="1:18">
      <c r="A260" s="123" t="s">
        <v>88</v>
      </c>
      <c r="B260" s="159">
        <v>2016</v>
      </c>
      <c r="C260" s="161">
        <v>2177.4090000000001</v>
      </c>
      <c r="D260" s="161">
        <v>5613.0810000000001</v>
      </c>
      <c r="E260" s="161">
        <v>7540.3459999999995</v>
      </c>
      <c r="F260" s="161">
        <v>4070.7040000000002</v>
      </c>
      <c r="G260" s="161">
        <v>158.04400000000001</v>
      </c>
      <c r="H260" s="161">
        <v>1092.9490000000001</v>
      </c>
      <c r="I260" s="161">
        <v>3005.1260000000002</v>
      </c>
      <c r="J260" s="161">
        <v>15330.835999999999</v>
      </c>
      <c r="K260" s="161">
        <v>23657.659000000003</v>
      </c>
      <c r="L260" s="162">
        <v>3988.299</v>
      </c>
      <c r="M260" s="162">
        <v>9302.0580000000009</v>
      </c>
      <c r="N260" s="162">
        <v>4266.7249999999995</v>
      </c>
      <c r="O260" s="162">
        <v>187.14500000000001</v>
      </c>
      <c r="P260" s="162">
        <v>4453.87</v>
      </c>
      <c r="Q260" s="162">
        <v>17744.226999999999</v>
      </c>
      <c r="R260" s="162">
        <v>18188.339272936049</v>
      </c>
    </row>
    <row r="261" spans="1:18">
      <c r="A261" s="123" t="s">
        <v>88</v>
      </c>
      <c r="B261" s="159">
        <v>2017</v>
      </c>
      <c r="C261" s="161">
        <v>2230.4920000000002</v>
      </c>
      <c r="D261" s="161">
        <v>5926.223</v>
      </c>
      <c r="E261" s="161">
        <v>7984.6940000000004</v>
      </c>
      <c r="F261" s="161">
        <v>4084</v>
      </c>
      <c r="G261" s="161">
        <v>163.92</v>
      </c>
      <c r="H261" s="161">
        <v>1107.309</v>
      </c>
      <c r="I261" s="161">
        <v>2966.2343155632002</v>
      </c>
      <c r="J261" s="161">
        <v>16141.409</v>
      </c>
      <c r="K261" s="161">
        <v>24462.8723155632</v>
      </c>
      <c r="L261" s="162">
        <v>4282.7740000000003</v>
      </c>
      <c r="M261" s="162">
        <v>9495.1053155631998</v>
      </c>
      <c r="N261" s="162">
        <v>4556.0460000000003</v>
      </c>
      <c r="O261" s="162">
        <v>164.233</v>
      </c>
      <c r="P261" s="162">
        <v>4720.2790000000005</v>
      </c>
      <c r="Q261" s="162">
        <v>18498.1583155632</v>
      </c>
      <c r="R261" s="162">
        <v>18961.140396138231</v>
      </c>
    </row>
    <row r="262" spans="1:18">
      <c r="A262" s="123" t="s">
        <v>88</v>
      </c>
      <c r="B262" s="159">
        <v>2018</v>
      </c>
      <c r="C262" s="161">
        <v>2132.5129999999999</v>
      </c>
      <c r="D262" s="161">
        <v>6338.5619999999999</v>
      </c>
      <c r="E262" s="161">
        <v>7786.2209999999995</v>
      </c>
      <c r="F262" s="161">
        <v>4006</v>
      </c>
      <c r="G262" s="161">
        <v>194.27699999999999</v>
      </c>
      <c r="H262" s="161">
        <v>1233.7059999999999</v>
      </c>
      <c r="I262" s="161">
        <v>2790.06170249355</v>
      </c>
      <c r="J262" s="161">
        <v>16257.296</v>
      </c>
      <c r="K262" s="161">
        <v>24481.340702493548</v>
      </c>
      <c r="L262" s="162">
        <v>4453.8779999999997</v>
      </c>
      <c r="M262" s="162">
        <v>9007.3187024935505</v>
      </c>
      <c r="N262" s="162">
        <v>4873.2619999999997</v>
      </c>
      <c r="O262" s="162">
        <v>193.238</v>
      </c>
      <c r="P262" s="162">
        <v>5066.5</v>
      </c>
      <c r="Q262" s="162">
        <v>18527.696702493551</v>
      </c>
      <c r="R262" s="162">
        <v>18991.418086063211</v>
      </c>
    </row>
    <row r="263" spans="1:18">
      <c r="A263" s="123" t="s">
        <v>88</v>
      </c>
      <c r="B263" s="159">
        <v>2019</v>
      </c>
      <c r="C263" s="161">
        <v>1818.4110000000001</v>
      </c>
      <c r="D263" s="161">
        <v>6563.7190000000001</v>
      </c>
      <c r="E263" s="161">
        <v>7968.4</v>
      </c>
      <c r="F263" s="161">
        <v>4106</v>
      </c>
      <c r="G263" s="161">
        <v>215.08099999999999</v>
      </c>
      <c r="H263" s="161">
        <v>1082.029</v>
      </c>
      <c r="I263" s="161">
        <v>2817.6010520684099</v>
      </c>
      <c r="J263" s="161">
        <v>16350.53</v>
      </c>
      <c r="K263" s="161">
        <v>24571.241052068406</v>
      </c>
      <c r="L263" s="162">
        <v>4459.6170000000002</v>
      </c>
      <c r="M263" s="162">
        <v>8792.9170520684092</v>
      </c>
      <c r="N263" s="162">
        <v>5147.3450000000003</v>
      </c>
      <c r="O263" s="162">
        <v>202.48599999999999</v>
      </c>
      <c r="P263" s="162">
        <v>5349.8310000000001</v>
      </c>
      <c r="Q263" s="162">
        <v>18602.36505206841</v>
      </c>
      <c r="R263" s="162">
        <v>19067.955276159897</v>
      </c>
    </row>
    <row r="264" spans="1:18">
      <c r="A264" s="123" t="s">
        <v>88</v>
      </c>
      <c r="B264" s="159">
        <v>2020</v>
      </c>
      <c r="C264" s="161">
        <v>1675.7429999999999</v>
      </c>
      <c r="D264" s="161">
        <v>5780.4989999999998</v>
      </c>
      <c r="E264" s="161">
        <v>8215.1329999999998</v>
      </c>
      <c r="F264" s="161">
        <v>4053</v>
      </c>
      <c r="G264" s="161">
        <v>211.06800000000001</v>
      </c>
      <c r="H264" s="161">
        <v>1004.0410000000001</v>
      </c>
      <c r="I264" s="161">
        <v>2947.1793276010299</v>
      </c>
      <c r="J264" s="161">
        <v>15671.375</v>
      </c>
      <c r="K264" s="161">
        <v>23886.663327601029</v>
      </c>
      <c r="L264" s="162">
        <v>4421.598</v>
      </c>
      <c r="M264" s="162">
        <v>9030.1403276010296</v>
      </c>
      <c r="N264" s="162">
        <v>4281.817</v>
      </c>
      <c r="O264" s="162">
        <v>279.12</v>
      </c>
      <c r="P264" s="162">
        <v>4560.9369999999999</v>
      </c>
      <c r="Q264" s="162">
        <v>18012.675327601028</v>
      </c>
      <c r="R264" s="162">
        <v>18463.506472930716</v>
      </c>
    </row>
    <row r="265" spans="1:18">
      <c r="A265" s="123" t="s">
        <v>88</v>
      </c>
      <c r="B265" s="159">
        <v>2021</v>
      </c>
      <c r="C265" s="161">
        <v>1366.454</v>
      </c>
      <c r="D265" s="161">
        <v>6215.1859999999997</v>
      </c>
      <c r="E265" s="161">
        <v>8759.9310000000005</v>
      </c>
      <c r="F265" s="161">
        <v>4034</v>
      </c>
      <c r="G265" s="161">
        <v>244.96</v>
      </c>
      <c r="H265" s="161">
        <v>1096.6469999999999</v>
      </c>
      <c r="I265" s="161">
        <v>3211.6872208846798</v>
      </c>
      <c r="J265" s="161">
        <v>16341.571</v>
      </c>
      <c r="K265" s="161">
        <v>24928.86522088468</v>
      </c>
      <c r="L265" s="162">
        <v>4729.2860000000001</v>
      </c>
      <c r="M265" s="162">
        <v>9344.8732208846795</v>
      </c>
      <c r="N265" s="162">
        <v>4735.7669999999998</v>
      </c>
      <c r="O265" s="162">
        <v>284.98399999999998</v>
      </c>
      <c r="P265" s="162">
        <v>5020.7510000000002</v>
      </c>
      <c r="Q265" s="162">
        <v>19094.910220884682</v>
      </c>
      <c r="R265" s="162">
        <v>19572.828136368229</v>
      </c>
    </row>
    <row r="266" spans="1:18">
      <c r="A266" s="123" t="s">
        <v>88</v>
      </c>
      <c r="B266" s="159">
        <v>2022</v>
      </c>
      <c r="C266" s="161">
        <v>1227.9459999999999</v>
      </c>
      <c r="D266" s="161">
        <v>6555.5150000000003</v>
      </c>
      <c r="E266" s="161">
        <v>7578.848</v>
      </c>
      <c r="F266" s="161">
        <v>3992</v>
      </c>
      <c r="G266" s="161">
        <v>217.30199999999999</v>
      </c>
      <c r="H266" s="161">
        <v>1044.884</v>
      </c>
      <c r="I266" s="161">
        <v>3251.6668881245801</v>
      </c>
      <c r="J266" s="161">
        <v>15362.309000000001</v>
      </c>
      <c r="K266" s="161">
        <v>23868.161888124581</v>
      </c>
      <c r="L266" s="162">
        <v>4308.4350000000004</v>
      </c>
      <c r="M266" s="162">
        <v>8468.5488881245801</v>
      </c>
      <c r="N266" s="162">
        <v>5232.0079999999998</v>
      </c>
      <c r="O266" s="162">
        <v>304.28300000000002</v>
      </c>
      <c r="P266" s="162">
        <v>5536.2910000000002</v>
      </c>
      <c r="Q266" s="162">
        <v>18313.274888124579</v>
      </c>
      <c r="R266" s="162">
        <v>18771.629604589132</v>
      </c>
    </row>
    <row r="267" spans="1:18">
      <c r="A267" s="123" t="s">
        <v>88</v>
      </c>
      <c r="B267" s="159">
        <v>2023</v>
      </c>
      <c r="C267" s="161">
        <v>897.05031388642976</v>
      </c>
      <c r="D267" s="161">
        <v>6242.7347760950252</v>
      </c>
      <c r="E267" s="161">
        <v>6772.9512840101897</v>
      </c>
      <c r="F267" s="161">
        <v>4018.3565485449599</v>
      </c>
      <c r="G267" s="161">
        <v>199.93790305561663</v>
      </c>
      <c r="H267" s="161">
        <v>954.42827518104048</v>
      </c>
      <c r="I267" s="161">
        <v>3398.8282002579072</v>
      </c>
      <c r="J267" s="161">
        <v>13912.736373991644</v>
      </c>
      <c r="K267" s="161">
        <v>22484.287301031167</v>
      </c>
      <c r="L267" s="162">
        <v>3942.8905631787648</v>
      </c>
      <c r="M267" s="162">
        <v>8468.5488881245801</v>
      </c>
      <c r="N267" s="162">
        <v>4921.9597931134031</v>
      </c>
      <c r="O267" s="162">
        <v>344.19860000000335</v>
      </c>
      <c r="P267" s="162">
        <v>5266.1583931134064</v>
      </c>
      <c r="Q267" s="162">
        <v>17677.597844416752</v>
      </c>
      <c r="R267" s="162">
        <v>18120.042486199869</v>
      </c>
    </row>
    <row r="268" spans="1:18" ht="14" customHeight="1">
      <c r="A268" s="123" t="s">
        <v>133</v>
      </c>
      <c r="B268" s="157">
        <v>2005</v>
      </c>
      <c r="C268" s="158">
        <v>2644.3710000000001</v>
      </c>
      <c r="D268" s="158">
        <v>8265.3250000000007</v>
      </c>
      <c r="E268" s="158">
        <v>3495.4450000000002</v>
      </c>
      <c r="F268" s="158">
        <v>0</v>
      </c>
      <c r="G268" s="158">
        <v>0</v>
      </c>
      <c r="H268" s="158">
        <v>175.76499999999999</v>
      </c>
      <c r="I268" s="158">
        <v>366.16131174166401</v>
      </c>
      <c r="J268" s="158">
        <v>14405.141</v>
      </c>
      <c r="K268" s="158">
        <v>14947.067311741663</v>
      </c>
      <c r="L268" s="151">
        <v>2471.5929999999998</v>
      </c>
      <c r="M268" s="151">
        <v>5055.0903117416601</v>
      </c>
      <c r="N268" s="151">
        <v>5087.1210000000001</v>
      </c>
      <c r="O268" s="151">
        <v>1.0880000000000001</v>
      </c>
      <c r="P268" s="151">
        <v>5088.2089999999998</v>
      </c>
      <c r="Q268" s="151">
        <v>12614.89231174166</v>
      </c>
      <c r="R268" s="151">
        <v>12904.057965519494</v>
      </c>
    </row>
    <row r="269" spans="1:18">
      <c r="A269" s="123" t="s">
        <v>133</v>
      </c>
      <c r="B269" s="157">
        <v>2006</v>
      </c>
      <c r="C269" s="158">
        <v>2365.3139999999999</v>
      </c>
      <c r="D269" s="158">
        <v>8223.0470000000005</v>
      </c>
      <c r="E269" s="158">
        <v>3958.18</v>
      </c>
      <c r="F269" s="158">
        <v>0</v>
      </c>
      <c r="G269" s="158">
        <v>0</v>
      </c>
      <c r="H269" s="158">
        <v>152.87</v>
      </c>
      <c r="I269" s="158">
        <v>423.1725925289</v>
      </c>
      <c r="J269" s="158">
        <v>14546.541000000001</v>
      </c>
      <c r="K269" s="158">
        <v>15122.583592528901</v>
      </c>
      <c r="L269" s="151">
        <v>2488.308</v>
      </c>
      <c r="M269" s="151">
        <v>5135.7125925289001</v>
      </c>
      <c r="N269" s="151">
        <v>5509.2150000000001</v>
      </c>
      <c r="O269" s="151">
        <v>2.6739999999999999</v>
      </c>
      <c r="P269" s="151">
        <v>5511.8890000000001</v>
      </c>
      <c r="Q269" s="151">
        <v>13135.9095925289</v>
      </c>
      <c r="R269" s="151">
        <v>13437.01829733763</v>
      </c>
    </row>
    <row r="270" spans="1:18">
      <c r="A270" s="123" t="s">
        <v>133</v>
      </c>
      <c r="B270" s="157">
        <v>2007</v>
      </c>
      <c r="C270" s="158">
        <v>2406.4850000000001</v>
      </c>
      <c r="D270" s="158">
        <v>8730.8459999999995</v>
      </c>
      <c r="E270" s="158">
        <v>4249.7539999999999</v>
      </c>
      <c r="F270" s="158">
        <v>0</v>
      </c>
      <c r="G270" s="158">
        <v>0</v>
      </c>
      <c r="H270" s="158">
        <v>114.39</v>
      </c>
      <c r="I270" s="158">
        <v>477.92958096875901</v>
      </c>
      <c r="J270" s="158">
        <v>15387.084999999999</v>
      </c>
      <c r="K270" s="158">
        <v>15979.404580968758</v>
      </c>
      <c r="L270" s="151">
        <v>2310.7959999999998</v>
      </c>
      <c r="M270" s="151">
        <v>5092.8635809687603</v>
      </c>
      <c r="N270" s="151">
        <v>5776.317</v>
      </c>
      <c r="O270" s="151">
        <v>21.565000000000001</v>
      </c>
      <c r="P270" s="151">
        <v>5797.8819999999996</v>
      </c>
      <c r="Q270" s="151">
        <v>13201.54158096876</v>
      </c>
      <c r="R270" s="151">
        <v>13504.154739115414</v>
      </c>
    </row>
    <row r="271" spans="1:18">
      <c r="A271" s="123" t="s">
        <v>133</v>
      </c>
      <c r="B271" s="157">
        <v>2008</v>
      </c>
      <c r="C271" s="158">
        <v>2412.7420000000002</v>
      </c>
      <c r="D271" s="158">
        <v>8105.3710000000001</v>
      </c>
      <c r="E271" s="158">
        <v>4517.902</v>
      </c>
      <c r="F271" s="158">
        <v>0</v>
      </c>
      <c r="G271" s="158">
        <v>0</v>
      </c>
      <c r="H271" s="158">
        <v>38.712000000000003</v>
      </c>
      <c r="I271" s="158">
        <v>574.95286443106897</v>
      </c>
      <c r="J271" s="158">
        <v>15036.015000000001</v>
      </c>
      <c r="K271" s="158">
        <v>15649.679864431069</v>
      </c>
      <c r="L271" s="151">
        <v>2230.9490000000001</v>
      </c>
      <c r="M271" s="151">
        <v>5488.7758644310697</v>
      </c>
      <c r="N271" s="151">
        <v>5437.5619999999999</v>
      </c>
      <c r="O271" s="151">
        <v>55.853999999999999</v>
      </c>
      <c r="P271" s="151">
        <v>5493.4160000000002</v>
      </c>
      <c r="Q271" s="151">
        <v>13213.140864431069</v>
      </c>
      <c r="R271" s="151">
        <v>13516.01990787447</v>
      </c>
    </row>
    <row r="272" spans="1:18">
      <c r="A272" s="123" t="s">
        <v>133</v>
      </c>
      <c r="B272" s="157">
        <v>2009</v>
      </c>
      <c r="C272" s="158">
        <v>2215.6990000000001</v>
      </c>
      <c r="D272" s="158">
        <v>7675.0690000000004</v>
      </c>
      <c r="E272" s="158">
        <v>4269.0749999999998</v>
      </c>
      <c r="F272" s="158">
        <v>0</v>
      </c>
      <c r="G272" s="158">
        <v>12.912000000000001</v>
      </c>
      <c r="H272" s="158">
        <v>65.671000000000006</v>
      </c>
      <c r="I272" s="158">
        <v>662.94926349479294</v>
      </c>
      <c r="J272" s="158">
        <v>14159.843000000001</v>
      </c>
      <c r="K272" s="158">
        <v>14901.375263494794</v>
      </c>
      <c r="L272" s="151">
        <v>1841.221</v>
      </c>
      <c r="M272" s="151">
        <v>5216.9802634947901</v>
      </c>
      <c r="N272" s="151">
        <v>4653.5610000000006</v>
      </c>
      <c r="O272" s="151">
        <v>77.459000000000003</v>
      </c>
      <c r="P272" s="151">
        <v>4731.0200000000004</v>
      </c>
      <c r="Q272" s="151">
        <v>11789.22126349479</v>
      </c>
      <c r="R272" s="151">
        <v>12059.460421304877</v>
      </c>
    </row>
    <row r="273" spans="1:18">
      <c r="A273" s="123" t="s">
        <v>133</v>
      </c>
      <c r="B273" s="157">
        <v>2010</v>
      </c>
      <c r="C273" s="158">
        <v>1849.876</v>
      </c>
      <c r="D273" s="158">
        <v>7442.7060000000001</v>
      </c>
      <c r="E273" s="158">
        <v>4701.8140000000003</v>
      </c>
      <c r="F273" s="158">
        <v>0</v>
      </c>
      <c r="G273" s="158">
        <v>8.5519999999999996</v>
      </c>
      <c r="H273" s="158">
        <v>40.441000000000003</v>
      </c>
      <c r="I273" s="158">
        <v>662.72713547339197</v>
      </c>
      <c r="J273" s="158">
        <v>13994.396000000001</v>
      </c>
      <c r="K273" s="158">
        <v>14706.116135473392</v>
      </c>
      <c r="L273" s="151">
        <v>1900.3589999999999</v>
      </c>
      <c r="M273" s="151">
        <v>5363.8051354733898</v>
      </c>
      <c r="N273" s="151">
        <v>4555.777</v>
      </c>
      <c r="O273" s="151">
        <v>92.652000000000001</v>
      </c>
      <c r="P273" s="151">
        <v>4648.4290000000001</v>
      </c>
      <c r="Q273" s="151">
        <v>11912.593135473391</v>
      </c>
      <c r="R273" s="151">
        <v>12185.660292693768</v>
      </c>
    </row>
    <row r="274" spans="1:18">
      <c r="A274" s="123" t="s">
        <v>133</v>
      </c>
      <c r="B274" s="157">
        <v>2011</v>
      </c>
      <c r="C274" s="158">
        <v>1928.38</v>
      </c>
      <c r="D274" s="158">
        <v>6629.8329999999996</v>
      </c>
      <c r="E274" s="158">
        <v>4137.3140000000003</v>
      </c>
      <c r="F274" s="158">
        <v>0</v>
      </c>
      <c r="G274" s="158">
        <v>14.183</v>
      </c>
      <c r="H274" s="158">
        <v>42.140999999999998</v>
      </c>
      <c r="I274" s="158">
        <v>798.90591114932602</v>
      </c>
      <c r="J274" s="158">
        <v>12695.527</v>
      </c>
      <c r="K274" s="158">
        <v>13550.756911149327</v>
      </c>
      <c r="L274" s="151">
        <v>1729.117</v>
      </c>
      <c r="M274" s="151">
        <v>4910.9379111493299</v>
      </c>
      <c r="N274" s="151">
        <v>4307.433</v>
      </c>
      <c r="O274" s="151">
        <v>91.988</v>
      </c>
      <c r="P274" s="151">
        <v>4399.4210000000003</v>
      </c>
      <c r="Q274" s="151">
        <v>11039.475911149329</v>
      </c>
      <c r="R274" s="151">
        <v>11292.528984479244</v>
      </c>
    </row>
    <row r="275" spans="1:18">
      <c r="A275" s="123" t="s">
        <v>133</v>
      </c>
      <c r="B275" s="157">
        <v>2012</v>
      </c>
      <c r="C275" s="158">
        <v>2601.0610000000001</v>
      </c>
      <c r="D275" s="158">
        <v>6203.8869999999997</v>
      </c>
      <c r="E275" s="158">
        <v>4031.3670000000002</v>
      </c>
      <c r="F275" s="158">
        <v>0</v>
      </c>
      <c r="G275" s="158">
        <v>45.722000000000001</v>
      </c>
      <c r="H275" s="158">
        <v>35.552</v>
      </c>
      <c r="I275" s="158">
        <v>802.73406706792798</v>
      </c>
      <c r="J275" s="158">
        <v>12836.315000000001</v>
      </c>
      <c r="K275" s="158">
        <v>13720.323067067928</v>
      </c>
      <c r="L275" s="151">
        <v>1763.97</v>
      </c>
      <c r="M275" s="151">
        <v>4766.0170670679299</v>
      </c>
      <c r="N275" s="151">
        <v>4122.1009999999997</v>
      </c>
      <c r="O275" s="151">
        <v>84.947999999999993</v>
      </c>
      <c r="P275" s="151">
        <v>4207.049</v>
      </c>
      <c r="Q275" s="151">
        <v>10737.036067067929</v>
      </c>
      <c r="R275" s="151">
        <v>10983.156444257358</v>
      </c>
    </row>
    <row r="276" spans="1:18">
      <c r="A276" s="123" t="s">
        <v>133</v>
      </c>
      <c r="B276" s="159">
        <v>2013</v>
      </c>
      <c r="C276" s="161">
        <v>1692.8019999999999</v>
      </c>
      <c r="D276" s="161">
        <v>6318.0360000000001</v>
      </c>
      <c r="E276" s="161">
        <v>3852.828</v>
      </c>
      <c r="F276" s="161">
        <v>0</v>
      </c>
      <c r="G276" s="161">
        <v>61.39</v>
      </c>
      <c r="H276" s="161">
        <v>192.79400000000001</v>
      </c>
      <c r="I276" s="161">
        <v>867.10982392280505</v>
      </c>
      <c r="J276" s="161">
        <v>11863.665999999999</v>
      </c>
      <c r="K276" s="161">
        <v>12984.959823922803</v>
      </c>
      <c r="L276" s="162">
        <v>1842.499</v>
      </c>
      <c r="M276" s="162">
        <v>4698.4748239228002</v>
      </c>
      <c r="N276" s="162">
        <v>4227.1490000000003</v>
      </c>
      <c r="O276" s="162">
        <v>101.44199999999999</v>
      </c>
      <c r="P276" s="162">
        <v>4328.5910000000003</v>
      </c>
      <c r="Q276" s="162">
        <v>10869.564823922799</v>
      </c>
      <c r="R276" s="162">
        <v>11118.723099785737</v>
      </c>
    </row>
    <row r="277" spans="1:18">
      <c r="A277" s="123" t="s">
        <v>133</v>
      </c>
      <c r="B277" s="159">
        <v>2014</v>
      </c>
      <c r="C277" s="161">
        <v>1921.5730000000001</v>
      </c>
      <c r="D277" s="161">
        <v>6280.6120000000001</v>
      </c>
      <c r="E277" s="161">
        <v>3732.2289999999998</v>
      </c>
      <c r="F277" s="161">
        <v>0</v>
      </c>
      <c r="G277" s="161">
        <v>66.103999999999999</v>
      </c>
      <c r="H277" s="161">
        <v>184.786</v>
      </c>
      <c r="I277" s="161">
        <v>981.15993474730101</v>
      </c>
      <c r="J277" s="161">
        <v>11934.413999999999</v>
      </c>
      <c r="K277" s="161">
        <v>13166.463934747298</v>
      </c>
      <c r="L277" s="162">
        <v>1993.9929999999999</v>
      </c>
      <c r="M277" s="162">
        <v>4334.8799347472996</v>
      </c>
      <c r="N277" s="162">
        <v>4464.8970000000008</v>
      </c>
      <c r="O277" s="162">
        <v>114.413</v>
      </c>
      <c r="P277" s="162">
        <v>4579.3100000000004</v>
      </c>
      <c r="Q277" s="162">
        <v>10908.182934747299</v>
      </c>
      <c r="R277" s="162">
        <v>11158.226436658013</v>
      </c>
    </row>
    <row r="278" spans="1:18">
      <c r="A278" s="123" t="s">
        <v>133</v>
      </c>
      <c r="B278" s="159">
        <v>2015</v>
      </c>
      <c r="C278" s="161">
        <v>2227.8519999999999</v>
      </c>
      <c r="D278" s="161">
        <v>6691.75</v>
      </c>
      <c r="E278" s="161">
        <v>3758.9650000000001</v>
      </c>
      <c r="F278" s="161">
        <v>0</v>
      </c>
      <c r="G278" s="161">
        <v>68.799000000000007</v>
      </c>
      <c r="H278" s="161">
        <v>57.899000000000001</v>
      </c>
      <c r="I278" s="161">
        <v>1110.2617646890201</v>
      </c>
      <c r="J278" s="161">
        <v>12678.566999999999</v>
      </c>
      <c r="K278" s="161">
        <v>13915.526764689019</v>
      </c>
      <c r="L278" s="162">
        <v>1994.355</v>
      </c>
      <c r="M278" s="162">
        <v>4605.1667646890201</v>
      </c>
      <c r="N278" s="162">
        <v>4602.2659999999996</v>
      </c>
      <c r="O278" s="162">
        <v>122.46599999999999</v>
      </c>
      <c r="P278" s="162">
        <v>4724.732</v>
      </c>
      <c r="Q278" s="162">
        <v>11324.25376468902</v>
      </c>
      <c r="R278" s="162">
        <v>11583.834676082492</v>
      </c>
    </row>
    <row r="279" spans="1:18">
      <c r="A279" s="123" t="s">
        <v>133</v>
      </c>
      <c r="B279" s="159">
        <v>2016</v>
      </c>
      <c r="C279" s="161">
        <v>2223.0129999999999</v>
      </c>
      <c r="D279" s="161">
        <v>7068.4179999999997</v>
      </c>
      <c r="E279" s="161">
        <v>4246.6710000000003</v>
      </c>
      <c r="F279" s="161">
        <v>0</v>
      </c>
      <c r="G279" s="161">
        <v>66.655000000000001</v>
      </c>
      <c r="H279" s="161">
        <v>-61.198999999999998</v>
      </c>
      <c r="I279" s="161">
        <v>1103.38607031623</v>
      </c>
      <c r="J279" s="161">
        <v>13538.102000000001</v>
      </c>
      <c r="K279" s="161">
        <v>14646.944070316231</v>
      </c>
      <c r="L279" s="162">
        <v>2059.8290000000002</v>
      </c>
      <c r="M279" s="162">
        <v>4731.4050703162302</v>
      </c>
      <c r="N279" s="162">
        <v>4851.5389999999998</v>
      </c>
      <c r="O279" s="162">
        <v>112.536</v>
      </c>
      <c r="P279" s="162">
        <v>4964.0749999999998</v>
      </c>
      <c r="Q279" s="162">
        <v>11755.309070316231</v>
      </c>
      <c r="R279" s="162">
        <v>12024.770873768533</v>
      </c>
    </row>
    <row r="280" spans="1:18">
      <c r="A280" s="123" t="s">
        <v>133</v>
      </c>
      <c r="B280" s="159">
        <v>2017</v>
      </c>
      <c r="C280" s="161">
        <v>1820.088</v>
      </c>
      <c r="D280" s="161">
        <v>7057.1559999999999</v>
      </c>
      <c r="E280" s="161">
        <v>4312.57</v>
      </c>
      <c r="F280" s="161">
        <v>0</v>
      </c>
      <c r="G280" s="161">
        <v>113.264</v>
      </c>
      <c r="H280" s="161">
        <v>-58.341000000000001</v>
      </c>
      <c r="I280" s="161">
        <v>1300.5764391898299</v>
      </c>
      <c r="J280" s="161">
        <v>13189.814</v>
      </c>
      <c r="K280" s="161">
        <v>14545.313439189829</v>
      </c>
      <c r="L280" s="162">
        <v>2125.1619999999998</v>
      </c>
      <c r="M280" s="162">
        <v>4655.7104391898301</v>
      </c>
      <c r="N280" s="162">
        <v>4907.5159999999996</v>
      </c>
      <c r="O280" s="162">
        <v>160.714</v>
      </c>
      <c r="P280" s="162">
        <v>5068.2299999999996</v>
      </c>
      <c r="Q280" s="162">
        <v>11849.10243918983</v>
      </c>
      <c r="R280" s="162">
        <v>12120.714226974944</v>
      </c>
    </row>
    <row r="281" spans="1:18">
      <c r="A281" s="123" t="s">
        <v>133</v>
      </c>
      <c r="B281" s="159">
        <v>2018</v>
      </c>
      <c r="C281" s="161">
        <v>1395.4380000000001</v>
      </c>
      <c r="D281" s="161">
        <v>7154.009</v>
      </c>
      <c r="E281" s="161">
        <v>4487.6019999999999</v>
      </c>
      <c r="F281" s="161">
        <v>0</v>
      </c>
      <c r="G281" s="161">
        <v>145.465</v>
      </c>
      <c r="H281" s="161">
        <v>-2.3839999999999999</v>
      </c>
      <c r="I281" s="161">
        <v>1437.7426678131301</v>
      </c>
      <c r="J281" s="161">
        <v>13037.048999999999</v>
      </c>
      <c r="K281" s="161">
        <v>14617.87266781313</v>
      </c>
      <c r="L281" s="162">
        <v>2179.5349999999999</v>
      </c>
      <c r="M281" s="162">
        <v>5016.3836678131302</v>
      </c>
      <c r="N281" s="162">
        <v>5040.8149999999996</v>
      </c>
      <c r="O281" s="162">
        <v>154.31</v>
      </c>
      <c r="P281" s="162">
        <v>5195.125</v>
      </c>
      <c r="Q281" s="162">
        <v>12391.04366781313</v>
      </c>
      <c r="R281" s="162">
        <v>12675.078137125074</v>
      </c>
    </row>
    <row r="282" spans="1:18">
      <c r="A282" s="123" t="s">
        <v>133</v>
      </c>
      <c r="B282" s="159">
        <v>2019</v>
      </c>
      <c r="C282" s="161">
        <v>1146.077</v>
      </c>
      <c r="D282" s="161">
        <v>7179.9</v>
      </c>
      <c r="E282" s="161">
        <v>4560.1019999999999</v>
      </c>
      <c r="F282" s="161">
        <v>0</v>
      </c>
      <c r="G282" s="161">
        <v>145.31899999999999</v>
      </c>
      <c r="H282" s="161">
        <v>55.42</v>
      </c>
      <c r="I282" s="161">
        <v>1592.86381436897</v>
      </c>
      <c r="J282" s="161">
        <v>12886.078999999998</v>
      </c>
      <c r="K282" s="161">
        <v>14679.681814368967</v>
      </c>
      <c r="L282" s="162">
        <v>2167.5859999999998</v>
      </c>
      <c r="M282" s="162">
        <v>4973.4488143689696</v>
      </c>
      <c r="N282" s="162">
        <v>5046.8059999999996</v>
      </c>
      <c r="O282" s="162">
        <v>188.17400000000001</v>
      </c>
      <c r="P282" s="162">
        <v>5234.9799999999996</v>
      </c>
      <c r="Q282" s="162">
        <v>12376.014814368969</v>
      </c>
      <c r="R282" s="162">
        <v>12659.704783852907</v>
      </c>
    </row>
    <row r="283" spans="1:18">
      <c r="A283" s="123" t="s">
        <v>133</v>
      </c>
      <c r="B283" s="159">
        <v>2020</v>
      </c>
      <c r="C283" s="161">
        <v>1047.1980000000001</v>
      </c>
      <c r="D283" s="161">
        <v>5999.4629999999997</v>
      </c>
      <c r="E283" s="161">
        <v>4554.6639999999998</v>
      </c>
      <c r="F283" s="161">
        <v>0</v>
      </c>
      <c r="G283" s="161">
        <v>146.75200000000001</v>
      </c>
      <c r="H283" s="161">
        <v>-13.057</v>
      </c>
      <c r="I283" s="161">
        <v>1734.50109525174</v>
      </c>
      <c r="J283" s="161">
        <v>11601.325000000001</v>
      </c>
      <c r="K283" s="161">
        <v>13469.521095251741</v>
      </c>
      <c r="L283" s="162">
        <v>2172.9789999999998</v>
      </c>
      <c r="M283" s="162">
        <v>5128.8880952517402</v>
      </c>
      <c r="N283" s="162">
        <v>3706.3070000000002</v>
      </c>
      <c r="O283" s="162">
        <v>174.57499999999999</v>
      </c>
      <c r="P283" s="162">
        <v>3880.8820000000001</v>
      </c>
      <c r="Q283" s="162">
        <v>11182.74909525174</v>
      </c>
      <c r="R283" s="162">
        <v>11439.086357057147</v>
      </c>
    </row>
    <row r="284" spans="1:18">
      <c r="A284" s="123" t="s">
        <v>133</v>
      </c>
      <c r="B284" s="159">
        <v>2021</v>
      </c>
      <c r="C284" s="161">
        <v>1264.2239999999999</v>
      </c>
      <c r="D284" s="161">
        <v>6339.7370000000001</v>
      </c>
      <c r="E284" s="161">
        <v>4376.8519999999999</v>
      </c>
      <c r="F284" s="161">
        <v>0</v>
      </c>
      <c r="G284" s="161">
        <v>142.96299999999999</v>
      </c>
      <c r="H284" s="161">
        <v>136.50800000000001</v>
      </c>
      <c r="I284" s="161">
        <v>1563.04835931977</v>
      </c>
      <c r="J284" s="161">
        <v>11980.813</v>
      </c>
      <c r="K284" s="161">
        <v>13823.332359319769</v>
      </c>
      <c r="L284" s="162">
        <v>2245.9140000000002</v>
      </c>
      <c r="M284" s="162">
        <v>5023.7963593197701</v>
      </c>
      <c r="N284" s="162">
        <v>3974.4629999999997</v>
      </c>
      <c r="O284" s="162">
        <v>178.42400000000001</v>
      </c>
      <c r="P284" s="162">
        <v>4152.8869999999997</v>
      </c>
      <c r="Q284" s="162">
        <v>11422.59735931977</v>
      </c>
      <c r="R284" s="162">
        <v>11684.432557879038</v>
      </c>
    </row>
    <row r="285" spans="1:18">
      <c r="A285" s="123" t="s">
        <v>133</v>
      </c>
      <c r="B285" s="159">
        <v>2022</v>
      </c>
      <c r="C285" s="161">
        <v>1048.1469999999999</v>
      </c>
      <c r="D285" s="161">
        <v>6911.0230000000001</v>
      </c>
      <c r="E285" s="161">
        <v>4459.2669999999998</v>
      </c>
      <c r="F285" s="161">
        <v>0</v>
      </c>
      <c r="G285" s="161">
        <v>148.40600000000001</v>
      </c>
      <c r="H285" s="161">
        <v>21.658999999999999</v>
      </c>
      <c r="I285" s="161">
        <v>1747.7852718066299</v>
      </c>
      <c r="J285" s="161">
        <v>12418.437</v>
      </c>
      <c r="K285" s="161">
        <v>14336.28727180663</v>
      </c>
      <c r="L285" s="162">
        <v>2138.4839999999999</v>
      </c>
      <c r="M285" s="162">
        <v>4835.6982718066301</v>
      </c>
      <c r="N285" s="162">
        <v>4764.6130000000003</v>
      </c>
      <c r="O285" s="162">
        <v>223.84700000000001</v>
      </c>
      <c r="P285" s="162">
        <v>4988.46</v>
      </c>
      <c r="Q285" s="162">
        <v>11962.64227180663</v>
      </c>
      <c r="R285" s="162">
        <v>12236.856683468121</v>
      </c>
    </row>
    <row r="286" spans="1:18">
      <c r="A286" s="123" t="s">
        <v>133</v>
      </c>
      <c r="B286" s="159">
        <v>2023</v>
      </c>
      <c r="C286" s="161">
        <v>716.18740202930849</v>
      </c>
      <c r="D286" s="161">
        <v>6878.9621772778637</v>
      </c>
      <c r="E286" s="161">
        <v>4136.366845369932</v>
      </c>
      <c r="F286" s="161">
        <v>0</v>
      </c>
      <c r="G286" s="161">
        <v>165.57047989741756</v>
      </c>
      <c r="H286" s="161">
        <v>21.658999999999999</v>
      </c>
      <c r="I286" s="161">
        <v>1863.9441504348827</v>
      </c>
      <c r="J286" s="161">
        <v>11731.516424677104</v>
      </c>
      <c r="K286" s="161">
        <v>13782.690055009405</v>
      </c>
      <c r="L286" s="162">
        <v>1992.4856314172121</v>
      </c>
      <c r="M286" s="162">
        <v>4688.0190363217635</v>
      </c>
      <c r="N286" s="162">
        <v>4793.3086677032898</v>
      </c>
      <c r="O286" s="162">
        <v>301.04431136750065</v>
      </c>
      <c r="P286" s="162">
        <v>5094.3529790707908</v>
      </c>
      <c r="Q286" s="162">
        <v>11774.857646809767</v>
      </c>
      <c r="R286" s="162">
        <v>12044.767553722842</v>
      </c>
    </row>
    <row r="287" spans="1:18">
      <c r="A287" t="s">
        <v>157</v>
      </c>
      <c r="B287" s="157">
        <v>2005</v>
      </c>
      <c r="C287" s="158">
        <v>16305.370999999999</v>
      </c>
      <c r="D287" s="158">
        <v>75864.392000000007</v>
      </c>
      <c r="E287" s="158">
        <v>69658.62</v>
      </c>
      <c r="F287" s="158">
        <v>0</v>
      </c>
      <c r="G287" s="158">
        <v>672.75699999999995</v>
      </c>
      <c r="H287" s="158">
        <v>4226.5690000000004</v>
      </c>
      <c r="I287" s="158">
        <v>14106.718000000001</v>
      </c>
      <c r="J287" s="158">
        <v>161828.383</v>
      </c>
      <c r="K287" s="158">
        <v>180834.427</v>
      </c>
      <c r="L287" s="151">
        <v>37211.521000000001</v>
      </c>
      <c r="M287" s="151">
        <v>55168.425999999999</v>
      </c>
      <c r="N287" s="151">
        <v>44659.038</v>
      </c>
      <c r="O287" s="151">
        <v>176.74600000000001</v>
      </c>
      <c r="P287" s="151">
        <v>44835.784</v>
      </c>
      <c r="Q287" s="151">
        <v>137215.731</v>
      </c>
      <c r="R287" s="151">
        <v>140596.69982910244</v>
      </c>
    </row>
    <row r="288" spans="1:18">
      <c r="A288" t="s">
        <v>157</v>
      </c>
      <c r="B288" s="157">
        <v>2006</v>
      </c>
      <c r="C288" s="158">
        <v>16505.377</v>
      </c>
      <c r="D288" s="158">
        <v>74238.747000000003</v>
      </c>
      <c r="E288" s="158">
        <v>68245.83</v>
      </c>
      <c r="F288" s="158">
        <v>0</v>
      </c>
      <c r="G288" s="158">
        <v>766.00300000000004</v>
      </c>
      <c r="H288" s="158">
        <v>3868.0140000000001</v>
      </c>
      <c r="I288" s="158">
        <v>15326.492</v>
      </c>
      <c r="J288" s="158">
        <v>158989.95400000003</v>
      </c>
      <c r="K288" s="158">
        <v>178950.46300000002</v>
      </c>
      <c r="L288" s="151">
        <v>36144.576999999997</v>
      </c>
      <c r="M288" s="151">
        <v>54086.652999999998</v>
      </c>
      <c r="N288" s="151">
        <v>45269.148999999998</v>
      </c>
      <c r="O288" s="151">
        <v>159.071</v>
      </c>
      <c r="P288" s="151">
        <v>45428.22</v>
      </c>
      <c r="Q288" s="151">
        <v>135659.44999999998</v>
      </c>
      <c r="R288" s="151">
        <v>139002.07236902835</v>
      </c>
    </row>
    <row r="289" spans="1:18">
      <c r="A289" t="s">
        <v>157</v>
      </c>
      <c r="B289" s="157">
        <v>2007</v>
      </c>
      <c r="C289" s="158">
        <v>16160.573</v>
      </c>
      <c r="D289" s="158">
        <v>71999.475000000006</v>
      </c>
      <c r="E289" s="158">
        <v>68761.801000000007</v>
      </c>
      <c r="F289" s="158">
        <v>0</v>
      </c>
      <c r="G289" s="158">
        <v>825.71400000000006</v>
      </c>
      <c r="H289" s="158">
        <v>3979.6219999999998</v>
      </c>
      <c r="I289" s="158">
        <v>16945.995999999999</v>
      </c>
      <c r="J289" s="158">
        <v>156921.84900000002</v>
      </c>
      <c r="K289" s="158">
        <v>178673.18100000004</v>
      </c>
      <c r="L289" s="151">
        <v>35907.652000000002</v>
      </c>
      <c r="M289" s="151">
        <v>52989.716999999997</v>
      </c>
      <c r="N289" s="151">
        <v>45586.983</v>
      </c>
      <c r="O289" s="151">
        <v>139.62899999999999</v>
      </c>
      <c r="P289" s="151">
        <v>45726.612000000001</v>
      </c>
      <c r="Q289" s="151">
        <v>134623.981</v>
      </c>
      <c r="R289" s="151">
        <v>137941.08961497855</v>
      </c>
    </row>
    <row r="290" spans="1:18">
      <c r="A290" t="s">
        <v>157</v>
      </c>
      <c r="B290" s="157">
        <v>2008</v>
      </c>
      <c r="C290" s="158">
        <v>15635.605</v>
      </c>
      <c r="D290" s="158">
        <v>67758.491999999998</v>
      </c>
      <c r="E290" s="158">
        <v>68824.096999999994</v>
      </c>
      <c r="F290" s="158">
        <v>0</v>
      </c>
      <c r="G290" s="158">
        <v>751.95899999999995</v>
      </c>
      <c r="H290" s="158">
        <v>3442.39</v>
      </c>
      <c r="I290" s="158">
        <v>19707.179</v>
      </c>
      <c r="J290" s="158">
        <v>152218.19399999999</v>
      </c>
      <c r="K290" s="158">
        <v>176119.72200000001</v>
      </c>
      <c r="L290" s="151">
        <v>34528.294999999998</v>
      </c>
      <c r="M290" s="151">
        <v>55750.659</v>
      </c>
      <c r="N290" s="151">
        <v>43271.205000000002</v>
      </c>
      <c r="O290" s="151">
        <v>728.88599999999997</v>
      </c>
      <c r="P290" s="151">
        <v>44000.091</v>
      </c>
      <c r="Q290" s="151">
        <v>134279.04499999998</v>
      </c>
      <c r="R290" s="151">
        <v>137587.65445926558</v>
      </c>
    </row>
    <row r="291" spans="1:18">
      <c r="A291" t="s">
        <v>157</v>
      </c>
      <c r="B291" s="157">
        <v>2009</v>
      </c>
      <c r="C291" s="158">
        <v>12266.950999999999</v>
      </c>
      <c r="D291" s="158">
        <v>62786.631999999998</v>
      </c>
      <c r="E291" s="158">
        <v>63335.211000000003</v>
      </c>
      <c r="F291" s="158">
        <v>0</v>
      </c>
      <c r="G291" s="158">
        <v>802.37900000000002</v>
      </c>
      <c r="H291" s="158">
        <v>3865.7779999999998</v>
      </c>
      <c r="I291" s="158">
        <v>21026.557000000001</v>
      </c>
      <c r="J291" s="158">
        <v>138388.79399999999</v>
      </c>
      <c r="K291" s="158">
        <v>164083.50799999997</v>
      </c>
      <c r="L291" s="151">
        <v>28552.886999999999</v>
      </c>
      <c r="M291" s="151">
        <v>55492.392</v>
      </c>
      <c r="N291" s="151">
        <v>40983.756000000001</v>
      </c>
      <c r="O291" s="151">
        <v>1144.502</v>
      </c>
      <c r="P291" s="151">
        <v>42128.258000000002</v>
      </c>
      <c r="Q291" s="151">
        <v>126173.53700000001</v>
      </c>
      <c r="R291" s="151">
        <v>129282.42832423603</v>
      </c>
    </row>
    <row r="292" spans="1:18">
      <c r="A292" t="s">
        <v>157</v>
      </c>
      <c r="B292" s="157">
        <v>2010</v>
      </c>
      <c r="C292" s="158">
        <v>13543.734</v>
      </c>
      <c r="D292" s="158">
        <v>59547.55</v>
      </c>
      <c r="E292" s="158">
        <v>67490.756999999998</v>
      </c>
      <c r="F292" s="158">
        <v>0</v>
      </c>
      <c r="G292" s="158">
        <v>1041.058</v>
      </c>
      <c r="H292" s="158">
        <v>3797.0770000000002</v>
      </c>
      <c r="I292" s="158">
        <v>21864.302</v>
      </c>
      <c r="J292" s="158">
        <v>140582.041</v>
      </c>
      <c r="K292" s="158">
        <v>167284.47799999997</v>
      </c>
      <c r="L292" s="151">
        <v>29014.718000000001</v>
      </c>
      <c r="M292" s="151">
        <v>57757.504000000001</v>
      </c>
      <c r="N292" s="151">
        <v>40314.247000000003</v>
      </c>
      <c r="O292" s="151">
        <v>1419.424</v>
      </c>
      <c r="P292" s="151">
        <v>41733.671000000002</v>
      </c>
      <c r="Q292" s="151">
        <v>128505.893</v>
      </c>
      <c r="R292" s="151">
        <v>131672.25312083025</v>
      </c>
    </row>
    <row r="293" spans="1:18">
      <c r="A293" t="s">
        <v>157</v>
      </c>
      <c r="B293" s="157">
        <v>2011</v>
      </c>
      <c r="C293" s="158">
        <v>15168.565000000001</v>
      </c>
      <c r="D293" s="158">
        <v>57355.385999999999</v>
      </c>
      <c r="E293" s="158">
        <v>63387.446000000004</v>
      </c>
      <c r="F293" s="158">
        <v>0</v>
      </c>
      <c r="G293" s="158">
        <v>1135.1389999999999</v>
      </c>
      <c r="H293" s="158">
        <v>3932.2440000000001</v>
      </c>
      <c r="I293" s="158">
        <v>21025.852999999999</v>
      </c>
      <c r="J293" s="158">
        <v>135911.397</v>
      </c>
      <c r="K293" s="158">
        <v>162004.633</v>
      </c>
      <c r="L293" s="151">
        <v>27744.858</v>
      </c>
      <c r="M293" s="151">
        <v>53617.983</v>
      </c>
      <c r="N293" s="151">
        <v>40420.640999999996</v>
      </c>
      <c r="O293" s="151">
        <v>1401.002</v>
      </c>
      <c r="P293" s="151">
        <v>41821.642999999996</v>
      </c>
      <c r="Q293" s="151">
        <v>123184.484</v>
      </c>
      <c r="R293" s="151">
        <v>126219.72564174053</v>
      </c>
    </row>
    <row r="294" spans="1:18">
      <c r="A294" t="s">
        <v>157</v>
      </c>
      <c r="B294" s="157">
        <v>2012</v>
      </c>
      <c r="C294" s="158">
        <v>15574.032999999999</v>
      </c>
      <c r="D294" s="158">
        <v>51278.597000000002</v>
      </c>
      <c r="E294" s="158">
        <v>60984.802000000003</v>
      </c>
      <c r="F294" s="158">
        <v>0</v>
      </c>
      <c r="G294" s="158">
        <v>1132.2729999999999</v>
      </c>
      <c r="H294" s="158">
        <v>3706.1909999999998</v>
      </c>
      <c r="I294" s="158">
        <v>23884.74</v>
      </c>
      <c r="J294" s="158">
        <v>127837.432</v>
      </c>
      <c r="K294" s="158">
        <v>156560.636</v>
      </c>
      <c r="L294" s="151">
        <v>26948.704000000002</v>
      </c>
      <c r="M294" s="151">
        <v>55418.411</v>
      </c>
      <c r="N294" s="151">
        <v>38081.404000000002</v>
      </c>
      <c r="O294" s="151">
        <v>1367.9559999999999</v>
      </c>
      <c r="P294" s="151">
        <v>39449.360000000001</v>
      </c>
      <c r="Q294" s="151">
        <v>121816.47500000001</v>
      </c>
      <c r="R294" s="151">
        <v>124818.00916699822</v>
      </c>
    </row>
    <row r="295" spans="1:18">
      <c r="A295" t="s">
        <v>157</v>
      </c>
      <c r="B295" s="159">
        <v>2013</v>
      </c>
      <c r="C295" s="161">
        <v>13406.674000000001</v>
      </c>
      <c r="D295" s="161">
        <v>50576.154000000002</v>
      </c>
      <c r="E295" s="161">
        <v>56937.08</v>
      </c>
      <c r="F295" s="161">
        <v>0</v>
      </c>
      <c r="G295" s="161">
        <v>1137.981</v>
      </c>
      <c r="H295" s="161">
        <v>3623.2159999999999</v>
      </c>
      <c r="I295" s="161">
        <v>26370.626</v>
      </c>
      <c r="J295" s="161">
        <v>120919.908</v>
      </c>
      <c r="K295" s="161">
        <v>152051.731</v>
      </c>
      <c r="L295" s="162">
        <v>25353.587</v>
      </c>
      <c r="M295" s="162">
        <v>54498.171999999999</v>
      </c>
      <c r="N295" s="162">
        <v>37449.921000000002</v>
      </c>
      <c r="O295" s="162">
        <v>1252.354</v>
      </c>
      <c r="P295" s="162">
        <v>38702.275000000001</v>
      </c>
      <c r="Q295" s="162">
        <v>118554.034</v>
      </c>
      <c r="R295" s="162">
        <v>121475.18225754454</v>
      </c>
    </row>
    <row r="296" spans="1:18">
      <c r="A296" t="s">
        <v>157</v>
      </c>
      <c r="B296" s="159">
        <v>2014</v>
      </c>
      <c r="C296" s="161">
        <v>12966.324000000001</v>
      </c>
      <c r="D296" s="161">
        <v>48066.400999999998</v>
      </c>
      <c r="E296" s="161">
        <v>50196.667999999998</v>
      </c>
      <c r="F296" s="161">
        <v>0</v>
      </c>
      <c r="G296" s="161">
        <v>1157.758</v>
      </c>
      <c r="H296" s="161">
        <v>3758.8989999999999</v>
      </c>
      <c r="I296" s="161">
        <v>26512.291000000001</v>
      </c>
      <c r="J296" s="161">
        <v>111229.393</v>
      </c>
      <c r="K296" s="161">
        <v>142658.34100000001</v>
      </c>
      <c r="L296" s="162">
        <v>24739.084999999999</v>
      </c>
      <c r="M296" s="162">
        <v>48485.313000000002</v>
      </c>
      <c r="N296" s="162">
        <v>39020.151000000005</v>
      </c>
      <c r="O296" s="162">
        <v>1065.1980000000001</v>
      </c>
      <c r="P296" s="162">
        <v>40085.349000000002</v>
      </c>
      <c r="Q296" s="162">
        <v>113309.747</v>
      </c>
      <c r="R296" s="162">
        <v>116101.6770494816</v>
      </c>
    </row>
    <row r="297" spans="1:18">
      <c r="A297" t="s">
        <v>157</v>
      </c>
      <c r="B297" s="159">
        <v>2015</v>
      </c>
      <c r="C297" s="161">
        <v>12233.075999999999</v>
      </c>
      <c r="D297" s="161">
        <v>50756.425999999999</v>
      </c>
      <c r="E297" s="161">
        <v>54728.999000000003</v>
      </c>
      <c r="F297" s="161">
        <v>0</v>
      </c>
      <c r="G297" s="161">
        <v>1149.2070000000001</v>
      </c>
      <c r="H297" s="161">
        <v>3987.79</v>
      </c>
      <c r="I297" s="161">
        <v>26268.705000000002</v>
      </c>
      <c r="J297" s="161">
        <v>117718.501</v>
      </c>
      <c r="K297" s="161">
        <v>149124.20299999998</v>
      </c>
      <c r="L297" s="162">
        <v>24853.371999999999</v>
      </c>
      <c r="M297" s="162">
        <v>51830.267</v>
      </c>
      <c r="N297" s="162">
        <v>38374.126000000004</v>
      </c>
      <c r="O297" s="162">
        <v>1166.604</v>
      </c>
      <c r="P297" s="162">
        <v>39540.730000000003</v>
      </c>
      <c r="Q297" s="162">
        <v>116224.36900000001</v>
      </c>
      <c r="R297" s="162">
        <v>119088.11476666505</v>
      </c>
    </row>
    <row r="298" spans="1:18">
      <c r="A298" t="s">
        <v>157</v>
      </c>
      <c r="B298" s="159">
        <v>2016</v>
      </c>
      <c r="C298" s="161">
        <v>10983.003000000001</v>
      </c>
      <c r="D298" s="161">
        <v>49241.394</v>
      </c>
      <c r="E298" s="161">
        <v>57426.999000000003</v>
      </c>
      <c r="F298" s="161">
        <v>0</v>
      </c>
      <c r="G298" s="161">
        <v>1183.123</v>
      </c>
      <c r="H298" s="161">
        <v>3183.7489999999998</v>
      </c>
      <c r="I298" s="161">
        <v>26017.920999999998</v>
      </c>
      <c r="J298" s="161">
        <v>117651.39600000001</v>
      </c>
      <c r="K298" s="161">
        <v>148036.18900000001</v>
      </c>
      <c r="L298" s="162">
        <v>25088.949000000001</v>
      </c>
      <c r="M298" s="162">
        <v>51721.002999999997</v>
      </c>
      <c r="N298" s="162">
        <v>38069.361000000004</v>
      </c>
      <c r="O298" s="162">
        <v>1040.903</v>
      </c>
      <c r="P298" s="162">
        <v>39110.264000000003</v>
      </c>
      <c r="Q298" s="162">
        <v>115920.216</v>
      </c>
      <c r="R298" s="162">
        <v>118776.46749611177</v>
      </c>
    </row>
    <row r="299" spans="1:18">
      <c r="A299" t="s">
        <v>157</v>
      </c>
      <c r="B299" s="159">
        <v>2017</v>
      </c>
      <c r="C299" s="161">
        <v>9341.7970000000005</v>
      </c>
      <c r="D299" s="161">
        <v>48221.99</v>
      </c>
      <c r="E299" s="161">
        <v>60893.502999999997</v>
      </c>
      <c r="F299" s="161">
        <v>0</v>
      </c>
      <c r="G299" s="161">
        <v>1134.201</v>
      </c>
      <c r="H299" s="161">
        <v>3246.8310000000001</v>
      </c>
      <c r="I299" s="161">
        <v>26170.7085712238</v>
      </c>
      <c r="J299" s="161">
        <v>118457.29</v>
      </c>
      <c r="K299" s="161">
        <v>149009.03057122379</v>
      </c>
      <c r="L299" s="162">
        <v>24925.749</v>
      </c>
      <c r="M299" s="162">
        <v>52315.185571223803</v>
      </c>
      <c r="N299" s="162">
        <v>36882.812999999995</v>
      </c>
      <c r="O299" s="162">
        <v>1061.7660000000001</v>
      </c>
      <c r="P299" s="162">
        <v>37944.578999999998</v>
      </c>
      <c r="Q299" s="162">
        <v>115185.5135712238</v>
      </c>
      <c r="R299" s="162">
        <v>118023.66214289494</v>
      </c>
    </row>
    <row r="300" spans="1:18">
      <c r="A300" t="s">
        <v>157</v>
      </c>
      <c r="B300" s="159">
        <v>2018</v>
      </c>
      <c r="C300" s="161">
        <v>8538.1610000000001</v>
      </c>
      <c r="D300" s="161">
        <v>48260.669000000002</v>
      </c>
      <c r="E300" s="161">
        <v>58897.313999999998</v>
      </c>
      <c r="F300" s="161">
        <v>0</v>
      </c>
      <c r="G300" s="161">
        <v>1132.9839999999999</v>
      </c>
      <c r="H300" s="161">
        <v>3774.616</v>
      </c>
      <c r="I300" s="161">
        <v>26685.5640336295</v>
      </c>
      <c r="J300" s="161">
        <v>115696.144</v>
      </c>
      <c r="K300" s="161">
        <v>147289.3080336295</v>
      </c>
      <c r="L300" s="162">
        <v>24663.853999999999</v>
      </c>
      <c r="M300" s="162">
        <v>52247.398033629499</v>
      </c>
      <c r="N300" s="162">
        <v>38164.629999999997</v>
      </c>
      <c r="O300" s="162">
        <v>1249.712</v>
      </c>
      <c r="P300" s="162">
        <v>39414.341999999997</v>
      </c>
      <c r="Q300" s="162">
        <v>116325.59403362949</v>
      </c>
      <c r="R300" s="162">
        <v>119191.83396536534</v>
      </c>
    </row>
    <row r="301" spans="1:18">
      <c r="A301" t="s">
        <v>157</v>
      </c>
      <c r="B301" s="159">
        <v>2019</v>
      </c>
      <c r="C301" s="161">
        <v>6480.37</v>
      </c>
      <c r="D301" s="161">
        <v>47673.392</v>
      </c>
      <c r="E301" s="161">
        <v>60306.144</v>
      </c>
      <c r="F301" s="161">
        <v>0</v>
      </c>
      <c r="G301" s="161">
        <v>1182.3309999999999</v>
      </c>
      <c r="H301" s="161">
        <v>3279.556</v>
      </c>
      <c r="I301" s="161">
        <v>27013.667505111302</v>
      </c>
      <c r="J301" s="161">
        <v>114459.906</v>
      </c>
      <c r="K301" s="161">
        <v>145935.46050511132</v>
      </c>
      <c r="L301" s="162">
        <v>24928.486000000001</v>
      </c>
      <c r="M301" s="162">
        <v>50597.3405051113</v>
      </c>
      <c r="N301" s="162">
        <v>38553.595999999998</v>
      </c>
      <c r="O301" s="162">
        <v>1276.1189999999999</v>
      </c>
      <c r="P301" s="162">
        <v>39829.714999999997</v>
      </c>
      <c r="Q301" s="162">
        <v>115355.54150511129</v>
      </c>
      <c r="R301" s="162">
        <v>118197.87953188618</v>
      </c>
    </row>
    <row r="302" spans="1:18">
      <c r="A302" t="s">
        <v>157</v>
      </c>
      <c r="B302" s="159">
        <v>2020</v>
      </c>
      <c r="C302" s="161">
        <v>5094.549</v>
      </c>
      <c r="D302" s="161">
        <v>38794.133000000002</v>
      </c>
      <c r="E302" s="161">
        <v>57632.523999999998</v>
      </c>
      <c r="F302" s="161">
        <v>0</v>
      </c>
      <c r="G302" s="161">
        <v>1190.1110000000001</v>
      </c>
      <c r="H302" s="161">
        <v>2768.7350000000001</v>
      </c>
      <c r="I302" s="161">
        <v>26869.3247694659</v>
      </c>
      <c r="J302" s="161">
        <v>101521.20600000001</v>
      </c>
      <c r="K302" s="161">
        <v>132349.37676946592</v>
      </c>
      <c r="L302" s="162">
        <v>23861.102999999999</v>
      </c>
      <c r="M302" s="162">
        <v>48405.567769465903</v>
      </c>
      <c r="N302" s="162">
        <v>29206.651999999998</v>
      </c>
      <c r="O302" s="162">
        <v>1264.7380000000001</v>
      </c>
      <c r="P302" s="162">
        <v>30471.39</v>
      </c>
      <c r="Q302" s="162">
        <v>102738.0607694659</v>
      </c>
      <c r="R302" s="162">
        <v>105269.50653368367</v>
      </c>
    </row>
    <row r="303" spans="1:18">
      <c r="A303" t="s">
        <v>157</v>
      </c>
      <c r="B303" s="159">
        <v>2021</v>
      </c>
      <c r="C303" s="161">
        <v>5532.8450000000003</v>
      </c>
      <c r="D303" s="161">
        <v>45808.269</v>
      </c>
      <c r="E303" s="161">
        <v>61766.6</v>
      </c>
      <c r="F303" s="161">
        <v>0</v>
      </c>
      <c r="G303" s="161">
        <v>1141.808</v>
      </c>
      <c r="H303" s="161">
        <v>3679.261</v>
      </c>
      <c r="I303" s="161">
        <v>27573.097980796701</v>
      </c>
      <c r="J303" s="161">
        <v>113107.71400000001</v>
      </c>
      <c r="K303" s="161">
        <v>145501.8809807967</v>
      </c>
      <c r="L303" s="162">
        <v>28632.287</v>
      </c>
      <c r="M303" s="162">
        <v>49214.401980796698</v>
      </c>
      <c r="N303" s="162">
        <v>35084.943999999996</v>
      </c>
      <c r="O303" s="162">
        <v>1415.5060000000001</v>
      </c>
      <c r="P303" s="162">
        <v>36500.449999999997</v>
      </c>
      <c r="Q303" s="162">
        <v>114347.13898079669</v>
      </c>
      <c r="R303" s="162">
        <v>117164.63016619961</v>
      </c>
    </row>
    <row r="304" spans="1:18">
      <c r="A304" t="s">
        <v>157</v>
      </c>
      <c r="B304" s="159">
        <v>2022</v>
      </c>
      <c r="C304" s="161">
        <v>7401.7569999999996</v>
      </c>
      <c r="D304" s="161">
        <v>46426.991999999998</v>
      </c>
      <c r="E304" s="161">
        <v>55553.911999999997</v>
      </c>
      <c r="F304" s="161">
        <v>0</v>
      </c>
      <c r="G304" s="161">
        <v>1129.0930000000001</v>
      </c>
      <c r="H304" s="161">
        <v>3696.2020000000002</v>
      </c>
      <c r="I304" s="161">
        <v>24951.888793063899</v>
      </c>
      <c r="J304" s="161">
        <v>109382.66099999999</v>
      </c>
      <c r="K304" s="161">
        <v>139159.84479306388</v>
      </c>
      <c r="L304" s="162">
        <v>24753.782999999999</v>
      </c>
      <c r="M304" s="162">
        <v>47843.995672112302</v>
      </c>
      <c r="N304" s="162">
        <v>37956.072999999997</v>
      </c>
      <c r="O304" s="162">
        <v>1389.097</v>
      </c>
      <c r="P304" s="162">
        <v>39345.17</v>
      </c>
      <c r="Q304" s="162">
        <v>111942.9486721123</v>
      </c>
      <c r="R304" s="162">
        <v>114701.2010775761</v>
      </c>
    </row>
    <row r="305" spans="1:18" ht="14" customHeight="1">
      <c r="A305" t="s">
        <v>157</v>
      </c>
      <c r="B305" s="159">
        <v>2023</v>
      </c>
      <c r="C305" s="161">
        <v>5159.6690454165373</v>
      </c>
      <c r="D305" s="161">
        <v>45824.647815970224</v>
      </c>
      <c r="E305" s="161">
        <v>49929.095917453429</v>
      </c>
      <c r="F305" s="161">
        <v>0</v>
      </c>
      <c r="G305" s="161">
        <v>1110.1228789301981</v>
      </c>
      <c r="H305" s="161">
        <v>3696.2020000000002</v>
      </c>
      <c r="I305" s="161">
        <v>25274.611072638068</v>
      </c>
      <c r="J305" s="161">
        <v>100913.4127788402</v>
      </c>
      <c r="K305" s="161">
        <v>130994.34873040847</v>
      </c>
      <c r="L305" s="162">
        <v>24531.127103506784</v>
      </c>
      <c r="M305" s="162">
        <v>46604.817818018608</v>
      </c>
      <c r="N305" s="162">
        <v>37664.440349496501</v>
      </c>
      <c r="O305" s="162">
        <v>1720.2058079163376</v>
      </c>
      <c r="P305" s="162">
        <v>39384.646157412841</v>
      </c>
      <c r="Q305" s="162">
        <v>110520.59107893823</v>
      </c>
      <c r="R305" s="162">
        <v>113243.79687093206</v>
      </c>
    </row>
    <row r="306" spans="1:18">
      <c r="A306" t="s">
        <v>137</v>
      </c>
      <c r="B306" s="157">
        <v>2005</v>
      </c>
      <c r="C306" s="158">
        <v>184.31299999999999</v>
      </c>
      <c r="D306" s="158">
        <v>2465.9589999999998</v>
      </c>
      <c r="E306" s="158">
        <v>1966.875</v>
      </c>
      <c r="F306" s="158">
        <v>2804.7579999999998</v>
      </c>
      <c r="G306" s="158">
        <v>0</v>
      </c>
      <c r="H306" s="158">
        <v>-255.03</v>
      </c>
      <c r="I306" s="158">
        <v>881.12199999999996</v>
      </c>
      <c r="J306" s="158">
        <v>4617.1469999999999</v>
      </c>
      <c r="K306" s="158">
        <v>8047.9970000000003</v>
      </c>
      <c r="L306" s="151">
        <v>1057.5909999999999</v>
      </c>
      <c r="M306" s="151">
        <v>2178.3809999999999</v>
      </c>
      <c r="N306" s="151">
        <v>1429.5739999999998</v>
      </c>
      <c r="O306" s="151">
        <v>3.2959999999999998</v>
      </c>
      <c r="P306" s="151">
        <v>1432.87</v>
      </c>
      <c r="Q306" s="151">
        <v>4668.8419999999996</v>
      </c>
      <c r="R306" s="151">
        <v>4825.7644612948952</v>
      </c>
    </row>
    <row r="307" spans="1:18">
      <c r="A307" t="s">
        <v>137</v>
      </c>
      <c r="B307" s="157">
        <v>2006</v>
      </c>
      <c r="C307" s="158">
        <v>250.922</v>
      </c>
      <c r="D307" s="158">
        <v>2473.645</v>
      </c>
      <c r="E307" s="158">
        <v>1900.2149999999999</v>
      </c>
      <c r="F307" s="158">
        <v>2374.3620000000001</v>
      </c>
      <c r="G307" s="158">
        <v>0</v>
      </c>
      <c r="H307" s="158">
        <v>-36.801000000000002</v>
      </c>
      <c r="I307" s="158">
        <v>930.74900000000002</v>
      </c>
      <c r="J307" s="158">
        <v>4624.7820000000002</v>
      </c>
      <c r="K307" s="158">
        <v>7893.0919999999996</v>
      </c>
      <c r="L307" s="151">
        <v>1088.0409999999999</v>
      </c>
      <c r="M307" s="151">
        <v>2294.5070000000001</v>
      </c>
      <c r="N307" s="151">
        <v>1527.008</v>
      </c>
      <c r="O307" s="151">
        <v>19.298999999999999</v>
      </c>
      <c r="P307" s="151">
        <v>1546.307</v>
      </c>
      <c r="Q307" s="151">
        <v>4928.8549999999996</v>
      </c>
      <c r="R307" s="151">
        <v>5094.5166475703509</v>
      </c>
    </row>
    <row r="308" spans="1:18">
      <c r="A308" t="s">
        <v>137</v>
      </c>
      <c r="B308" s="157">
        <v>2007</v>
      </c>
      <c r="C308" s="158">
        <v>248.76400000000001</v>
      </c>
      <c r="D308" s="158">
        <v>2483.2800000000002</v>
      </c>
      <c r="E308" s="158">
        <v>1846.26</v>
      </c>
      <c r="F308" s="158">
        <v>2674.5340000000001</v>
      </c>
      <c r="G308" s="158">
        <v>0</v>
      </c>
      <c r="H308" s="158">
        <v>-117.971</v>
      </c>
      <c r="I308" s="158">
        <v>964.01099999999997</v>
      </c>
      <c r="J308" s="158">
        <v>4578.3040000000001</v>
      </c>
      <c r="K308" s="158">
        <v>8098.8780000000006</v>
      </c>
      <c r="L308" s="151">
        <v>1116.5360000000001</v>
      </c>
      <c r="M308" s="151">
        <v>2258.326</v>
      </c>
      <c r="N308" s="151">
        <v>1784.06</v>
      </c>
      <c r="O308" s="151">
        <v>53.143000000000001</v>
      </c>
      <c r="P308" s="151">
        <v>1837.203</v>
      </c>
      <c r="Q308" s="151">
        <v>5212.0650000000005</v>
      </c>
      <c r="R308" s="151">
        <v>5387.2454983396274</v>
      </c>
    </row>
    <row r="309" spans="1:18">
      <c r="A309" t="s">
        <v>137</v>
      </c>
      <c r="B309" s="157">
        <v>2008</v>
      </c>
      <c r="C309" s="158">
        <v>210.886</v>
      </c>
      <c r="D309" s="158">
        <v>2704.6239999999998</v>
      </c>
      <c r="E309" s="158">
        <v>1721.41</v>
      </c>
      <c r="F309" s="158">
        <v>2686.6869999999999</v>
      </c>
      <c r="G309" s="158">
        <v>0</v>
      </c>
      <c r="H309" s="158">
        <v>-82.287000000000006</v>
      </c>
      <c r="I309" s="158">
        <v>1021.1</v>
      </c>
      <c r="J309" s="158">
        <v>4636.92</v>
      </c>
      <c r="K309" s="158">
        <v>8262.42</v>
      </c>
      <c r="L309" s="151">
        <v>1010.085</v>
      </c>
      <c r="M309" s="151">
        <v>2276.1019999999999</v>
      </c>
      <c r="N309" s="151">
        <v>1782.915</v>
      </c>
      <c r="O309" s="151">
        <v>61.430999999999997</v>
      </c>
      <c r="P309" s="151">
        <v>1844.346</v>
      </c>
      <c r="Q309" s="151">
        <v>5130.5329999999994</v>
      </c>
      <c r="R309" s="151">
        <v>5302.9731609895307</v>
      </c>
    </row>
    <row r="310" spans="1:18">
      <c r="A310" t="s">
        <v>137</v>
      </c>
      <c r="B310" s="157">
        <v>2009</v>
      </c>
      <c r="C310" s="158">
        <v>167.06</v>
      </c>
      <c r="D310" s="158">
        <v>2345.89</v>
      </c>
      <c r="E310" s="158">
        <v>1657.6089999999999</v>
      </c>
      <c r="F310" s="158">
        <v>2938.6790000000001</v>
      </c>
      <c r="G310" s="158">
        <v>0</v>
      </c>
      <c r="H310" s="158">
        <v>-252.107</v>
      </c>
      <c r="I310" s="158">
        <v>1051.9970000000001</v>
      </c>
      <c r="J310" s="158">
        <v>4170.5589999999993</v>
      </c>
      <c r="K310" s="158">
        <v>7909.1279999999997</v>
      </c>
      <c r="L310" s="151">
        <v>872.14099999999996</v>
      </c>
      <c r="M310" s="151">
        <v>2268.4639999999999</v>
      </c>
      <c r="N310" s="151">
        <v>1450.1390000000001</v>
      </c>
      <c r="O310" s="151">
        <v>51.542999999999999</v>
      </c>
      <c r="P310" s="151">
        <v>1501.682</v>
      </c>
      <c r="Q310" s="151">
        <v>4642.2870000000003</v>
      </c>
      <c r="R310" s="151">
        <v>4798.3169324923183</v>
      </c>
    </row>
    <row r="311" spans="1:18">
      <c r="A311" t="s">
        <v>137</v>
      </c>
      <c r="B311" s="157">
        <v>2010</v>
      </c>
      <c r="C311" s="158">
        <v>205.964</v>
      </c>
      <c r="D311" s="158">
        <v>2370.3150000000001</v>
      </c>
      <c r="E311" s="158">
        <v>2010.769</v>
      </c>
      <c r="F311" s="158">
        <v>0</v>
      </c>
      <c r="G311" s="158">
        <v>0</v>
      </c>
      <c r="H311" s="158">
        <v>515.04700000000003</v>
      </c>
      <c r="I311" s="158">
        <v>1064.9469999999999</v>
      </c>
      <c r="J311" s="158">
        <v>4587.0479999999998</v>
      </c>
      <c r="K311" s="158">
        <v>6167.0419999999995</v>
      </c>
      <c r="L311" s="151">
        <v>949.62900000000002</v>
      </c>
      <c r="M311" s="151">
        <v>2310.576</v>
      </c>
      <c r="N311" s="151">
        <v>1500.7199999999998</v>
      </c>
      <c r="O311" s="151">
        <v>44.783999999999999</v>
      </c>
      <c r="P311" s="151">
        <v>1545.5039999999999</v>
      </c>
      <c r="Q311" s="151">
        <v>4805.7089999999998</v>
      </c>
      <c r="R311" s="151">
        <v>4967.231639778136</v>
      </c>
    </row>
    <row r="312" spans="1:18">
      <c r="A312" t="s">
        <v>137</v>
      </c>
      <c r="B312" s="157">
        <v>2011</v>
      </c>
      <c r="C312" s="158">
        <v>239.321</v>
      </c>
      <c r="D312" s="158">
        <v>2275.5610000000001</v>
      </c>
      <c r="E312" s="158">
        <v>1754.8579999999999</v>
      </c>
      <c r="F312" s="158">
        <v>0</v>
      </c>
      <c r="G312" s="158">
        <v>0</v>
      </c>
      <c r="H312" s="158">
        <v>579.45000000000005</v>
      </c>
      <c r="I312" s="158">
        <v>1056.6020000000001</v>
      </c>
      <c r="J312" s="158">
        <v>4269.74</v>
      </c>
      <c r="K312" s="158">
        <v>5905.7919999999995</v>
      </c>
      <c r="L312" s="151">
        <v>1013.346</v>
      </c>
      <c r="M312" s="151">
        <v>2231.2559999999999</v>
      </c>
      <c r="N312" s="151">
        <v>1494.2860000000001</v>
      </c>
      <c r="O312" s="151">
        <v>45.021999999999998</v>
      </c>
      <c r="P312" s="151">
        <v>1539.308</v>
      </c>
      <c r="Q312" s="151">
        <v>4783.91</v>
      </c>
      <c r="R312" s="151">
        <v>4944.6999628672947</v>
      </c>
    </row>
    <row r="313" spans="1:18">
      <c r="A313" t="s">
        <v>137</v>
      </c>
      <c r="B313" s="157">
        <v>2012</v>
      </c>
      <c r="C313" s="158">
        <v>233.52600000000001</v>
      </c>
      <c r="D313" s="158">
        <v>2365.89</v>
      </c>
      <c r="E313" s="158">
        <v>1654.664</v>
      </c>
      <c r="F313" s="158">
        <v>0</v>
      </c>
      <c r="G313" s="158">
        <v>0</v>
      </c>
      <c r="H313" s="158">
        <v>569.13199999999995</v>
      </c>
      <c r="I313" s="158">
        <v>1161.3399999999999</v>
      </c>
      <c r="J313" s="158">
        <v>4254.08</v>
      </c>
      <c r="K313" s="158">
        <v>5984.5519999999997</v>
      </c>
      <c r="L313" s="151">
        <v>1071.759</v>
      </c>
      <c r="M313" s="151">
        <v>2258.7860000000001</v>
      </c>
      <c r="N313" s="151">
        <v>1510.7820000000002</v>
      </c>
      <c r="O313" s="151">
        <v>60.524000000000001</v>
      </c>
      <c r="P313" s="151">
        <v>1571.306</v>
      </c>
      <c r="Q313" s="151">
        <v>4901.8510000000006</v>
      </c>
      <c r="R313" s="151">
        <v>5066.6050276198785</v>
      </c>
    </row>
    <row r="314" spans="1:18">
      <c r="A314" t="s">
        <v>137</v>
      </c>
      <c r="B314" s="159">
        <v>2013</v>
      </c>
      <c r="C314" s="161">
        <v>268.02100000000002</v>
      </c>
      <c r="D314" s="161">
        <v>2309.1350000000002</v>
      </c>
      <c r="E314" s="161">
        <v>1401.6980000000001</v>
      </c>
      <c r="F314" s="161">
        <v>0</v>
      </c>
      <c r="G314" s="161">
        <v>14.88</v>
      </c>
      <c r="H314" s="161">
        <v>597.24800000000005</v>
      </c>
      <c r="I314" s="161">
        <v>1212.2719999999999</v>
      </c>
      <c r="J314" s="161">
        <v>3978.8540000000003</v>
      </c>
      <c r="K314" s="161">
        <v>5803.2539999999999</v>
      </c>
      <c r="L314" s="162">
        <v>1037.327</v>
      </c>
      <c r="M314" s="162">
        <v>2172.9110000000001</v>
      </c>
      <c r="N314" s="162">
        <v>1514.461</v>
      </c>
      <c r="O314" s="162">
        <v>57.704999999999998</v>
      </c>
      <c r="P314" s="162">
        <v>1572.1659999999999</v>
      </c>
      <c r="Q314" s="162">
        <v>4782.4040000000005</v>
      </c>
      <c r="R314" s="162">
        <v>4943.1433453422833</v>
      </c>
    </row>
    <row r="315" spans="1:18">
      <c r="A315" t="s">
        <v>137</v>
      </c>
      <c r="B315" s="159">
        <v>2014</v>
      </c>
      <c r="C315" s="161">
        <v>226.71299999999999</v>
      </c>
      <c r="D315" s="161">
        <v>2384</v>
      </c>
      <c r="E315" s="161">
        <v>1190.9929999999999</v>
      </c>
      <c r="F315" s="161">
        <v>0</v>
      </c>
      <c r="G315" s="161">
        <v>18.056999999999999</v>
      </c>
      <c r="H315" s="161">
        <v>655.46</v>
      </c>
      <c r="I315" s="161">
        <v>1277.028</v>
      </c>
      <c r="J315" s="161">
        <v>3801.7060000000001</v>
      </c>
      <c r="K315" s="161">
        <v>5752.2510000000002</v>
      </c>
      <c r="L315" s="162">
        <v>1033.722</v>
      </c>
      <c r="M315" s="162">
        <v>2104.1909999999998</v>
      </c>
      <c r="N315" s="162">
        <v>1676.6909999999998</v>
      </c>
      <c r="O315" s="162">
        <v>63.246000000000002</v>
      </c>
      <c r="P315" s="162">
        <v>1739.9369999999999</v>
      </c>
      <c r="Q315" s="162">
        <v>4877.8499999999995</v>
      </c>
      <c r="R315" s="162">
        <v>5041.7973402242578</v>
      </c>
    </row>
    <row r="316" spans="1:18">
      <c r="A316" t="s">
        <v>137</v>
      </c>
      <c r="B316" s="159">
        <v>2015</v>
      </c>
      <c r="C316" s="161">
        <v>180.709</v>
      </c>
      <c r="D316" s="161">
        <v>2425.8670000000002</v>
      </c>
      <c r="E316" s="161">
        <v>1125.6659999999999</v>
      </c>
      <c r="F316" s="161">
        <v>0</v>
      </c>
      <c r="G316" s="161">
        <v>22.523</v>
      </c>
      <c r="H316" s="161">
        <v>619.77599999999995</v>
      </c>
      <c r="I316" s="161">
        <v>1418.9359999999999</v>
      </c>
      <c r="J316" s="161">
        <v>3732.2420000000002</v>
      </c>
      <c r="K316" s="161">
        <v>5793.4769999999999</v>
      </c>
      <c r="L316" s="162">
        <v>982.755</v>
      </c>
      <c r="M316" s="162">
        <v>2046.569</v>
      </c>
      <c r="N316" s="162">
        <v>1763.7760000000001</v>
      </c>
      <c r="O316" s="162">
        <v>67.998999999999995</v>
      </c>
      <c r="P316" s="162">
        <v>1831.7750000000001</v>
      </c>
      <c r="Q316" s="162">
        <v>4861.0990000000002</v>
      </c>
      <c r="R316" s="162">
        <v>5024.4833294928712</v>
      </c>
    </row>
    <row r="317" spans="1:18">
      <c r="A317" t="s">
        <v>137</v>
      </c>
      <c r="B317" s="159">
        <v>2016</v>
      </c>
      <c r="C317" s="161">
        <v>184.28899999999999</v>
      </c>
      <c r="D317" s="161">
        <v>2629.2460000000001</v>
      </c>
      <c r="E317" s="161">
        <v>1000.86</v>
      </c>
      <c r="F317" s="161">
        <v>0</v>
      </c>
      <c r="G317" s="161">
        <v>49.274000000000001</v>
      </c>
      <c r="H317" s="161">
        <v>711.52200000000005</v>
      </c>
      <c r="I317" s="161">
        <v>1464.35</v>
      </c>
      <c r="J317" s="161">
        <v>3814.395</v>
      </c>
      <c r="K317" s="161">
        <v>6039.5409999999993</v>
      </c>
      <c r="L317" s="162">
        <v>988.96900000000005</v>
      </c>
      <c r="M317" s="162">
        <v>2149.7330000000002</v>
      </c>
      <c r="N317" s="162">
        <v>1903.6510000000001</v>
      </c>
      <c r="O317" s="162">
        <v>56.820999999999998</v>
      </c>
      <c r="P317" s="162">
        <v>1960.472</v>
      </c>
      <c r="Q317" s="162">
        <v>5099.174</v>
      </c>
      <c r="R317" s="162">
        <v>5270.5601669876469</v>
      </c>
    </row>
    <row r="318" spans="1:18">
      <c r="A318" t="s">
        <v>137</v>
      </c>
      <c r="B318" s="159">
        <v>2017</v>
      </c>
      <c r="C318" s="161">
        <v>196.79300000000001</v>
      </c>
      <c r="D318" s="161">
        <v>2685.1219999999998</v>
      </c>
      <c r="E318" s="161">
        <v>925.99699999999996</v>
      </c>
      <c r="F318" s="161">
        <v>0</v>
      </c>
      <c r="G318" s="161">
        <v>33.652999999999999</v>
      </c>
      <c r="H318" s="161">
        <v>746.10500000000002</v>
      </c>
      <c r="I318" s="161">
        <v>1573.395</v>
      </c>
      <c r="J318" s="161">
        <v>3807.9119999999998</v>
      </c>
      <c r="K318" s="161">
        <v>6161.0650000000005</v>
      </c>
      <c r="L318" s="162">
        <v>1070.9269999999999</v>
      </c>
      <c r="M318" s="162">
        <v>2208.13</v>
      </c>
      <c r="N318" s="162">
        <v>1994.1780000000001</v>
      </c>
      <c r="O318" s="162">
        <v>71.706000000000003</v>
      </c>
      <c r="P318" s="162">
        <v>2065.884</v>
      </c>
      <c r="Q318" s="162">
        <v>5344.9409999999998</v>
      </c>
      <c r="R318" s="162">
        <v>5524.5875370205295</v>
      </c>
    </row>
    <row r="319" spans="1:18">
      <c r="A319" t="s">
        <v>137</v>
      </c>
      <c r="B319" s="159">
        <v>2018</v>
      </c>
      <c r="C319" s="161">
        <v>209.95</v>
      </c>
      <c r="D319" s="161">
        <v>2814.0970000000002</v>
      </c>
      <c r="E319" s="161">
        <v>917.97699999999998</v>
      </c>
      <c r="F319" s="161">
        <v>0</v>
      </c>
      <c r="G319" s="161">
        <v>35.755000000000003</v>
      </c>
      <c r="H319" s="161">
        <v>828.24599999999998</v>
      </c>
      <c r="I319" s="161">
        <v>1563.94518018534</v>
      </c>
      <c r="J319" s="161">
        <v>3942.0239999999999</v>
      </c>
      <c r="K319" s="161">
        <v>6369.9701801853398</v>
      </c>
      <c r="L319" s="162">
        <v>1106.588</v>
      </c>
      <c r="M319" s="162">
        <v>2254.0411801853402</v>
      </c>
      <c r="N319" s="162">
        <v>2129.694</v>
      </c>
      <c r="O319" s="162">
        <v>77.811000000000007</v>
      </c>
      <c r="P319" s="162">
        <v>2207.5050000000001</v>
      </c>
      <c r="Q319" s="162">
        <v>5568.1341801853396</v>
      </c>
      <c r="R319" s="162">
        <v>5755.2823681889004</v>
      </c>
    </row>
    <row r="320" spans="1:18">
      <c r="A320" t="s">
        <v>137</v>
      </c>
      <c r="B320" s="159">
        <v>2019</v>
      </c>
      <c r="C320" s="161">
        <v>196.505</v>
      </c>
      <c r="D320" s="161">
        <v>2772.877</v>
      </c>
      <c r="E320" s="161">
        <v>905.76099999999997</v>
      </c>
      <c r="F320" s="161">
        <v>0</v>
      </c>
      <c r="G320" s="161">
        <v>35.994</v>
      </c>
      <c r="H320" s="161">
        <v>803.40499999999997</v>
      </c>
      <c r="I320" s="161">
        <v>1563.42218152288</v>
      </c>
      <c r="J320" s="161">
        <v>3875.143</v>
      </c>
      <c r="K320" s="161">
        <v>6277.9641815228806</v>
      </c>
      <c r="L320" s="162">
        <v>1113.7629999999999</v>
      </c>
      <c r="M320" s="162">
        <v>2169.8871815228799</v>
      </c>
      <c r="N320" s="162">
        <v>2198.86</v>
      </c>
      <c r="O320" s="162">
        <v>75.134</v>
      </c>
      <c r="P320" s="162">
        <v>2273.9940000000001</v>
      </c>
      <c r="Q320" s="162">
        <v>5557.64418152288</v>
      </c>
      <c r="R320" s="162">
        <v>5744.4397946461831</v>
      </c>
    </row>
    <row r="321" spans="1:18">
      <c r="A321" t="s">
        <v>137</v>
      </c>
      <c r="B321" s="159">
        <v>2020</v>
      </c>
      <c r="C321" s="161">
        <v>152.76499999999999</v>
      </c>
      <c r="D321" s="161">
        <v>2643.4380000000001</v>
      </c>
      <c r="E321" s="161">
        <v>1066.24</v>
      </c>
      <c r="F321" s="161">
        <v>0</v>
      </c>
      <c r="G321" s="161">
        <v>58.588999999999999</v>
      </c>
      <c r="H321" s="161">
        <v>680.00900000000001</v>
      </c>
      <c r="I321" s="161">
        <v>1625.4986478456101</v>
      </c>
      <c r="J321" s="161">
        <v>3862.4430000000002</v>
      </c>
      <c r="K321" s="161">
        <v>6226.5396478456105</v>
      </c>
      <c r="L321" s="162">
        <v>1024.3399999999999</v>
      </c>
      <c r="M321" s="162">
        <v>2103.2726478456102</v>
      </c>
      <c r="N321" s="162">
        <v>2077.752</v>
      </c>
      <c r="O321" s="162">
        <v>102.871</v>
      </c>
      <c r="P321" s="162">
        <v>2180.623</v>
      </c>
      <c r="Q321" s="162">
        <v>5308.2356478456095</v>
      </c>
      <c r="R321" s="162">
        <v>5486.6484968975237</v>
      </c>
    </row>
    <row r="322" spans="1:18">
      <c r="A322" t="s">
        <v>137</v>
      </c>
      <c r="B322" s="159">
        <v>2021</v>
      </c>
      <c r="C322" s="161">
        <v>182.00899999999999</v>
      </c>
      <c r="D322" s="161">
        <v>2678.9340000000002</v>
      </c>
      <c r="E322" s="161">
        <v>1086.684</v>
      </c>
      <c r="F322" s="161">
        <v>0</v>
      </c>
      <c r="G322" s="161">
        <v>90.713999999999999</v>
      </c>
      <c r="H322" s="161">
        <v>777.61800000000005</v>
      </c>
      <c r="I322" s="161">
        <v>1810.9562990350601</v>
      </c>
      <c r="J322" s="161">
        <v>3947.6270000000004</v>
      </c>
      <c r="K322" s="161">
        <v>6626.9152990350613</v>
      </c>
      <c r="L322" s="162">
        <v>1109.164</v>
      </c>
      <c r="M322" s="162">
        <v>2344.8252990350602</v>
      </c>
      <c r="N322" s="162">
        <v>2079.9900000000002</v>
      </c>
      <c r="O322" s="162">
        <v>126.79900000000001</v>
      </c>
      <c r="P322" s="162">
        <v>2206.7890000000002</v>
      </c>
      <c r="Q322" s="162">
        <v>5660.7782990350606</v>
      </c>
      <c r="R322" s="162">
        <v>5851.0403090858008</v>
      </c>
    </row>
    <row r="323" spans="1:18">
      <c r="A323" t="s">
        <v>137</v>
      </c>
      <c r="B323" s="159">
        <v>2022</v>
      </c>
      <c r="C323" s="161">
        <v>180.721</v>
      </c>
      <c r="D323" s="161">
        <v>2794.8040000000001</v>
      </c>
      <c r="E323" s="161">
        <v>803.44200000000001</v>
      </c>
      <c r="F323" s="161">
        <v>0</v>
      </c>
      <c r="G323" s="161">
        <v>88.516000000000005</v>
      </c>
      <c r="H323" s="161">
        <v>736.68100000000004</v>
      </c>
      <c r="I323" s="161">
        <v>1707.90201356645</v>
      </c>
      <c r="J323" s="161">
        <v>3778.9670000000001</v>
      </c>
      <c r="K323" s="161">
        <v>6312.0660135664511</v>
      </c>
      <c r="L323" s="162">
        <v>953.87199999999996</v>
      </c>
      <c r="M323" s="162">
        <v>2235.1950135664501</v>
      </c>
      <c r="N323" s="162">
        <v>2085.4090000000001</v>
      </c>
      <c r="O323" s="162">
        <v>119.70699999999999</v>
      </c>
      <c r="P323" s="162">
        <v>2205.116</v>
      </c>
      <c r="Q323" s="162">
        <v>5394.1830135664495</v>
      </c>
      <c r="R323" s="162">
        <v>5575.4846029464215</v>
      </c>
    </row>
    <row r="324" spans="1:18">
      <c r="A324" t="s">
        <v>137</v>
      </c>
      <c r="B324" s="159">
        <v>2023</v>
      </c>
      <c r="C324" s="161">
        <v>116.24116693944354</v>
      </c>
      <c r="D324" s="161">
        <v>2916.4684768645288</v>
      </c>
      <c r="E324" s="161">
        <v>775.14756421105028</v>
      </c>
      <c r="F324" s="161">
        <v>0</v>
      </c>
      <c r="G324" s="161">
        <v>103.96033471810091</v>
      </c>
      <c r="H324" s="161">
        <v>595.80375665038002</v>
      </c>
      <c r="I324" s="161">
        <v>1695.0957405845575</v>
      </c>
      <c r="J324" s="161">
        <v>3807.8572080150229</v>
      </c>
      <c r="K324" s="161">
        <v>6202.7170399680617</v>
      </c>
      <c r="L324" s="162">
        <v>905.07502899967415</v>
      </c>
      <c r="M324" s="162">
        <v>2187.0247629860269</v>
      </c>
      <c r="N324" s="162">
        <v>2135.6754094792614</v>
      </c>
      <c r="O324" s="162">
        <v>141.10150000000067</v>
      </c>
      <c r="P324" s="162">
        <v>2276.776909479262</v>
      </c>
      <c r="Q324" s="162">
        <v>5368.8767014649629</v>
      </c>
      <c r="R324" s="162">
        <v>5549.3277311598431</v>
      </c>
    </row>
    <row r="325" spans="1:18">
      <c r="A325" t="s">
        <v>184</v>
      </c>
      <c r="B325" s="157">
        <v>2005</v>
      </c>
      <c r="C325" s="158">
        <v>77.597999999999999</v>
      </c>
      <c r="D325" s="158">
        <v>3133.2080000000001</v>
      </c>
      <c r="E325" s="158">
        <v>1176.2719999999999</v>
      </c>
      <c r="F325" s="158">
        <v>0</v>
      </c>
      <c r="G325" s="158">
        <v>35.094000000000001</v>
      </c>
      <c r="H325" s="158">
        <v>280.33600000000001</v>
      </c>
      <c r="I325" s="158">
        <v>71.262851820005693</v>
      </c>
      <c r="J325" s="158">
        <v>4387.0779999999995</v>
      </c>
      <c r="K325" s="158">
        <v>4773.7708518200052</v>
      </c>
      <c r="L325" s="151">
        <v>780.78700000000003</v>
      </c>
      <c r="M325" s="151">
        <v>914.93085182000596</v>
      </c>
      <c r="N325" s="151">
        <v>2782.125</v>
      </c>
      <c r="O325" s="151">
        <v>0.54100000000000004</v>
      </c>
      <c r="P325" s="151">
        <v>2782.6660000000002</v>
      </c>
      <c r="Q325" s="151">
        <v>4478.3838518200064</v>
      </c>
      <c r="R325" s="151">
        <v>4511.3155440868859</v>
      </c>
    </row>
    <row r="326" spans="1:18">
      <c r="A326" t="s">
        <v>184</v>
      </c>
      <c r="B326" s="157">
        <v>2006</v>
      </c>
      <c r="C326" s="158">
        <v>92.596000000000004</v>
      </c>
      <c r="D326" s="158">
        <v>2953.0709999999999</v>
      </c>
      <c r="E326" s="158">
        <v>1230.3889999999999</v>
      </c>
      <c r="F326" s="158">
        <v>0</v>
      </c>
      <c r="G326" s="158">
        <v>36.878</v>
      </c>
      <c r="H326" s="158">
        <v>305.846</v>
      </c>
      <c r="I326" s="158">
        <v>75.748431833381105</v>
      </c>
      <c r="J326" s="158">
        <v>4276.0559999999996</v>
      </c>
      <c r="K326" s="158">
        <v>4694.5284318333797</v>
      </c>
      <c r="L326" s="151">
        <v>849.33600000000001</v>
      </c>
      <c r="M326" s="151">
        <v>907.27543183338105</v>
      </c>
      <c r="N326" s="151">
        <v>2653.7200000000003</v>
      </c>
      <c r="O326" s="151">
        <v>0.51100000000000001</v>
      </c>
      <c r="P326" s="151">
        <v>2654.2310000000002</v>
      </c>
      <c r="Q326" s="151">
        <v>4410.8424318333809</v>
      </c>
      <c r="R326" s="151">
        <v>4443.2774598276419</v>
      </c>
    </row>
    <row r="327" spans="1:18">
      <c r="A327" t="s">
        <v>184</v>
      </c>
      <c r="B327" s="157">
        <v>2007</v>
      </c>
      <c r="C327" s="158">
        <v>78.349999999999994</v>
      </c>
      <c r="D327" s="158">
        <v>2880.2730000000001</v>
      </c>
      <c r="E327" s="158">
        <v>1148.4549999999999</v>
      </c>
      <c r="F327" s="158">
        <v>0</v>
      </c>
      <c r="G327" s="158">
        <v>32.914000000000001</v>
      </c>
      <c r="H327" s="158">
        <v>340.476</v>
      </c>
      <c r="I327" s="158">
        <v>128.71181943250201</v>
      </c>
      <c r="J327" s="158">
        <v>4107.0779999999995</v>
      </c>
      <c r="K327" s="158">
        <v>4609.1798194325011</v>
      </c>
      <c r="L327" s="151">
        <v>807.23199999999997</v>
      </c>
      <c r="M327" s="151">
        <v>895.197819432502</v>
      </c>
      <c r="N327" s="151">
        <v>2594.643</v>
      </c>
      <c r="O327" s="151">
        <v>45.768999999999998</v>
      </c>
      <c r="P327" s="151">
        <v>2640.4119999999998</v>
      </c>
      <c r="Q327" s="151">
        <v>4342.8418194325022</v>
      </c>
      <c r="R327" s="151">
        <v>4374.776806493328</v>
      </c>
    </row>
    <row r="328" spans="1:18">
      <c r="A328" t="s">
        <v>184</v>
      </c>
      <c r="B328" s="157">
        <v>2008</v>
      </c>
      <c r="C328" s="158">
        <v>74.915999999999997</v>
      </c>
      <c r="D328" s="158">
        <v>2902.9670000000001</v>
      </c>
      <c r="E328" s="158">
        <v>1093.2370000000001</v>
      </c>
      <c r="F328" s="158">
        <v>0</v>
      </c>
      <c r="G328" s="158">
        <v>35.106000000000002</v>
      </c>
      <c r="H328" s="158">
        <v>373.71800000000002</v>
      </c>
      <c r="I328" s="158">
        <v>133.316593770899</v>
      </c>
      <c r="J328" s="158">
        <v>4071.1200000000003</v>
      </c>
      <c r="K328" s="158">
        <v>4613.2605937708995</v>
      </c>
      <c r="L328" s="151">
        <v>786.68600000000004</v>
      </c>
      <c r="M328" s="151">
        <v>923.993593770899</v>
      </c>
      <c r="N328" s="151">
        <v>2627.3050000000003</v>
      </c>
      <c r="O328" s="151">
        <v>45.35</v>
      </c>
      <c r="P328" s="151">
        <v>2672.6550000000002</v>
      </c>
      <c r="Q328" s="151">
        <v>4383.3345937708991</v>
      </c>
      <c r="R328" s="151">
        <v>4415.5673435130111</v>
      </c>
    </row>
    <row r="329" spans="1:18">
      <c r="A329" t="s">
        <v>184</v>
      </c>
      <c r="B329" s="157">
        <v>2009</v>
      </c>
      <c r="C329" s="158">
        <v>66.908000000000001</v>
      </c>
      <c r="D329" s="158">
        <v>2714.3879999999999</v>
      </c>
      <c r="E329" s="158">
        <v>1112.4649999999999</v>
      </c>
      <c r="F329" s="158">
        <v>0</v>
      </c>
      <c r="G329" s="158">
        <v>28.1</v>
      </c>
      <c r="H329" s="158">
        <v>293.89400000000001</v>
      </c>
      <c r="I329" s="158">
        <v>124.901360466227</v>
      </c>
      <c r="J329" s="158">
        <v>3893.7609999999995</v>
      </c>
      <c r="K329" s="158">
        <v>4340.656360466226</v>
      </c>
      <c r="L329" s="151">
        <v>675.08399999999995</v>
      </c>
      <c r="M329" s="151">
        <v>923.45436046622694</v>
      </c>
      <c r="N329" s="151">
        <v>2438.2350000000001</v>
      </c>
      <c r="O329" s="151">
        <v>42.432000000000002</v>
      </c>
      <c r="P329" s="151">
        <v>2480.6669999999999</v>
      </c>
      <c r="Q329" s="151">
        <v>4079.2053604662269</v>
      </c>
      <c r="R329" s="151">
        <v>4109.2017029123272</v>
      </c>
    </row>
    <row r="330" spans="1:18">
      <c r="A330" t="s">
        <v>184</v>
      </c>
      <c r="B330" s="157">
        <v>2010</v>
      </c>
      <c r="C330" s="158">
        <v>65.575999999999993</v>
      </c>
      <c r="D330" s="158">
        <v>2839.9290000000001</v>
      </c>
      <c r="E330" s="158">
        <v>1196.587</v>
      </c>
      <c r="F330" s="158">
        <v>0</v>
      </c>
      <c r="G330" s="158">
        <v>30.786999999999999</v>
      </c>
      <c r="H330" s="158">
        <v>349.39299999999997</v>
      </c>
      <c r="I330" s="158">
        <v>128.996272284322</v>
      </c>
      <c r="J330" s="158">
        <v>4102.0920000000006</v>
      </c>
      <c r="K330" s="158">
        <v>4611.2682722843228</v>
      </c>
      <c r="L330" s="151">
        <v>753.21199999999999</v>
      </c>
      <c r="M330" s="151">
        <v>965.53227228432195</v>
      </c>
      <c r="N330" s="151">
        <v>2564.9070000000002</v>
      </c>
      <c r="O330" s="151">
        <v>42.347999999999999</v>
      </c>
      <c r="P330" s="151">
        <v>2607.2550000000001</v>
      </c>
      <c r="Q330" s="151">
        <v>4325.9992722843217</v>
      </c>
      <c r="R330" s="151">
        <v>4357.8104080635185</v>
      </c>
    </row>
    <row r="331" spans="1:18">
      <c r="A331" t="s">
        <v>184</v>
      </c>
      <c r="B331" s="157">
        <v>2011</v>
      </c>
      <c r="C331" s="158">
        <v>59.128</v>
      </c>
      <c r="D331" s="158">
        <v>2898</v>
      </c>
      <c r="E331" s="158">
        <v>1032.2760000000001</v>
      </c>
      <c r="F331" s="158">
        <v>0</v>
      </c>
      <c r="G331" s="158">
        <v>31.954000000000001</v>
      </c>
      <c r="H331" s="158">
        <v>385.37900000000002</v>
      </c>
      <c r="I331" s="158">
        <v>126.38094573421201</v>
      </c>
      <c r="J331" s="158">
        <v>3989.4040000000005</v>
      </c>
      <c r="K331" s="158">
        <v>4533.1179457342132</v>
      </c>
      <c r="L331" s="151">
        <v>738.94100000000003</v>
      </c>
      <c r="M331" s="151">
        <v>841.96594573421203</v>
      </c>
      <c r="N331" s="151">
        <v>2664.3739999999998</v>
      </c>
      <c r="O331" s="151">
        <v>46.841999999999999</v>
      </c>
      <c r="P331" s="151">
        <v>2711.2159999999999</v>
      </c>
      <c r="Q331" s="151">
        <v>4292.1229457342124</v>
      </c>
      <c r="R331" s="151">
        <v>4323.6849727281888</v>
      </c>
    </row>
    <row r="332" spans="1:18">
      <c r="A332" t="s">
        <v>184</v>
      </c>
      <c r="B332" s="157">
        <v>2012</v>
      </c>
      <c r="C332" s="158">
        <v>54.823999999999998</v>
      </c>
      <c r="D332" s="158">
        <v>2790.0369999999998</v>
      </c>
      <c r="E332" s="158">
        <v>1051.0619999999999</v>
      </c>
      <c r="F332" s="158">
        <v>0</v>
      </c>
      <c r="G332" s="158">
        <v>32.28</v>
      </c>
      <c r="H332" s="158">
        <v>353.42399999999998</v>
      </c>
      <c r="I332" s="158">
        <v>137.823204261011</v>
      </c>
      <c r="J332" s="158">
        <v>3895.9229999999998</v>
      </c>
      <c r="K332" s="158">
        <v>4419.4502042610111</v>
      </c>
      <c r="L332" s="151">
        <v>693.13300000000004</v>
      </c>
      <c r="M332" s="151">
        <v>898.22120426101105</v>
      </c>
      <c r="N332" s="151">
        <v>2530.9830000000002</v>
      </c>
      <c r="O332" s="151">
        <v>48.475000000000001</v>
      </c>
      <c r="P332" s="151">
        <v>2579.4580000000001</v>
      </c>
      <c r="Q332" s="151">
        <v>4170.8122042610112</v>
      </c>
      <c r="R332" s="151">
        <v>4201.482175518131</v>
      </c>
    </row>
    <row r="333" spans="1:18">
      <c r="A333" t="s">
        <v>184</v>
      </c>
      <c r="B333" s="159">
        <v>2013</v>
      </c>
      <c r="C333" s="161">
        <v>52.561999999999998</v>
      </c>
      <c r="D333" s="161">
        <v>2746.9380000000001</v>
      </c>
      <c r="E333" s="161">
        <v>889.90300000000002</v>
      </c>
      <c r="F333" s="161">
        <v>0</v>
      </c>
      <c r="G333" s="161">
        <v>33.515000000000001</v>
      </c>
      <c r="H333" s="161">
        <v>425.108</v>
      </c>
      <c r="I333" s="161">
        <v>154.13555335817301</v>
      </c>
      <c r="J333" s="161">
        <v>3689.4030000000002</v>
      </c>
      <c r="K333" s="161">
        <v>4302.1615533581726</v>
      </c>
      <c r="L333" s="162">
        <v>662.24099999999999</v>
      </c>
      <c r="M333" s="162">
        <v>923.41855335817297</v>
      </c>
      <c r="N333" s="162">
        <v>2485.4159999999997</v>
      </c>
      <c r="O333" s="162">
        <v>55.146000000000001</v>
      </c>
      <c r="P333" s="162">
        <v>2540.5619999999999</v>
      </c>
      <c r="Q333" s="162">
        <v>4126.221553358173</v>
      </c>
      <c r="R333" s="162">
        <v>4156.5636282932928</v>
      </c>
    </row>
    <row r="334" spans="1:18">
      <c r="A334" t="s">
        <v>184</v>
      </c>
      <c r="B334" s="159">
        <v>2014</v>
      </c>
      <c r="C334" s="161">
        <v>52.088000000000001</v>
      </c>
      <c r="D334" s="161">
        <v>2649.076</v>
      </c>
      <c r="E334" s="161">
        <v>843.16099999999994</v>
      </c>
      <c r="F334" s="161">
        <v>0</v>
      </c>
      <c r="G334" s="161">
        <v>32.683</v>
      </c>
      <c r="H334" s="161">
        <v>420.79</v>
      </c>
      <c r="I334" s="161">
        <v>187.89809783127899</v>
      </c>
      <c r="J334" s="161">
        <v>3544.3250000000003</v>
      </c>
      <c r="K334" s="161">
        <v>4185.6960978312791</v>
      </c>
      <c r="L334" s="162">
        <v>662.99099999999999</v>
      </c>
      <c r="M334" s="162">
        <v>845.78609783127899</v>
      </c>
      <c r="N334" s="162">
        <v>2422.261</v>
      </c>
      <c r="O334" s="162">
        <v>70.674000000000007</v>
      </c>
      <c r="P334" s="162">
        <v>2492.9349999999999</v>
      </c>
      <c r="Q334" s="162">
        <v>4001.7120978312787</v>
      </c>
      <c r="R334" s="162">
        <v>4031.1385953595936</v>
      </c>
    </row>
    <row r="335" spans="1:18">
      <c r="A335" t="s">
        <v>184</v>
      </c>
      <c r="B335" s="159">
        <v>2015</v>
      </c>
      <c r="C335" s="161">
        <v>49.215000000000003</v>
      </c>
      <c r="D335" s="161">
        <v>2603.6550000000002</v>
      </c>
      <c r="E335" s="161">
        <v>768.94299999999998</v>
      </c>
      <c r="F335" s="161">
        <v>0</v>
      </c>
      <c r="G335" s="161">
        <v>33.875</v>
      </c>
      <c r="H335" s="161">
        <v>481.45400000000001</v>
      </c>
      <c r="I335" s="161">
        <v>206.761325308111</v>
      </c>
      <c r="J335" s="161">
        <v>3421.8130000000001</v>
      </c>
      <c r="K335" s="161">
        <v>4143.9033253081116</v>
      </c>
      <c r="L335" s="162">
        <v>645.85199999999998</v>
      </c>
      <c r="M335" s="162">
        <v>929.27432530811097</v>
      </c>
      <c r="N335" s="162">
        <v>2332.576</v>
      </c>
      <c r="O335" s="162">
        <v>83.304000000000002</v>
      </c>
      <c r="P335" s="162">
        <v>2415.88</v>
      </c>
      <c r="Q335" s="162">
        <v>3991.0063253081107</v>
      </c>
      <c r="R335" s="162">
        <v>4020.3540981853289</v>
      </c>
    </row>
    <row r="336" spans="1:18">
      <c r="A336" t="s">
        <v>184</v>
      </c>
      <c r="B336" s="159">
        <v>2016</v>
      </c>
      <c r="C336" s="161">
        <v>50.93</v>
      </c>
      <c r="D336" s="161">
        <v>2597.2939999999999</v>
      </c>
      <c r="E336" s="161">
        <v>709.10799999999995</v>
      </c>
      <c r="F336" s="161">
        <v>0</v>
      </c>
      <c r="G336" s="161">
        <v>33.835999999999999</v>
      </c>
      <c r="H336" s="161">
        <v>541.59100000000001</v>
      </c>
      <c r="I336" s="161">
        <v>220.08222069360801</v>
      </c>
      <c r="J336" s="161">
        <v>3357.3319999999994</v>
      </c>
      <c r="K336" s="161">
        <v>4152.8412206936073</v>
      </c>
      <c r="L336" s="162">
        <v>672.673</v>
      </c>
      <c r="M336" s="162">
        <v>952.11422069360799</v>
      </c>
      <c r="N336" s="162">
        <v>2325.6730000000002</v>
      </c>
      <c r="O336" s="162">
        <v>89.399000000000001</v>
      </c>
      <c r="P336" s="162">
        <v>2415.0720000000001</v>
      </c>
      <c r="Q336" s="162">
        <v>4039.8592206936078</v>
      </c>
      <c r="R336" s="162">
        <v>4069.5662322092307</v>
      </c>
    </row>
    <row r="337" spans="1:18">
      <c r="A337" t="s">
        <v>184</v>
      </c>
      <c r="B337" s="159">
        <v>2017</v>
      </c>
      <c r="C337" s="161">
        <v>47.116</v>
      </c>
      <c r="D337" s="161">
        <v>2722.1660000000002</v>
      </c>
      <c r="E337" s="161">
        <v>693.13400000000001</v>
      </c>
      <c r="F337" s="161">
        <v>0</v>
      </c>
      <c r="G337" s="161">
        <v>36.941000000000003</v>
      </c>
      <c r="H337" s="161">
        <v>531.21600000000001</v>
      </c>
      <c r="I337" s="161">
        <v>263.08595414158799</v>
      </c>
      <c r="J337" s="161">
        <v>3462.4160000000002</v>
      </c>
      <c r="K337" s="161">
        <v>4293.6589541415879</v>
      </c>
      <c r="L337" s="162">
        <v>630.69500000000005</v>
      </c>
      <c r="M337" s="162">
        <v>1008.97495414159</v>
      </c>
      <c r="N337" s="162">
        <v>2427.2540000000004</v>
      </c>
      <c r="O337" s="162">
        <v>113.383</v>
      </c>
      <c r="P337" s="162">
        <v>2540.6370000000002</v>
      </c>
      <c r="Q337" s="162">
        <v>4180.3069541415907</v>
      </c>
      <c r="R337" s="162">
        <v>4211.0467448227619</v>
      </c>
    </row>
    <row r="338" spans="1:18">
      <c r="A338" t="s">
        <v>184</v>
      </c>
      <c r="B338" s="159">
        <v>2018</v>
      </c>
      <c r="C338" s="161">
        <v>41.76</v>
      </c>
      <c r="D338" s="161">
        <v>2876.2289999999998</v>
      </c>
      <c r="E338" s="161">
        <v>683.63099999999997</v>
      </c>
      <c r="F338" s="161">
        <v>0</v>
      </c>
      <c r="G338" s="161">
        <v>37.957000000000001</v>
      </c>
      <c r="H338" s="161">
        <v>529.78</v>
      </c>
      <c r="I338" s="161">
        <v>292.479414158785</v>
      </c>
      <c r="J338" s="161">
        <v>3601.62</v>
      </c>
      <c r="K338" s="161">
        <v>4461.8364141587854</v>
      </c>
      <c r="L338" s="162">
        <v>648.87099999999998</v>
      </c>
      <c r="M338" s="162">
        <v>984.674414158785</v>
      </c>
      <c r="N338" s="162">
        <v>2592.4989999999998</v>
      </c>
      <c r="O338" s="162">
        <v>122.83799999999999</v>
      </c>
      <c r="P338" s="162">
        <v>2715.337</v>
      </c>
      <c r="Q338" s="162">
        <v>4348.8824141587847</v>
      </c>
      <c r="R338" s="162">
        <v>4380.8618205934781</v>
      </c>
    </row>
    <row r="339" spans="1:18">
      <c r="A339" t="s">
        <v>184</v>
      </c>
      <c r="B339" s="159">
        <v>2019</v>
      </c>
      <c r="C339" s="161">
        <v>45.756999999999998</v>
      </c>
      <c r="D339" s="161">
        <v>2911.3359999999998</v>
      </c>
      <c r="E339" s="161">
        <v>684.05700000000002</v>
      </c>
      <c r="F339" s="161">
        <v>0</v>
      </c>
      <c r="G339" s="161">
        <v>38.094000000000001</v>
      </c>
      <c r="H339" s="161">
        <v>505.48599999999999</v>
      </c>
      <c r="I339" s="161">
        <v>318.94536476545301</v>
      </c>
      <c r="J339" s="161">
        <v>3641.1499999999996</v>
      </c>
      <c r="K339" s="161">
        <v>4503.6753647654523</v>
      </c>
      <c r="L339" s="162">
        <v>631.73099999999999</v>
      </c>
      <c r="M339" s="162">
        <v>1003.16736476545</v>
      </c>
      <c r="N339" s="162">
        <v>2624.4450000000002</v>
      </c>
      <c r="O339" s="162">
        <v>129.59399999999999</v>
      </c>
      <c r="P339" s="162">
        <v>2754.0390000000002</v>
      </c>
      <c r="Q339" s="162">
        <v>4388.9373647654502</v>
      </c>
      <c r="R339" s="162">
        <v>4421.2113143547258</v>
      </c>
    </row>
    <row r="340" spans="1:18">
      <c r="A340" t="s">
        <v>184</v>
      </c>
      <c r="B340" s="159">
        <v>2020</v>
      </c>
      <c r="C340" s="161">
        <v>38.442</v>
      </c>
      <c r="D340" s="161">
        <v>2366.5010000000002</v>
      </c>
      <c r="E340" s="161">
        <v>621.26900000000001</v>
      </c>
      <c r="F340" s="161">
        <v>0</v>
      </c>
      <c r="G340" s="161">
        <v>44.738999999999997</v>
      </c>
      <c r="H340" s="161">
        <v>469.89499999999998</v>
      </c>
      <c r="I340" s="161">
        <v>395.225691220025</v>
      </c>
      <c r="J340" s="161">
        <v>3026.2120000000004</v>
      </c>
      <c r="K340" s="161">
        <v>3936.0716912200255</v>
      </c>
      <c r="L340" s="162">
        <v>580.65499999999997</v>
      </c>
      <c r="M340" s="162">
        <v>1017.74569122002</v>
      </c>
      <c r="N340" s="162">
        <v>2071.8480000000004</v>
      </c>
      <c r="O340" s="162">
        <v>142.47900000000001</v>
      </c>
      <c r="P340" s="162">
        <v>2214.3270000000002</v>
      </c>
      <c r="Q340" s="162">
        <v>3812.72769122002</v>
      </c>
      <c r="R340" s="162">
        <v>3840.7644962771924</v>
      </c>
    </row>
    <row r="341" spans="1:18">
      <c r="A341" t="s">
        <v>184</v>
      </c>
      <c r="B341" s="159">
        <v>2021</v>
      </c>
      <c r="C341" s="161">
        <v>39.427</v>
      </c>
      <c r="D341" s="161">
        <v>2540.5990000000002</v>
      </c>
      <c r="E341" s="161">
        <v>669.803</v>
      </c>
      <c r="F341" s="161">
        <v>0</v>
      </c>
      <c r="G341" s="161">
        <v>41.551000000000002</v>
      </c>
      <c r="H341" s="161">
        <v>491.94600000000003</v>
      </c>
      <c r="I341" s="161">
        <v>403.17208397821702</v>
      </c>
      <c r="J341" s="161">
        <v>3249.8290000000002</v>
      </c>
      <c r="K341" s="161">
        <v>4186.4980839782174</v>
      </c>
      <c r="L341" s="162">
        <v>607.07600000000002</v>
      </c>
      <c r="M341" s="162">
        <v>1056.6830839782201</v>
      </c>
      <c r="N341" s="162">
        <v>2256.0389999999998</v>
      </c>
      <c r="O341" s="162">
        <v>138.62799999999999</v>
      </c>
      <c r="P341" s="162">
        <v>2394.6669999999999</v>
      </c>
      <c r="Q341" s="162">
        <v>4058.42608397822</v>
      </c>
      <c r="R341" s="162">
        <v>4088.2696264943738</v>
      </c>
    </row>
    <row r="342" spans="1:18">
      <c r="A342" t="s">
        <v>184</v>
      </c>
      <c r="B342" s="159">
        <v>2022</v>
      </c>
      <c r="C342" s="161">
        <v>41.073</v>
      </c>
      <c r="D342" s="161">
        <v>2315.587</v>
      </c>
      <c r="E342" s="161">
        <v>526.00099999999998</v>
      </c>
      <c r="F342" s="161">
        <v>0</v>
      </c>
      <c r="G342" s="161">
        <v>41.484000000000002</v>
      </c>
      <c r="H342" s="161">
        <v>473.50200000000001</v>
      </c>
      <c r="I342" s="161">
        <v>398.00775991210497</v>
      </c>
      <c r="J342" s="161">
        <v>2882.6610000000001</v>
      </c>
      <c r="K342" s="161">
        <v>3795.654759912105</v>
      </c>
      <c r="L342" s="162">
        <v>542.79200000000003</v>
      </c>
      <c r="M342" s="162">
        <v>931.15375991210499</v>
      </c>
      <c r="N342" s="162">
        <v>2069.2950000000001</v>
      </c>
      <c r="O342" s="162">
        <v>129.64699999999999</v>
      </c>
      <c r="P342" s="162">
        <v>2198.942</v>
      </c>
      <c r="Q342" s="162">
        <v>3672.8877599121051</v>
      </c>
      <c r="R342" s="162">
        <v>3699.896255262734</v>
      </c>
    </row>
    <row r="343" spans="1:18">
      <c r="A343" t="s">
        <v>184</v>
      </c>
      <c r="B343" s="159">
        <v>2023</v>
      </c>
      <c r="C343" s="161">
        <v>33.490736173930927</v>
      </c>
      <c r="D343" s="161">
        <v>2260.3874470062296</v>
      </c>
      <c r="E343" s="161">
        <v>493.08392925287916</v>
      </c>
      <c r="F343" s="161">
        <v>0</v>
      </c>
      <c r="G343" s="161">
        <v>32.650513711742228</v>
      </c>
      <c r="H343" s="161">
        <v>473.50200000000001</v>
      </c>
      <c r="I343" s="161">
        <v>379.91729674925597</v>
      </c>
      <c r="J343" s="161">
        <v>2786.9621124330397</v>
      </c>
      <c r="K343" s="161">
        <v>3673.031922894038</v>
      </c>
      <c r="L343" s="162">
        <v>542.79200000000003</v>
      </c>
      <c r="M343" s="162">
        <v>927.19670567320179</v>
      </c>
      <c r="N343" s="162">
        <v>1998.2026227309143</v>
      </c>
      <c r="O343" s="162">
        <v>129.49652063426669</v>
      </c>
      <c r="P343" s="162">
        <v>2127.699143365181</v>
      </c>
      <c r="Q343" s="162">
        <v>3597.6878490383829</v>
      </c>
      <c r="R343" s="162">
        <v>3624.1433635804588</v>
      </c>
    </row>
    <row r="344" spans="1:18">
      <c r="A344" t="s">
        <v>93</v>
      </c>
      <c r="B344" s="157">
        <v>2005</v>
      </c>
      <c r="C344" s="158">
        <v>81.55</v>
      </c>
      <c r="D344" s="158">
        <v>1387.2940000000001</v>
      </c>
      <c r="E344" s="158">
        <v>1357.8889999999999</v>
      </c>
      <c r="F344" s="158">
        <v>0</v>
      </c>
      <c r="G344" s="158">
        <v>4.3710000000000004</v>
      </c>
      <c r="H344" s="158">
        <v>184.69499999999999</v>
      </c>
      <c r="I344" s="158">
        <v>1476.2660000000001</v>
      </c>
      <c r="J344" s="158">
        <v>2826.7330000000002</v>
      </c>
      <c r="K344" s="158">
        <v>4492.0650000000005</v>
      </c>
      <c r="L344" s="151">
        <v>698.62699999999995</v>
      </c>
      <c r="M344" s="151">
        <v>2252.9160000000002</v>
      </c>
      <c r="N344" s="151">
        <v>1064.0610000000001</v>
      </c>
      <c r="O344" s="151">
        <v>2.6659999999999999</v>
      </c>
      <c r="P344" s="151">
        <v>1066.7270000000001</v>
      </c>
      <c r="Q344" s="151">
        <v>4018.2700000000004</v>
      </c>
      <c r="R344" s="151">
        <v>4139.0327177510571</v>
      </c>
    </row>
    <row r="345" spans="1:18">
      <c r="A345" t="s">
        <v>93</v>
      </c>
      <c r="B345" s="157">
        <v>2006</v>
      </c>
      <c r="C345" s="158">
        <v>86.932000000000002</v>
      </c>
      <c r="D345" s="158">
        <v>1512.8520000000001</v>
      </c>
      <c r="E345" s="158">
        <v>1406.6210000000001</v>
      </c>
      <c r="F345" s="158">
        <v>0</v>
      </c>
      <c r="G345" s="158">
        <v>3.129</v>
      </c>
      <c r="H345" s="158">
        <v>215.649</v>
      </c>
      <c r="I345" s="158">
        <v>1430.8420000000001</v>
      </c>
      <c r="J345" s="158">
        <v>3006.4050000000002</v>
      </c>
      <c r="K345" s="158">
        <v>4656.0249999999996</v>
      </c>
      <c r="L345" s="151">
        <v>741.13099999999997</v>
      </c>
      <c r="M345" s="151">
        <v>2273.9740000000002</v>
      </c>
      <c r="N345" s="151">
        <v>1175.394</v>
      </c>
      <c r="O345" s="151">
        <v>3.0569999999999999</v>
      </c>
      <c r="P345" s="151">
        <v>1178.451</v>
      </c>
      <c r="Q345" s="151">
        <v>4193.5560000000005</v>
      </c>
      <c r="R345" s="151">
        <v>4319.5866598613966</v>
      </c>
    </row>
    <row r="346" spans="1:18">
      <c r="A346" t="s">
        <v>93</v>
      </c>
      <c r="B346" s="157">
        <v>2007</v>
      </c>
      <c r="C346" s="158">
        <v>106.173</v>
      </c>
      <c r="D346" s="158">
        <v>1636.18</v>
      </c>
      <c r="E346" s="158">
        <v>1359.566</v>
      </c>
      <c r="F346" s="158">
        <v>0</v>
      </c>
      <c r="G346" s="158">
        <v>5.016</v>
      </c>
      <c r="H346" s="158">
        <v>257.95400000000001</v>
      </c>
      <c r="I346" s="158">
        <v>1406.913</v>
      </c>
      <c r="J346" s="158">
        <v>3101.9189999999999</v>
      </c>
      <c r="K346" s="158">
        <v>4771.8019999999997</v>
      </c>
      <c r="L346" s="151">
        <v>722.77499999999998</v>
      </c>
      <c r="M346" s="151">
        <v>2298.7930000000001</v>
      </c>
      <c r="N346" s="151">
        <v>1331.1009999999999</v>
      </c>
      <c r="O346" s="151">
        <v>1.7769999999999999</v>
      </c>
      <c r="P346" s="151">
        <v>1332.8779999999999</v>
      </c>
      <c r="Q346" s="151">
        <v>4354.4459999999999</v>
      </c>
      <c r="R346" s="151">
        <v>4485.311953074387</v>
      </c>
    </row>
    <row r="347" spans="1:18">
      <c r="A347" t="s">
        <v>93</v>
      </c>
      <c r="B347" s="157">
        <v>2008</v>
      </c>
      <c r="C347" s="158">
        <v>106.812</v>
      </c>
      <c r="D347" s="158">
        <v>1536.7670000000001</v>
      </c>
      <c r="E347" s="158">
        <v>1333.0830000000001</v>
      </c>
      <c r="F347" s="158">
        <v>0</v>
      </c>
      <c r="G347" s="158">
        <v>5.016</v>
      </c>
      <c r="H347" s="158">
        <v>216.68100000000001</v>
      </c>
      <c r="I347" s="158">
        <v>1377.473</v>
      </c>
      <c r="J347" s="158">
        <v>2976.6620000000003</v>
      </c>
      <c r="K347" s="158">
        <v>4575.8320000000003</v>
      </c>
      <c r="L347" s="151">
        <v>679.17600000000004</v>
      </c>
      <c r="M347" s="151">
        <v>2194.1559999999999</v>
      </c>
      <c r="N347" s="151">
        <v>1278.192</v>
      </c>
      <c r="O347" s="151">
        <v>1.7769999999999999</v>
      </c>
      <c r="P347" s="151">
        <v>1279.9690000000001</v>
      </c>
      <c r="Q347" s="151">
        <v>4153.3009999999995</v>
      </c>
      <c r="R347" s="151">
        <v>4278.1218598223068</v>
      </c>
    </row>
    <row r="348" spans="1:18">
      <c r="A348" t="s">
        <v>93</v>
      </c>
      <c r="B348" s="157">
        <v>2009</v>
      </c>
      <c r="C348" s="158">
        <v>85.331999999999994</v>
      </c>
      <c r="D348" s="158">
        <v>1410.076</v>
      </c>
      <c r="E348" s="158">
        <v>1227.193</v>
      </c>
      <c r="F348" s="158">
        <v>0</v>
      </c>
      <c r="G348" s="158">
        <v>2.1019999999999999</v>
      </c>
      <c r="H348" s="158">
        <v>142.21799999999999</v>
      </c>
      <c r="I348" s="158">
        <v>1566.912</v>
      </c>
      <c r="J348" s="158">
        <v>2722.6009999999997</v>
      </c>
      <c r="K348" s="158">
        <v>4433.8329999999996</v>
      </c>
      <c r="L348" s="151">
        <v>651.71500000000003</v>
      </c>
      <c r="M348" s="151">
        <v>2246.8130000000001</v>
      </c>
      <c r="N348" s="151">
        <v>1136.7819999999999</v>
      </c>
      <c r="O348" s="151">
        <v>4.3369999999999997</v>
      </c>
      <c r="P348" s="151">
        <v>1141.1189999999999</v>
      </c>
      <c r="Q348" s="151">
        <v>4039.6469999999999</v>
      </c>
      <c r="R348" s="151">
        <v>4161.0521695070029</v>
      </c>
    </row>
    <row r="349" spans="1:18">
      <c r="A349" t="s">
        <v>93</v>
      </c>
      <c r="B349" s="157">
        <v>2010</v>
      </c>
      <c r="C349" s="158">
        <v>108.904</v>
      </c>
      <c r="D349" s="158">
        <v>1448</v>
      </c>
      <c r="E349" s="158">
        <v>1461.8869999999999</v>
      </c>
      <c r="F349" s="158">
        <v>0</v>
      </c>
      <c r="G349" s="158">
        <v>28.207999999999998</v>
      </c>
      <c r="H349" s="158">
        <v>75.063999999999993</v>
      </c>
      <c r="I349" s="158">
        <v>1434.3969999999999</v>
      </c>
      <c r="J349" s="158">
        <v>3018.7910000000002</v>
      </c>
      <c r="K349" s="158">
        <v>4556.46</v>
      </c>
      <c r="L349" s="151">
        <v>773.84699999999998</v>
      </c>
      <c r="M349" s="151">
        <v>2144.9369999999999</v>
      </c>
      <c r="N349" s="151">
        <v>1174.127</v>
      </c>
      <c r="O349" s="151">
        <v>26.98</v>
      </c>
      <c r="P349" s="151">
        <v>1201.107</v>
      </c>
      <c r="Q349" s="151">
        <v>4119.8909999999996</v>
      </c>
      <c r="R349" s="151">
        <v>4243.7077753779904</v>
      </c>
    </row>
    <row r="350" spans="1:18">
      <c r="A350" t="s">
        <v>93</v>
      </c>
      <c r="B350" s="157">
        <v>2011</v>
      </c>
      <c r="C350" s="158">
        <v>110.595</v>
      </c>
      <c r="D350" s="158">
        <v>1302.954</v>
      </c>
      <c r="E350" s="158">
        <v>1288.414</v>
      </c>
      <c r="F350" s="158">
        <v>0</v>
      </c>
      <c r="G350" s="158">
        <v>53.478000000000002</v>
      </c>
      <c r="H350" s="158">
        <v>107.051</v>
      </c>
      <c r="I350" s="158">
        <v>1417.6379999999999</v>
      </c>
      <c r="J350" s="158">
        <v>2701.9629999999997</v>
      </c>
      <c r="K350" s="158">
        <v>4280.1299999999992</v>
      </c>
      <c r="L350" s="151">
        <v>747.755</v>
      </c>
      <c r="M350" s="151">
        <v>2038.6510000000001</v>
      </c>
      <c r="N350" s="151">
        <v>1057.846</v>
      </c>
      <c r="O350" s="151">
        <v>24.562999999999999</v>
      </c>
      <c r="P350" s="151">
        <v>1082.4090000000001</v>
      </c>
      <c r="Q350" s="151">
        <v>3868.8150000000005</v>
      </c>
      <c r="R350" s="151">
        <v>3985.086085286966</v>
      </c>
    </row>
    <row r="351" spans="1:18">
      <c r="A351" t="s">
        <v>93</v>
      </c>
      <c r="B351" s="157">
        <v>2012</v>
      </c>
      <c r="C351" s="158">
        <v>91.694999999999993</v>
      </c>
      <c r="D351" s="158">
        <v>1284.402</v>
      </c>
      <c r="E351" s="158">
        <v>1211.1559999999999</v>
      </c>
      <c r="F351" s="158">
        <v>0</v>
      </c>
      <c r="G351" s="158">
        <v>55.674999999999997</v>
      </c>
      <c r="H351" s="158">
        <v>145.4</v>
      </c>
      <c r="I351" s="158">
        <v>1651.431</v>
      </c>
      <c r="J351" s="158">
        <v>2587.2529999999997</v>
      </c>
      <c r="K351" s="158">
        <v>4439.759</v>
      </c>
      <c r="L351" s="151">
        <v>827.43600000000004</v>
      </c>
      <c r="M351" s="151">
        <v>2151.21</v>
      </c>
      <c r="N351" s="151">
        <v>1028.5929999999998</v>
      </c>
      <c r="O351" s="151">
        <v>19.728999999999999</v>
      </c>
      <c r="P351" s="151">
        <v>1048.3219999999999</v>
      </c>
      <c r="Q351" s="151">
        <v>4026.9679999999998</v>
      </c>
      <c r="R351" s="151">
        <v>4147.9921223154579</v>
      </c>
    </row>
    <row r="352" spans="1:18">
      <c r="A352" t="s">
        <v>93</v>
      </c>
      <c r="B352" s="159">
        <v>2013</v>
      </c>
      <c r="C352" s="161">
        <v>72.814999999999998</v>
      </c>
      <c r="D352" s="161">
        <v>1300.6590000000001</v>
      </c>
      <c r="E352" s="161">
        <v>1204.6859999999999</v>
      </c>
      <c r="F352" s="161">
        <v>0</v>
      </c>
      <c r="G352" s="161">
        <v>52.927999999999997</v>
      </c>
      <c r="H352" s="161">
        <v>116.509</v>
      </c>
      <c r="I352" s="161">
        <v>1611.375</v>
      </c>
      <c r="J352" s="161">
        <v>2578.16</v>
      </c>
      <c r="K352" s="161">
        <v>4358.9719999999998</v>
      </c>
      <c r="L352" s="162">
        <v>767.64300000000003</v>
      </c>
      <c r="M352" s="162">
        <v>2025.0619999999999</v>
      </c>
      <c r="N352" s="162">
        <v>1043.5140000000001</v>
      </c>
      <c r="O352" s="162">
        <v>18.84</v>
      </c>
      <c r="P352" s="162">
        <v>1062.354</v>
      </c>
      <c r="Q352" s="162">
        <v>3855.0590000000002</v>
      </c>
      <c r="R352" s="162">
        <v>3970.9166705723287</v>
      </c>
    </row>
    <row r="353" spans="1:18">
      <c r="A353" t="s">
        <v>93</v>
      </c>
      <c r="B353" s="159">
        <v>2014</v>
      </c>
      <c r="C353" s="161">
        <v>59.584000000000003</v>
      </c>
      <c r="D353" s="161">
        <v>1339.14</v>
      </c>
      <c r="E353" s="161">
        <v>1081.6420000000001</v>
      </c>
      <c r="F353" s="161">
        <v>0</v>
      </c>
      <c r="G353" s="161">
        <v>65.3</v>
      </c>
      <c r="H353" s="161">
        <v>199.226</v>
      </c>
      <c r="I353" s="161">
        <v>1613.366</v>
      </c>
      <c r="J353" s="161">
        <v>2480.366</v>
      </c>
      <c r="K353" s="161">
        <v>4358.2579999999998</v>
      </c>
      <c r="L353" s="162">
        <v>791.15800000000002</v>
      </c>
      <c r="M353" s="162">
        <v>2002.54</v>
      </c>
      <c r="N353" s="162">
        <v>1069.3710000000001</v>
      </c>
      <c r="O353" s="162">
        <v>22.393999999999998</v>
      </c>
      <c r="P353" s="162">
        <v>1091.7650000000001</v>
      </c>
      <c r="Q353" s="162">
        <v>3885.4630000000002</v>
      </c>
      <c r="R353" s="162">
        <v>4002.2344144647259</v>
      </c>
    </row>
    <row r="354" spans="1:18">
      <c r="A354" t="s">
        <v>93</v>
      </c>
      <c r="B354" s="159">
        <v>2015</v>
      </c>
      <c r="C354" s="161">
        <v>46.497999999999998</v>
      </c>
      <c r="D354" s="161">
        <v>1372.835</v>
      </c>
      <c r="E354" s="161">
        <v>1098.3879999999999</v>
      </c>
      <c r="F354" s="161">
        <v>0</v>
      </c>
      <c r="G354" s="161">
        <v>55.006</v>
      </c>
      <c r="H354" s="161">
        <v>156.578</v>
      </c>
      <c r="I354" s="161">
        <v>1537.1220000000001</v>
      </c>
      <c r="J354" s="161">
        <v>2517.721</v>
      </c>
      <c r="K354" s="161">
        <v>4266.4269999999997</v>
      </c>
      <c r="L354" s="162">
        <v>787.78</v>
      </c>
      <c r="M354" s="162">
        <v>1854.7370000000001</v>
      </c>
      <c r="N354" s="162">
        <v>1122.1979999999999</v>
      </c>
      <c r="O354" s="162">
        <v>22.786000000000001</v>
      </c>
      <c r="P354" s="162">
        <v>1144.9839999999999</v>
      </c>
      <c r="Q354" s="162">
        <v>3787.5010000000002</v>
      </c>
      <c r="R354" s="162">
        <v>3901.3283222667583</v>
      </c>
    </row>
    <row r="355" spans="1:18">
      <c r="A355" t="s">
        <v>93</v>
      </c>
      <c r="B355" s="159">
        <v>2016</v>
      </c>
      <c r="C355" s="161">
        <v>41.033000000000001</v>
      </c>
      <c r="D355" s="161">
        <v>1391.309</v>
      </c>
      <c r="E355" s="161">
        <v>1113.298</v>
      </c>
      <c r="F355" s="161">
        <v>0</v>
      </c>
      <c r="G355" s="161">
        <v>36.686999999999998</v>
      </c>
      <c r="H355" s="161">
        <v>88.822000000000003</v>
      </c>
      <c r="I355" s="161">
        <v>1623.7570000000001</v>
      </c>
      <c r="J355" s="161">
        <v>2545.64</v>
      </c>
      <c r="K355" s="161">
        <v>4294.9059999999999</v>
      </c>
      <c r="L355" s="162">
        <v>748.95399999999995</v>
      </c>
      <c r="M355" s="162">
        <v>1914.9280000000001</v>
      </c>
      <c r="N355" s="162">
        <v>1145.3889999999999</v>
      </c>
      <c r="O355" s="162">
        <v>10.987</v>
      </c>
      <c r="P355" s="162">
        <v>1156.376</v>
      </c>
      <c r="Q355" s="162">
        <v>3820.2579999999998</v>
      </c>
      <c r="R355" s="162">
        <v>3935.0697818340268</v>
      </c>
    </row>
    <row r="356" spans="1:18">
      <c r="A356" t="s">
        <v>93</v>
      </c>
      <c r="B356" s="159">
        <v>2017</v>
      </c>
      <c r="C356" s="161">
        <v>41.043999999999997</v>
      </c>
      <c r="D356" s="161">
        <v>1476.3030000000001</v>
      </c>
      <c r="E356" s="161">
        <v>992.95500000000004</v>
      </c>
      <c r="F356" s="161">
        <v>0</v>
      </c>
      <c r="G356" s="161">
        <v>26.103999999999999</v>
      </c>
      <c r="H356" s="161">
        <v>-5.5170000000000003</v>
      </c>
      <c r="I356" s="161">
        <v>1934.14390493933</v>
      </c>
      <c r="J356" s="161">
        <v>2510.3020000000001</v>
      </c>
      <c r="K356" s="161">
        <v>4465.0329049393304</v>
      </c>
      <c r="L356" s="162">
        <v>793.35599999999999</v>
      </c>
      <c r="M356" s="162">
        <v>1999.99990493933</v>
      </c>
      <c r="N356" s="162">
        <v>1211.4769999999999</v>
      </c>
      <c r="O356" s="162">
        <v>9.2759999999999998</v>
      </c>
      <c r="P356" s="162">
        <v>1220.7529999999999</v>
      </c>
      <c r="Q356" s="162">
        <v>4014.1089049393299</v>
      </c>
      <c r="R356" s="162">
        <v>4134.7465675924595</v>
      </c>
    </row>
    <row r="357" spans="1:18">
      <c r="A357" t="s">
        <v>93</v>
      </c>
      <c r="B357" s="159">
        <v>2018</v>
      </c>
      <c r="C357" s="161">
        <v>48.036999999999999</v>
      </c>
      <c r="D357" s="161">
        <v>1489.72</v>
      </c>
      <c r="E357" s="161">
        <v>1169.0429999999999</v>
      </c>
      <c r="F357" s="161">
        <v>0</v>
      </c>
      <c r="G357" s="161">
        <v>45.249000000000002</v>
      </c>
      <c r="H357" s="161">
        <v>78.150000000000006</v>
      </c>
      <c r="I357" s="161">
        <v>1861.4279049393299</v>
      </c>
      <c r="J357" s="161">
        <v>2706.8</v>
      </c>
      <c r="K357" s="161">
        <v>4691.6269049393304</v>
      </c>
      <c r="L357" s="162">
        <v>897.89200000000005</v>
      </c>
      <c r="M357" s="162">
        <v>2017.13290493933</v>
      </c>
      <c r="N357" s="162">
        <v>1224.1569999999999</v>
      </c>
      <c r="O357" s="162">
        <v>37.834000000000003</v>
      </c>
      <c r="P357" s="162">
        <v>1261.991</v>
      </c>
      <c r="Q357" s="162">
        <v>4177.0159049393296</v>
      </c>
      <c r="R357" s="162">
        <v>4302.5494785343999</v>
      </c>
    </row>
    <row r="358" spans="1:18">
      <c r="A358" t="s">
        <v>93</v>
      </c>
      <c r="B358" s="159">
        <v>2019</v>
      </c>
      <c r="C358" s="161">
        <v>40.29</v>
      </c>
      <c r="D358" s="161">
        <v>1455.5509999999999</v>
      </c>
      <c r="E358" s="161">
        <v>1103.325</v>
      </c>
      <c r="F358" s="161">
        <v>0</v>
      </c>
      <c r="G358" s="161">
        <v>42.628</v>
      </c>
      <c r="H358" s="161">
        <v>96.137</v>
      </c>
      <c r="I358" s="161">
        <v>1819.4399049393301</v>
      </c>
      <c r="J358" s="161">
        <v>2599.1660000000002</v>
      </c>
      <c r="K358" s="161">
        <v>4557.370904939331</v>
      </c>
      <c r="L358" s="162">
        <v>852.75800000000004</v>
      </c>
      <c r="M358" s="162">
        <v>1972.0449049393301</v>
      </c>
      <c r="N358" s="162">
        <v>1220.8240000000001</v>
      </c>
      <c r="O358" s="162">
        <v>34.927</v>
      </c>
      <c r="P358" s="162">
        <v>1255.751</v>
      </c>
      <c r="Q358" s="162">
        <v>4080.5539049393301</v>
      </c>
      <c r="R358" s="162">
        <v>4203.1884664521604</v>
      </c>
    </row>
    <row r="359" spans="1:18">
      <c r="A359" t="s">
        <v>93</v>
      </c>
      <c r="B359" s="159">
        <v>2020</v>
      </c>
      <c r="C359" s="161">
        <v>23.533000000000001</v>
      </c>
      <c r="D359" s="161">
        <v>1329.172</v>
      </c>
      <c r="E359" s="161">
        <v>910.26</v>
      </c>
      <c r="F359" s="161">
        <v>0</v>
      </c>
      <c r="G359" s="161">
        <v>52.62</v>
      </c>
      <c r="H359" s="161">
        <v>139.779</v>
      </c>
      <c r="I359" s="161">
        <v>1808.2649049393301</v>
      </c>
      <c r="J359" s="161">
        <v>2262.9650000000001</v>
      </c>
      <c r="K359" s="161">
        <v>4263.6289049393299</v>
      </c>
      <c r="L359" s="162">
        <v>870.923</v>
      </c>
      <c r="M359" s="162">
        <v>1880.7469049393301</v>
      </c>
      <c r="N359" s="162">
        <v>1058.5160000000001</v>
      </c>
      <c r="O359" s="162">
        <v>45.109000000000002</v>
      </c>
      <c r="P359" s="162">
        <v>1103.625</v>
      </c>
      <c r="Q359" s="162">
        <v>3855.2949049393301</v>
      </c>
      <c r="R359" s="162">
        <v>3971.1596652596359</v>
      </c>
    </row>
    <row r="360" spans="1:18">
      <c r="A360" t="s">
        <v>93</v>
      </c>
      <c r="B360" s="159">
        <v>2021</v>
      </c>
      <c r="C360" s="161">
        <v>18.141999999999999</v>
      </c>
      <c r="D360" s="161">
        <v>1382.4880000000001</v>
      </c>
      <c r="E360" s="161">
        <v>964.09900000000005</v>
      </c>
      <c r="F360" s="161">
        <v>0</v>
      </c>
      <c r="G360" s="161">
        <v>47.328000000000003</v>
      </c>
      <c r="H360" s="161">
        <v>152.41900000000001</v>
      </c>
      <c r="I360" s="161">
        <v>1902.24987035445</v>
      </c>
      <c r="J360" s="161">
        <v>2364.7290000000003</v>
      </c>
      <c r="K360" s="161">
        <v>4466.7258703544503</v>
      </c>
      <c r="L360" s="162">
        <v>894.16200000000003</v>
      </c>
      <c r="M360" s="162">
        <v>2007.98787035445</v>
      </c>
      <c r="N360" s="162">
        <v>1108.5339999999999</v>
      </c>
      <c r="O360" s="162">
        <v>46.758000000000003</v>
      </c>
      <c r="P360" s="162">
        <v>1155.2919999999999</v>
      </c>
      <c r="Q360" s="162">
        <v>4057.4418703544497</v>
      </c>
      <c r="R360" s="162">
        <v>4179.3818364047484</v>
      </c>
    </row>
    <row r="361" spans="1:18">
      <c r="A361" t="s">
        <v>93</v>
      </c>
      <c r="B361" s="159">
        <v>2022</v>
      </c>
      <c r="C361" s="161">
        <v>12</v>
      </c>
      <c r="D361" s="161">
        <v>1447.4490000000001</v>
      </c>
      <c r="E361" s="161">
        <v>691.798</v>
      </c>
      <c r="F361" s="161">
        <v>0</v>
      </c>
      <c r="G361" s="161">
        <v>50.048000000000002</v>
      </c>
      <c r="H361" s="161">
        <v>198.756</v>
      </c>
      <c r="I361" s="161">
        <v>1906.76587035445</v>
      </c>
      <c r="J361" s="161">
        <v>2151.2470000000003</v>
      </c>
      <c r="K361" s="161">
        <v>4306.8168703544497</v>
      </c>
      <c r="L361" s="162">
        <v>906.00099999999998</v>
      </c>
      <c r="M361" s="162">
        <v>1891.8668703544499</v>
      </c>
      <c r="N361" s="162">
        <v>1148.3390000000002</v>
      </c>
      <c r="O361" s="162">
        <v>16.032</v>
      </c>
      <c r="P361" s="162">
        <v>1164.3710000000001</v>
      </c>
      <c r="Q361" s="162">
        <v>3962.2388703544502</v>
      </c>
      <c r="R361" s="162">
        <v>4081.3176615663101</v>
      </c>
    </row>
    <row r="362" spans="1:18">
      <c r="A362" t="s">
        <v>93</v>
      </c>
      <c r="B362" s="159">
        <v>2023</v>
      </c>
      <c r="C362" s="161">
        <v>11.2</v>
      </c>
      <c r="D362" s="161">
        <v>1470.3516740506332</v>
      </c>
      <c r="E362" s="161">
        <v>664.8836685878963</v>
      </c>
      <c r="F362" s="161">
        <v>0</v>
      </c>
      <c r="G362" s="161">
        <v>48.576000000000001</v>
      </c>
      <c r="H362" s="161">
        <v>222.29639999999927</v>
      </c>
      <c r="I362" s="161">
        <v>1974.2929932552502</v>
      </c>
      <c r="J362" s="161">
        <v>2146.4353426385296</v>
      </c>
      <c r="K362" s="161">
        <v>4391.6007358937786</v>
      </c>
      <c r="L362" s="162">
        <v>929.20799282786879</v>
      </c>
      <c r="M362" s="162">
        <v>1806.827904738306</v>
      </c>
      <c r="N362" s="162">
        <v>1148.3390000000002</v>
      </c>
      <c r="O362" s="162">
        <v>14.696</v>
      </c>
      <c r="P362" s="162">
        <v>1163.0350000000001</v>
      </c>
      <c r="Q362" s="162">
        <v>3899.0708975661746</v>
      </c>
      <c r="R362" s="162">
        <v>4016.2512757622994</v>
      </c>
    </row>
    <row r="363" spans="1:18">
      <c r="A363" t="s">
        <v>141</v>
      </c>
      <c r="B363" s="157">
        <v>2005</v>
      </c>
      <c r="C363" s="158">
        <v>0</v>
      </c>
      <c r="D363" s="158">
        <v>915.19500000000005</v>
      </c>
      <c r="E363" s="158">
        <v>0</v>
      </c>
      <c r="F363" s="158">
        <v>0</v>
      </c>
      <c r="G363" s="158">
        <v>0</v>
      </c>
      <c r="H363" s="158">
        <v>0</v>
      </c>
      <c r="I363" s="158">
        <v>0.52500000000000002</v>
      </c>
      <c r="J363" s="158">
        <v>915.19500000000005</v>
      </c>
      <c r="K363" s="158">
        <v>915.72</v>
      </c>
      <c r="L363" s="151">
        <v>50.344000000000001</v>
      </c>
      <c r="M363" s="151">
        <v>160.53800000000001</v>
      </c>
      <c r="N363" s="151">
        <v>253.46299999999999</v>
      </c>
      <c r="O363" s="151">
        <v>0</v>
      </c>
      <c r="P363" s="151">
        <v>253.46299999999999</v>
      </c>
      <c r="Q363" s="151">
        <v>464.34500000000003</v>
      </c>
      <c r="R363" s="151">
        <v>470.88108419960878</v>
      </c>
    </row>
    <row r="364" spans="1:18">
      <c r="A364" t="s">
        <v>141</v>
      </c>
      <c r="B364" s="157">
        <v>2006</v>
      </c>
      <c r="C364" s="158">
        <v>0</v>
      </c>
      <c r="D364" s="158">
        <v>923.91800000000001</v>
      </c>
      <c r="E364" s="158">
        <v>0</v>
      </c>
      <c r="F364" s="158">
        <v>0</v>
      </c>
      <c r="G364" s="158">
        <v>0</v>
      </c>
      <c r="H364" s="158">
        <v>0</v>
      </c>
      <c r="I364" s="158">
        <v>0.64500000000000002</v>
      </c>
      <c r="J364" s="158">
        <v>923.91800000000001</v>
      </c>
      <c r="K364" s="158">
        <v>924.56299999999999</v>
      </c>
      <c r="L364" s="151">
        <v>55.484000000000002</v>
      </c>
      <c r="M364" s="151">
        <v>151.17500000000001</v>
      </c>
      <c r="N364" s="151">
        <v>259.625</v>
      </c>
      <c r="O364" s="151">
        <v>0</v>
      </c>
      <c r="P364" s="151">
        <v>259.625</v>
      </c>
      <c r="Q364" s="151">
        <v>466.28399999999999</v>
      </c>
      <c r="R364" s="151">
        <v>472.84737741319566</v>
      </c>
    </row>
    <row r="365" spans="1:18">
      <c r="A365" t="s">
        <v>141</v>
      </c>
      <c r="B365" s="157">
        <v>2007</v>
      </c>
      <c r="C365" s="158">
        <v>0</v>
      </c>
      <c r="D365" s="158">
        <v>948.28499999999997</v>
      </c>
      <c r="E365" s="158">
        <v>0</v>
      </c>
      <c r="F365" s="158">
        <v>0</v>
      </c>
      <c r="G365" s="158">
        <v>0</v>
      </c>
      <c r="H365" s="158">
        <v>0</v>
      </c>
      <c r="I365" s="158">
        <v>0.78800000000000003</v>
      </c>
      <c r="J365" s="158">
        <v>948.28499999999997</v>
      </c>
      <c r="K365" s="158">
        <v>949.07299999999998</v>
      </c>
      <c r="L365" s="151">
        <v>57.395000000000003</v>
      </c>
      <c r="M365" s="151">
        <v>154.065</v>
      </c>
      <c r="N365" s="151">
        <v>268.86799999999999</v>
      </c>
      <c r="O365" s="151">
        <v>0</v>
      </c>
      <c r="P365" s="151">
        <v>268.86799999999999</v>
      </c>
      <c r="Q365" s="151">
        <v>480.32799999999997</v>
      </c>
      <c r="R365" s="151">
        <v>487.0890596677678</v>
      </c>
    </row>
    <row r="366" spans="1:18">
      <c r="A366" t="s">
        <v>141</v>
      </c>
      <c r="B366" s="157">
        <v>2008</v>
      </c>
      <c r="C366" s="158">
        <v>0</v>
      </c>
      <c r="D366" s="158">
        <v>957.28899999999999</v>
      </c>
      <c r="E366" s="158">
        <v>0</v>
      </c>
      <c r="F366" s="158">
        <v>0</v>
      </c>
      <c r="G366" s="158">
        <v>0</v>
      </c>
      <c r="H366" s="158">
        <v>0</v>
      </c>
      <c r="I366" s="158">
        <v>0.90800000000000003</v>
      </c>
      <c r="J366" s="158">
        <v>957.28899999999999</v>
      </c>
      <c r="K366" s="158">
        <v>958.197</v>
      </c>
      <c r="L366" s="151">
        <v>59.802</v>
      </c>
      <c r="M366" s="151">
        <v>153.048</v>
      </c>
      <c r="N366" s="151">
        <v>288.31099999999998</v>
      </c>
      <c r="O366" s="151">
        <v>0</v>
      </c>
      <c r="P366" s="151">
        <v>288.31099999999998</v>
      </c>
      <c r="Q366" s="151">
        <v>501.161</v>
      </c>
      <c r="R366" s="151">
        <v>508.21530335970044</v>
      </c>
    </row>
    <row r="367" spans="1:18">
      <c r="A367" t="s">
        <v>141</v>
      </c>
      <c r="B367" s="157">
        <v>2009</v>
      </c>
      <c r="C367" s="158">
        <v>0</v>
      </c>
      <c r="D367" s="158">
        <v>882.87</v>
      </c>
      <c r="E367" s="158">
        <v>0</v>
      </c>
      <c r="F367" s="158">
        <v>0</v>
      </c>
      <c r="G367" s="158">
        <v>0</v>
      </c>
      <c r="H367" s="158">
        <v>0</v>
      </c>
      <c r="I367" s="158">
        <v>0.93100000000000005</v>
      </c>
      <c r="J367" s="158">
        <v>882.87</v>
      </c>
      <c r="K367" s="158">
        <v>883.80100000000004</v>
      </c>
      <c r="L367" s="151">
        <v>51.93</v>
      </c>
      <c r="M367" s="151">
        <v>141.17699999999999</v>
      </c>
      <c r="N367" s="151">
        <v>259.76900000000001</v>
      </c>
      <c r="O367" s="151">
        <v>0</v>
      </c>
      <c r="P367" s="151">
        <v>259.76900000000001</v>
      </c>
      <c r="Q367" s="151">
        <v>452.87599999999998</v>
      </c>
      <c r="R367" s="151">
        <v>459.25064744528743</v>
      </c>
    </row>
    <row r="368" spans="1:18">
      <c r="A368" t="s">
        <v>141</v>
      </c>
      <c r="B368" s="157">
        <v>2010</v>
      </c>
      <c r="C368" s="158">
        <v>0</v>
      </c>
      <c r="D368" s="158">
        <v>924.62</v>
      </c>
      <c r="E368" s="158">
        <v>0</v>
      </c>
      <c r="F368" s="158">
        <v>0</v>
      </c>
      <c r="G368" s="158">
        <v>0</v>
      </c>
      <c r="H368" s="158">
        <v>0</v>
      </c>
      <c r="I368" s="158">
        <v>5.0579999999999998</v>
      </c>
      <c r="J368" s="158">
        <v>924.62</v>
      </c>
      <c r="K368" s="158">
        <v>929.678</v>
      </c>
      <c r="L368" s="151">
        <v>44.12</v>
      </c>
      <c r="M368" s="151">
        <v>172.04300000000001</v>
      </c>
      <c r="N368" s="151">
        <v>286.32900000000001</v>
      </c>
      <c r="O368" s="151">
        <v>0.53600000000000003</v>
      </c>
      <c r="P368" s="151">
        <v>286.86500000000001</v>
      </c>
      <c r="Q368" s="151">
        <v>503.02800000000002</v>
      </c>
      <c r="R368" s="151">
        <v>510.10858310687269</v>
      </c>
    </row>
    <row r="369" spans="1:18">
      <c r="A369" t="s">
        <v>141</v>
      </c>
      <c r="B369" s="157">
        <v>2011</v>
      </c>
      <c r="C369" s="158">
        <v>0</v>
      </c>
      <c r="D369" s="158">
        <v>919.50900000000001</v>
      </c>
      <c r="E369" s="158">
        <v>0</v>
      </c>
      <c r="F369" s="158">
        <v>0</v>
      </c>
      <c r="G369" s="158">
        <v>0</v>
      </c>
      <c r="H369" s="158">
        <v>0</v>
      </c>
      <c r="I369" s="158">
        <v>8.2609999999999992</v>
      </c>
      <c r="J369" s="158">
        <v>919.50900000000001</v>
      </c>
      <c r="K369" s="158">
        <v>927.77</v>
      </c>
      <c r="L369" s="151">
        <v>39.866999999999997</v>
      </c>
      <c r="M369" s="151">
        <v>165.35499999999999</v>
      </c>
      <c r="N369" s="151">
        <v>286.47200000000004</v>
      </c>
      <c r="O369" s="151">
        <v>1.5249999999999999</v>
      </c>
      <c r="P369" s="151">
        <v>287.99700000000001</v>
      </c>
      <c r="Q369" s="151">
        <v>493.21900000000005</v>
      </c>
      <c r="R369" s="151">
        <v>500.16151238378109</v>
      </c>
    </row>
    <row r="370" spans="1:18">
      <c r="A370" t="s">
        <v>141</v>
      </c>
      <c r="B370" s="157">
        <v>2012</v>
      </c>
      <c r="C370" s="158">
        <v>0</v>
      </c>
      <c r="D370" s="158">
        <v>958.75099999999998</v>
      </c>
      <c r="E370" s="158">
        <v>0</v>
      </c>
      <c r="F370" s="158">
        <v>0</v>
      </c>
      <c r="G370" s="158">
        <v>0</v>
      </c>
      <c r="H370" s="158">
        <v>0</v>
      </c>
      <c r="I370" s="158">
        <v>11.816000000000001</v>
      </c>
      <c r="J370" s="158">
        <v>958.75099999999998</v>
      </c>
      <c r="K370" s="158">
        <v>970.56700000000001</v>
      </c>
      <c r="L370" s="151">
        <v>43.762</v>
      </c>
      <c r="M370" s="151">
        <v>182.30099999999999</v>
      </c>
      <c r="N370" s="151">
        <v>278.18400000000003</v>
      </c>
      <c r="O370" s="151">
        <v>2.633</v>
      </c>
      <c r="P370" s="151">
        <v>280.81700000000001</v>
      </c>
      <c r="Q370" s="151">
        <v>506.88</v>
      </c>
      <c r="R370" s="151">
        <v>514.01480356006346</v>
      </c>
    </row>
    <row r="371" spans="1:18">
      <c r="A371" t="s">
        <v>141</v>
      </c>
      <c r="B371" s="159">
        <v>2013</v>
      </c>
      <c r="C371" s="161">
        <v>0</v>
      </c>
      <c r="D371" s="161">
        <v>862.13800000000003</v>
      </c>
      <c r="E371" s="161">
        <v>0</v>
      </c>
      <c r="F371" s="161">
        <v>0</v>
      </c>
      <c r="G371" s="161">
        <v>0</v>
      </c>
      <c r="H371" s="161">
        <v>0</v>
      </c>
      <c r="I371" s="161">
        <v>12.715</v>
      </c>
      <c r="J371" s="161">
        <v>862.13800000000003</v>
      </c>
      <c r="K371" s="161">
        <v>874.85300000000007</v>
      </c>
      <c r="L371" s="162">
        <v>52.23</v>
      </c>
      <c r="M371" s="162">
        <v>185.17500000000001</v>
      </c>
      <c r="N371" s="162">
        <v>283.46199999999999</v>
      </c>
      <c r="O371" s="162">
        <v>5.0049999999999999</v>
      </c>
      <c r="P371" s="162">
        <v>288.46699999999998</v>
      </c>
      <c r="Q371" s="162">
        <v>525.87200000000007</v>
      </c>
      <c r="R371" s="162">
        <v>533.27413347880713</v>
      </c>
    </row>
    <row r="372" spans="1:18">
      <c r="A372" t="s">
        <v>141</v>
      </c>
      <c r="B372" s="159">
        <v>2014</v>
      </c>
      <c r="C372" s="161">
        <v>0</v>
      </c>
      <c r="D372" s="161">
        <v>868.61099999999999</v>
      </c>
      <c r="E372" s="161">
        <v>0</v>
      </c>
      <c r="F372" s="161">
        <v>0</v>
      </c>
      <c r="G372" s="161">
        <v>0</v>
      </c>
      <c r="H372" s="161">
        <v>0</v>
      </c>
      <c r="I372" s="161">
        <v>18.57</v>
      </c>
      <c r="J372" s="161">
        <v>868.61099999999999</v>
      </c>
      <c r="K372" s="161">
        <v>887.18100000000004</v>
      </c>
      <c r="L372" s="162">
        <v>55.494999999999997</v>
      </c>
      <c r="M372" s="162">
        <v>192.279</v>
      </c>
      <c r="N372" s="162">
        <v>292.70600000000002</v>
      </c>
      <c r="O372" s="162">
        <v>7.1829999999999998</v>
      </c>
      <c r="P372" s="162">
        <v>299.88900000000001</v>
      </c>
      <c r="Q372" s="162">
        <v>547.66300000000001</v>
      </c>
      <c r="R372" s="162">
        <v>555.37186190442515</v>
      </c>
    </row>
    <row r="373" spans="1:18">
      <c r="A373" t="s">
        <v>141</v>
      </c>
      <c r="B373" s="159">
        <v>2015</v>
      </c>
      <c r="C373" s="161">
        <v>0</v>
      </c>
      <c r="D373" s="161">
        <v>640.17899999999997</v>
      </c>
      <c r="E373" s="161">
        <v>0</v>
      </c>
      <c r="F373" s="161">
        <v>0</v>
      </c>
      <c r="G373" s="161">
        <v>0</v>
      </c>
      <c r="H373" s="161">
        <v>90.628</v>
      </c>
      <c r="I373" s="161">
        <v>21.111000000000001</v>
      </c>
      <c r="J373" s="161">
        <v>640.17899999999997</v>
      </c>
      <c r="K373" s="161">
        <v>751.91800000000001</v>
      </c>
      <c r="L373" s="162">
        <v>55.139000000000003</v>
      </c>
      <c r="M373" s="162">
        <v>207.44</v>
      </c>
      <c r="N373" s="162">
        <v>309.13800000000003</v>
      </c>
      <c r="O373" s="162">
        <v>6.681</v>
      </c>
      <c r="P373" s="162">
        <v>315.81900000000002</v>
      </c>
      <c r="Q373" s="162">
        <v>578.39800000000002</v>
      </c>
      <c r="R373" s="162">
        <v>586.53948538023519</v>
      </c>
    </row>
    <row r="374" spans="1:18">
      <c r="A374" t="s">
        <v>141</v>
      </c>
      <c r="B374" s="159">
        <v>2016</v>
      </c>
      <c r="C374" s="161">
        <v>0</v>
      </c>
      <c r="D374" s="161">
        <v>553.93200000000002</v>
      </c>
      <c r="E374" s="161">
        <v>0</v>
      </c>
      <c r="F374" s="161">
        <v>0</v>
      </c>
      <c r="G374" s="161">
        <v>0</v>
      </c>
      <c r="H374" s="161">
        <v>131.27199999999999</v>
      </c>
      <c r="I374" s="161">
        <v>24.588999999999999</v>
      </c>
      <c r="J374" s="161">
        <v>553.93200000000002</v>
      </c>
      <c r="K374" s="161">
        <v>709.79299999999989</v>
      </c>
      <c r="L374" s="162">
        <v>54.924999999999997</v>
      </c>
      <c r="M374" s="162">
        <v>204.09200000000001</v>
      </c>
      <c r="N374" s="162">
        <v>317.42700000000002</v>
      </c>
      <c r="O374" s="162">
        <v>6.5869999999999997</v>
      </c>
      <c r="P374" s="162">
        <v>324.01400000000001</v>
      </c>
      <c r="Q374" s="162">
        <v>583.03100000000006</v>
      </c>
      <c r="R374" s="162">
        <v>591.23769912884188</v>
      </c>
    </row>
    <row r="375" spans="1:18">
      <c r="A375" t="s">
        <v>141</v>
      </c>
      <c r="B375" s="159">
        <v>2017</v>
      </c>
      <c r="C375" s="161">
        <v>0</v>
      </c>
      <c r="D375" s="161">
        <v>459.798</v>
      </c>
      <c r="E375" s="161">
        <v>241.721</v>
      </c>
      <c r="F375" s="161">
        <v>0</v>
      </c>
      <c r="G375" s="161">
        <v>0</v>
      </c>
      <c r="H375" s="161">
        <v>74.064999999999998</v>
      </c>
      <c r="I375" s="161">
        <v>29.556149613069501</v>
      </c>
      <c r="J375" s="161">
        <v>701.51900000000001</v>
      </c>
      <c r="K375" s="161">
        <v>805.14014961306953</v>
      </c>
      <c r="L375" s="162">
        <v>57.155999999999999</v>
      </c>
      <c r="M375" s="162">
        <v>218.399149613069</v>
      </c>
      <c r="N375" s="162">
        <v>339.29400000000004</v>
      </c>
      <c r="O375" s="162">
        <v>7.4169999999999998</v>
      </c>
      <c r="P375" s="162">
        <v>346.71100000000001</v>
      </c>
      <c r="Q375" s="162">
        <v>622.26614961306905</v>
      </c>
      <c r="R375" s="162">
        <v>631.02511966429677</v>
      </c>
    </row>
    <row r="376" spans="1:18">
      <c r="A376" t="s">
        <v>141</v>
      </c>
      <c r="B376" s="159">
        <v>2018</v>
      </c>
      <c r="C376" s="161">
        <v>0</v>
      </c>
      <c r="D376" s="161">
        <v>443.29</v>
      </c>
      <c r="E376" s="161">
        <v>292.92500000000001</v>
      </c>
      <c r="F376" s="161">
        <v>0</v>
      </c>
      <c r="G376" s="161">
        <v>0</v>
      </c>
      <c r="H376" s="161">
        <v>53.374000000000002</v>
      </c>
      <c r="I376" s="161">
        <v>34.785640871309703</v>
      </c>
      <c r="J376" s="161">
        <v>736.21500000000003</v>
      </c>
      <c r="K376" s="161">
        <v>824.37464087130979</v>
      </c>
      <c r="L376" s="162">
        <v>58.835000000000001</v>
      </c>
      <c r="M376" s="162">
        <v>217.25764087131</v>
      </c>
      <c r="N376" s="162">
        <v>374.55099999999999</v>
      </c>
      <c r="O376" s="162">
        <v>10.021000000000001</v>
      </c>
      <c r="P376" s="162">
        <v>384.572</v>
      </c>
      <c r="Q376" s="162">
        <v>660.66464087130998</v>
      </c>
      <c r="R376" s="162">
        <v>673.21364087130996</v>
      </c>
    </row>
    <row r="377" spans="1:18">
      <c r="A377" t="s">
        <v>141</v>
      </c>
      <c r="B377" s="159">
        <v>2019</v>
      </c>
      <c r="C377" s="161">
        <v>0</v>
      </c>
      <c r="D377" s="161">
        <v>475.88299999999998</v>
      </c>
      <c r="E377" s="161">
        <v>306.20400000000001</v>
      </c>
      <c r="F377" s="161">
        <v>0</v>
      </c>
      <c r="G377" s="161">
        <v>0</v>
      </c>
      <c r="H377" s="161">
        <v>54.712000000000003</v>
      </c>
      <c r="I377" s="161">
        <v>36.3852055985476</v>
      </c>
      <c r="J377" s="161">
        <v>782.08699999999999</v>
      </c>
      <c r="K377" s="161">
        <v>873.18420559854758</v>
      </c>
      <c r="L377" s="162">
        <v>61.017000000000003</v>
      </c>
      <c r="M377" s="162">
        <v>230.141205598548</v>
      </c>
      <c r="N377" s="162">
        <v>395.86</v>
      </c>
      <c r="O377" s="162">
        <v>10.673</v>
      </c>
      <c r="P377" s="162">
        <v>406.53300000000002</v>
      </c>
      <c r="Q377" s="162">
        <v>697.69120559854798</v>
      </c>
      <c r="R377" s="162">
        <v>711.59520559854798</v>
      </c>
    </row>
    <row r="378" spans="1:18">
      <c r="A378" t="s">
        <v>141</v>
      </c>
      <c r="B378" s="159">
        <v>2020</v>
      </c>
      <c r="C378" s="161">
        <v>0</v>
      </c>
      <c r="D378" s="161">
        <v>344.21600000000001</v>
      </c>
      <c r="E378" s="161">
        <v>318.24299999999999</v>
      </c>
      <c r="F378" s="161">
        <v>0</v>
      </c>
      <c r="G378" s="161">
        <v>0</v>
      </c>
      <c r="H378" s="161">
        <v>35.732999999999997</v>
      </c>
      <c r="I378" s="161">
        <v>42.930364096684599</v>
      </c>
      <c r="J378" s="161">
        <v>662.45900000000006</v>
      </c>
      <c r="K378" s="161">
        <v>741.12236409668458</v>
      </c>
      <c r="L378" s="162">
        <v>66.241</v>
      </c>
      <c r="M378" s="162">
        <v>214.781364096685</v>
      </c>
      <c r="N378" s="162">
        <v>250.43800000000002</v>
      </c>
      <c r="O378" s="162">
        <v>14.013</v>
      </c>
      <c r="P378" s="162">
        <v>264.45100000000002</v>
      </c>
      <c r="Q378" s="162">
        <v>545.47336409668503</v>
      </c>
      <c r="R378" s="162">
        <v>556.561364096685</v>
      </c>
    </row>
    <row r="379" spans="1:18">
      <c r="A379" t="s">
        <v>141</v>
      </c>
      <c r="B379" s="159">
        <v>2021</v>
      </c>
      <c r="C379" s="161">
        <v>0</v>
      </c>
      <c r="D379" s="161">
        <v>364.31299999999999</v>
      </c>
      <c r="E379" s="161">
        <v>319.11700000000002</v>
      </c>
      <c r="F379" s="161">
        <v>0</v>
      </c>
      <c r="G379" s="161">
        <v>0</v>
      </c>
      <c r="H379" s="161">
        <v>43.969000000000001</v>
      </c>
      <c r="I379" s="161">
        <v>40.130553358173003</v>
      </c>
      <c r="J379" s="161">
        <v>683.43000000000006</v>
      </c>
      <c r="K379" s="161">
        <v>767.52955335817308</v>
      </c>
      <c r="L379" s="162">
        <v>70.031999999999996</v>
      </c>
      <c r="M379" s="162">
        <v>223.419553358173</v>
      </c>
      <c r="N379" s="162">
        <v>281.67499999999995</v>
      </c>
      <c r="O379" s="162">
        <v>10.629</v>
      </c>
      <c r="P379" s="162">
        <v>292.30399999999997</v>
      </c>
      <c r="Q379" s="162">
        <v>585.75555335817296</v>
      </c>
      <c r="R379" s="162">
        <v>596.84355335817293</v>
      </c>
    </row>
    <row r="380" spans="1:18">
      <c r="A380" t="s">
        <v>141</v>
      </c>
      <c r="B380" s="159">
        <v>2022</v>
      </c>
      <c r="C380" s="161">
        <v>0</v>
      </c>
      <c r="D380" s="161">
        <v>464.53699999999998</v>
      </c>
      <c r="E380" s="161">
        <v>322.79199999999997</v>
      </c>
      <c r="F380" s="161">
        <v>0</v>
      </c>
      <c r="G380" s="161">
        <v>0</v>
      </c>
      <c r="H380" s="161">
        <v>54.969000000000001</v>
      </c>
      <c r="I380" s="161">
        <v>44.295756854876899</v>
      </c>
      <c r="J380" s="161">
        <v>787.32899999999995</v>
      </c>
      <c r="K380" s="161">
        <v>886.59375685487691</v>
      </c>
      <c r="L380" s="162">
        <v>73.998000000000005</v>
      </c>
      <c r="M380" s="162">
        <v>246.84175685487699</v>
      </c>
      <c r="N380" s="162">
        <v>365.28200000000004</v>
      </c>
      <c r="O380" s="162">
        <v>12.609</v>
      </c>
      <c r="P380" s="162">
        <v>377.89100000000002</v>
      </c>
      <c r="Q380" s="162">
        <v>698.73075685487697</v>
      </c>
      <c r="R380" s="162">
        <v>708.56603678609144</v>
      </c>
    </row>
    <row r="381" spans="1:18">
      <c r="A381" t="s">
        <v>141</v>
      </c>
      <c r="B381" s="159">
        <v>2023</v>
      </c>
      <c r="C381" s="161">
        <v>0</v>
      </c>
      <c r="D381" s="161">
        <v>456.65199232954211</v>
      </c>
      <c r="E381" s="161">
        <v>340.83809819214372</v>
      </c>
      <c r="F381" s="161">
        <v>0</v>
      </c>
      <c r="G381" s="161">
        <v>0</v>
      </c>
      <c r="H381" s="161">
        <v>64.126333333333605</v>
      </c>
      <c r="I381" s="161">
        <v>47.592266520822662</v>
      </c>
      <c r="J381" s="161">
        <v>797.49009052168583</v>
      </c>
      <c r="K381" s="161">
        <v>909.20869037584214</v>
      </c>
      <c r="L381" s="162">
        <v>65</v>
      </c>
      <c r="M381" s="162">
        <v>246.84175685487699</v>
      </c>
      <c r="N381" s="162">
        <v>353.43847761062403</v>
      </c>
      <c r="O381" s="162">
        <v>13.052155960286775</v>
      </c>
      <c r="P381" s="162">
        <v>366.4906335709108</v>
      </c>
      <c r="Q381" s="162">
        <v>678.33239042578782</v>
      </c>
      <c r="R381" s="162">
        <v>687.88054453349832</v>
      </c>
    </row>
    <row r="382" spans="1:18">
      <c r="A382" t="s">
        <v>145</v>
      </c>
      <c r="B382" s="157">
        <v>2005</v>
      </c>
      <c r="C382" s="158">
        <v>7946.4809999999998</v>
      </c>
      <c r="D382" s="158">
        <v>23511.87</v>
      </c>
      <c r="E382" s="158">
        <v>33071.665000000001</v>
      </c>
      <c r="F382" s="158">
        <v>1031.04</v>
      </c>
      <c r="G382" s="158">
        <v>718.01900000000001</v>
      </c>
      <c r="H382" s="158">
        <v>1572.915</v>
      </c>
      <c r="I382" s="158">
        <v>2253.5580913346698</v>
      </c>
      <c r="J382" s="158">
        <v>64530.016000000003</v>
      </c>
      <c r="K382" s="158">
        <v>70105.548091334655</v>
      </c>
      <c r="L382" s="151">
        <v>15602.056</v>
      </c>
      <c r="M382" s="151">
        <v>23779.833091334702</v>
      </c>
      <c r="N382" s="151">
        <v>15025.343000000001</v>
      </c>
      <c r="O382" s="151">
        <v>0</v>
      </c>
      <c r="P382" s="151">
        <v>15025.343000000001</v>
      </c>
      <c r="Q382" s="151">
        <v>54407.232091334707</v>
      </c>
      <c r="R382" s="151">
        <v>55125.698687307035</v>
      </c>
    </row>
    <row r="383" spans="1:18">
      <c r="A383" t="s">
        <v>145</v>
      </c>
      <c r="B383" s="157">
        <v>2006</v>
      </c>
      <c r="C383" s="158">
        <v>7740.3789999999999</v>
      </c>
      <c r="D383" s="158">
        <v>23757.99</v>
      </c>
      <c r="E383" s="158">
        <v>32190.821</v>
      </c>
      <c r="F383" s="158">
        <v>894.84100000000001</v>
      </c>
      <c r="G383" s="158">
        <v>688.68799999999999</v>
      </c>
      <c r="H383" s="158">
        <v>1845.1420000000001</v>
      </c>
      <c r="I383" s="158">
        <v>2401.2734794114799</v>
      </c>
      <c r="J383" s="158">
        <v>63689.19</v>
      </c>
      <c r="K383" s="158">
        <v>69519.134479411485</v>
      </c>
      <c r="L383" s="151">
        <v>15275.199000000001</v>
      </c>
      <c r="M383" s="151">
        <v>23383.293479411499</v>
      </c>
      <c r="N383" s="151">
        <v>15380.912</v>
      </c>
      <c r="O383" s="151">
        <v>40.819000000000003</v>
      </c>
      <c r="P383" s="151">
        <v>15421.731</v>
      </c>
      <c r="Q383" s="151">
        <v>54080.223479411499</v>
      </c>
      <c r="R383" s="151">
        <v>54794.371811887759</v>
      </c>
    </row>
    <row r="384" spans="1:18">
      <c r="A384" t="s">
        <v>145</v>
      </c>
      <c r="B384" s="157">
        <v>2007</v>
      </c>
      <c r="C384" s="158">
        <v>8254.2430000000004</v>
      </c>
      <c r="D384" s="158">
        <v>24192.262999999999</v>
      </c>
      <c r="E384" s="158">
        <v>31097.918000000001</v>
      </c>
      <c r="F384" s="158">
        <v>1083.405</v>
      </c>
      <c r="G384" s="158">
        <v>720.47900000000004</v>
      </c>
      <c r="H384" s="158">
        <v>1514.1010000000001</v>
      </c>
      <c r="I384" s="158">
        <v>2505.7869261488499</v>
      </c>
      <c r="J384" s="158">
        <v>63544.423999999999</v>
      </c>
      <c r="K384" s="158">
        <v>69368.195926148852</v>
      </c>
      <c r="L384" s="151">
        <v>15356.204</v>
      </c>
      <c r="M384" s="151">
        <v>22430.991926148901</v>
      </c>
      <c r="N384" s="151">
        <v>15237.51</v>
      </c>
      <c r="O384" s="151">
        <v>330.41899999999998</v>
      </c>
      <c r="P384" s="151">
        <v>15567.929</v>
      </c>
      <c r="Q384" s="151">
        <v>53355.124926148899</v>
      </c>
      <c r="R384" s="151">
        <v>54059.698077729488</v>
      </c>
    </row>
    <row r="385" spans="1:18">
      <c r="A385" t="s">
        <v>145</v>
      </c>
      <c r="B385" s="157">
        <v>2008</v>
      </c>
      <c r="C385" s="158">
        <v>7810.6279999999997</v>
      </c>
      <c r="D385" s="158">
        <v>23307.167000000001</v>
      </c>
      <c r="E385" s="158">
        <v>32668.077000000001</v>
      </c>
      <c r="F385" s="158">
        <v>1075.4079999999999</v>
      </c>
      <c r="G385" s="158">
        <v>759.43399999999997</v>
      </c>
      <c r="H385" s="158">
        <v>1362.941</v>
      </c>
      <c r="I385" s="158">
        <v>2899.03732664565</v>
      </c>
      <c r="J385" s="158">
        <v>63785.872000000003</v>
      </c>
      <c r="K385" s="158">
        <v>69882.692326645658</v>
      </c>
      <c r="L385" s="151">
        <v>14766.636</v>
      </c>
      <c r="M385" s="151">
        <v>23691.2643266456</v>
      </c>
      <c r="N385" s="151">
        <v>15444.348</v>
      </c>
      <c r="O385" s="151">
        <v>287.238</v>
      </c>
      <c r="P385" s="151">
        <v>15731.585999999999</v>
      </c>
      <c r="Q385" s="151">
        <v>54189.486326645601</v>
      </c>
      <c r="R385" s="151">
        <v>54905.077513369375</v>
      </c>
    </row>
    <row r="386" spans="1:18">
      <c r="A386" t="s">
        <v>145</v>
      </c>
      <c r="B386" s="157">
        <v>2009</v>
      </c>
      <c r="C386" s="158">
        <v>7325.8739999999998</v>
      </c>
      <c r="D386" s="158">
        <v>21859.133999999998</v>
      </c>
      <c r="E386" s="158">
        <v>33036.197</v>
      </c>
      <c r="F386" s="158">
        <v>980</v>
      </c>
      <c r="G386" s="158">
        <v>744.43499999999995</v>
      </c>
      <c r="H386" s="158">
        <v>420.55</v>
      </c>
      <c r="I386" s="158">
        <v>3259.6148185726602</v>
      </c>
      <c r="J386" s="158">
        <v>62221.205000000002</v>
      </c>
      <c r="K386" s="158">
        <v>67625.804818572666</v>
      </c>
      <c r="L386" s="151">
        <v>13311.772999999999</v>
      </c>
      <c r="M386" s="151">
        <v>23584.699818572699</v>
      </c>
      <c r="N386" s="151">
        <v>14717.22</v>
      </c>
      <c r="O386" s="151">
        <v>373.45</v>
      </c>
      <c r="P386" s="151">
        <v>15090.67</v>
      </c>
      <c r="Q386" s="151">
        <v>51987.142818572698</v>
      </c>
      <c r="R386" s="151">
        <v>52673.651286279433</v>
      </c>
    </row>
    <row r="387" spans="1:18">
      <c r="A387" t="s">
        <v>145</v>
      </c>
      <c r="B387" s="157">
        <v>2010</v>
      </c>
      <c r="C387" s="158">
        <v>7408.6170000000002</v>
      </c>
      <c r="D387" s="158">
        <v>22238.233</v>
      </c>
      <c r="E387" s="158">
        <v>36941.879999999997</v>
      </c>
      <c r="F387" s="158">
        <v>917.4</v>
      </c>
      <c r="G387" s="158">
        <v>724.53899999999999</v>
      </c>
      <c r="H387" s="158">
        <v>238.607</v>
      </c>
      <c r="I387" s="158">
        <v>3249.7162702780201</v>
      </c>
      <c r="J387" s="158">
        <v>66588.73</v>
      </c>
      <c r="K387" s="158">
        <v>71718.992270278017</v>
      </c>
      <c r="L387" s="151">
        <v>14322.874</v>
      </c>
      <c r="M387" s="151">
        <v>26245.148270278001</v>
      </c>
      <c r="N387" s="151">
        <v>14837.74</v>
      </c>
      <c r="O387" s="151">
        <v>228.69499999999999</v>
      </c>
      <c r="P387" s="151">
        <v>15066.434999999999</v>
      </c>
      <c r="Q387" s="151">
        <v>55634.457270277999</v>
      </c>
      <c r="R387" s="151">
        <v>56369.129805477794</v>
      </c>
    </row>
    <row r="388" spans="1:18">
      <c r="A388" t="s">
        <v>145</v>
      </c>
      <c r="B388" s="157">
        <v>2011</v>
      </c>
      <c r="C388" s="158">
        <v>7302.6760000000004</v>
      </c>
      <c r="D388" s="158">
        <v>21778.738000000001</v>
      </c>
      <c r="E388" s="158">
        <v>32033.749</v>
      </c>
      <c r="F388" s="158">
        <v>959.2</v>
      </c>
      <c r="G388" s="158">
        <v>760.15099999999995</v>
      </c>
      <c r="H388" s="158">
        <v>781.51300000000003</v>
      </c>
      <c r="I388" s="158">
        <v>3436.6749846183202</v>
      </c>
      <c r="J388" s="158">
        <v>61115.163</v>
      </c>
      <c r="K388" s="158">
        <v>67052.70198461831</v>
      </c>
      <c r="L388" s="151">
        <v>13779.768</v>
      </c>
      <c r="M388" s="151">
        <v>22868.476984618301</v>
      </c>
      <c r="N388" s="151">
        <v>15014.063</v>
      </c>
      <c r="O388" s="151">
        <v>321.29599999999999</v>
      </c>
      <c r="P388" s="151">
        <v>15335.359</v>
      </c>
      <c r="Q388" s="151">
        <v>51983.603984618298</v>
      </c>
      <c r="R388" s="151">
        <v>52670.065720780585</v>
      </c>
    </row>
    <row r="389" spans="1:18">
      <c r="A389" t="s">
        <v>145</v>
      </c>
      <c r="B389" s="157">
        <v>2012</v>
      </c>
      <c r="C389" s="158">
        <v>8020.951</v>
      </c>
      <c r="D389" s="158">
        <v>21637.251</v>
      </c>
      <c r="E389" s="158">
        <v>30420.256000000001</v>
      </c>
      <c r="F389" s="158">
        <v>920</v>
      </c>
      <c r="G389" s="158">
        <v>746.77599999999995</v>
      </c>
      <c r="H389" s="158">
        <v>1471.183</v>
      </c>
      <c r="I389" s="158">
        <v>3529.58579822298</v>
      </c>
      <c r="J389" s="158">
        <v>60078.457999999999</v>
      </c>
      <c r="K389" s="158">
        <v>66746.00279822298</v>
      </c>
      <c r="L389" s="151">
        <v>13558.768</v>
      </c>
      <c r="M389" s="151">
        <v>23844.517798223002</v>
      </c>
      <c r="N389" s="151">
        <v>14376.609</v>
      </c>
      <c r="O389" s="151">
        <v>312.697</v>
      </c>
      <c r="P389" s="151">
        <v>14689.306</v>
      </c>
      <c r="Q389" s="151">
        <v>52092.591798223002</v>
      </c>
      <c r="R389" s="151">
        <v>52780.492756717191</v>
      </c>
    </row>
    <row r="390" spans="1:18">
      <c r="A390" t="s">
        <v>145</v>
      </c>
      <c r="B390" s="159">
        <v>2013</v>
      </c>
      <c r="C390" s="161">
        <v>8004.5439999999999</v>
      </c>
      <c r="D390" s="161">
        <v>20965.038</v>
      </c>
      <c r="E390" s="161">
        <v>30807.613000000001</v>
      </c>
      <c r="F390" s="161">
        <v>656.2</v>
      </c>
      <c r="G390" s="161">
        <v>795.14200000000005</v>
      </c>
      <c r="H390" s="161">
        <v>1568.1</v>
      </c>
      <c r="I390" s="161">
        <v>3412.9228783796698</v>
      </c>
      <c r="J390" s="161">
        <v>59777.195000000007</v>
      </c>
      <c r="K390" s="161">
        <v>66209.559878379674</v>
      </c>
      <c r="L390" s="162">
        <v>13350.828</v>
      </c>
      <c r="M390" s="162">
        <v>24318.531878379701</v>
      </c>
      <c r="N390" s="162">
        <v>13947.25</v>
      </c>
      <c r="O390" s="162">
        <v>299.202</v>
      </c>
      <c r="P390" s="162">
        <v>14246.451999999999</v>
      </c>
      <c r="Q390" s="162">
        <v>51915.811878379696</v>
      </c>
      <c r="R390" s="162">
        <v>52601.378395984982</v>
      </c>
    </row>
    <row r="391" spans="1:18">
      <c r="A391" t="s">
        <v>145</v>
      </c>
      <c r="B391" s="159">
        <v>2014</v>
      </c>
      <c r="C391" s="161">
        <v>8948.241</v>
      </c>
      <c r="D391" s="161">
        <v>20591.661</v>
      </c>
      <c r="E391" s="161">
        <v>26348.715</v>
      </c>
      <c r="F391" s="161">
        <v>941.3</v>
      </c>
      <c r="G391" s="161">
        <v>819.26499999999999</v>
      </c>
      <c r="H391" s="161">
        <v>1266.2940000000001</v>
      </c>
      <c r="I391" s="161">
        <v>3400.9006013184298</v>
      </c>
      <c r="J391" s="161">
        <v>55888.616999999998</v>
      </c>
      <c r="K391" s="161">
        <v>62316.376601318436</v>
      </c>
      <c r="L391" s="162">
        <v>13080.793</v>
      </c>
      <c r="M391" s="162">
        <v>20906.034601318399</v>
      </c>
      <c r="N391" s="162">
        <v>13187.704000000002</v>
      </c>
      <c r="O391" s="162">
        <v>349.26400000000001</v>
      </c>
      <c r="P391" s="162">
        <v>13536.968000000001</v>
      </c>
      <c r="Q391" s="162">
        <v>47523.795601318401</v>
      </c>
      <c r="R391" s="162">
        <v>48151.364002446491</v>
      </c>
    </row>
    <row r="392" spans="1:18">
      <c r="A392" t="s">
        <v>145</v>
      </c>
      <c r="B392" s="159">
        <v>2015</v>
      </c>
      <c r="C392" s="161">
        <v>11003.984</v>
      </c>
      <c r="D392" s="161">
        <v>15580.662</v>
      </c>
      <c r="E392" s="161">
        <v>26255.66</v>
      </c>
      <c r="F392" s="161">
        <v>937.35</v>
      </c>
      <c r="G392" s="161">
        <v>883.678</v>
      </c>
      <c r="H392" s="161">
        <v>752.20399999999995</v>
      </c>
      <c r="I392" s="161">
        <v>3593.4186314130102</v>
      </c>
      <c r="J392" s="161">
        <v>52840.305999999997</v>
      </c>
      <c r="K392" s="161">
        <v>59006.956631413006</v>
      </c>
      <c r="L392" s="162">
        <v>13102.771000000001</v>
      </c>
      <c r="M392" s="162">
        <v>21683.787631413001</v>
      </c>
      <c r="N392" s="162">
        <v>13544.155999999999</v>
      </c>
      <c r="O392" s="162">
        <v>294.37</v>
      </c>
      <c r="P392" s="162">
        <v>13838.526</v>
      </c>
      <c r="Q392" s="162">
        <v>48625.084631413003</v>
      </c>
      <c r="R392" s="162">
        <v>49267.195940721118</v>
      </c>
    </row>
    <row r="393" spans="1:18">
      <c r="A393" t="s">
        <v>145</v>
      </c>
      <c r="B393" s="159">
        <v>2016</v>
      </c>
      <c r="C393" s="161">
        <v>10199.047</v>
      </c>
      <c r="D393" s="161">
        <v>18820.538</v>
      </c>
      <c r="E393" s="161">
        <v>27755.042000000001</v>
      </c>
      <c r="F393" s="161">
        <v>916.14</v>
      </c>
      <c r="G393" s="161">
        <v>934.8</v>
      </c>
      <c r="H393" s="161">
        <v>422.56</v>
      </c>
      <c r="I393" s="161">
        <v>3688.9302439094299</v>
      </c>
      <c r="J393" s="161">
        <v>56774.627</v>
      </c>
      <c r="K393" s="161">
        <v>62737.057243909432</v>
      </c>
      <c r="L393" s="162">
        <v>13757.587</v>
      </c>
      <c r="M393" s="162">
        <v>21977.177243909398</v>
      </c>
      <c r="N393" s="162">
        <v>13694.202000000001</v>
      </c>
      <c r="O393" s="162">
        <v>235.92500000000001</v>
      </c>
      <c r="P393" s="162">
        <v>13930.127</v>
      </c>
      <c r="Q393" s="162">
        <v>49664.891243909398</v>
      </c>
      <c r="R393" s="162">
        <v>50320.733564493654</v>
      </c>
    </row>
    <row r="394" spans="1:18">
      <c r="A394" t="s">
        <v>145</v>
      </c>
      <c r="B394" s="159">
        <v>2017</v>
      </c>
      <c r="C394" s="161">
        <v>9138.26</v>
      </c>
      <c r="D394" s="161">
        <v>17607.329000000002</v>
      </c>
      <c r="E394" s="161">
        <v>28473.705999999998</v>
      </c>
      <c r="F394" s="161">
        <v>789.54</v>
      </c>
      <c r="G394" s="161">
        <v>934.23099999999999</v>
      </c>
      <c r="H394" s="161">
        <v>301.48</v>
      </c>
      <c r="I394" s="161">
        <v>4025.6400081207598</v>
      </c>
      <c r="J394" s="161">
        <v>55219.294999999998</v>
      </c>
      <c r="K394" s="161">
        <v>61270.186008120763</v>
      </c>
      <c r="L394" s="162">
        <v>13725.511</v>
      </c>
      <c r="M394" s="162">
        <v>21910.613008120799</v>
      </c>
      <c r="N394" s="162">
        <v>14093.705</v>
      </c>
      <c r="O394" s="162">
        <v>303.173</v>
      </c>
      <c r="P394" s="162">
        <v>14396.878000000001</v>
      </c>
      <c r="Q394" s="162">
        <v>50033.002008120806</v>
      </c>
      <c r="R394" s="162">
        <v>50693.705360548403</v>
      </c>
    </row>
    <row r="395" spans="1:18">
      <c r="A395" t="s">
        <v>145</v>
      </c>
      <c r="B395" s="159">
        <v>2018</v>
      </c>
      <c r="C395" s="161">
        <v>8184.4949999999999</v>
      </c>
      <c r="D395" s="161">
        <v>15032.251</v>
      </c>
      <c r="E395" s="161">
        <v>28351.97</v>
      </c>
      <c r="F395" s="161">
        <v>812.26</v>
      </c>
      <c r="G395" s="161">
        <v>937.67600000000004</v>
      </c>
      <c r="H395" s="161">
        <v>685.29</v>
      </c>
      <c r="I395" s="161">
        <v>4411.9698498137004</v>
      </c>
      <c r="J395" s="161">
        <v>51568.716</v>
      </c>
      <c r="K395" s="161">
        <v>58415.911849813703</v>
      </c>
      <c r="L395" s="162">
        <v>13606.539000000001</v>
      </c>
      <c r="M395" s="162">
        <v>22090.528849813702</v>
      </c>
      <c r="N395" s="162">
        <v>14194.878000000001</v>
      </c>
      <c r="O395" s="162">
        <v>493.79599999999999</v>
      </c>
      <c r="P395" s="162">
        <v>14688.674000000001</v>
      </c>
      <c r="Q395" s="162">
        <v>50385.741849813705</v>
      </c>
      <c r="R395" s="162">
        <v>51051.103255657792</v>
      </c>
    </row>
    <row r="396" spans="1:18">
      <c r="A396" t="s">
        <v>145</v>
      </c>
      <c r="B396" s="159">
        <v>2019</v>
      </c>
      <c r="C396" s="161">
        <v>6351.9380000000001</v>
      </c>
      <c r="D396" s="161">
        <v>20967.488000000001</v>
      </c>
      <c r="E396" s="161">
        <v>29416.184000000001</v>
      </c>
      <c r="F396" s="161">
        <v>910.31</v>
      </c>
      <c r="G396" s="161">
        <v>892.38499999999999</v>
      </c>
      <c r="H396" s="161">
        <v>73.537000000000006</v>
      </c>
      <c r="I396" s="161">
        <v>5178.1062558517197</v>
      </c>
      <c r="J396" s="161">
        <v>56735.61</v>
      </c>
      <c r="K396" s="161">
        <v>63789.948255851719</v>
      </c>
      <c r="L396" s="162">
        <v>13225.130999999999</v>
      </c>
      <c r="M396" s="162">
        <v>21668.276255851699</v>
      </c>
      <c r="N396" s="162">
        <v>13976.537</v>
      </c>
      <c r="O396" s="162">
        <v>610.37599999999998</v>
      </c>
      <c r="P396" s="162">
        <v>14586.913</v>
      </c>
      <c r="Q396" s="162">
        <v>49480.3202558517</v>
      </c>
      <c r="R396" s="162">
        <v>50133.725251756725</v>
      </c>
    </row>
    <row r="397" spans="1:18">
      <c r="A397" t="s">
        <v>145</v>
      </c>
      <c r="B397" s="159">
        <v>2020</v>
      </c>
      <c r="C397" s="161">
        <v>4043.0390000000002</v>
      </c>
      <c r="D397" s="161">
        <v>17463.446</v>
      </c>
      <c r="E397" s="161">
        <v>28965.692999999999</v>
      </c>
      <c r="F397" s="161">
        <v>955.89</v>
      </c>
      <c r="G397" s="161">
        <v>860.91899999999998</v>
      </c>
      <c r="H397" s="161">
        <v>-228.68</v>
      </c>
      <c r="I397" s="161">
        <v>6451.5229384732902</v>
      </c>
      <c r="J397" s="161">
        <v>50472.178</v>
      </c>
      <c r="K397" s="161">
        <v>58511.829938473289</v>
      </c>
      <c r="L397" s="162">
        <v>13208.424999999999</v>
      </c>
      <c r="M397" s="162">
        <v>20660.573938473299</v>
      </c>
      <c r="N397" s="162">
        <v>10749.386</v>
      </c>
      <c r="O397" s="162">
        <v>520.91</v>
      </c>
      <c r="P397" s="162">
        <v>11270.296</v>
      </c>
      <c r="Q397" s="162">
        <v>45139.294938473293</v>
      </c>
      <c r="R397" s="162">
        <v>45735.37517142087</v>
      </c>
    </row>
    <row r="398" spans="1:18">
      <c r="A398" t="s">
        <v>145</v>
      </c>
      <c r="B398" s="159">
        <v>2021</v>
      </c>
      <c r="C398" s="161">
        <v>5548.866</v>
      </c>
      <c r="D398" s="161">
        <v>18314.567999999999</v>
      </c>
      <c r="E398" s="161">
        <v>27498.613000000001</v>
      </c>
      <c r="F398" s="161">
        <v>890.43</v>
      </c>
      <c r="G398" s="161">
        <v>895.447</v>
      </c>
      <c r="H398" s="161">
        <v>21.75</v>
      </c>
      <c r="I398" s="161">
        <v>7580.1893789051201</v>
      </c>
      <c r="J398" s="161">
        <v>51362.047000000006</v>
      </c>
      <c r="K398" s="161">
        <v>60749.863378905124</v>
      </c>
      <c r="L398" s="162">
        <v>13221.254999999999</v>
      </c>
      <c r="M398" s="162">
        <v>21899.7283789051</v>
      </c>
      <c r="N398" s="162">
        <v>11069.674999999999</v>
      </c>
      <c r="O398" s="162">
        <v>594.04899999999998</v>
      </c>
      <c r="P398" s="162">
        <v>11663.724</v>
      </c>
      <c r="Q398" s="162">
        <v>46784.707378905099</v>
      </c>
      <c r="R398" s="162">
        <v>47402.515860646199</v>
      </c>
    </row>
    <row r="399" spans="1:18">
      <c r="A399" t="s">
        <v>145</v>
      </c>
      <c r="B399" s="159">
        <v>2022</v>
      </c>
      <c r="C399" s="161">
        <v>5495.5720000000001</v>
      </c>
      <c r="D399" s="161">
        <v>19441.504000000001</v>
      </c>
      <c r="E399" s="161">
        <v>21731.447</v>
      </c>
      <c r="F399" s="161">
        <v>965.85799999999995</v>
      </c>
      <c r="G399" s="161">
        <v>820.16</v>
      </c>
      <c r="H399" s="161">
        <v>-366.84399999999999</v>
      </c>
      <c r="I399" s="161">
        <v>7999.6355040603703</v>
      </c>
      <c r="J399" s="161">
        <v>46668.523000000001</v>
      </c>
      <c r="K399" s="161">
        <v>56087.332504060381</v>
      </c>
      <c r="L399" s="162">
        <v>12260.566000000001</v>
      </c>
      <c r="M399" s="162">
        <v>18807.9405040604</v>
      </c>
      <c r="N399" s="162">
        <v>11821.234</v>
      </c>
      <c r="O399" s="162">
        <v>552.24099999999999</v>
      </c>
      <c r="P399" s="162">
        <v>12373.475</v>
      </c>
      <c r="Q399" s="162">
        <v>43441.981504060401</v>
      </c>
      <c r="R399" s="162">
        <v>44015.648117372381</v>
      </c>
    </row>
    <row r="400" spans="1:18">
      <c r="A400" t="s">
        <v>145</v>
      </c>
      <c r="B400" s="159">
        <v>2023</v>
      </c>
      <c r="C400" s="161">
        <v>4029.1875698556219</v>
      </c>
      <c r="D400" s="161">
        <v>19928.165633363406</v>
      </c>
      <c r="E400" s="161">
        <v>20339.389476508928</v>
      </c>
      <c r="F400" s="161">
        <v>926.11579695610033</v>
      </c>
      <c r="G400" s="161">
        <v>807.19306198172922</v>
      </c>
      <c r="H400" s="161">
        <v>-366.84399999999999</v>
      </c>
      <c r="I400" s="161">
        <v>9197.5091148850042</v>
      </c>
      <c r="J400" s="161">
        <v>44296.742679727955</v>
      </c>
      <c r="K400" s="161">
        <v>54860.716653550793</v>
      </c>
      <c r="L400" s="162">
        <v>12165.079476325171</v>
      </c>
      <c r="M400" s="162">
        <v>18078.316629677891</v>
      </c>
      <c r="N400" s="162">
        <v>12333.680652087414</v>
      </c>
      <c r="O400" s="162">
        <v>574.23072784905457</v>
      </c>
      <c r="P400" s="162">
        <v>12907.91137993647</v>
      </c>
      <c r="Q400" s="162">
        <v>43151.307485939527</v>
      </c>
      <c r="R400" s="162">
        <v>43721.135646819552</v>
      </c>
    </row>
    <row r="401" spans="1:18">
      <c r="A401" t="s">
        <v>185</v>
      </c>
      <c r="B401" s="157">
        <v>2005</v>
      </c>
      <c r="C401" s="158">
        <v>54475.839</v>
      </c>
      <c r="D401" s="158">
        <v>19581.207999999999</v>
      </c>
      <c r="E401" s="158">
        <v>10217.218000000001</v>
      </c>
      <c r="F401" s="158">
        <v>0</v>
      </c>
      <c r="G401" s="158">
        <v>156.44399999999999</v>
      </c>
      <c r="H401" s="158">
        <v>-961.82299999999998</v>
      </c>
      <c r="I401" s="158">
        <v>4486.5140000000001</v>
      </c>
      <c r="J401" s="158">
        <v>84274.264999999985</v>
      </c>
      <c r="K401" s="158">
        <v>87955.39999999998</v>
      </c>
      <c r="L401" s="151">
        <v>14617.708000000001</v>
      </c>
      <c r="M401" s="151">
        <v>31320.721000000001</v>
      </c>
      <c r="N401" s="151">
        <v>12502.725999999999</v>
      </c>
      <c r="O401" s="151">
        <v>49.664000000000001</v>
      </c>
      <c r="P401" s="151">
        <v>12552.39</v>
      </c>
      <c r="Q401" s="151">
        <v>58490.819000000003</v>
      </c>
      <c r="R401" s="151">
        <v>59683.892610019517</v>
      </c>
    </row>
    <row r="402" spans="1:18">
      <c r="A402" t="s">
        <v>185</v>
      </c>
      <c r="B402" s="157">
        <v>2006</v>
      </c>
      <c r="C402" s="158">
        <v>57107.987000000001</v>
      </c>
      <c r="D402" s="158">
        <v>20560.694</v>
      </c>
      <c r="E402" s="158">
        <v>10639.016</v>
      </c>
      <c r="F402" s="158">
        <v>0</v>
      </c>
      <c r="G402" s="158">
        <v>282.411</v>
      </c>
      <c r="H402" s="158">
        <v>-944.62599999999998</v>
      </c>
      <c r="I402" s="158">
        <v>4694.9440000000004</v>
      </c>
      <c r="J402" s="158">
        <v>88307.697</v>
      </c>
      <c r="K402" s="158">
        <v>92340.425999999992</v>
      </c>
      <c r="L402" s="151">
        <v>14653.888000000001</v>
      </c>
      <c r="M402" s="151">
        <v>32628.112000000001</v>
      </c>
      <c r="N402" s="151">
        <v>13844.712</v>
      </c>
      <c r="O402" s="151">
        <v>90.591999999999999</v>
      </c>
      <c r="P402" s="151">
        <v>13935.304</v>
      </c>
      <c r="Q402" s="151">
        <v>61217.304000000004</v>
      </c>
      <c r="R402" s="151">
        <v>62465.99142013926</v>
      </c>
    </row>
    <row r="403" spans="1:18">
      <c r="A403" t="s">
        <v>185</v>
      </c>
      <c r="B403" s="157">
        <v>2007</v>
      </c>
      <c r="C403" s="158">
        <v>55595.936999999998</v>
      </c>
      <c r="D403" s="158">
        <v>21136.558000000001</v>
      </c>
      <c r="E403" s="158">
        <v>10568.099</v>
      </c>
      <c r="F403" s="158">
        <v>0</v>
      </c>
      <c r="G403" s="158">
        <v>234.59399999999999</v>
      </c>
      <c r="H403" s="158">
        <v>-459.84500000000003</v>
      </c>
      <c r="I403" s="158">
        <v>4823.7449999999999</v>
      </c>
      <c r="J403" s="158">
        <v>87300.593999999997</v>
      </c>
      <c r="K403" s="158">
        <v>91899.087999999989</v>
      </c>
      <c r="L403" s="151">
        <v>15249.796</v>
      </c>
      <c r="M403" s="151">
        <v>31069.383999999998</v>
      </c>
      <c r="N403" s="151">
        <v>15200.548999999999</v>
      </c>
      <c r="O403" s="151">
        <v>96.698999999999998</v>
      </c>
      <c r="P403" s="151">
        <v>15297.248</v>
      </c>
      <c r="Q403" s="151">
        <v>61616.428</v>
      </c>
      <c r="R403" s="151">
        <v>62873.256600578621</v>
      </c>
    </row>
    <row r="404" spans="1:18">
      <c r="A404" t="s">
        <v>185</v>
      </c>
      <c r="B404" s="157">
        <v>2008</v>
      </c>
      <c r="C404" s="158">
        <v>54615.934999999998</v>
      </c>
      <c r="D404" s="158">
        <v>22142.550999999999</v>
      </c>
      <c r="E404" s="158">
        <v>10585.598</v>
      </c>
      <c r="F404" s="158">
        <v>0</v>
      </c>
      <c r="G404" s="158">
        <v>240.542</v>
      </c>
      <c r="H404" s="158">
        <v>-57.524000000000001</v>
      </c>
      <c r="I404" s="158">
        <v>5559.4129999999996</v>
      </c>
      <c r="J404" s="158">
        <v>87344.084000000003</v>
      </c>
      <c r="K404" s="158">
        <v>93086.514999999999</v>
      </c>
      <c r="L404" s="151">
        <v>13982.544</v>
      </c>
      <c r="M404" s="151">
        <v>32152.132000000001</v>
      </c>
      <c r="N404" s="151">
        <v>15915.203000000001</v>
      </c>
      <c r="O404" s="151">
        <v>437.06</v>
      </c>
      <c r="P404" s="151">
        <v>16352.263000000001</v>
      </c>
      <c r="Q404" s="151">
        <v>62486.938999999998</v>
      </c>
      <c r="R404" s="151">
        <v>63761.523954808021</v>
      </c>
    </row>
    <row r="405" spans="1:18">
      <c r="A405" t="s">
        <v>185</v>
      </c>
      <c r="B405" s="157">
        <v>2009</v>
      </c>
      <c r="C405" s="158">
        <v>51131.713000000003</v>
      </c>
      <c r="D405" s="158">
        <v>21498.628000000001</v>
      </c>
      <c r="E405" s="158">
        <v>10488.22</v>
      </c>
      <c r="F405" s="158">
        <v>0</v>
      </c>
      <c r="G405" s="158">
        <v>356.23899999999998</v>
      </c>
      <c r="H405" s="158">
        <v>-188.392</v>
      </c>
      <c r="I405" s="158">
        <v>6244.7140494888699</v>
      </c>
      <c r="J405" s="158">
        <v>83118.561000000002</v>
      </c>
      <c r="K405" s="158">
        <v>89531.122049488869</v>
      </c>
      <c r="L405" s="151">
        <v>12823.317999999999</v>
      </c>
      <c r="M405" s="151">
        <v>32050.104049488898</v>
      </c>
      <c r="N405" s="151">
        <v>16008.913999999999</v>
      </c>
      <c r="O405" s="151">
        <v>635.88800000000003</v>
      </c>
      <c r="P405" s="151">
        <v>16644.802</v>
      </c>
      <c r="Q405" s="151">
        <v>61518.224049488897</v>
      </c>
      <c r="R405" s="151">
        <v>62773.04952301686</v>
      </c>
    </row>
    <row r="406" spans="1:18">
      <c r="A406" t="s">
        <v>185</v>
      </c>
      <c r="B406" s="157">
        <v>2010</v>
      </c>
      <c r="C406" s="158">
        <v>55137.512000000002</v>
      </c>
      <c r="D406" s="158">
        <v>22731.115000000002</v>
      </c>
      <c r="E406" s="158">
        <v>11143.293</v>
      </c>
      <c r="F406" s="158">
        <v>0</v>
      </c>
      <c r="G406" s="158">
        <v>397.53500000000003</v>
      </c>
      <c r="H406" s="158">
        <v>-116.423</v>
      </c>
      <c r="I406" s="158">
        <v>7269.0116081971901</v>
      </c>
      <c r="J406" s="158">
        <v>89011.920000000013</v>
      </c>
      <c r="K406" s="158">
        <v>96562.043608197215</v>
      </c>
      <c r="L406" s="151">
        <v>13499.29</v>
      </c>
      <c r="M406" s="151">
        <v>35087.770608197199</v>
      </c>
      <c r="N406" s="151">
        <v>16828.276000000002</v>
      </c>
      <c r="O406" s="151">
        <v>867.42499999999995</v>
      </c>
      <c r="P406" s="151">
        <v>17695.701000000001</v>
      </c>
      <c r="Q406" s="151">
        <v>66282.761608197208</v>
      </c>
      <c r="R406" s="151">
        <v>67634.77231733012</v>
      </c>
    </row>
    <row r="407" spans="1:18">
      <c r="A407" t="s">
        <v>185</v>
      </c>
      <c r="B407" s="157">
        <v>2011</v>
      </c>
      <c r="C407" s="158">
        <v>54544.858999999997</v>
      </c>
      <c r="D407" s="158">
        <v>23060.022000000001</v>
      </c>
      <c r="E407" s="158">
        <v>11017.24</v>
      </c>
      <c r="F407" s="158">
        <v>0</v>
      </c>
      <c r="G407" s="158">
        <v>440.59899999999999</v>
      </c>
      <c r="H407" s="158">
        <v>-450.73099999999999</v>
      </c>
      <c r="I407" s="158">
        <v>7936.7429798414096</v>
      </c>
      <c r="J407" s="158">
        <v>88622.120999999999</v>
      </c>
      <c r="K407" s="158">
        <v>96548.73197984141</v>
      </c>
      <c r="L407" s="151">
        <v>13961.482</v>
      </c>
      <c r="M407" s="151">
        <v>32804.202979841401</v>
      </c>
      <c r="N407" s="151">
        <v>16991.04</v>
      </c>
      <c r="O407" s="151">
        <v>915.53499999999997</v>
      </c>
      <c r="P407" s="151">
        <v>17906.575000000001</v>
      </c>
      <c r="Q407" s="151">
        <v>64672.259979841401</v>
      </c>
      <c r="R407" s="151">
        <v>65991.420285705302</v>
      </c>
    </row>
    <row r="408" spans="1:18">
      <c r="A408" t="s">
        <v>185</v>
      </c>
      <c r="B408" s="157">
        <v>2012</v>
      </c>
      <c r="C408" s="158">
        <v>50176.22</v>
      </c>
      <c r="D408" s="158">
        <v>22163.909</v>
      </c>
      <c r="E408" s="158">
        <v>11673.861000000001</v>
      </c>
      <c r="F408" s="158">
        <v>0</v>
      </c>
      <c r="G408" s="158">
        <v>419.46100000000001</v>
      </c>
      <c r="H408" s="158">
        <v>-244.196</v>
      </c>
      <c r="I408" s="158">
        <v>8609.5577493073506</v>
      </c>
      <c r="J408" s="158">
        <v>84013.99</v>
      </c>
      <c r="K408" s="158">
        <v>92798.812749307355</v>
      </c>
      <c r="L408" s="151">
        <v>13733.263999999999</v>
      </c>
      <c r="M408" s="151">
        <v>33475.128749307303</v>
      </c>
      <c r="N408" s="151">
        <v>16411.186000000002</v>
      </c>
      <c r="O408" s="151">
        <v>807.34900000000005</v>
      </c>
      <c r="P408" s="151">
        <v>17218.535</v>
      </c>
      <c r="Q408" s="151">
        <v>64426.927749307302</v>
      </c>
      <c r="R408" s="151">
        <v>65741.083861095249</v>
      </c>
    </row>
    <row r="409" spans="1:18">
      <c r="A409" t="s">
        <v>185</v>
      </c>
      <c r="B409" s="159">
        <v>2013</v>
      </c>
      <c r="C409" s="161">
        <v>53067.792000000001</v>
      </c>
      <c r="D409" s="161">
        <v>19907.367999999999</v>
      </c>
      <c r="E409" s="161">
        <v>11796.066000000001</v>
      </c>
      <c r="F409" s="161">
        <v>0</v>
      </c>
      <c r="G409" s="161">
        <v>451.01299999999998</v>
      </c>
      <c r="H409" s="161">
        <v>-388.73599999999999</v>
      </c>
      <c r="I409" s="161">
        <v>8568.4487974586791</v>
      </c>
      <c r="J409" s="161">
        <v>84771.22600000001</v>
      </c>
      <c r="K409" s="161">
        <v>93401.951797458692</v>
      </c>
      <c r="L409" s="162">
        <v>14210.705</v>
      </c>
      <c r="M409" s="162">
        <v>32766.296797458701</v>
      </c>
      <c r="N409" s="162">
        <v>15522.346000000001</v>
      </c>
      <c r="O409" s="162">
        <v>747.53099999999995</v>
      </c>
      <c r="P409" s="162">
        <v>16269.877</v>
      </c>
      <c r="Q409" s="162">
        <v>63246.878797458703</v>
      </c>
      <c r="R409" s="162">
        <v>64536.964716914728</v>
      </c>
    </row>
    <row r="410" spans="1:18">
      <c r="A410" t="s">
        <v>185</v>
      </c>
      <c r="B410" s="159">
        <v>2014</v>
      </c>
      <c r="C410" s="161">
        <v>49145.120999999999</v>
      </c>
      <c r="D410" s="161">
        <v>19696.655999999999</v>
      </c>
      <c r="E410" s="161">
        <v>11343.207</v>
      </c>
      <c r="F410" s="161">
        <v>0</v>
      </c>
      <c r="G410" s="161">
        <v>514.66499999999996</v>
      </c>
      <c r="H410" s="161">
        <v>186.24199999999999</v>
      </c>
      <c r="I410" s="161">
        <v>8608.3899113404004</v>
      </c>
      <c r="J410" s="161">
        <v>80184.983999999997</v>
      </c>
      <c r="K410" s="161">
        <v>89494.280911340393</v>
      </c>
      <c r="L410" s="162">
        <v>14153.252</v>
      </c>
      <c r="M410" s="162">
        <v>31004.837980605698</v>
      </c>
      <c r="N410" s="162">
        <v>15683.977000000001</v>
      </c>
      <c r="O410" s="162">
        <v>705.37</v>
      </c>
      <c r="P410" s="162">
        <v>16389.347000000002</v>
      </c>
      <c r="Q410" s="162">
        <v>61547.4369806057</v>
      </c>
      <c r="R410" s="162">
        <v>62802.858328456889</v>
      </c>
    </row>
    <row r="411" spans="1:18">
      <c r="A411" t="s">
        <v>185</v>
      </c>
      <c r="B411" s="159">
        <v>2015</v>
      </c>
      <c r="C411" s="161">
        <v>48273.186000000002</v>
      </c>
      <c r="D411" s="161">
        <v>20659.644</v>
      </c>
      <c r="E411" s="161">
        <v>11656.255999999999</v>
      </c>
      <c r="F411" s="161">
        <v>0</v>
      </c>
      <c r="G411" s="161">
        <v>523.47900000000004</v>
      </c>
      <c r="H411" s="161">
        <v>-28.719000000000001</v>
      </c>
      <c r="I411" s="161">
        <v>8970.1747655488707</v>
      </c>
      <c r="J411" s="161">
        <v>80589.085999999996</v>
      </c>
      <c r="K411" s="161">
        <v>90054.020765548878</v>
      </c>
      <c r="L411" s="162">
        <v>14095.62</v>
      </c>
      <c r="M411" s="162">
        <v>30992.7383832999</v>
      </c>
      <c r="N411" s="162">
        <v>16556.733</v>
      </c>
      <c r="O411" s="162">
        <v>653.428</v>
      </c>
      <c r="P411" s="162">
        <v>17210.161</v>
      </c>
      <c r="Q411" s="162">
        <v>62298.519383299907</v>
      </c>
      <c r="R411" s="162">
        <v>63569.261026009757</v>
      </c>
    </row>
    <row r="412" spans="1:18">
      <c r="A412" t="s">
        <v>185</v>
      </c>
      <c r="B412" s="159">
        <v>2016</v>
      </c>
      <c r="C412" s="161">
        <v>49441.303</v>
      </c>
      <c r="D412" s="161">
        <v>23199.852999999999</v>
      </c>
      <c r="E412" s="161">
        <v>12525.065000000001</v>
      </c>
      <c r="F412" s="161">
        <v>0</v>
      </c>
      <c r="G412" s="161">
        <v>741.52099999999996</v>
      </c>
      <c r="H412" s="161">
        <v>171.88300000000001</v>
      </c>
      <c r="I412" s="161">
        <v>8752.7824270564597</v>
      </c>
      <c r="J412" s="161">
        <v>85166.221000000005</v>
      </c>
      <c r="K412" s="161">
        <v>94832.40742705646</v>
      </c>
      <c r="L412" s="162">
        <v>14652.42</v>
      </c>
      <c r="M412" s="162">
        <v>32708.776248017599</v>
      </c>
      <c r="N412" s="162">
        <v>18782.749</v>
      </c>
      <c r="O412" s="162">
        <v>457.41699999999997</v>
      </c>
      <c r="P412" s="162">
        <v>19240.166000000001</v>
      </c>
      <c r="Q412" s="162">
        <v>66601.362248017598</v>
      </c>
      <c r="R412" s="162">
        <v>67959.871652535599</v>
      </c>
    </row>
    <row r="413" spans="1:18">
      <c r="A413" t="s">
        <v>185</v>
      </c>
      <c r="B413" s="159">
        <v>2017</v>
      </c>
      <c r="C413" s="161">
        <v>49568.038</v>
      </c>
      <c r="D413" s="161">
        <v>26311.606</v>
      </c>
      <c r="E413" s="161">
        <v>13265.44</v>
      </c>
      <c r="F413" s="161">
        <v>0</v>
      </c>
      <c r="G413" s="161">
        <v>870.24199999999996</v>
      </c>
      <c r="H413" s="161">
        <v>196.64699999999999</v>
      </c>
      <c r="I413" s="161">
        <v>8863.6870130887492</v>
      </c>
      <c r="J413" s="161">
        <v>89145.084000000003</v>
      </c>
      <c r="K413" s="161">
        <v>99075.660013088753</v>
      </c>
      <c r="L413" s="162">
        <v>15819.88</v>
      </c>
      <c r="M413" s="162">
        <v>32796.287258526798</v>
      </c>
      <c r="N413" s="162">
        <v>21677.482</v>
      </c>
      <c r="O413" s="162">
        <v>604.88699999999994</v>
      </c>
      <c r="P413" s="162">
        <v>22282.368999999999</v>
      </c>
      <c r="Q413" s="162">
        <v>70898.536258526787</v>
      </c>
      <c r="R413" s="162">
        <v>72344.697793708227</v>
      </c>
    </row>
    <row r="414" spans="1:18">
      <c r="A414" t="s">
        <v>185</v>
      </c>
      <c r="B414" s="159">
        <v>2018</v>
      </c>
      <c r="C414" s="161">
        <v>49147.682999999997</v>
      </c>
      <c r="D414" s="161">
        <v>27214.870999999999</v>
      </c>
      <c r="E414" s="161">
        <v>14124.726000000001</v>
      </c>
      <c r="F414" s="161">
        <v>0</v>
      </c>
      <c r="G414" s="161">
        <v>1010.755</v>
      </c>
      <c r="H414" s="161">
        <v>489.63900000000001</v>
      </c>
      <c r="I414" s="161">
        <v>12071.084814273399</v>
      </c>
      <c r="J414" s="161">
        <v>90487.28</v>
      </c>
      <c r="K414" s="161">
        <v>104058.7588142734</v>
      </c>
      <c r="L414" s="162">
        <v>16327.934999999999</v>
      </c>
      <c r="M414" s="162">
        <v>35195.494477022999</v>
      </c>
      <c r="N414" s="162">
        <v>22443.383000000002</v>
      </c>
      <c r="O414" s="162">
        <v>912.404</v>
      </c>
      <c r="P414" s="162">
        <v>23355.787</v>
      </c>
      <c r="Q414" s="162">
        <v>74879.216477023001</v>
      </c>
      <c r="R414" s="162">
        <v>76406.574422167774</v>
      </c>
    </row>
    <row r="415" spans="1:18">
      <c r="A415" t="s">
        <v>185</v>
      </c>
      <c r="B415" s="159">
        <v>2019</v>
      </c>
      <c r="C415" s="161">
        <v>43775.862000000001</v>
      </c>
      <c r="D415" s="161">
        <v>27637.011999999999</v>
      </c>
      <c r="E415" s="161">
        <v>14356.888000000001</v>
      </c>
      <c r="F415" s="161">
        <v>0</v>
      </c>
      <c r="G415" s="161">
        <v>1064.78</v>
      </c>
      <c r="H415" s="161">
        <v>913.41099999999994</v>
      </c>
      <c r="I415" s="161">
        <v>12446.855814082301</v>
      </c>
      <c r="J415" s="161">
        <v>85769.762000000002</v>
      </c>
      <c r="K415" s="161">
        <v>100194.80881408229</v>
      </c>
      <c r="L415" s="162">
        <v>16492.204000000002</v>
      </c>
      <c r="M415" s="162">
        <v>33379.842557561897</v>
      </c>
      <c r="N415" s="162">
        <v>22833.304</v>
      </c>
      <c r="O415" s="162">
        <v>1025.104</v>
      </c>
      <c r="P415" s="162">
        <v>23858.407999999999</v>
      </c>
      <c r="Q415" s="162">
        <v>73730.454557561898</v>
      </c>
      <c r="R415" s="162">
        <v>75234.380491431453</v>
      </c>
    </row>
    <row r="416" spans="1:18">
      <c r="A416" t="s">
        <v>185</v>
      </c>
      <c r="B416" s="159">
        <v>2020</v>
      </c>
      <c r="C416" s="161">
        <v>40806.985999999997</v>
      </c>
      <c r="D416" s="161">
        <v>25800.953000000001</v>
      </c>
      <c r="E416" s="161">
        <v>15388.624</v>
      </c>
      <c r="F416" s="161">
        <v>0</v>
      </c>
      <c r="G416" s="161">
        <v>1049.9480000000001</v>
      </c>
      <c r="H416" s="161">
        <v>1140.76</v>
      </c>
      <c r="I416" s="161">
        <v>12652.7137631604</v>
      </c>
      <c r="J416" s="161">
        <v>81996.562999999995</v>
      </c>
      <c r="K416" s="161">
        <v>96839.984763160392</v>
      </c>
      <c r="L416" s="162">
        <v>15921.165000000001</v>
      </c>
      <c r="M416" s="162">
        <v>32968.482098309003</v>
      </c>
      <c r="N416" s="162">
        <v>21196.263000000003</v>
      </c>
      <c r="O416" s="162">
        <v>1039.5309999999999</v>
      </c>
      <c r="P416" s="162">
        <v>22235.794000000002</v>
      </c>
      <c r="Q416" s="162">
        <v>71125.441098309006</v>
      </c>
      <c r="R416" s="162">
        <v>72576.230952617421</v>
      </c>
    </row>
    <row r="417" spans="1:18">
      <c r="A417" t="s">
        <v>185</v>
      </c>
      <c r="B417" s="159">
        <v>2021</v>
      </c>
      <c r="C417" s="161">
        <v>45802.805</v>
      </c>
      <c r="D417" s="161">
        <v>28101.704000000002</v>
      </c>
      <c r="E417" s="161">
        <v>16273.352999999999</v>
      </c>
      <c r="F417" s="161">
        <v>0</v>
      </c>
      <c r="G417" s="161">
        <v>993.53599999999994</v>
      </c>
      <c r="H417" s="161">
        <v>76.334999999999994</v>
      </c>
      <c r="I417" s="161">
        <v>12710.904887073701</v>
      </c>
      <c r="J417" s="161">
        <v>90177.862000000008</v>
      </c>
      <c r="K417" s="161">
        <v>103958.63788707371</v>
      </c>
      <c r="L417" s="162">
        <v>16274.111999999999</v>
      </c>
      <c r="M417" s="162">
        <v>34786.6675133276</v>
      </c>
      <c r="N417" s="162">
        <v>22981.512000000002</v>
      </c>
      <c r="O417" s="162">
        <v>1119.6869999999999</v>
      </c>
      <c r="P417" s="162">
        <v>24101.199000000001</v>
      </c>
      <c r="Q417" s="162">
        <v>75161.978513327602</v>
      </c>
      <c r="R417" s="162">
        <v>76695.104131573855</v>
      </c>
    </row>
    <row r="418" spans="1:18">
      <c r="A418" t="s">
        <v>185</v>
      </c>
      <c r="B418" s="159">
        <v>2022</v>
      </c>
      <c r="C418" s="161">
        <v>42024.031999999999</v>
      </c>
      <c r="D418" s="161">
        <v>29226.232</v>
      </c>
      <c r="E418" s="161">
        <v>13344.42</v>
      </c>
      <c r="F418" s="161">
        <v>0</v>
      </c>
      <c r="G418" s="161">
        <v>1026.5719999999999</v>
      </c>
      <c r="H418" s="161">
        <v>-144.22300000000001</v>
      </c>
      <c r="I418" s="161">
        <v>13124.185691602201</v>
      </c>
      <c r="J418" s="161">
        <v>84594.683999999994</v>
      </c>
      <c r="K418" s="161">
        <v>98601.218691602204</v>
      </c>
      <c r="L418" s="162">
        <v>15074.146000000001</v>
      </c>
      <c r="M418" s="162">
        <v>32480.2934409095</v>
      </c>
      <c r="N418" s="162">
        <v>23674.309000000001</v>
      </c>
      <c r="O418" s="162">
        <v>1203.421</v>
      </c>
      <c r="P418" s="162">
        <v>24877.73</v>
      </c>
      <c r="Q418" s="162">
        <v>72432.169440909507</v>
      </c>
      <c r="R418" s="162">
        <v>73909.61344586371</v>
      </c>
    </row>
    <row r="419" spans="1:18">
      <c r="A419" t="s">
        <v>185</v>
      </c>
      <c r="B419" s="159">
        <v>2023</v>
      </c>
      <c r="C419" s="161">
        <v>35468.702057393377</v>
      </c>
      <c r="D419" s="161">
        <v>29294.221180442084</v>
      </c>
      <c r="E419" s="161">
        <v>14045.956415847324</v>
      </c>
      <c r="F419" s="161">
        <v>0</v>
      </c>
      <c r="G419" s="161">
        <v>1026.5719999999999</v>
      </c>
      <c r="H419" s="161">
        <v>-144.22300000000001</v>
      </c>
      <c r="I419" s="161">
        <v>13312.22424233309</v>
      </c>
      <c r="J419" s="161">
        <v>78808.879653682787</v>
      </c>
      <c r="K419" s="161">
        <v>93003.452896015879</v>
      </c>
      <c r="L419" s="162">
        <v>13679.633770983331</v>
      </c>
      <c r="M419" s="162">
        <v>32480.2934409095</v>
      </c>
      <c r="N419" s="162">
        <v>24152.654680216139</v>
      </c>
      <c r="O419" s="162">
        <v>1263.0144999999902</v>
      </c>
      <c r="P419" s="162">
        <v>25415.669180216129</v>
      </c>
      <c r="Q419" s="162">
        <v>71575.596392108957</v>
      </c>
      <c r="R419" s="162">
        <v>73035.568343892242</v>
      </c>
    </row>
    <row r="420" spans="1:18">
      <c r="A420" t="s">
        <v>149</v>
      </c>
      <c r="B420" s="157">
        <v>2005</v>
      </c>
      <c r="C420" s="158">
        <v>3349.0680000000002</v>
      </c>
      <c r="D420" s="158">
        <v>13550.040999999999</v>
      </c>
      <c r="E420" s="158">
        <v>3750.6880000000001</v>
      </c>
      <c r="F420" s="158">
        <v>0</v>
      </c>
      <c r="G420" s="158">
        <v>140.059</v>
      </c>
      <c r="H420" s="158">
        <v>586.75800000000004</v>
      </c>
      <c r="I420" s="158">
        <v>3474.5140000000001</v>
      </c>
      <c r="J420" s="158">
        <v>20649.796999999999</v>
      </c>
      <c r="K420" s="158">
        <v>24851.128000000001</v>
      </c>
      <c r="L420" s="151">
        <v>5797.28</v>
      </c>
      <c r="M420" s="151">
        <v>6025.8270000000002</v>
      </c>
      <c r="N420" s="151">
        <v>7188.2039999999997</v>
      </c>
      <c r="O420" s="151">
        <v>0</v>
      </c>
      <c r="P420" s="151">
        <v>7188.2039999999997</v>
      </c>
      <c r="Q420" s="151">
        <v>19011.311000000002</v>
      </c>
      <c r="R420" s="151">
        <v>19535.246586040786</v>
      </c>
    </row>
    <row r="421" spans="1:18">
      <c r="A421" t="s">
        <v>149</v>
      </c>
      <c r="B421" s="157">
        <v>2006</v>
      </c>
      <c r="C421" s="158">
        <v>3309.087</v>
      </c>
      <c r="D421" s="158">
        <v>12269.503000000001</v>
      </c>
      <c r="E421" s="158">
        <v>3639.596</v>
      </c>
      <c r="F421" s="158">
        <v>0</v>
      </c>
      <c r="G421" s="158">
        <v>145.09899999999999</v>
      </c>
      <c r="H421" s="158">
        <v>467.84199999999998</v>
      </c>
      <c r="I421" s="158">
        <v>4212.5339999999997</v>
      </c>
      <c r="J421" s="158">
        <v>19218.186000000002</v>
      </c>
      <c r="K421" s="158">
        <v>24043.661</v>
      </c>
      <c r="L421" s="151">
        <v>5764.9210000000003</v>
      </c>
      <c r="M421" s="151">
        <v>5733.1559999999999</v>
      </c>
      <c r="N421" s="151">
        <v>7174.0170000000007</v>
      </c>
      <c r="O421" s="151">
        <v>71.628</v>
      </c>
      <c r="P421" s="151">
        <v>7245.6450000000004</v>
      </c>
      <c r="Q421" s="151">
        <v>18743.722000000002</v>
      </c>
      <c r="R421" s="151">
        <v>19260.283060447415</v>
      </c>
    </row>
    <row r="422" spans="1:18">
      <c r="A422" t="s">
        <v>149</v>
      </c>
      <c r="B422" s="157">
        <v>2007</v>
      </c>
      <c r="C422" s="158">
        <v>2887.0390000000002</v>
      </c>
      <c r="D422" s="158">
        <v>11908.361000000001</v>
      </c>
      <c r="E422" s="158">
        <v>3808.3620000000001</v>
      </c>
      <c r="F422" s="158">
        <v>0</v>
      </c>
      <c r="G422" s="158">
        <v>133.39500000000001</v>
      </c>
      <c r="H422" s="158">
        <v>643.85199999999998</v>
      </c>
      <c r="I422" s="158">
        <v>4480.6459999999997</v>
      </c>
      <c r="J422" s="158">
        <v>18603.762000000002</v>
      </c>
      <c r="K422" s="158">
        <v>23861.655000000002</v>
      </c>
      <c r="L422" s="151">
        <v>5846.3680000000004</v>
      </c>
      <c r="M422" s="151">
        <v>5766.25</v>
      </c>
      <c r="N422" s="151">
        <v>7224.2339999999995</v>
      </c>
      <c r="O422" s="151">
        <v>121.876</v>
      </c>
      <c r="P422" s="151">
        <v>7346.11</v>
      </c>
      <c r="Q422" s="151">
        <v>18958.727999999999</v>
      </c>
      <c r="R422" s="151">
        <v>19481.214443216242</v>
      </c>
    </row>
    <row r="423" spans="1:18">
      <c r="A423" t="s">
        <v>149</v>
      </c>
      <c r="B423" s="157">
        <v>2008</v>
      </c>
      <c r="C423" s="158">
        <v>2525.7570000000001</v>
      </c>
      <c r="D423" s="158">
        <v>11662.294</v>
      </c>
      <c r="E423" s="158">
        <v>4138.5209999999997</v>
      </c>
      <c r="F423" s="158">
        <v>0</v>
      </c>
      <c r="G423" s="158">
        <v>132.822</v>
      </c>
      <c r="H423" s="158">
        <v>810.92</v>
      </c>
      <c r="I423" s="158">
        <v>4329.3710000000001</v>
      </c>
      <c r="J423" s="158">
        <v>18326.572</v>
      </c>
      <c r="K423" s="158">
        <v>23599.684999999998</v>
      </c>
      <c r="L423" s="151">
        <v>5525.8729999999996</v>
      </c>
      <c r="M423" s="151">
        <v>5525.6469999999999</v>
      </c>
      <c r="N423" s="151">
        <v>7268.5650000000005</v>
      </c>
      <c r="O423" s="151">
        <v>125.566</v>
      </c>
      <c r="P423" s="151">
        <v>7394.1310000000003</v>
      </c>
      <c r="Q423" s="151">
        <v>18445.651000000002</v>
      </c>
      <c r="R423" s="151">
        <v>18953.997476820499</v>
      </c>
    </row>
    <row r="424" spans="1:18">
      <c r="A424" t="s">
        <v>149</v>
      </c>
      <c r="B424" s="157">
        <v>2009</v>
      </c>
      <c r="C424" s="158">
        <v>2861.1559999999999</v>
      </c>
      <c r="D424" s="158">
        <v>11214.311</v>
      </c>
      <c r="E424" s="158">
        <v>4217.2179999999998</v>
      </c>
      <c r="F424" s="158">
        <v>0</v>
      </c>
      <c r="G424" s="158">
        <v>139.67699999999999</v>
      </c>
      <c r="H424" s="158">
        <v>410.66199999999998</v>
      </c>
      <c r="I424" s="158">
        <v>4785.63</v>
      </c>
      <c r="J424" s="158">
        <v>18292.685000000001</v>
      </c>
      <c r="K424" s="158">
        <v>23628.654000000002</v>
      </c>
      <c r="L424" s="151">
        <v>5213.5959999999995</v>
      </c>
      <c r="M424" s="151">
        <v>5698.2560000000003</v>
      </c>
      <c r="N424" s="151">
        <v>7118.0429999999997</v>
      </c>
      <c r="O424" s="151">
        <v>208.095</v>
      </c>
      <c r="P424" s="151">
        <v>7326.1379999999999</v>
      </c>
      <c r="Q424" s="151">
        <v>18237.990000000002</v>
      </c>
      <c r="R424" s="151">
        <v>18740.613516014018</v>
      </c>
    </row>
    <row r="425" spans="1:18">
      <c r="A425" t="s">
        <v>149</v>
      </c>
      <c r="B425" s="157">
        <v>2010</v>
      </c>
      <c r="C425" s="158">
        <v>1657.624</v>
      </c>
      <c r="D425" s="158">
        <v>10664.986000000001</v>
      </c>
      <c r="E425" s="158">
        <v>4488.5209999999997</v>
      </c>
      <c r="F425" s="158">
        <v>0</v>
      </c>
      <c r="G425" s="158">
        <v>158.68899999999999</v>
      </c>
      <c r="H425" s="158">
        <v>225.53700000000001</v>
      </c>
      <c r="I425" s="158">
        <v>5459.1559999999999</v>
      </c>
      <c r="J425" s="158">
        <v>16811.131000000001</v>
      </c>
      <c r="K425" s="158">
        <v>22654.512999999999</v>
      </c>
      <c r="L425" s="151">
        <v>5456.0219999999999</v>
      </c>
      <c r="M425" s="151">
        <v>5347.8339999999998</v>
      </c>
      <c r="N425" s="151">
        <v>7034.6980000000003</v>
      </c>
      <c r="O425" s="151">
        <v>309.13</v>
      </c>
      <c r="P425" s="151">
        <v>7343.8280000000004</v>
      </c>
      <c r="Q425" s="151">
        <v>18147.684000000001</v>
      </c>
      <c r="R425" s="151">
        <v>18647.818759345268</v>
      </c>
    </row>
    <row r="426" spans="1:18">
      <c r="A426" t="s">
        <v>149</v>
      </c>
      <c r="B426" s="157">
        <v>2011</v>
      </c>
      <c r="C426" s="158">
        <v>2208.3850000000002</v>
      </c>
      <c r="D426" s="158">
        <v>9781.0930000000008</v>
      </c>
      <c r="E426" s="158">
        <v>4463.6499999999996</v>
      </c>
      <c r="F426" s="158">
        <v>0</v>
      </c>
      <c r="G426" s="158">
        <v>180.09</v>
      </c>
      <c r="H426" s="158">
        <v>241.874</v>
      </c>
      <c r="I426" s="158">
        <v>5137.875</v>
      </c>
      <c r="J426" s="158">
        <v>16453.128000000001</v>
      </c>
      <c r="K426" s="158">
        <v>22012.967000000001</v>
      </c>
      <c r="L426" s="151">
        <v>5351.6409999999996</v>
      </c>
      <c r="M426" s="151">
        <v>5087.3549999999996</v>
      </c>
      <c r="N426" s="151">
        <v>6624.2709999999997</v>
      </c>
      <c r="O426" s="151">
        <v>293.07600000000002</v>
      </c>
      <c r="P426" s="151">
        <v>6917.3469999999998</v>
      </c>
      <c r="Q426" s="151">
        <v>17356.343000000001</v>
      </c>
      <c r="R426" s="151">
        <v>17834.669073421759</v>
      </c>
    </row>
    <row r="427" spans="1:18">
      <c r="A427" t="s">
        <v>149</v>
      </c>
      <c r="B427" s="157">
        <v>2012</v>
      </c>
      <c r="C427" s="158">
        <v>2934.3510000000001</v>
      </c>
      <c r="D427" s="158">
        <v>8990.49</v>
      </c>
      <c r="E427" s="158">
        <v>3932.6309999999999</v>
      </c>
      <c r="F427" s="158">
        <v>0</v>
      </c>
      <c r="G427" s="158">
        <v>151.715</v>
      </c>
      <c r="H427" s="158">
        <v>678.84799999999996</v>
      </c>
      <c r="I427" s="158">
        <v>4354.5020000000004</v>
      </c>
      <c r="J427" s="158">
        <v>15857.472</v>
      </c>
      <c r="K427" s="158">
        <v>21042.537</v>
      </c>
      <c r="L427" s="151">
        <v>4606.1710000000003</v>
      </c>
      <c r="M427" s="151">
        <v>4974.1080000000002</v>
      </c>
      <c r="N427" s="151">
        <v>6181.3779999999997</v>
      </c>
      <c r="O427" s="151">
        <v>273.238</v>
      </c>
      <c r="P427" s="151">
        <v>6454.616</v>
      </c>
      <c r="Q427" s="151">
        <v>16034.895</v>
      </c>
      <c r="R427" s="151">
        <v>16476.803088765024</v>
      </c>
    </row>
    <row r="428" spans="1:18">
      <c r="A428" t="s">
        <v>149</v>
      </c>
      <c r="B428" s="159">
        <v>2013</v>
      </c>
      <c r="C428" s="161">
        <v>2650.1610000000001</v>
      </c>
      <c r="D428" s="161">
        <v>8921.7980000000007</v>
      </c>
      <c r="E428" s="161">
        <v>3755.8679999999999</v>
      </c>
      <c r="F428" s="161">
        <v>0</v>
      </c>
      <c r="G428" s="161">
        <v>169.53299999999999</v>
      </c>
      <c r="H428" s="161">
        <v>238.69300000000001</v>
      </c>
      <c r="I428" s="161">
        <v>5300.9139999999998</v>
      </c>
      <c r="J428" s="161">
        <v>15327.827000000001</v>
      </c>
      <c r="K428" s="161">
        <v>21036.967000000001</v>
      </c>
      <c r="L428" s="162">
        <v>4598.6469999999999</v>
      </c>
      <c r="M428" s="162">
        <v>4874.2020000000002</v>
      </c>
      <c r="N428" s="162">
        <v>6107.7440000000006</v>
      </c>
      <c r="O428" s="162">
        <v>261.30200000000002</v>
      </c>
      <c r="P428" s="162">
        <v>6369.0460000000003</v>
      </c>
      <c r="Q428" s="162">
        <v>15841.895</v>
      </c>
      <c r="R428" s="162">
        <v>16278.484172667871</v>
      </c>
    </row>
    <row r="429" spans="1:18">
      <c r="A429" t="s">
        <v>149</v>
      </c>
      <c r="B429" s="159">
        <v>2014</v>
      </c>
      <c r="C429" s="161">
        <v>2680.395</v>
      </c>
      <c r="D429" s="161">
        <v>8767.0720000000001</v>
      </c>
      <c r="E429" s="161">
        <v>3473.3449999999998</v>
      </c>
      <c r="F429" s="161">
        <v>0</v>
      </c>
      <c r="G429" s="161">
        <v>169.96299999999999</v>
      </c>
      <c r="H429" s="161">
        <v>77.644000000000005</v>
      </c>
      <c r="I429" s="161">
        <v>5512.6336337059201</v>
      </c>
      <c r="J429" s="161">
        <v>14920.812</v>
      </c>
      <c r="K429" s="161">
        <v>20681.05263370592</v>
      </c>
      <c r="L429" s="162">
        <v>4405.4989999999998</v>
      </c>
      <c r="M429" s="162">
        <v>4921.6116337059202</v>
      </c>
      <c r="N429" s="162">
        <v>6169.5060000000003</v>
      </c>
      <c r="O429" s="162">
        <v>261.16399999999999</v>
      </c>
      <c r="P429" s="162">
        <v>6430.67</v>
      </c>
      <c r="Q429" s="162">
        <v>15757.780633705919</v>
      </c>
      <c r="R429" s="162">
        <v>16192.051685871804</v>
      </c>
    </row>
    <row r="430" spans="1:18">
      <c r="A430" t="s">
        <v>149</v>
      </c>
      <c r="B430" s="159">
        <v>2015</v>
      </c>
      <c r="C430" s="161">
        <v>3258.2829999999999</v>
      </c>
      <c r="D430" s="161">
        <v>9024.7340000000004</v>
      </c>
      <c r="E430" s="161">
        <v>4050.8820000000001</v>
      </c>
      <c r="F430" s="161">
        <v>0</v>
      </c>
      <c r="G430" s="161">
        <v>155.13</v>
      </c>
      <c r="H430" s="161">
        <v>194.84100000000001</v>
      </c>
      <c r="I430" s="161">
        <v>4965.6064373746003</v>
      </c>
      <c r="J430" s="161">
        <v>16333.898999999999</v>
      </c>
      <c r="K430" s="161">
        <v>21649.4764373746</v>
      </c>
      <c r="L430" s="162">
        <v>4411.5209999999997</v>
      </c>
      <c r="M430" s="162">
        <v>4983.2884373746001</v>
      </c>
      <c r="N430" s="162">
        <v>6274.991</v>
      </c>
      <c r="O430" s="162">
        <v>326.74299999999999</v>
      </c>
      <c r="P430" s="162">
        <v>6601.7340000000004</v>
      </c>
      <c r="Q430" s="162">
        <v>15996.543437374601</v>
      </c>
      <c r="R430" s="162">
        <v>16437.394589643256</v>
      </c>
    </row>
    <row r="431" spans="1:18">
      <c r="A431" t="s">
        <v>149</v>
      </c>
      <c r="B431" s="159">
        <v>2016</v>
      </c>
      <c r="C431" s="161">
        <v>2846.4470000000001</v>
      </c>
      <c r="D431" s="161">
        <v>9200.9719999999998</v>
      </c>
      <c r="E431" s="161">
        <v>4322.8429999999998</v>
      </c>
      <c r="F431" s="161">
        <v>0</v>
      </c>
      <c r="G431" s="161">
        <v>197.59899999999999</v>
      </c>
      <c r="H431" s="161">
        <v>-437.23099999999999</v>
      </c>
      <c r="I431" s="161">
        <v>5625.3351729244196</v>
      </c>
      <c r="J431" s="161">
        <v>16370.261999999999</v>
      </c>
      <c r="K431" s="161">
        <v>21755.965172924418</v>
      </c>
      <c r="L431" s="162">
        <v>4381.4470000000001</v>
      </c>
      <c r="M431" s="162">
        <v>4963.8891729244197</v>
      </c>
      <c r="N431" s="162">
        <v>6575.1270000000004</v>
      </c>
      <c r="O431" s="162">
        <v>265.101</v>
      </c>
      <c r="P431" s="162">
        <v>6840.2280000000001</v>
      </c>
      <c r="Q431" s="162">
        <v>16185.56417292442</v>
      </c>
      <c r="R431" s="162">
        <v>16631.624576141319</v>
      </c>
    </row>
    <row r="432" spans="1:18">
      <c r="A432" t="s">
        <v>149</v>
      </c>
      <c r="B432" s="159">
        <v>2017</v>
      </c>
      <c r="C432" s="161">
        <v>3227.1480000000001</v>
      </c>
      <c r="D432" s="161">
        <v>9382.5889999999999</v>
      </c>
      <c r="E432" s="161">
        <v>5415.3959999999997</v>
      </c>
      <c r="F432" s="161">
        <v>0</v>
      </c>
      <c r="G432" s="161">
        <v>188.506</v>
      </c>
      <c r="H432" s="161">
        <v>-230.78</v>
      </c>
      <c r="I432" s="161">
        <v>4831.9023562625298</v>
      </c>
      <c r="J432" s="161">
        <v>18025.133000000002</v>
      </c>
      <c r="K432" s="161">
        <v>22814.761356262534</v>
      </c>
      <c r="L432" s="162">
        <v>4525.2969999999996</v>
      </c>
      <c r="M432" s="162">
        <v>4962.1843562625299</v>
      </c>
      <c r="N432" s="162">
        <v>6826.47</v>
      </c>
      <c r="O432" s="162">
        <v>242.86199999999999</v>
      </c>
      <c r="P432" s="162">
        <v>7069.3320000000003</v>
      </c>
      <c r="Q432" s="162">
        <v>16556.81335626253</v>
      </c>
      <c r="R432" s="162">
        <v>17013.105071693481</v>
      </c>
    </row>
    <row r="433" spans="1:18">
      <c r="A433" t="s">
        <v>149</v>
      </c>
      <c r="B433" s="159">
        <v>2018</v>
      </c>
      <c r="C433" s="161">
        <v>2696.2049999999999</v>
      </c>
      <c r="D433" s="161">
        <v>9520.0609999999997</v>
      </c>
      <c r="E433" s="161">
        <v>5043.47</v>
      </c>
      <c r="F433" s="161">
        <v>0</v>
      </c>
      <c r="G433" s="161">
        <v>173.684</v>
      </c>
      <c r="H433" s="161">
        <v>-228.458</v>
      </c>
      <c r="I433" s="161">
        <v>5459.2173984904803</v>
      </c>
      <c r="J433" s="161">
        <v>17259.736000000001</v>
      </c>
      <c r="K433" s="161">
        <v>22664.179398490483</v>
      </c>
      <c r="L433" s="162">
        <v>4553.9009999999998</v>
      </c>
      <c r="M433" s="162">
        <v>5101.3333984904802</v>
      </c>
      <c r="N433" s="162">
        <v>6949.0529999999999</v>
      </c>
      <c r="O433" s="162">
        <v>262.399</v>
      </c>
      <c r="P433" s="162">
        <v>7211.4520000000002</v>
      </c>
      <c r="Q433" s="162">
        <v>16866.686398490478</v>
      </c>
      <c r="R433" s="162">
        <v>17331.517951809408</v>
      </c>
    </row>
    <row r="434" spans="1:18">
      <c r="A434" t="s">
        <v>149</v>
      </c>
      <c r="B434" s="159">
        <v>2019</v>
      </c>
      <c r="C434" s="161">
        <v>1248.145</v>
      </c>
      <c r="D434" s="161">
        <v>9668.0360000000001</v>
      </c>
      <c r="E434" s="161">
        <v>5302.6679999999997</v>
      </c>
      <c r="F434" s="161">
        <v>0</v>
      </c>
      <c r="G434" s="161">
        <v>179.453</v>
      </c>
      <c r="H434" s="161">
        <v>292.27600000000001</v>
      </c>
      <c r="I434" s="161">
        <v>5378.8895114168199</v>
      </c>
      <c r="J434" s="161">
        <v>16218.849</v>
      </c>
      <c r="K434" s="161">
        <v>22069.46751141682</v>
      </c>
      <c r="L434" s="162">
        <v>4618.1279999999997</v>
      </c>
      <c r="M434" s="162">
        <v>5072.7305114168203</v>
      </c>
      <c r="N434" s="162">
        <v>7168.7219999999998</v>
      </c>
      <c r="O434" s="162">
        <v>272.09300000000002</v>
      </c>
      <c r="P434" s="162">
        <v>7440.8149999999996</v>
      </c>
      <c r="Q434" s="162">
        <v>17131.673511416819</v>
      </c>
      <c r="R434" s="162">
        <v>17603.80788453099</v>
      </c>
    </row>
    <row r="435" spans="1:18">
      <c r="A435" t="s">
        <v>149</v>
      </c>
      <c r="B435" s="159">
        <v>2020</v>
      </c>
      <c r="C435" s="161">
        <v>565.73500000000001</v>
      </c>
      <c r="D435" s="161">
        <v>7820.27</v>
      </c>
      <c r="E435" s="161">
        <v>5147.9229999999998</v>
      </c>
      <c r="F435" s="161">
        <v>0</v>
      </c>
      <c r="G435" s="161">
        <v>187.125</v>
      </c>
      <c r="H435" s="161">
        <v>125.21599999999999</v>
      </c>
      <c r="I435" s="161">
        <v>5650.9241199961698</v>
      </c>
      <c r="J435" s="161">
        <v>13533.928</v>
      </c>
      <c r="K435" s="161">
        <v>19497.193119996169</v>
      </c>
      <c r="L435" s="162">
        <v>4447.5389999999998</v>
      </c>
      <c r="M435" s="162">
        <v>4987.4981199961703</v>
      </c>
      <c r="N435" s="162">
        <v>5282.83</v>
      </c>
      <c r="O435" s="162">
        <v>243.22900000000001</v>
      </c>
      <c r="P435" s="162">
        <v>5526.0590000000002</v>
      </c>
      <c r="Q435" s="162">
        <v>14961.096119996171</v>
      </c>
      <c r="R435" s="162">
        <v>15373.411223538622</v>
      </c>
    </row>
    <row r="436" spans="1:18">
      <c r="A436" t="s">
        <v>149</v>
      </c>
      <c r="B436" s="159">
        <v>2021</v>
      </c>
      <c r="C436" s="161">
        <v>195.59800000000001</v>
      </c>
      <c r="D436" s="161">
        <v>7942.0950000000003</v>
      </c>
      <c r="E436" s="161">
        <v>4916.6189999999997</v>
      </c>
      <c r="F436" s="161">
        <v>0</v>
      </c>
      <c r="G436" s="161">
        <v>186.66399999999999</v>
      </c>
      <c r="H436" s="161">
        <v>408.68299999999999</v>
      </c>
      <c r="I436" s="161">
        <v>5882.0674899206897</v>
      </c>
      <c r="J436" s="161">
        <v>13054.312</v>
      </c>
      <c r="K436" s="161">
        <v>19531.726489920689</v>
      </c>
      <c r="L436" s="162">
        <v>4531.067</v>
      </c>
      <c r="M436" s="162">
        <v>5018.1014899206903</v>
      </c>
      <c r="N436" s="162">
        <v>5793.701</v>
      </c>
      <c r="O436" s="162">
        <v>340.233</v>
      </c>
      <c r="P436" s="162">
        <v>6133.9340000000002</v>
      </c>
      <c r="Q436" s="162">
        <v>15683.10248992069</v>
      </c>
      <c r="R436" s="162">
        <v>16115.315475863337</v>
      </c>
    </row>
    <row r="437" spans="1:18">
      <c r="A437" t="s">
        <v>149</v>
      </c>
      <c r="B437" s="159">
        <v>2022</v>
      </c>
      <c r="C437" s="161">
        <v>6.7960000000000003</v>
      </c>
      <c r="D437" s="161">
        <v>9355.7350000000006</v>
      </c>
      <c r="E437" s="161">
        <v>4768.625</v>
      </c>
      <c r="F437" s="161">
        <v>0</v>
      </c>
      <c r="G437" s="161">
        <v>170.86500000000001</v>
      </c>
      <c r="H437" s="161">
        <v>795.65099999999995</v>
      </c>
      <c r="I437" s="161">
        <v>5668.0881776057904</v>
      </c>
      <c r="J437" s="161">
        <v>14131.156000000001</v>
      </c>
      <c r="K437" s="161">
        <v>20765.760177605793</v>
      </c>
      <c r="L437" s="162">
        <v>4496.5420000000004</v>
      </c>
      <c r="M437" s="162">
        <v>5030.0931776057896</v>
      </c>
      <c r="N437" s="162">
        <v>6843.0239999999994</v>
      </c>
      <c r="O437" s="162">
        <v>341.113</v>
      </c>
      <c r="P437" s="162">
        <v>7184.1369999999997</v>
      </c>
      <c r="Q437" s="162">
        <v>16710.772177605788</v>
      </c>
      <c r="R437" s="162">
        <v>17171.306867405347</v>
      </c>
    </row>
    <row r="438" spans="1:18">
      <c r="A438" t="s">
        <v>149</v>
      </c>
      <c r="B438" s="159">
        <v>2023</v>
      </c>
      <c r="C438" s="161">
        <v>4.8543899506119823</v>
      </c>
      <c r="D438" s="161">
        <v>8963.9499980015989</v>
      </c>
      <c r="E438" s="161">
        <v>3822.9096540799292</v>
      </c>
      <c r="F438" s="161">
        <v>0</v>
      </c>
      <c r="G438" s="161">
        <v>162.1800403842557</v>
      </c>
      <c r="H438" s="161">
        <v>1113.6183333334047</v>
      </c>
      <c r="I438" s="161">
        <v>5975.8225885200472</v>
      </c>
      <c r="J438" s="161">
        <v>12791.714042032139</v>
      </c>
      <c r="K438" s="161">
        <v>20043.335004269848</v>
      </c>
      <c r="L438" s="162">
        <v>4496.5420000000004</v>
      </c>
      <c r="M438" s="162">
        <v>5030.0931776057896</v>
      </c>
      <c r="N438" s="162">
        <v>7254.4725861451707</v>
      </c>
      <c r="O438" s="162">
        <v>342.08266267308755</v>
      </c>
      <c r="P438" s="162">
        <v>7596.5552488182584</v>
      </c>
      <c r="Q438" s="162">
        <v>17123.190426424051</v>
      </c>
      <c r="R438" s="162">
        <v>17595.091012919976</v>
      </c>
    </row>
    <row r="439" spans="1:18">
      <c r="A439" t="s">
        <v>186</v>
      </c>
      <c r="B439" s="157">
        <v>2005</v>
      </c>
      <c r="C439" s="158">
        <v>8757.0589999999993</v>
      </c>
      <c r="D439" s="158">
        <v>8243.3449999999993</v>
      </c>
      <c r="E439" s="158">
        <v>12850.322</v>
      </c>
      <c r="F439" s="158">
        <v>1432.932</v>
      </c>
      <c r="G439" s="158">
        <v>85.364000000000004</v>
      </c>
      <c r="H439" s="158">
        <v>-249.613</v>
      </c>
      <c r="I439" s="158">
        <v>4940.348</v>
      </c>
      <c r="J439" s="158">
        <v>29850.725999999999</v>
      </c>
      <c r="K439" s="158">
        <v>36059.756999999998</v>
      </c>
      <c r="L439" s="151">
        <v>8997.6509999999998</v>
      </c>
      <c r="M439" s="151">
        <v>11321.284</v>
      </c>
      <c r="N439" s="151">
        <v>4280.4340000000002</v>
      </c>
      <c r="O439" s="151">
        <v>0.66900000000000004</v>
      </c>
      <c r="P439" s="151">
        <v>4281.1030000000001</v>
      </c>
      <c r="Q439" s="151">
        <v>24600.038</v>
      </c>
      <c r="R439" s="151">
        <v>25433.262672806053</v>
      </c>
    </row>
    <row r="440" spans="1:18">
      <c r="A440" t="s">
        <v>186</v>
      </c>
      <c r="B440" s="157">
        <v>2006</v>
      </c>
      <c r="C440" s="158">
        <v>9485.4490000000005</v>
      </c>
      <c r="D440" s="158">
        <v>8628.17</v>
      </c>
      <c r="E440" s="158">
        <v>13472.807000000001</v>
      </c>
      <c r="F440" s="158">
        <v>1452.7940000000001</v>
      </c>
      <c r="G440" s="158">
        <v>80.897000000000006</v>
      </c>
      <c r="H440" s="158">
        <v>-367.41199999999998</v>
      </c>
      <c r="I440" s="158">
        <v>4780.8879999999999</v>
      </c>
      <c r="J440" s="158">
        <v>31586.425999999999</v>
      </c>
      <c r="K440" s="158">
        <v>37533.593000000001</v>
      </c>
      <c r="L440" s="151">
        <v>8653.8019999999997</v>
      </c>
      <c r="M440" s="151">
        <v>11690.213</v>
      </c>
      <c r="N440" s="151">
        <v>4423.6000000000004</v>
      </c>
      <c r="O440" s="151">
        <v>0.59699999999999998</v>
      </c>
      <c r="P440" s="151">
        <v>4424.1970000000001</v>
      </c>
      <c r="Q440" s="151">
        <v>24768.212</v>
      </c>
      <c r="R440" s="151">
        <v>25607.132872386086</v>
      </c>
    </row>
    <row r="441" spans="1:18">
      <c r="A441" t="s">
        <v>186</v>
      </c>
      <c r="B441" s="157">
        <v>2007</v>
      </c>
      <c r="C441" s="158">
        <v>10086.897999999999</v>
      </c>
      <c r="D441" s="158">
        <v>8774.0030000000006</v>
      </c>
      <c r="E441" s="158">
        <v>11914.295</v>
      </c>
      <c r="F441" s="158">
        <v>1988.5640000000001</v>
      </c>
      <c r="G441" s="158">
        <v>105.761</v>
      </c>
      <c r="H441" s="158">
        <v>-179.708</v>
      </c>
      <c r="I441" s="158">
        <v>4747.7860000000001</v>
      </c>
      <c r="J441" s="158">
        <v>30775.195999999996</v>
      </c>
      <c r="K441" s="158">
        <v>37437.598999999995</v>
      </c>
      <c r="L441" s="151">
        <v>8336.5709999999999</v>
      </c>
      <c r="M441" s="151">
        <v>11097.148999999999</v>
      </c>
      <c r="N441" s="151">
        <v>4660.3059999999996</v>
      </c>
      <c r="O441" s="151">
        <v>41.817</v>
      </c>
      <c r="P441" s="151">
        <v>4702.1229999999996</v>
      </c>
      <c r="Q441" s="151">
        <v>24135.843000000001</v>
      </c>
      <c r="R441" s="151">
        <v>24953.344984613734</v>
      </c>
    </row>
    <row r="442" spans="1:18">
      <c r="A442" t="s">
        <v>186</v>
      </c>
      <c r="B442" s="157">
        <v>2008</v>
      </c>
      <c r="C442" s="158">
        <v>9565.5939999999991</v>
      </c>
      <c r="D442" s="158">
        <v>8590.5010000000002</v>
      </c>
      <c r="E442" s="158">
        <v>11215.004000000001</v>
      </c>
      <c r="F442" s="158">
        <v>2895.7869999999998</v>
      </c>
      <c r="G442" s="158">
        <v>74.83</v>
      </c>
      <c r="H442" s="158">
        <v>-365.262</v>
      </c>
      <c r="I442" s="158">
        <v>5343.3670000000002</v>
      </c>
      <c r="J442" s="158">
        <v>29371.099000000002</v>
      </c>
      <c r="K442" s="158">
        <v>37319.821000000004</v>
      </c>
      <c r="L442" s="151">
        <v>8318.6810000000005</v>
      </c>
      <c r="M442" s="151">
        <v>11069.286</v>
      </c>
      <c r="N442" s="151">
        <v>5187.7079999999996</v>
      </c>
      <c r="O442" s="151">
        <v>107.265</v>
      </c>
      <c r="P442" s="151">
        <v>5294.973</v>
      </c>
      <c r="Q442" s="151">
        <v>24682.940000000002</v>
      </c>
      <c r="R442" s="151">
        <v>25518.972635615908</v>
      </c>
    </row>
    <row r="443" spans="1:18">
      <c r="A443" t="s">
        <v>186</v>
      </c>
      <c r="B443" s="157">
        <v>2009</v>
      </c>
      <c r="C443" s="158">
        <v>7528.5349999999999</v>
      </c>
      <c r="D443" s="158">
        <v>7232.5659999999998</v>
      </c>
      <c r="E443" s="158">
        <v>9813.6929999999993</v>
      </c>
      <c r="F443" s="158">
        <v>2979.6</v>
      </c>
      <c r="G443" s="158">
        <v>21.114000000000001</v>
      </c>
      <c r="H443" s="158">
        <v>-197.334</v>
      </c>
      <c r="I443" s="158">
        <v>5268.5360000000001</v>
      </c>
      <c r="J443" s="158">
        <v>24574.793999999998</v>
      </c>
      <c r="K443" s="158">
        <v>32646.71</v>
      </c>
      <c r="L443" s="151">
        <v>6144.6260000000002</v>
      </c>
      <c r="M443" s="151">
        <v>10682.331</v>
      </c>
      <c r="N443" s="151">
        <v>5254.1219999999994</v>
      </c>
      <c r="O443" s="151">
        <v>163.01499999999999</v>
      </c>
      <c r="P443" s="151">
        <v>5417.1369999999997</v>
      </c>
      <c r="Q443" s="151">
        <v>22244.093999999997</v>
      </c>
      <c r="R443" s="151">
        <v>22997.520801414576</v>
      </c>
    </row>
    <row r="444" spans="1:18">
      <c r="A444" t="s">
        <v>186</v>
      </c>
      <c r="B444" s="157">
        <v>2010</v>
      </c>
      <c r="C444" s="158">
        <v>6957.107</v>
      </c>
      <c r="D444" s="158">
        <v>7347.1350000000002</v>
      </c>
      <c r="E444" s="158">
        <v>10025.967000000001</v>
      </c>
      <c r="F444" s="158">
        <v>2922.83</v>
      </c>
      <c r="G444" s="158">
        <v>30.477</v>
      </c>
      <c r="H444" s="158">
        <v>-195.529</v>
      </c>
      <c r="I444" s="158">
        <v>5860.59</v>
      </c>
      <c r="J444" s="158">
        <v>24330.209000000003</v>
      </c>
      <c r="K444" s="158">
        <v>32948.577000000005</v>
      </c>
      <c r="L444" s="151">
        <v>6484.1949999999997</v>
      </c>
      <c r="M444" s="151">
        <v>10923.544</v>
      </c>
      <c r="N444" s="151">
        <v>5015.9229999999998</v>
      </c>
      <c r="O444" s="151">
        <v>116.08499999999999</v>
      </c>
      <c r="P444" s="151">
        <v>5132.0079999999998</v>
      </c>
      <c r="Q444" s="151">
        <v>22539.746999999999</v>
      </c>
      <c r="R444" s="151">
        <v>23303.187825546942</v>
      </c>
    </row>
    <row r="445" spans="1:18">
      <c r="A445" t="s">
        <v>186</v>
      </c>
      <c r="B445" s="157">
        <v>2011</v>
      </c>
      <c r="C445" s="158">
        <v>8100.8320000000003</v>
      </c>
      <c r="D445" s="158">
        <v>7327.2889999999998</v>
      </c>
      <c r="E445" s="158">
        <v>10188.865</v>
      </c>
      <c r="F445" s="158">
        <v>2978.9</v>
      </c>
      <c r="G445" s="158">
        <v>28.733000000000001</v>
      </c>
      <c r="H445" s="158">
        <v>-163.887</v>
      </c>
      <c r="I445" s="158">
        <v>5067.402</v>
      </c>
      <c r="J445" s="158">
        <v>25616.985999999997</v>
      </c>
      <c r="K445" s="158">
        <v>33528.133999999998</v>
      </c>
      <c r="L445" s="151">
        <v>7059.692</v>
      </c>
      <c r="M445" s="151">
        <v>10318.379000000001</v>
      </c>
      <c r="N445" s="151">
        <v>5161.8239999999996</v>
      </c>
      <c r="O445" s="151">
        <v>196.01400000000001</v>
      </c>
      <c r="P445" s="151">
        <v>5357.8379999999997</v>
      </c>
      <c r="Q445" s="151">
        <v>22735.909</v>
      </c>
      <c r="R445" s="151">
        <v>23505.994003018008</v>
      </c>
    </row>
    <row r="446" spans="1:18">
      <c r="A446" t="s">
        <v>186</v>
      </c>
      <c r="B446" s="157">
        <v>2012</v>
      </c>
      <c r="C446" s="158">
        <v>7560.4350000000004</v>
      </c>
      <c r="D446" s="158">
        <v>7584.7460000000001</v>
      </c>
      <c r="E446" s="158">
        <v>9857.6530000000002</v>
      </c>
      <c r="F446" s="158">
        <v>3008.49</v>
      </c>
      <c r="G446" s="158">
        <v>27.42</v>
      </c>
      <c r="H446" s="158">
        <v>21.754000000000001</v>
      </c>
      <c r="I446" s="158">
        <v>5195.0780000000004</v>
      </c>
      <c r="J446" s="158">
        <v>25002.834000000003</v>
      </c>
      <c r="K446" s="158">
        <v>33255.576000000001</v>
      </c>
      <c r="L446" s="151">
        <v>6748.2550000000001</v>
      </c>
      <c r="M446" s="151">
        <v>10566.513000000001</v>
      </c>
      <c r="N446" s="151">
        <v>5260.268</v>
      </c>
      <c r="O446" s="151">
        <v>187.61199999999999</v>
      </c>
      <c r="P446" s="151">
        <v>5447.88</v>
      </c>
      <c r="Q446" s="151">
        <v>22762.648000000001</v>
      </c>
      <c r="R446" s="151">
        <v>23533.638676193237</v>
      </c>
    </row>
    <row r="447" spans="1:18">
      <c r="A447" t="s">
        <v>186</v>
      </c>
      <c r="B447" s="159">
        <v>2013</v>
      </c>
      <c r="C447" s="161">
        <v>5711.8770000000004</v>
      </c>
      <c r="D447" s="161">
        <v>7291.21</v>
      </c>
      <c r="E447" s="161">
        <v>9066.8739999999998</v>
      </c>
      <c r="F447" s="161">
        <v>2922.2</v>
      </c>
      <c r="G447" s="161">
        <v>40.985999999999997</v>
      </c>
      <c r="H447" s="161">
        <v>-173.345</v>
      </c>
      <c r="I447" s="161">
        <v>5550.9589999999998</v>
      </c>
      <c r="J447" s="161">
        <v>22069.960999999999</v>
      </c>
      <c r="K447" s="161">
        <v>30410.760999999999</v>
      </c>
      <c r="L447" s="162">
        <v>6272.8450000000003</v>
      </c>
      <c r="M447" s="162">
        <v>10169.469999999999</v>
      </c>
      <c r="N447" s="162">
        <v>5150.3860000000004</v>
      </c>
      <c r="O447" s="162">
        <v>203.75299999999999</v>
      </c>
      <c r="P447" s="162">
        <v>5354.1390000000001</v>
      </c>
      <c r="Q447" s="162">
        <v>21796.453999999998</v>
      </c>
      <c r="R447" s="162">
        <v>22534.718845464144</v>
      </c>
    </row>
    <row r="448" spans="1:18">
      <c r="A448" t="s">
        <v>186</v>
      </c>
      <c r="B448" s="159">
        <v>2014</v>
      </c>
      <c r="C448" s="161">
        <v>5722.5010000000002</v>
      </c>
      <c r="D448" s="161">
        <v>7295.1809999999996</v>
      </c>
      <c r="E448" s="161">
        <v>8525.86</v>
      </c>
      <c r="F448" s="161">
        <v>2941.2</v>
      </c>
      <c r="G448" s="161">
        <v>69.885999999999996</v>
      </c>
      <c r="H448" s="161">
        <v>-612.726</v>
      </c>
      <c r="I448" s="161">
        <v>6123.6419999999998</v>
      </c>
      <c r="J448" s="161">
        <v>21543.542000000001</v>
      </c>
      <c r="K448" s="161">
        <v>30065.544000000002</v>
      </c>
      <c r="L448" s="162">
        <v>6427.4250000000002</v>
      </c>
      <c r="M448" s="162">
        <v>9785.1650000000009</v>
      </c>
      <c r="N448" s="162">
        <v>5306.0739999999996</v>
      </c>
      <c r="O448" s="162">
        <v>166.96100000000001</v>
      </c>
      <c r="P448" s="162">
        <v>5473.0349999999999</v>
      </c>
      <c r="Q448" s="162">
        <v>21685.625</v>
      </c>
      <c r="R448" s="162">
        <v>22420.135970886295</v>
      </c>
    </row>
    <row r="449" spans="1:18">
      <c r="A449" t="s">
        <v>186</v>
      </c>
      <c r="B449" s="159">
        <v>2015</v>
      </c>
      <c r="C449" s="161">
        <v>5892.2330000000002</v>
      </c>
      <c r="D449" s="161">
        <v>7865.4650000000001</v>
      </c>
      <c r="E449" s="161">
        <v>8583.6200000000008</v>
      </c>
      <c r="F449" s="161">
        <v>2940.1</v>
      </c>
      <c r="G449" s="161">
        <v>71.988</v>
      </c>
      <c r="H449" s="161">
        <v>-578.50400000000002</v>
      </c>
      <c r="I449" s="161">
        <v>5973.12</v>
      </c>
      <c r="J449" s="161">
        <v>22341.317999999999</v>
      </c>
      <c r="K449" s="161">
        <v>30748.021999999997</v>
      </c>
      <c r="L449" s="162">
        <v>6418.8980000000001</v>
      </c>
      <c r="M449" s="162">
        <v>9853.9240000000009</v>
      </c>
      <c r="N449" s="162">
        <v>5374.4570000000003</v>
      </c>
      <c r="O449" s="162">
        <v>202.52600000000001</v>
      </c>
      <c r="P449" s="162">
        <v>5576.9830000000002</v>
      </c>
      <c r="Q449" s="162">
        <v>21849.805</v>
      </c>
      <c r="R449" s="162">
        <v>22589.876890214196</v>
      </c>
    </row>
    <row r="450" spans="1:18">
      <c r="A450" t="s">
        <v>186</v>
      </c>
      <c r="B450" s="159">
        <v>2016</v>
      </c>
      <c r="C450" s="161">
        <v>5286.75</v>
      </c>
      <c r="D450" s="161">
        <v>7965.4260000000004</v>
      </c>
      <c r="E450" s="161">
        <v>8748.2250000000004</v>
      </c>
      <c r="F450" s="161">
        <v>2810.7</v>
      </c>
      <c r="G450" s="161">
        <v>79.536000000000001</v>
      </c>
      <c r="H450" s="161">
        <v>-431.38400000000001</v>
      </c>
      <c r="I450" s="161">
        <v>6192.8289999999997</v>
      </c>
      <c r="J450" s="161">
        <v>22000.400999999998</v>
      </c>
      <c r="K450" s="161">
        <v>30652.081999999995</v>
      </c>
      <c r="L450" s="162">
        <v>6263.7960000000003</v>
      </c>
      <c r="M450" s="162">
        <v>9944.125</v>
      </c>
      <c r="N450" s="162">
        <v>5771.2910000000002</v>
      </c>
      <c r="O450" s="162">
        <v>257.30200000000002</v>
      </c>
      <c r="P450" s="162">
        <v>6028.5929999999998</v>
      </c>
      <c r="Q450" s="162">
        <v>22236.513999999999</v>
      </c>
      <c r="R450" s="162">
        <v>22989.684060224994</v>
      </c>
    </row>
    <row r="451" spans="1:18">
      <c r="A451" t="s">
        <v>186</v>
      </c>
      <c r="B451" s="159">
        <v>2017</v>
      </c>
      <c r="C451" s="161">
        <v>5399.2730000000001</v>
      </c>
      <c r="D451" s="161">
        <v>8906.5049999999992</v>
      </c>
      <c r="E451" s="161">
        <v>9357.82</v>
      </c>
      <c r="F451" s="161">
        <v>2907</v>
      </c>
      <c r="G451" s="161">
        <v>92.921999999999997</v>
      </c>
      <c r="H451" s="161">
        <v>-248.80699999999999</v>
      </c>
      <c r="I451" s="161">
        <v>6041.933</v>
      </c>
      <c r="J451" s="161">
        <v>23663.597999999998</v>
      </c>
      <c r="K451" s="161">
        <v>32456.645999999997</v>
      </c>
      <c r="L451" s="162">
        <v>6437.7290000000003</v>
      </c>
      <c r="M451" s="162">
        <v>10402.558999999999</v>
      </c>
      <c r="N451" s="162">
        <v>6187.7710000000006</v>
      </c>
      <c r="O451" s="162">
        <v>297.36</v>
      </c>
      <c r="P451" s="162">
        <v>6485.1310000000003</v>
      </c>
      <c r="Q451" s="162">
        <v>23325.419000000002</v>
      </c>
      <c r="R451" s="162">
        <v>24115.471219201412</v>
      </c>
    </row>
    <row r="452" spans="1:18">
      <c r="A452" t="s">
        <v>186</v>
      </c>
      <c r="B452" s="159">
        <v>2018</v>
      </c>
      <c r="C452" s="161">
        <v>5061.45</v>
      </c>
      <c r="D452" s="161">
        <v>9075.1839999999993</v>
      </c>
      <c r="E452" s="161">
        <v>9570.1020000000008</v>
      </c>
      <c r="F452" s="161">
        <v>2877</v>
      </c>
      <c r="G452" s="161">
        <v>171.12299999999999</v>
      </c>
      <c r="H452" s="161">
        <v>-218.78200000000001</v>
      </c>
      <c r="I452" s="161">
        <v>6037.5990000000002</v>
      </c>
      <c r="J452" s="161">
        <v>23706.735999999997</v>
      </c>
      <c r="K452" s="161">
        <v>32573.675999999999</v>
      </c>
      <c r="L452" s="162">
        <v>6612.433</v>
      </c>
      <c r="M452" s="162">
        <v>10538.656000000001</v>
      </c>
      <c r="N452" s="162">
        <v>6144.0019999999995</v>
      </c>
      <c r="O452" s="162">
        <v>297.11200000000002</v>
      </c>
      <c r="P452" s="162">
        <v>6441.1139999999996</v>
      </c>
      <c r="Q452" s="162">
        <v>23592.203000000001</v>
      </c>
      <c r="R452" s="162">
        <v>24391.291425206862</v>
      </c>
    </row>
    <row r="453" spans="1:18">
      <c r="A453" t="s">
        <v>186</v>
      </c>
      <c r="B453" s="159">
        <v>2019</v>
      </c>
      <c r="C453" s="161">
        <v>4907.7439999999997</v>
      </c>
      <c r="D453" s="161">
        <v>9140.7530000000006</v>
      </c>
      <c r="E453" s="161">
        <v>8877.5069999999996</v>
      </c>
      <c r="F453" s="161">
        <v>2846</v>
      </c>
      <c r="G453" s="161">
        <v>153.184</v>
      </c>
      <c r="H453" s="161">
        <v>130.52600000000001</v>
      </c>
      <c r="I453" s="161">
        <v>6012.6390000000001</v>
      </c>
      <c r="J453" s="161">
        <v>22926.004000000001</v>
      </c>
      <c r="K453" s="161">
        <v>32068.353000000003</v>
      </c>
      <c r="L453" s="162">
        <v>6661.0630000000001</v>
      </c>
      <c r="M453" s="162">
        <v>10489.942999999999</v>
      </c>
      <c r="N453" s="162">
        <v>6312.1449999999995</v>
      </c>
      <c r="O453" s="162">
        <v>412.38</v>
      </c>
      <c r="P453" s="162">
        <v>6724.5249999999996</v>
      </c>
      <c r="Q453" s="162">
        <v>23875.530999999999</v>
      </c>
      <c r="R453" s="162">
        <v>24684.215990874636</v>
      </c>
    </row>
    <row r="454" spans="1:18">
      <c r="A454" t="s">
        <v>186</v>
      </c>
      <c r="B454" s="159">
        <v>2020</v>
      </c>
      <c r="C454" s="161">
        <v>3497.7220000000002</v>
      </c>
      <c r="D454" s="161">
        <v>8804.9609999999993</v>
      </c>
      <c r="E454" s="161">
        <v>9226.3359999999993</v>
      </c>
      <c r="F454" s="161">
        <v>2887</v>
      </c>
      <c r="G454" s="161">
        <v>281.64800000000002</v>
      </c>
      <c r="H454" s="161">
        <v>240.096</v>
      </c>
      <c r="I454" s="161">
        <v>5989.2020000000002</v>
      </c>
      <c r="J454" s="161">
        <v>21529.019</v>
      </c>
      <c r="K454" s="161">
        <v>30926.965000000004</v>
      </c>
      <c r="L454" s="162">
        <v>6437.0309999999999</v>
      </c>
      <c r="M454" s="162">
        <v>10584.203</v>
      </c>
      <c r="N454" s="162">
        <v>6024.8209999999999</v>
      </c>
      <c r="O454" s="162">
        <v>483.28899999999999</v>
      </c>
      <c r="P454" s="162">
        <v>6508.11</v>
      </c>
      <c r="Q454" s="162">
        <v>23529.343999999997</v>
      </c>
      <c r="R454" s="162">
        <v>24326.303336231147</v>
      </c>
    </row>
    <row r="455" spans="1:18">
      <c r="A455" t="s">
        <v>186</v>
      </c>
      <c r="B455" s="159">
        <v>2021</v>
      </c>
      <c r="C455" s="161">
        <v>4062.0419999999999</v>
      </c>
      <c r="D455" s="161">
        <v>9709.0310000000009</v>
      </c>
      <c r="E455" s="161">
        <v>9547.9009999999998</v>
      </c>
      <c r="F455" s="161">
        <v>2866</v>
      </c>
      <c r="G455" s="161">
        <v>319.38799999999998</v>
      </c>
      <c r="H455" s="161">
        <v>189.042</v>
      </c>
      <c r="I455" s="161">
        <v>6396.2550000000001</v>
      </c>
      <c r="J455" s="161">
        <v>23318.974000000002</v>
      </c>
      <c r="K455" s="161">
        <v>33089.659</v>
      </c>
      <c r="L455" s="162">
        <v>6856.3429999999998</v>
      </c>
      <c r="M455" s="162">
        <v>11554.844999999999</v>
      </c>
      <c r="N455" s="162">
        <v>6465.7089999999998</v>
      </c>
      <c r="O455" s="162">
        <v>495.79199999999997</v>
      </c>
      <c r="P455" s="162">
        <v>6961.5010000000002</v>
      </c>
      <c r="Q455" s="162">
        <v>25372.688999999998</v>
      </c>
      <c r="R455" s="162">
        <v>26232.084033870869</v>
      </c>
    </row>
    <row r="456" spans="1:18">
      <c r="A456" t="s">
        <v>186</v>
      </c>
      <c r="B456" s="159">
        <v>2022</v>
      </c>
      <c r="C456" s="161">
        <v>3530.8049999999998</v>
      </c>
      <c r="D456" s="161">
        <v>9892.2999999999993</v>
      </c>
      <c r="E456" s="161">
        <v>8321.2980000000007</v>
      </c>
      <c r="F456" s="161">
        <v>2822</v>
      </c>
      <c r="G456" s="161">
        <v>326.589</v>
      </c>
      <c r="H456" s="161">
        <v>105.23399999999999</v>
      </c>
      <c r="I456" s="161">
        <v>6008.3310000000001</v>
      </c>
      <c r="J456" s="161">
        <v>21744.402999999998</v>
      </c>
      <c r="K456" s="161">
        <v>31006.557000000001</v>
      </c>
      <c r="L456" s="162">
        <v>5739.7460000000001</v>
      </c>
      <c r="M456" s="162">
        <v>10747.066000000001</v>
      </c>
      <c r="N456" s="162">
        <v>6974.05</v>
      </c>
      <c r="O456" s="162">
        <v>558.71799999999996</v>
      </c>
      <c r="P456" s="162">
        <v>7532.768</v>
      </c>
      <c r="Q456" s="162">
        <v>24019.58</v>
      </c>
      <c r="R456" s="162">
        <v>24833.144055731897</v>
      </c>
    </row>
    <row r="457" spans="1:18">
      <c r="A457" t="s">
        <v>186</v>
      </c>
      <c r="B457" s="159">
        <v>2023</v>
      </c>
      <c r="C457" s="161">
        <v>2789.4199906861222</v>
      </c>
      <c r="D457" s="161">
        <v>9901.1613060259169</v>
      </c>
      <c r="E457" s="161">
        <v>7785.4571552792722</v>
      </c>
      <c r="F457" s="161">
        <v>2837.6098886613231</v>
      </c>
      <c r="G457" s="161">
        <v>326.589</v>
      </c>
      <c r="H457" s="161">
        <v>43.262000000016997</v>
      </c>
      <c r="I457" s="161">
        <v>6141.6882506174879</v>
      </c>
      <c r="J457" s="161">
        <v>20476.038451991313</v>
      </c>
      <c r="K457" s="161">
        <v>29825.18759127014</v>
      </c>
      <c r="L457" s="162">
        <v>5382.4664773236309</v>
      </c>
      <c r="M457" s="162">
        <v>10747.066000000001</v>
      </c>
      <c r="N457" s="162">
        <v>6677.8979015467394</v>
      </c>
      <c r="O457" s="162">
        <v>631.44539999999688</v>
      </c>
      <c r="P457" s="162">
        <v>7309.3433015467363</v>
      </c>
      <c r="Q457" s="162">
        <v>23438.875778870366</v>
      </c>
      <c r="R457" s="162">
        <v>24232.770877804396</v>
      </c>
    </row>
    <row r="458" spans="1:18">
      <c r="A458" t="s">
        <v>187</v>
      </c>
      <c r="B458" s="157">
        <v>2005</v>
      </c>
      <c r="C458" s="158">
        <v>2609.9589999999998</v>
      </c>
      <c r="D458" s="158">
        <v>12440.669</v>
      </c>
      <c r="E458" s="158">
        <v>842.62699999999995</v>
      </c>
      <c r="F458" s="158">
        <v>18669.904999999999</v>
      </c>
      <c r="G458" s="158">
        <v>482.18200000000002</v>
      </c>
      <c r="H458" s="158">
        <v>-635.59799999999996</v>
      </c>
      <c r="I458" s="158">
        <v>14583.477000000001</v>
      </c>
      <c r="J458" s="158">
        <v>15893.255000000001</v>
      </c>
      <c r="K458" s="158">
        <v>48993.221000000005</v>
      </c>
      <c r="L458" s="151">
        <v>11706.592000000001</v>
      </c>
      <c r="M458" s="151">
        <v>13415.764999999999</v>
      </c>
      <c r="N458" s="151">
        <v>7976.665</v>
      </c>
      <c r="O458" s="151">
        <v>144.816</v>
      </c>
      <c r="P458" s="151">
        <v>8121.4809999999998</v>
      </c>
      <c r="Q458" s="151">
        <v>33243.838000000003</v>
      </c>
      <c r="R458" s="151">
        <v>34953.494194787971</v>
      </c>
    </row>
    <row r="459" spans="1:18">
      <c r="A459" t="s">
        <v>187</v>
      </c>
      <c r="B459" s="157">
        <v>2006</v>
      </c>
      <c r="C459" s="158">
        <v>2673.3989999999999</v>
      </c>
      <c r="D459" s="158">
        <v>11672.821</v>
      </c>
      <c r="E459" s="158">
        <v>881.85699999999997</v>
      </c>
      <c r="F459" s="158">
        <v>17276.955999999998</v>
      </c>
      <c r="G459" s="158">
        <v>518.60599999999999</v>
      </c>
      <c r="H459" s="158">
        <v>519.34699999999998</v>
      </c>
      <c r="I459" s="158">
        <v>14166.165999999999</v>
      </c>
      <c r="J459" s="158">
        <v>15228.076999999999</v>
      </c>
      <c r="K459" s="158">
        <v>47709.151999999995</v>
      </c>
      <c r="L459" s="151">
        <v>11936.579</v>
      </c>
      <c r="M459" s="151">
        <v>12972.31</v>
      </c>
      <c r="N459" s="151">
        <v>8045.5820000000003</v>
      </c>
      <c r="O459" s="151">
        <v>194.91900000000001</v>
      </c>
      <c r="P459" s="151">
        <v>8240.5010000000002</v>
      </c>
      <c r="Q459" s="151">
        <v>33149.39</v>
      </c>
      <c r="R459" s="151">
        <v>34854.188945505099</v>
      </c>
    </row>
    <row r="460" spans="1:18">
      <c r="A460" t="s">
        <v>187</v>
      </c>
      <c r="B460" s="157">
        <v>2007</v>
      </c>
      <c r="C460" s="158">
        <v>2655.1089999999999</v>
      </c>
      <c r="D460" s="158">
        <v>11099.394</v>
      </c>
      <c r="E460" s="158">
        <v>910.53300000000002</v>
      </c>
      <c r="F460" s="158">
        <v>17274.893</v>
      </c>
      <c r="G460" s="158">
        <v>400.49700000000001</v>
      </c>
      <c r="H460" s="158">
        <v>113.15600000000001</v>
      </c>
      <c r="I460" s="158">
        <v>14957.691000000001</v>
      </c>
      <c r="J460" s="158">
        <v>14665.036</v>
      </c>
      <c r="K460" s="158">
        <v>47411.273000000001</v>
      </c>
      <c r="L460" s="151">
        <v>12042.933999999999</v>
      </c>
      <c r="M460" s="151">
        <v>12911.200999999999</v>
      </c>
      <c r="N460" s="151">
        <v>8081.6350000000002</v>
      </c>
      <c r="O460" s="151">
        <v>255.43700000000001</v>
      </c>
      <c r="P460" s="151">
        <v>8337.0720000000001</v>
      </c>
      <c r="Q460" s="151">
        <v>33291.207000000002</v>
      </c>
      <c r="R460" s="151">
        <v>35003.299276454927</v>
      </c>
    </row>
    <row r="461" spans="1:18">
      <c r="A461" t="s">
        <v>187</v>
      </c>
      <c r="B461" s="157">
        <v>2008</v>
      </c>
      <c r="C461" s="158">
        <v>2411.7710000000002</v>
      </c>
      <c r="D461" s="158">
        <v>11898.968000000001</v>
      </c>
      <c r="E461" s="158">
        <v>826.52599999999995</v>
      </c>
      <c r="F461" s="158">
        <v>16480.396000000001</v>
      </c>
      <c r="G461" s="158">
        <v>434.46100000000001</v>
      </c>
      <c r="H461" s="158">
        <v>-168.61600000000001</v>
      </c>
      <c r="I461" s="158">
        <v>15365.782999999999</v>
      </c>
      <c r="J461" s="158">
        <v>15137.265000000001</v>
      </c>
      <c r="K461" s="158">
        <v>47249.288999999997</v>
      </c>
      <c r="L461" s="151">
        <v>11713.184999999999</v>
      </c>
      <c r="M461" s="151">
        <v>12639.826999999999</v>
      </c>
      <c r="N461" s="151">
        <v>8009.393</v>
      </c>
      <c r="O461" s="151">
        <v>326.42700000000002</v>
      </c>
      <c r="P461" s="151">
        <v>8335.82</v>
      </c>
      <c r="Q461" s="151">
        <v>32688.831999999995</v>
      </c>
      <c r="R461" s="151">
        <v>34369.945478208596</v>
      </c>
    </row>
    <row r="462" spans="1:18">
      <c r="A462" t="s">
        <v>187</v>
      </c>
      <c r="B462" s="157">
        <v>2009</v>
      </c>
      <c r="C462" s="158">
        <v>1915.71</v>
      </c>
      <c r="D462" s="158">
        <v>10857.045</v>
      </c>
      <c r="E462" s="158">
        <v>984.60900000000004</v>
      </c>
      <c r="F462" s="158">
        <v>12881</v>
      </c>
      <c r="G462" s="158">
        <v>450.58300000000003</v>
      </c>
      <c r="H462" s="158">
        <v>402.83699999999999</v>
      </c>
      <c r="I462" s="158">
        <v>15573.189</v>
      </c>
      <c r="J462" s="158">
        <v>13757.364000000001</v>
      </c>
      <c r="K462" s="158">
        <v>43064.972999999998</v>
      </c>
      <c r="L462" s="151">
        <v>10894.581</v>
      </c>
      <c r="M462" s="151">
        <v>12393.666999999999</v>
      </c>
      <c r="N462" s="151">
        <v>7768.0540000000001</v>
      </c>
      <c r="O462" s="151">
        <v>338.13</v>
      </c>
      <c r="P462" s="151">
        <v>8106.1840000000002</v>
      </c>
      <c r="Q462" s="151">
        <v>31394.432000000001</v>
      </c>
      <c r="R462" s="151">
        <v>33008.977382836056</v>
      </c>
    </row>
    <row r="463" spans="1:18">
      <c r="A463" t="s">
        <v>187</v>
      </c>
      <c r="B463" s="157">
        <v>2010</v>
      </c>
      <c r="C463" s="158">
        <v>2474.6179999999999</v>
      </c>
      <c r="D463" s="158">
        <v>12565.972</v>
      </c>
      <c r="E463" s="158">
        <v>1358.6420000000001</v>
      </c>
      <c r="F463" s="158">
        <v>14498</v>
      </c>
      <c r="G463" s="158">
        <v>515.14300000000003</v>
      </c>
      <c r="H463" s="158">
        <v>178.67599999999999</v>
      </c>
      <c r="I463" s="158">
        <v>16751.976999999999</v>
      </c>
      <c r="J463" s="158">
        <v>16399.232</v>
      </c>
      <c r="K463" s="158">
        <v>48343.027999999998</v>
      </c>
      <c r="L463" s="151">
        <v>11649.777</v>
      </c>
      <c r="M463" s="151">
        <v>14132.816000000001</v>
      </c>
      <c r="N463" s="151">
        <v>7850.081000000001</v>
      </c>
      <c r="O463" s="151">
        <v>359.28</v>
      </c>
      <c r="P463" s="151">
        <v>8209.3610000000008</v>
      </c>
      <c r="Q463" s="151">
        <v>33991.953999999998</v>
      </c>
      <c r="R463" s="151">
        <v>35740.084126522925</v>
      </c>
    </row>
    <row r="464" spans="1:18">
      <c r="A464" t="s">
        <v>187</v>
      </c>
      <c r="B464" s="157">
        <v>2011</v>
      </c>
      <c r="C464" s="158">
        <v>2476.1779999999999</v>
      </c>
      <c r="D464" s="158">
        <v>12620.031000000001</v>
      </c>
      <c r="E464" s="158">
        <v>1061.951</v>
      </c>
      <c r="F464" s="158">
        <v>15252</v>
      </c>
      <c r="G464" s="158">
        <v>504.58600000000001</v>
      </c>
      <c r="H464" s="158">
        <v>-621.92600000000004</v>
      </c>
      <c r="I464" s="158">
        <v>16255.545009744899</v>
      </c>
      <c r="J464" s="158">
        <v>16158.16</v>
      </c>
      <c r="K464" s="158">
        <v>47548.365009744899</v>
      </c>
      <c r="L464" s="151">
        <v>11290.404</v>
      </c>
      <c r="M464" s="151">
        <v>12980.2935398872</v>
      </c>
      <c r="N464" s="151">
        <v>7816.4560000000001</v>
      </c>
      <c r="O464" s="151">
        <v>453.911</v>
      </c>
      <c r="P464" s="151">
        <v>8270.3670000000002</v>
      </c>
      <c r="Q464" s="151">
        <v>32541.0645398872</v>
      </c>
      <c r="R464" s="151">
        <v>34214.578668298403</v>
      </c>
    </row>
    <row r="465" spans="1:18">
      <c r="A465" t="s">
        <v>187</v>
      </c>
      <c r="B465" s="157">
        <v>2012</v>
      </c>
      <c r="C465" s="158">
        <v>2181.1869999999999</v>
      </c>
      <c r="D465" s="158">
        <v>11526.38</v>
      </c>
      <c r="E465" s="158">
        <v>910.79100000000005</v>
      </c>
      <c r="F465" s="158">
        <v>15632</v>
      </c>
      <c r="G465" s="158">
        <v>531.26499999999999</v>
      </c>
      <c r="H465" s="158">
        <v>-1682.9749999999999</v>
      </c>
      <c r="I465" s="158">
        <v>18349.429524696599</v>
      </c>
      <c r="J465" s="158">
        <v>14618.357999999998</v>
      </c>
      <c r="K465" s="158">
        <v>47448.0775246966</v>
      </c>
      <c r="L465" s="151">
        <v>11244.099</v>
      </c>
      <c r="M465" s="151">
        <v>13374.9008639534</v>
      </c>
      <c r="N465" s="151">
        <v>7435.8249999999998</v>
      </c>
      <c r="O465" s="151">
        <v>519.21900000000005</v>
      </c>
      <c r="P465" s="151">
        <v>7955.0439999999999</v>
      </c>
      <c r="Q465" s="151">
        <v>32574.0438639534</v>
      </c>
      <c r="R465" s="151">
        <v>34249.254045199712</v>
      </c>
    </row>
    <row r="466" spans="1:18">
      <c r="A466" t="s">
        <v>187</v>
      </c>
      <c r="B466" s="159">
        <v>2013</v>
      </c>
      <c r="C466" s="161">
        <v>2203.2429999999999</v>
      </c>
      <c r="D466" s="161">
        <v>10684.254000000001</v>
      </c>
      <c r="E466" s="161">
        <v>861.39300000000003</v>
      </c>
      <c r="F466" s="161">
        <v>15996</v>
      </c>
      <c r="G466" s="161">
        <v>572.77599999999995</v>
      </c>
      <c r="H466" s="161">
        <v>-860.01700000000005</v>
      </c>
      <c r="I466" s="161">
        <v>16979.2316453616</v>
      </c>
      <c r="J466" s="161">
        <v>13748.890000000001</v>
      </c>
      <c r="K466" s="161">
        <v>46436.880645361598</v>
      </c>
      <c r="L466" s="162">
        <v>11029.727999999999</v>
      </c>
      <c r="M466" s="162">
        <v>13035.6364965128</v>
      </c>
      <c r="N466" s="162">
        <v>7361.8010000000004</v>
      </c>
      <c r="O466" s="162">
        <v>601.96299999999997</v>
      </c>
      <c r="P466" s="162">
        <v>7963.7640000000001</v>
      </c>
      <c r="Q466" s="162">
        <v>32029.1284965128</v>
      </c>
      <c r="R466" s="162">
        <v>33676.314899831305</v>
      </c>
    </row>
    <row r="467" spans="1:18">
      <c r="A467" t="s">
        <v>187</v>
      </c>
      <c r="B467" s="159">
        <v>2014</v>
      </c>
      <c r="C467" s="161">
        <v>2086.5630000000001</v>
      </c>
      <c r="D467" s="161">
        <v>10420.963</v>
      </c>
      <c r="E467" s="161">
        <v>703.07399999999996</v>
      </c>
      <c r="F467" s="161">
        <v>16362</v>
      </c>
      <c r="G467" s="161">
        <v>592.45699999999999</v>
      </c>
      <c r="H467" s="161">
        <v>-1343.336</v>
      </c>
      <c r="I467" s="161">
        <v>17137.904798223</v>
      </c>
      <c r="J467" s="161">
        <v>13210.6</v>
      </c>
      <c r="K467" s="161">
        <v>45959.625798223002</v>
      </c>
      <c r="L467" s="162">
        <v>10799.075000000001</v>
      </c>
      <c r="M467" s="162">
        <v>12534.2024758765</v>
      </c>
      <c r="N467" s="162">
        <v>7110.2280000000001</v>
      </c>
      <c r="O467" s="162">
        <v>776.16899999999998</v>
      </c>
      <c r="P467" s="162">
        <v>7886.3969999999999</v>
      </c>
      <c r="Q467" s="162">
        <v>31219.674475876502</v>
      </c>
      <c r="R467" s="162">
        <v>32825.232470321855</v>
      </c>
    </row>
    <row r="468" spans="1:18">
      <c r="A468" t="s">
        <v>187</v>
      </c>
      <c r="B468" s="159">
        <v>2015</v>
      </c>
      <c r="C468" s="161">
        <v>2102.9839999999999</v>
      </c>
      <c r="D468" s="161">
        <v>7837.317</v>
      </c>
      <c r="E468" s="161">
        <v>625.66700000000003</v>
      </c>
      <c r="F468" s="161">
        <v>15532</v>
      </c>
      <c r="G468" s="161">
        <v>623.48299999999995</v>
      </c>
      <c r="H468" s="161">
        <v>-1943.25</v>
      </c>
      <c r="I468" s="161">
        <v>19059.493011082399</v>
      </c>
      <c r="J468" s="161">
        <v>10565.967999999999</v>
      </c>
      <c r="K468" s="161">
        <v>43837.6940110824</v>
      </c>
      <c r="L468" s="162">
        <v>11019.17</v>
      </c>
      <c r="M468" s="162">
        <v>12729.153475876499</v>
      </c>
      <c r="N468" s="162">
        <v>7136.366</v>
      </c>
      <c r="O468" s="162">
        <v>917.51700000000005</v>
      </c>
      <c r="P468" s="162">
        <v>8053.8829999999998</v>
      </c>
      <c r="Q468" s="162">
        <v>31802.206475876497</v>
      </c>
      <c r="R468" s="162">
        <v>33437.72278748313</v>
      </c>
    </row>
    <row r="469" spans="1:18">
      <c r="A469" t="s">
        <v>187</v>
      </c>
      <c r="B469" s="159">
        <v>2016</v>
      </c>
      <c r="C469" s="161">
        <v>2036.223</v>
      </c>
      <c r="D469" s="161">
        <v>8875.6239999999998</v>
      </c>
      <c r="E469" s="161">
        <v>722.70799999999997</v>
      </c>
      <c r="F469" s="161">
        <v>15699</v>
      </c>
      <c r="G469" s="161">
        <v>785.827</v>
      </c>
      <c r="H469" s="161">
        <v>-1009.028</v>
      </c>
      <c r="I469" s="161">
        <v>18241.020284799801</v>
      </c>
      <c r="J469" s="161">
        <v>11634.555</v>
      </c>
      <c r="K469" s="161">
        <v>45351.374284799807</v>
      </c>
      <c r="L469" s="162">
        <v>10971.244000000001</v>
      </c>
      <c r="M469" s="162">
        <v>13220.334705646301</v>
      </c>
      <c r="N469" s="162">
        <v>6953.8029999999999</v>
      </c>
      <c r="O469" s="162">
        <v>1113.6769999999999</v>
      </c>
      <c r="P469" s="162">
        <v>8067.48</v>
      </c>
      <c r="Q469" s="162">
        <v>32259.058705646305</v>
      </c>
      <c r="R469" s="162">
        <v>33918.069905079326</v>
      </c>
    </row>
    <row r="470" spans="1:18">
      <c r="A470" t="s">
        <v>187</v>
      </c>
      <c r="B470" s="159">
        <v>2017</v>
      </c>
      <c r="C470" s="161">
        <v>2030.1659999999999</v>
      </c>
      <c r="D470" s="161">
        <v>8547.9599999999991</v>
      </c>
      <c r="E470" s="161">
        <v>673.43399999999997</v>
      </c>
      <c r="F470" s="161">
        <v>16351</v>
      </c>
      <c r="G470" s="161">
        <v>824.90200000000004</v>
      </c>
      <c r="H470" s="161">
        <v>-1633.018</v>
      </c>
      <c r="I470" s="161">
        <v>19553.625131556299</v>
      </c>
      <c r="J470" s="161">
        <v>11251.559999999998</v>
      </c>
      <c r="K470" s="161">
        <v>46348.069131556302</v>
      </c>
      <c r="L470" s="162">
        <v>10917.194</v>
      </c>
      <c r="M470" s="162">
        <v>12998.0593843508</v>
      </c>
      <c r="N470" s="162">
        <v>6826.73</v>
      </c>
      <c r="O470" s="162">
        <v>1375.7139999999999</v>
      </c>
      <c r="P470" s="162">
        <v>8202.4439999999995</v>
      </c>
      <c r="Q470" s="162">
        <v>32117.697384350799</v>
      </c>
      <c r="R470" s="162">
        <v>33769.438687370042</v>
      </c>
    </row>
    <row r="471" spans="1:18">
      <c r="A471" t="s">
        <v>187</v>
      </c>
      <c r="B471" s="159">
        <v>2018</v>
      </c>
      <c r="C471" s="161">
        <v>2182.3969999999999</v>
      </c>
      <c r="D471" s="161">
        <v>9809.7780000000002</v>
      </c>
      <c r="E471" s="161">
        <v>655.41700000000003</v>
      </c>
      <c r="F471" s="161">
        <v>16727</v>
      </c>
      <c r="G471" s="161">
        <v>772.30799999999999</v>
      </c>
      <c r="H471" s="161">
        <v>-1480.9110000000001</v>
      </c>
      <c r="I471" s="161">
        <v>18580.312642113298</v>
      </c>
      <c r="J471" s="161">
        <v>12647.591999999999</v>
      </c>
      <c r="K471" s="161">
        <v>47246.301642113292</v>
      </c>
      <c r="L471" s="162">
        <v>11013.378000000001</v>
      </c>
      <c r="M471" s="162">
        <v>12851.630724754001</v>
      </c>
      <c r="N471" s="162">
        <v>6586.9220000000005</v>
      </c>
      <c r="O471" s="162">
        <v>1482.348</v>
      </c>
      <c r="P471" s="162">
        <v>8069.27</v>
      </c>
      <c r="Q471" s="162">
        <v>31934.278724754004</v>
      </c>
      <c r="R471" s="162">
        <v>33576.587216567175</v>
      </c>
    </row>
    <row r="472" spans="1:18">
      <c r="A472" t="s">
        <v>187</v>
      </c>
      <c r="B472" s="159">
        <v>2019</v>
      </c>
      <c r="C472" s="161">
        <v>1970.3530000000001</v>
      </c>
      <c r="D472" s="161">
        <v>8620.4419999999991</v>
      </c>
      <c r="E472" s="161">
        <v>603.87199999999996</v>
      </c>
      <c r="F472" s="161">
        <v>16239</v>
      </c>
      <c r="G472" s="161">
        <v>819.69500000000005</v>
      </c>
      <c r="H472" s="161">
        <v>-2249.4409999999998</v>
      </c>
      <c r="I472" s="161">
        <v>19790.1796421133</v>
      </c>
      <c r="J472" s="161">
        <v>11194.666999999998</v>
      </c>
      <c r="K472" s="161">
        <v>45794.100642113299</v>
      </c>
      <c r="L472" s="162">
        <v>10891.752</v>
      </c>
      <c r="M472" s="162">
        <v>12721.517724754</v>
      </c>
      <c r="N472" s="162">
        <v>6523.527</v>
      </c>
      <c r="O472" s="162">
        <v>1397.93</v>
      </c>
      <c r="P472" s="162">
        <v>7921.4570000000003</v>
      </c>
      <c r="Q472" s="162">
        <v>31534.726724754</v>
      </c>
      <c r="R472" s="162">
        <v>33156.487151330541</v>
      </c>
    </row>
    <row r="473" spans="1:18">
      <c r="A473" t="s">
        <v>187</v>
      </c>
      <c r="B473" s="159">
        <v>2020</v>
      </c>
      <c r="C473" s="161">
        <v>1553.713</v>
      </c>
      <c r="D473" s="161">
        <v>7175.5320000000002</v>
      </c>
      <c r="E473" s="161">
        <v>878.25900000000001</v>
      </c>
      <c r="F473" s="161">
        <v>12028</v>
      </c>
      <c r="G473" s="161">
        <v>989.49099999999999</v>
      </c>
      <c r="H473" s="161">
        <v>-2149.355</v>
      </c>
      <c r="I473" s="161">
        <v>20829.800324257201</v>
      </c>
      <c r="J473" s="161">
        <v>9607.5040000000008</v>
      </c>
      <c r="K473" s="161">
        <v>41305.440324257201</v>
      </c>
      <c r="L473" s="162">
        <v>11154.427</v>
      </c>
      <c r="M473" s="162">
        <v>12418.9356903602</v>
      </c>
      <c r="N473" s="162">
        <v>5548.0190000000002</v>
      </c>
      <c r="O473" s="162">
        <v>1406.15</v>
      </c>
      <c r="P473" s="162">
        <v>6954.1689999999999</v>
      </c>
      <c r="Q473" s="162">
        <v>30527.5316903602</v>
      </c>
      <c r="R473" s="162">
        <v>32097.494330233803</v>
      </c>
    </row>
    <row r="474" spans="1:18">
      <c r="A474" t="s">
        <v>187</v>
      </c>
      <c r="B474" s="159">
        <v>2021</v>
      </c>
      <c r="C474" s="161">
        <v>1705.96</v>
      </c>
      <c r="D474" s="161">
        <v>7631.567</v>
      </c>
      <c r="E474" s="161">
        <v>648.37</v>
      </c>
      <c r="F474" s="161">
        <v>12342</v>
      </c>
      <c r="G474" s="161">
        <v>973.27300000000002</v>
      </c>
      <c r="H474" s="161">
        <v>-2198.4520000000002</v>
      </c>
      <c r="I474" s="161">
        <v>22217.750212859399</v>
      </c>
      <c r="J474" s="161">
        <v>9985.8970000000008</v>
      </c>
      <c r="K474" s="161">
        <v>43320.4682128594</v>
      </c>
      <c r="L474" s="162">
        <v>11120.715</v>
      </c>
      <c r="M474" s="162">
        <v>13400.1433181427</v>
      </c>
      <c r="N474" s="162">
        <v>5731.92</v>
      </c>
      <c r="O474" s="162">
        <v>1451.444</v>
      </c>
      <c r="P474" s="162">
        <v>7183.3639999999996</v>
      </c>
      <c r="Q474" s="162">
        <v>31704.222318142696</v>
      </c>
      <c r="R474" s="162">
        <v>33334.699523787473</v>
      </c>
    </row>
    <row r="475" spans="1:18">
      <c r="A475" t="s">
        <v>187</v>
      </c>
      <c r="B475" s="159">
        <v>2022</v>
      </c>
      <c r="C475" s="161">
        <v>1496.7370000000001</v>
      </c>
      <c r="D475" s="161">
        <v>7969.9470000000001</v>
      </c>
      <c r="E475" s="161">
        <v>463.05099999999999</v>
      </c>
      <c r="F475" s="161">
        <v>12409</v>
      </c>
      <c r="G475" s="161">
        <v>955.52700000000004</v>
      </c>
      <c r="H475" s="161">
        <v>-2856.32</v>
      </c>
      <c r="I475" s="161">
        <v>22014.161660552199</v>
      </c>
      <c r="J475" s="161">
        <v>9929.7350000000006</v>
      </c>
      <c r="K475" s="161">
        <v>42452.103660552202</v>
      </c>
      <c r="L475" s="162">
        <v>11178.307000000001</v>
      </c>
      <c r="M475" s="162">
        <v>12572.491597783501</v>
      </c>
      <c r="N475" s="162">
        <v>5542.8950000000004</v>
      </c>
      <c r="O475" s="162">
        <v>1675.864</v>
      </c>
      <c r="P475" s="162">
        <v>7218.759</v>
      </c>
      <c r="Q475" s="162">
        <v>30969.5575977835</v>
      </c>
      <c r="R475" s="162">
        <v>32562.252640903775</v>
      </c>
    </row>
    <row r="476" spans="1:18">
      <c r="A476" t="s">
        <v>187</v>
      </c>
      <c r="B476" s="159">
        <v>2023</v>
      </c>
      <c r="C476" s="161">
        <v>1470.9073322033898</v>
      </c>
      <c r="D476" s="161">
        <v>8104.4754526826155</v>
      </c>
      <c r="E476" s="161">
        <v>414.66253905273635</v>
      </c>
      <c r="F476" s="161">
        <v>11535.850165562913</v>
      </c>
      <c r="G476" s="161">
        <v>967.18268104784295</v>
      </c>
      <c r="H476" s="161">
        <v>-2856.32</v>
      </c>
      <c r="I476" s="161">
        <v>23475.021478666225</v>
      </c>
      <c r="J476" s="161">
        <v>9990.0453239387425</v>
      </c>
      <c r="K476" s="161">
        <v>43111.779649215721</v>
      </c>
      <c r="L476" s="162">
        <v>11097.550952666727</v>
      </c>
      <c r="M476" s="162">
        <v>12572.491597783501</v>
      </c>
      <c r="N476" s="162">
        <v>5578.1406506494977</v>
      </c>
      <c r="O476" s="162">
        <v>1676.5329676805043</v>
      </c>
      <c r="P476" s="162">
        <v>7254.6736183300018</v>
      </c>
      <c r="Q476" s="162">
        <v>30924.716168780229</v>
      </c>
      <c r="R476" s="162">
        <v>32515.105117553678</v>
      </c>
    </row>
    <row r="477" spans="1:18">
      <c r="A477" t="s">
        <v>79</v>
      </c>
      <c r="B477" s="157">
        <v>2005</v>
      </c>
      <c r="C477" s="158">
        <v>1512.876</v>
      </c>
      <c r="D477" s="158">
        <v>2421.4389999999999</v>
      </c>
      <c r="E477" s="158">
        <v>802.66499999999996</v>
      </c>
      <c r="F477" s="158">
        <v>1517.799</v>
      </c>
      <c r="G477" s="158">
        <v>10.724</v>
      </c>
      <c r="H477" s="158">
        <v>-27.945</v>
      </c>
      <c r="I477" s="158">
        <v>1012.2433003725999</v>
      </c>
      <c r="J477" s="158">
        <v>4736.9799999999996</v>
      </c>
      <c r="K477" s="158">
        <v>7249.8013003726001</v>
      </c>
      <c r="L477" s="151">
        <v>1645.8720000000001</v>
      </c>
      <c r="M477" s="151">
        <v>1999.8473003726001</v>
      </c>
      <c r="N477" s="151">
        <v>1485.97</v>
      </c>
      <c r="O477" s="151">
        <v>0</v>
      </c>
      <c r="P477" s="151">
        <v>1485.97</v>
      </c>
      <c r="Q477" s="151">
        <v>5131.6893003726</v>
      </c>
      <c r="R477" s="151">
        <v>5239.063785128008</v>
      </c>
    </row>
    <row r="478" spans="1:18">
      <c r="A478" t="s">
        <v>79</v>
      </c>
      <c r="B478" s="157">
        <v>2006</v>
      </c>
      <c r="C478" s="158">
        <v>1543.1690000000001</v>
      </c>
      <c r="D478" s="158">
        <v>2468.4050000000002</v>
      </c>
      <c r="E478" s="158">
        <v>786.178</v>
      </c>
      <c r="F478" s="158">
        <v>1431.126</v>
      </c>
      <c r="G478" s="158">
        <v>13.089</v>
      </c>
      <c r="H478" s="158">
        <v>3.7829999999999999</v>
      </c>
      <c r="I478" s="158">
        <v>944.97729578675796</v>
      </c>
      <c r="J478" s="158">
        <v>4797.7520000000004</v>
      </c>
      <c r="K478" s="158">
        <v>7190.727295786759</v>
      </c>
      <c r="L478" s="151">
        <v>1701.2719999999999</v>
      </c>
      <c r="M478" s="151">
        <v>1865.46529578676</v>
      </c>
      <c r="N478" s="151">
        <v>1549.9930000000002</v>
      </c>
      <c r="O478" s="151">
        <v>4.407</v>
      </c>
      <c r="P478" s="151">
        <v>1554.4</v>
      </c>
      <c r="Q478" s="151">
        <v>5121.1372957867598</v>
      </c>
      <c r="R478" s="151">
        <v>5228.2909924177857</v>
      </c>
    </row>
    <row r="479" spans="1:18">
      <c r="A479" t="s">
        <v>79</v>
      </c>
      <c r="B479" s="157">
        <v>2007</v>
      </c>
      <c r="C479" s="158">
        <v>1577.5239999999999</v>
      </c>
      <c r="D479" s="158">
        <v>2433.73</v>
      </c>
      <c r="E479" s="158">
        <v>783.49099999999999</v>
      </c>
      <c r="F479" s="158">
        <v>1469.046</v>
      </c>
      <c r="G479" s="158">
        <v>10.747999999999999</v>
      </c>
      <c r="H479" s="158">
        <v>19.690000000000001</v>
      </c>
      <c r="I479" s="158">
        <v>988.68427925862204</v>
      </c>
      <c r="J479" s="158">
        <v>4794.7449999999999</v>
      </c>
      <c r="K479" s="158">
        <v>7282.9132792586215</v>
      </c>
      <c r="L479" s="151">
        <v>1607.556</v>
      </c>
      <c r="M479" s="151">
        <v>1773.7042792586201</v>
      </c>
      <c r="N479" s="151">
        <v>1749.472</v>
      </c>
      <c r="O479" s="151">
        <v>13.856999999999999</v>
      </c>
      <c r="P479" s="151">
        <v>1763.329</v>
      </c>
      <c r="Q479" s="151">
        <v>5144.5892792586201</v>
      </c>
      <c r="R479" s="151">
        <v>5252.2336807032834</v>
      </c>
    </row>
    <row r="480" spans="1:18">
      <c r="A480" t="s">
        <v>79</v>
      </c>
      <c r="B480" s="157">
        <v>2008</v>
      </c>
      <c r="C480" s="158">
        <v>1530.961</v>
      </c>
      <c r="D480" s="158">
        <v>2830.5619999999999</v>
      </c>
      <c r="E480" s="158">
        <v>782.54499999999996</v>
      </c>
      <c r="F480" s="158">
        <v>1618.143</v>
      </c>
      <c r="G480" s="158">
        <v>9.3149999999999995</v>
      </c>
      <c r="H480" s="158">
        <v>-137.489</v>
      </c>
      <c r="I480" s="158">
        <v>1091.587361135</v>
      </c>
      <c r="J480" s="158">
        <v>5144.0680000000002</v>
      </c>
      <c r="K480" s="158">
        <v>7725.6243611350001</v>
      </c>
      <c r="L480" s="151">
        <v>1485.338</v>
      </c>
      <c r="M480" s="151">
        <v>1945.733361135</v>
      </c>
      <c r="N480" s="151">
        <v>2046.549</v>
      </c>
      <c r="O480" s="151">
        <v>24.591999999999999</v>
      </c>
      <c r="P480" s="151">
        <v>2071.1410000000001</v>
      </c>
      <c r="Q480" s="151">
        <v>5502.2123611349998</v>
      </c>
      <c r="R480" s="151">
        <v>5617.3395994985558</v>
      </c>
    </row>
    <row r="481" spans="1:18">
      <c r="A481" t="s">
        <v>79</v>
      </c>
      <c r="B481" s="157">
        <v>2009</v>
      </c>
      <c r="C481" s="158">
        <v>1424.194</v>
      </c>
      <c r="D481" s="158">
        <v>2440.2060000000001</v>
      </c>
      <c r="E481" s="158">
        <v>741.101</v>
      </c>
      <c r="F481" s="158">
        <v>1354.6859999999999</v>
      </c>
      <c r="G481" s="158">
        <v>16.097999999999999</v>
      </c>
      <c r="H481" s="158">
        <v>-263.02699999999999</v>
      </c>
      <c r="I481" s="158">
        <v>1111.1895895672101</v>
      </c>
      <c r="J481" s="158">
        <v>4605.5010000000002</v>
      </c>
      <c r="K481" s="158">
        <v>6824.4475895672094</v>
      </c>
      <c r="L481" s="151">
        <v>1221.1079999999999</v>
      </c>
      <c r="M481" s="151">
        <v>1895.33558956721</v>
      </c>
      <c r="N481" s="151">
        <v>1716.867</v>
      </c>
      <c r="O481" s="151">
        <v>30.797999999999998</v>
      </c>
      <c r="P481" s="151">
        <v>1747.665</v>
      </c>
      <c r="Q481" s="151">
        <v>4864.1085895672104</v>
      </c>
      <c r="R481" s="151">
        <v>4965.8842667426024</v>
      </c>
    </row>
    <row r="482" spans="1:18">
      <c r="A482" t="s">
        <v>79</v>
      </c>
      <c r="B482" s="157">
        <v>2010</v>
      </c>
      <c r="C482" s="158">
        <v>1448.402</v>
      </c>
      <c r="D482" s="158">
        <v>2475.4549999999999</v>
      </c>
      <c r="E482" s="158">
        <v>783.87800000000004</v>
      </c>
      <c r="F482" s="158">
        <v>1335.24</v>
      </c>
      <c r="G482" s="158">
        <v>18.606000000000002</v>
      </c>
      <c r="H482" s="158">
        <v>-182.28700000000001</v>
      </c>
      <c r="I482" s="158">
        <v>1154.53452899589</v>
      </c>
      <c r="J482" s="158">
        <v>4707.7349999999997</v>
      </c>
      <c r="K482" s="158">
        <v>7033.8285289958894</v>
      </c>
      <c r="L482" s="151">
        <v>1274.056</v>
      </c>
      <c r="M482" s="151">
        <v>1986.2825289958901</v>
      </c>
      <c r="N482" s="151">
        <v>1760.7280000000001</v>
      </c>
      <c r="O482" s="151">
        <v>45.741999999999997</v>
      </c>
      <c r="P482" s="151">
        <v>1806.47</v>
      </c>
      <c r="Q482" s="151">
        <v>5066.8085289958899</v>
      </c>
      <c r="R482" s="151">
        <v>5172.8254609086889</v>
      </c>
    </row>
    <row r="483" spans="1:18">
      <c r="A483" t="s">
        <v>79</v>
      </c>
      <c r="B483" s="157">
        <v>2011</v>
      </c>
      <c r="C483" s="158">
        <v>1460.4</v>
      </c>
      <c r="D483" s="158">
        <v>2463.9670000000001</v>
      </c>
      <c r="E483" s="158">
        <v>732.60900000000004</v>
      </c>
      <c r="F483" s="158">
        <v>1470.482</v>
      </c>
      <c r="G483" s="158">
        <v>23.931999999999999</v>
      </c>
      <c r="H483" s="158">
        <v>-117.971</v>
      </c>
      <c r="I483" s="158">
        <v>1072.39134900162</v>
      </c>
      <c r="J483" s="158">
        <v>4656.9760000000006</v>
      </c>
      <c r="K483" s="158">
        <v>7105.8103490016201</v>
      </c>
      <c r="L483" s="151">
        <v>1236.8920000000001</v>
      </c>
      <c r="M483" s="151">
        <v>1907.2823490016201</v>
      </c>
      <c r="N483" s="151">
        <v>1869.3280000000002</v>
      </c>
      <c r="O483" s="151">
        <v>36.792999999999999</v>
      </c>
      <c r="P483" s="151">
        <v>1906.1210000000001</v>
      </c>
      <c r="Q483" s="151">
        <v>5050.2953490016198</v>
      </c>
      <c r="R483" s="151">
        <v>5155.9667622967136</v>
      </c>
    </row>
    <row r="484" spans="1:18">
      <c r="A484" t="s">
        <v>79</v>
      </c>
      <c r="B484" s="157">
        <v>2012</v>
      </c>
      <c r="C484" s="158">
        <v>1388.6289999999999</v>
      </c>
      <c r="D484" s="158">
        <v>2391.7370000000001</v>
      </c>
      <c r="E484" s="158">
        <v>705.76099999999997</v>
      </c>
      <c r="F484" s="158">
        <v>1308.1320000000001</v>
      </c>
      <c r="G484" s="158">
        <v>23.382999999999999</v>
      </c>
      <c r="H484" s="158">
        <v>-89.337999999999994</v>
      </c>
      <c r="I484" s="158">
        <v>1098.35847234164</v>
      </c>
      <c r="J484" s="158">
        <v>4486.1270000000004</v>
      </c>
      <c r="K484" s="158">
        <v>6826.6624723416398</v>
      </c>
      <c r="L484" s="151">
        <v>1207.414</v>
      </c>
      <c r="M484" s="151">
        <v>1787.2684723416401</v>
      </c>
      <c r="N484" s="151">
        <v>1871.191</v>
      </c>
      <c r="O484" s="151">
        <v>51.831000000000003</v>
      </c>
      <c r="P484" s="151">
        <v>1923.0219999999999</v>
      </c>
      <c r="Q484" s="151">
        <v>4917.7044723416402</v>
      </c>
      <c r="R484" s="151">
        <v>5020.6015795103676</v>
      </c>
    </row>
    <row r="485" spans="1:18">
      <c r="A485" t="s">
        <v>79</v>
      </c>
      <c r="B485" s="159">
        <v>2013</v>
      </c>
      <c r="C485" s="161">
        <v>1346.9929999999999</v>
      </c>
      <c r="D485" s="161">
        <v>2251.2139999999999</v>
      </c>
      <c r="E485" s="161">
        <v>687.55399999999997</v>
      </c>
      <c r="F485" s="161">
        <v>1250.9000000000001</v>
      </c>
      <c r="G485" s="161">
        <v>25.533000000000001</v>
      </c>
      <c r="H485" s="161">
        <v>-110.92</v>
      </c>
      <c r="I485" s="161">
        <v>1200.7467642113299</v>
      </c>
      <c r="J485" s="161">
        <v>4285.7609999999995</v>
      </c>
      <c r="K485" s="161">
        <v>6652.0207642113301</v>
      </c>
      <c r="L485" s="162">
        <v>1197.6510000000001</v>
      </c>
      <c r="M485" s="162">
        <v>1776.96676421133</v>
      </c>
      <c r="N485" s="162">
        <v>1775.1890000000001</v>
      </c>
      <c r="O485" s="162">
        <v>60.475000000000001</v>
      </c>
      <c r="P485" s="162">
        <v>1835.664</v>
      </c>
      <c r="Q485" s="162">
        <v>4810.2817642113296</v>
      </c>
      <c r="R485" s="162">
        <v>4910.9311791950122</v>
      </c>
    </row>
    <row r="486" spans="1:18">
      <c r="A486" t="s">
        <v>79</v>
      </c>
      <c r="B486" s="159">
        <v>2014</v>
      </c>
      <c r="C486" s="161">
        <v>1042.1880000000001</v>
      </c>
      <c r="D486" s="161">
        <v>2196.6689999999999</v>
      </c>
      <c r="E486" s="161">
        <v>621.53899999999999</v>
      </c>
      <c r="F486" s="161">
        <v>1499.4590000000001</v>
      </c>
      <c r="G486" s="161">
        <v>32.865000000000002</v>
      </c>
      <c r="H486" s="161">
        <v>-235.85599999999999</v>
      </c>
      <c r="I486" s="161">
        <v>1235.06712314894</v>
      </c>
      <c r="J486" s="161">
        <v>3860.3959999999997</v>
      </c>
      <c r="K486" s="161">
        <v>6391.9311231489392</v>
      </c>
      <c r="L486" s="162">
        <v>1231.213</v>
      </c>
      <c r="M486" s="162">
        <v>1561.08612314894</v>
      </c>
      <c r="N486" s="162">
        <v>1777.174</v>
      </c>
      <c r="O486" s="162">
        <v>43.723999999999997</v>
      </c>
      <c r="P486" s="162">
        <v>1820.8979999999999</v>
      </c>
      <c r="Q486" s="162">
        <v>4613.1971231489397</v>
      </c>
      <c r="R486" s="162">
        <v>4709.722776823507</v>
      </c>
    </row>
    <row r="487" spans="1:18">
      <c r="A487" t="s">
        <v>79</v>
      </c>
      <c r="B487" s="159">
        <v>2015</v>
      </c>
      <c r="C487" s="161">
        <v>1061.057</v>
      </c>
      <c r="D487" s="161">
        <v>2174.7559999999999</v>
      </c>
      <c r="E487" s="161">
        <v>659.28599999999994</v>
      </c>
      <c r="F487" s="161">
        <v>1332.2</v>
      </c>
      <c r="G487" s="161">
        <v>37.594000000000001</v>
      </c>
      <c r="H487" s="161">
        <v>-4.1269999999999998</v>
      </c>
      <c r="I487" s="161">
        <v>1084.06416623674</v>
      </c>
      <c r="J487" s="161">
        <v>3895.0990000000002</v>
      </c>
      <c r="K487" s="161">
        <v>6344.8301662367394</v>
      </c>
      <c r="L487" s="162">
        <v>1228.021</v>
      </c>
      <c r="M487" s="162">
        <v>1685.9321662367399</v>
      </c>
      <c r="N487" s="162">
        <v>1769.135</v>
      </c>
      <c r="O487" s="162">
        <v>29.433</v>
      </c>
      <c r="P487" s="162">
        <v>1798.568</v>
      </c>
      <c r="Q487" s="162">
        <v>4712.5211662367401</v>
      </c>
      <c r="R487" s="162">
        <v>4811.1250571790242</v>
      </c>
    </row>
    <row r="488" spans="1:18">
      <c r="A488" t="s">
        <v>79</v>
      </c>
      <c r="B488" s="159">
        <v>2016</v>
      </c>
      <c r="C488" s="161">
        <v>1141.193</v>
      </c>
      <c r="D488" s="161">
        <v>2286.194</v>
      </c>
      <c r="E488" s="161">
        <v>699.59199999999998</v>
      </c>
      <c r="F488" s="161">
        <v>1348.646</v>
      </c>
      <c r="G488" s="161">
        <v>40.412999999999997</v>
      </c>
      <c r="H488" s="161">
        <v>-101.11799999999999</v>
      </c>
      <c r="I488" s="161">
        <v>1133.50802350244</v>
      </c>
      <c r="J488" s="161">
        <v>4126.9789999999994</v>
      </c>
      <c r="K488" s="161">
        <v>6548.428023502438</v>
      </c>
      <c r="L488" s="162">
        <v>1242.337</v>
      </c>
      <c r="M488" s="162">
        <v>1734.7510235024399</v>
      </c>
      <c r="N488" s="162">
        <v>1885.9250000000002</v>
      </c>
      <c r="O488" s="162">
        <v>18.446999999999999</v>
      </c>
      <c r="P488" s="162">
        <v>1904.3720000000001</v>
      </c>
      <c r="Q488" s="162">
        <v>4881.46002350244</v>
      </c>
      <c r="R488" s="162">
        <v>4983.5987587605623</v>
      </c>
    </row>
    <row r="489" spans="1:18">
      <c r="A489" t="s">
        <v>79</v>
      </c>
      <c r="B489" s="159">
        <v>2017</v>
      </c>
      <c r="C489" s="161">
        <v>1133.4570000000001</v>
      </c>
      <c r="D489" s="161">
        <v>2306.2759999999998</v>
      </c>
      <c r="E489" s="161">
        <v>733.23099999999999</v>
      </c>
      <c r="F489" s="161">
        <v>1488.1</v>
      </c>
      <c r="G489" s="161">
        <v>48.097000000000001</v>
      </c>
      <c r="H489" s="161">
        <v>-44.338999999999999</v>
      </c>
      <c r="I489" s="161">
        <v>1063.3867518868799</v>
      </c>
      <c r="J489" s="161">
        <v>4172.9639999999999</v>
      </c>
      <c r="K489" s="161">
        <v>6728.2087518868802</v>
      </c>
      <c r="L489" s="162">
        <v>1295.6120000000001</v>
      </c>
      <c r="M489" s="162">
        <v>1692.80575188688</v>
      </c>
      <c r="N489" s="162">
        <v>1935.521</v>
      </c>
      <c r="O489" s="162">
        <v>25.045000000000002</v>
      </c>
      <c r="P489" s="162">
        <v>1960.566</v>
      </c>
      <c r="Q489" s="162">
        <v>4948.9837518868799</v>
      </c>
      <c r="R489" s="162">
        <v>5052.5353407141993</v>
      </c>
    </row>
    <row r="490" spans="1:18">
      <c r="A490" t="s">
        <v>79</v>
      </c>
      <c r="B490" s="159">
        <v>2018</v>
      </c>
      <c r="C490" s="161">
        <v>1124.17</v>
      </c>
      <c r="D490" s="161">
        <v>2314.6709999999998</v>
      </c>
      <c r="E490" s="161">
        <v>719.02700000000004</v>
      </c>
      <c r="F490" s="161">
        <v>1364.6</v>
      </c>
      <c r="G490" s="161">
        <v>57.542999999999999</v>
      </c>
      <c r="H490" s="161">
        <v>-43.177999999999997</v>
      </c>
      <c r="I490" s="161">
        <v>1113.34959778351</v>
      </c>
      <c r="J490" s="161">
        <v>4157.8680000000004</v>
      </c>
      <c r="K490" s="161">
        <v>6650.1825977835106</v>
      </c>
      <c r="L490" s="162">
        <v>1319.1759999999999</v>
      </c>
      <c r="M490" s="162">
        <v>1620.7715977835101</v>
      </c>
      <c r="N490" s="162">
        <v>1936.402</v>
      </c>
      <c r="O490" s="162">
        <v>73.775999999999996</v>
      </c>
      <c r="P490" s="162">
        <v>2010.1780000000001</v>
      </c>
      <c r="Q490" s="162">
        <v>4950.1255977835099</v>
      </c>
      <c r="R490" s="162">
        <v>5053.7010783758305</v>
      </c>
    </row>
    <row r="491" spans="1:18">
      <c r="A491" t="s">
        <v>79</v>
      </c>
      <c r="B491" s="159">
        <v>2019</v>
      </c>
      <c r="C491" s="161">
        <v>1059.549</v>
      </c>
      <c r="D491" s="161">
        <v>2222.2930000000001</v>
      </c>
      <c r="E491" s="161">
        <v>729.96500000000003</v>
      </c>
      <c r="F491" s="161">
        <v>1375.2</v>
      </c>
      <c r="G491" s="161">
        <v>62.033000000000001</v>
      </c>
      <c r="H491" s="161">
        <v>-27.390999999999998</v>
      </c>
      <c r="I491" s="161">
        <v>1103.1886027515</v>
      </c>
      <c r="J491" s="161">
        <v>4011.8070000000002</v>
      </c>
      <c r="K491" s="161">
        <v>6524.8376027515014</v>
      </c>
      <c r="L491" s="162">
        <v>1322.08</v>
      </c>
      <c r="M491" s="162">
        <v>1574.3986027515</v>
      </c>
      <c r="N491" s="162">
        <v>1859.008</v>
      </c>
      <c r="O491" s="162">
        <v>95.075999999999993</v>
      </c>
      <c r="P491" s="162">
        <v>1954.0840000000001</v>
      </c>
      <c r="Q491" s="162">
        <v>4850.5626027515</v>
      </c>
      <c r="R491" s="162">
        <v>4952.0548462913566</v>
      </c>
    </row>
    <row r="492" spans="1:18">
      <c r="A492" t="s">
        <v>79</v>
      </c>
      <c r="B492" s="159">
        <v>2020</v>
      </c>
      <c r="C492" s="161">
        <v>1013.855</v>
      </c>
      <c r="D492" s="161">
        <v>1875.7670000000001</v>
      </c>
      <c r="E492" s="161">
        <v>730.23400000000004</v>
      </c>
      <c r="F492" s="161">
        <v>1496.8520000000001</v>
      </c>
      <c r="G492" s="161">
        <v>57.197000000000003</v>
      </c>
      <c r="H492" s="161">
        <v>-172.23599999999999</v>
      </c>
      <c r="I492" s="161">
        <v>1145.4058377758699</v>
      </c>
      <c r="J492" s="161">
        <v>3619.8560000000002</v>
      </c>
      <c r="K492" s="161">
        <v>6147.0748377758709</v>
      </c>
      <c r="L492" s="162">
        <v>1256.4079999999999</v>
      </c>
      <c r="M492" s="162">
        <v>1557.9158377758699</v>
      </c>
      <c r="N492" s="162">
        <v>1499.951</v>
      </c>
      <c r="O492" s="162">
        <v>93.287999999999997</v>
      </c>
      <c r="P492" s="162">
        <v>1593.239</v>
      </c>
      <c r="Q492" s="162">
        <v>4407.5628377758694</v>
      </c>
      <c r="R492" s="162">
        <v>4499.7858390201</v>
      </c>
    </row>
    <row r="493" spans="1:18">
      <c r="A493" t="s">
        <v>79</v>
      </c>
      <c r="B493" s="159">
        <v>2021</v>
      </c>
      <c r="C493" s="161">
        <v>928.28800000000001</v>
      </c>
      <c r="D493" s="161">
        <v>2053.1750000000002</v>
      </c>
      <c r="E493" s="161">
        <v>769.35</v>
      </c>
      <c r="F493" s="161">
        <v>1352.443</v>
      </c>
      <c r="G493" s="161">
        <v>54.732999999999997</v>
      </c>
      <c r="H493" s="161">
        <v>-23.251999999999999</v>
      </c>
      <c r="I493" s="161">
        <v>1200.0503354351799</v>
      </c>
      <c r="J493" s="161">
        <v>3750.8130000000001</v>
      </c>
      <c r="K493" s="161">
        <v>6334.7873354351796</v>
      </c>
      <c r="L493" s="162">
        <v>1294.2629999999999</v>
      </c>
      <c r="M493" s="162">
        <v>1615.42333543518</v>
      </c>
      <c r="N493" s="162">
        <v>1707.0119999999999</v>
      </c>
      <c r="O493" s="162">
        <v>103.28400000000001</v>
      </c>
      <c r="P493" s="162">
        <v>1810.296</v>
      </c>
      <c r="Q493" s="162">
        <v>4719.9823354351802</v>
      </c>
      <c r="R493" s="162">
        <v>4818.7423424537619</v>
      </c>
    </row>
    <row r="494" spans="1:18">
      <c r="A494" t="s">
        <v>79</v>
      </c>
      <c r="B494" s="159">
        <v>2022</v>
      </c>
      <c r="C494" s="161">
        <v>742.17600000000004</v>
      </c>
      <c r="D494" s="161">
        <v>2275.3200000000002</v>
      </c>
      <c r="E494" s="161">
        <v>678.27599999999995</v>
      </c>
      <c r="F494" s="161">
        <v>1336.549</v>
      </c>
      <c r="G494" s="161">
        <v>53.82</v>
      </c>
      <c r="H494" s="161">
        <v>124.32599999999999</v>
      </c>
      <c r="I494" s="161">
        <v>984.01767096589197</v>
      </c>
      <c r="J494" s="161">
        <v>3695.7719999999999</v>
      </c>
      <c r="K494" s="161">
        <v>6194.4846709658914</v>
      </c>
      <c r="L494" s="162">
        <v>1180.886</v>
      </c>
      <c r="M494" s="162">
        <v>1542.22667096589</v>
      </c>
      <c r="N494" s="162">
        <v>1913.942</v>
      </c>
      <c r="O494" s="162">
        <v>79.367999999999995</v>
      </c>
      <c r="P494" s="162">
        <v>1993.31</v>
      </c>
      <c r="Q494" s="162">
        <v>4716.4226709658897</v>
      </c>
      <c r="R494" s="162">
        <v>4815.1081962464086</v>
      </c>
    </row>
    <row r="495" spans="1:18">
      <c r="A495" t="s">
        <v>79</v>
      </c>
      <c r="B495" s="159">
        <v>2023</v>
      </c>
      <c r="C495" s="161">
        <v>637.92566444284341</v>
      </c>
      <c r="D495" s="161">
        <v>2001.5685245927443</v>
      </c>
      <c r="E495" s="161">
        <v>654.32517116038832</v>
      </c>
      <c r="F495" s="161">
        <v>1335.9532765619629</v>
      </c>
      <c r="G495" s="161">
        <v>53.82</v>
      </c>
      <c r="H495" s="161">
        <v>-129.47399999999999</v>
      </c>
      <c r="I495" s="161">
        <v>1006.303820380627</v>
      </c>
      <c r="J495" s="161">
        <v>3293.8193601959761</v>
      </c>
      <c r="K495" s="161">
        <v>5560.4224571385657</v>
      </c>
      <c r="L495" s="162">
        <v>1142.0740232814337</v>
      </c>
      <c r="M495" s="162">
        <v>1542.22667096589</v>
      </c>
      <c r="N495" s="162">
        <v>1744.067701986276</v>
      </c>
      <c r="O495" s="162">
        <v>92.732362965129397</v>
      </c>
      <c r="P495" s="162">
        <v>1836.8000649514054</v>
      </c>
      <c r="Q495" s="162">
        <v>4521.1007591987291</v>
      </c>
      <c r="R495" s="162">
        <v>4615.6994061805326</v>
      </c>
    </row>
    <row r="496" spans="1:18">
      <c r="A496" t="s">
        <v>188</v>
      </c>
      <c r="B496" s="157">
        <v>2005</v>
      </c>
      <c r="C496" s="158">
        <v>4202.2240000000002</v>
      </c>
      <c r="D496" s="158">
        <v>2402.7449999999999</v>
      </c>
      <c r="E496" s="158">
        <v>5498.2150000000001</v>
      </c>
      <c r="F496" s="158">
        <v>4732.7460000000001</v>
      </c>
      <c r="G496" s="158">
        <v>50.491999999999997</v>
      </c>
      <c r="H496" s="158">
        <v>-280.73899999999998</v>
      </c>
      <c r="I496" s="158">
        <v>808.553</v>
      </c>
      <c r="J496" s="158">
        <v>808.553</v>
      </c>
      <c r="K496" s="158">
        <v>12103.184000000001</v>
      </c>
      <c r="L496" s="151">
        <v>3590.7959999999998</v>
      </c>
      <c r="M496" s="151">
        <v>5572.5990000000002</v>
      </c>
      <c r="N496" s="151">
        <v>2382.9589999999998</v>
      </c>
      <c r="O496" s="151">
        <v>11.166</v>
      </c>
      <c r="P496" s="151">
        <v>2394.125</v>
      </c>
      <c r="Q496" s="151">
        <v>11557.52</v>
      </c>
      <c r="R496" s="151">
        <v>11920.148824637377</v>
      </c>
    </row>
    <row r="497" spans="1:18">
      <c r="A497" t="s">
        <v>188</v>
      </c>
      <c r="B497" s="157">
        <v>2006</v>
      </c>
      <c r="C497" s="158">
        <v>4414.3360000000002</v>
      </c>
      <c r="D497" s="158">
        <v>2282.9119999999998</v>
      </c>
      <c r="E497" s="158">
        <v>5056.9210000000003</v>
      </c>
      <c r="F497" s="158">
        <v>4812.2809999999999</v>
      </c>
      <c r="G497" s="158">
        <v>42.276000000000003</v>
      </c>
      <c r="H497" s="158">
        <v>-200.43</v>
      </c>
      <c r="I497" s="158">
        <v>834.84299999999996</v>
      </c>
      <c r="J497" s="158">
        <v>834.84299999999996</v>
      </c>
      <c r="K497" s="158">
        <v>11754.169</v>
      </c>
      <c r="L497" s="151">
        <v>3565.9940000000001</v>
      </c>
      <c r="M497" s="151">
        <v>5546.9589999999998</v>
      </c>
      <c r="N497" s="151">
        <v>2210.9809999999998</v>
      </c>
      <c r="O497" s="151">
        <v>44.372999999999998</v>
      </c>
      <c r="P497" s="151">
        <v>2255.3539999999998</v>
      </c>
      <c r="Q497" s="151">
        <v>11368.307000000001</v>
      </c>
      <c r="R497" s="151">
        <v>11724.999076286857</v>
      </c>
    </row>
    <row r="498" spans="1:18">
      <c r="A498" t="s">
        <v>188</v>
      </c>
      <c r="B498" s="157">
        <v>2007</v>
      </c>
      <c r="C498" s="158">
        <v>3954.2950000000001</v>
      </c>
      <c r="D498" s="158">
        <v>2466.6950000000002</v>
      </c>
      <c r="E498" s="158">
        <v>4762.2529999999997</v>
      </c>
      <c r="F498" s="158">
        <v>4101.2749999999996</v>
      </c>
      <c r="G498" s="158">
        <v>52.235999999999997</v>
      </c>
      <c r="H498" s="158">
        <v>148.32300000000001</v>
      </c>
      <c r="I498" s="158">
        <v>942.73</v>
      </c>
      <c r="J498" s="158">
        <v>942.73</v>
      </c>
      <c r="K498" s="158">
        <v>11183.242999999999</v>
      </c>
      <c r="L498" s="151">
        <v>3662.817</v>
      </c>
      <c r="M498" s="151">
        <v>5061.41</v>
      </c>
      <c r="N498" s="151">
        <v>2418.4659999999999</v>
      </c>
      <c r="O498" s="151">
        <v>61.069000000000003</v>
      </c>
      <c r="P498" s="151">
        <v>2479.5349999999999</v>
      </c>
      <c r="Q498" s="151">
        <v>11203.761999999999</v>
      </c>
      <c r="R498" s="151">
        <v>11555.291311268931</v>
      </c>
    </row>
    <row r="499" spans="1:18">
      <c r="A499" t="s">
        <v>188</v>
      </c>
      <c r="B499" s="157">
        <v>2008</v>
      </c>
      <c r="C499" s="158">
        <v>3957.6219999999998</v>
      </c>
      <c r="D499" s="158">
        <v>2667.5810000000001</v>
      </c>
      <c r="E499" s="158">
        <v>4874.8069999999998</v>
      </c>
      <c r="F499" s="158">
        <v>4452.1930000000002</v>
      </c>
      <c r="G499" s="158">
        <v>50.014000000000003</v>
      </c>
      <c r="H499" s="158">
        <v>44.798000000000002</v>
      </c>
      <c r="I499" s="158">
        <v>938.56899999999996</v>
      </c>
      <c r="J499" s="158">
        <v>938.56899999999996</v>
      </c>
      <c r="K499" s="158">
        <v>11500.009999999998</v>
      </c>
      <c r="L499" s="151">
        <v>3651.5720000000001</v>
      </c>
      <c r="M499" s="151">
        <v>5063.8689999999997</v>
      </c>
      <c r="N499" s="151">
        <v>2657.886</v>
      </c>
      <c r="O499" s="151">
        <v>74.143000000000001</v>
      </c>
      <c r="P499" s="151">
        <v>2732.029</v>
      </c>
      <c r="Q499" s="151">
        <v>11447.470000000001</v>
      </c>
      <c r="R499" s="151">
        <v>11806.645895103071</v>
      </c>
    </row>
    <row r="500" spans="1:18">
      <c r="A500" t="s">
        <v>188</v>
      </c>
      <c r="B500" s="157">
        <v>2009</v>
      </c>
      <c r="C500" s="158">
        <v>3829.8649999999998</v>
      </c>
      <c r="D500" s="158">
        <v>2454.424</v>
      </c>
      <c r="E500" s="158">
        <v>4160.6840000000002</v>
      </c>
      <c r="F500" s="158">
        <v>3783</v>
      </c>
      <c r="G500" s="158">
        <v>48.795999999999999</v>
      </c>
      <c r="H500" s="158">
        <v>112.812</v>
      </c>
      <c r="I500" s="158">
        <v>1131.067</v>
      </c>
      <c r="J500" s="158">
        <v>1131.067</v>
      </c>
      <c r="K500" s="158">
        <v>10444.973</v>
      </c>
      <c r="L500" s="151">
        <v>3118.5430000000001</v>
      </c>
      <c r="M500" s="151">
        <v>5147.2489999999998</v>
      </c>
      <c r="N500" s="151">
        <v>2274.9940000000001</v>
      </c>
      <c r="O500" s="151">
        <v>84.710999999999999</v>
      </c>
      <c r="P500" s="151">
        <v>2359.7049999999999</v>
      </c>
      <c r="Q500" s="151">
        <v>10625.496999999999</v>
      </c>
      <c r="R500" s="151">
        <v>10958.882664770466</v>
      </c>
    </row>
    <row r="501" spans="1:18">
      <c r="A501" t="s">
        <v>188</v>
      </c>
      <c r="B501" s="157">
        <v>2010</v>
      </c>
      <c r="C501" s="158">
        <v>3846.5430000000001</v>
      </c>
      <c r="D501" s="158">
        <v>2713.2579999999998</v>
      </c>
      <c r="E501" s="158">
        <v>4796.2809999999999</v>
      </c>
      <c r="F501" s="158">
        <v>3853.28</v>
      </c>
      <c r="G501" s="158">
        <v>35.206000000000003</v>
      </c>
      <c r="H501" s="158">
        <v>89.51</v>
      </c>
      <c r="I501" s="158">
        <v>2041.3579999999999</v>
      </c>
      <c r="J501" s="158">
        <v>2041.3579999999999</v>
      </c>
      <c r="K501" s="158">
        <v>11356.081999999999</v>
      </c>
      <c r="L501" s="151">
        <v>3224.0859999999998</v>
      </c>
      <c r="M501" s="151">
        <v>6394.402</v>
      </c>
      <c r="N501" s="151">
        <v>2539.0589999999997</v>
      </c>
      <c r="O501" s="151">
        <v>97.688000000000002</v>
      </c>
      <c r="P501" s="151">
        <v>2636.7469999999998</v>
      </c>
      <c r="Q501" s="151">
        <v>12255.235000000001</v>
      </c>
      <c r="R501" s="151">
        <v>12639.75533513287</v>
      </c>
    </row>
    <row r="502" spans="1:18">
      <c r="A502" t="s">
        <v>188</v>
      </c>
      <c r="B502" s="157">
        <v>2011</v>
      </c>
      <c r="C502" s="158">
        <v>3647.3429999999998</v>
      </c>
      <c r="D502" s="158">
        <v>2646.8780000000002</v>
      </c>
      <c r="E502" s="158">
        <v>4254.0839999999998</v>
      </c>
      <c r="F502" s="158">
        <v>4027</v>
      </c>
      <c r="G502" s="158">
        <v>39.552999999999997</v>
      </c>
      <c r="H502" s="158">
        <v>62.511000000000003</v>
      </c>
      <c r="I502" s="158">
        <v>1961.9870000000001</v>
      </c>
      <c r="J502" s="158">
        <v>1961.9870000000001</v>
      </c>
      <c r="K502" s="158">
        <v>10548.305</v>
      </c>
      <c r="L502" s="151">
        <v>3255.3310000000001</v>
      </c>
      <c r="M502" s="151">
        <v>5539.9059999999999</v>
      </c>
      <c r="N502" s="151">
        <v>2542.5439999999999</v>
      </c>
      <c r="O502" s="151">
        <v>97.659000000000006</v>
      </c>
      <c r="P502" s="151">
        <v>2640.203</v>
      </c>
      <c r="Q502" s="151">
        <v>11435.439999999999</v>
      </c>
      <c r="R502" s="151">
        <v>11794.238441742798</v>
      </c>
    </row>
    <row r="503" spans="1:18">
      <c r="A503" t="s">
        <v>188</v>
      </c>
      <c r="B503" s="157">
        <v>2012</v>
      </c>
      <c r="C503" s="158">
        <v>3421.1640000000002</v>
      </c>
      <c r="D503" s="158">
        <v>2632.817</v>
      </c>
      <c r="E503" s="158">
        <v>4045.4430000000002</v>
      </c>
      <c r="F503" s="158">
        <v>4050</v>
      </c>
      <c r="G503" s="158">
        <v>44.305999999999997</v>
      </c>
      <c r="H503" s="158">
        <v>33.792000000000002</v>
      </c>
      <c r="I503" s="158">
        <v>2109.1790000000001</v>
      </c>
      <c r="J503" s="158">
        <v>2109.1790000000001</v>
      </c>
      <c r="K503" s="158">
        <v>10099.423999999999</v>
      </c>
      <c r="L503" s="151">
        <v>3233.817</v>
      </c>
      <c r="M503" s="151">
        <v>5519.5619999999999</v>
      </c>
      <c r="N503" s="151">
        <v>2246.1349999999998</v>
      </c>
      <c r="O503" s="151">
        <v>90.936000000000007</v>
      </c>
      <c r="P503" s="151">
        <v>2337.0709999999999</v>
      </c>
      <c r="Q503" s="151">
        <v>11090.45</v>
      </c>
      <c r="R503" s="151">
        <v>11438.424033200861</v>
      </c>
    </row>
    <row r="504" spans="1:18">
      <c r="A504" t="s">
        <v>188</v>
      </c>
      <c r="B504" s="159">
        <v>2013</v>
      </c>
      <c r="C504" s="161">
        <v>3400.2420000000002</v>
      </c>
      <c r="D504" s="161">
        <v>2468.703</v>
      </c>
      <c r="E504" s="161">
        <v>4167.3689999999997</v>
      </c>
      <c r="F504" s="161">
        <v>4110.51</v>
      </c>
      <c r="G504" s="161">
        <v>125.514</v>
      </c>
      <c r="H504" s="161">
        <v>7.8250000000000002</v>
      </c>
      <c r="I504" s="161">
        <v>2105.0250000000001</v>
      </c>
      <c r="J504" s="161">
        <v>2105.0250000000001</v>
      </c>
      <c r="K504" s="161">
        <v>10036.313999999998</v>
      </c>
      <c r="L504" s="162">
        <v>3114.817</v>
      </c>
      <c r="M504" s="162">
        <v>5820.7169999999996</v>
      </c>
      <c r="N504" s="162">
        <v>2251.0229999999997</v>
      </c>
      <c r="O504" s="162">
        <v>99.061000000000007</v>
      </c>
      <c r="P504" s="162">
        <v>2350.0839999999998</v>
      </c>
      <c r="Q504" s="162">
        <v>11285.617999999999</v>
      </c>
      <c r="R504" s="162">
        <v>11639.715625671113</v>
      </c>
    </row>
    <row r="505" spans="1:18">
      <c r="A505" t="s">
        <v>188</v>
      </c>
      <c r="B505" s="159">
        <v>2014</v>
      </c>
      <c r="C505" s="161">
        <v>3377.0819999999999</v>
      </c>
      <c r="D505" s="161">
        <v>2245.9340000000002</v>
      </c>
      <c r="E505" s="161">
        <v>3485.3389999999999</v>
      </c>
      <c r="F505" s="161">
        <v>4053</v>
      </c>
      <c r="G505" s="161">
        <v>151.524</v>
      </c>
      <c r="H505" s="161">
        <v>94.754999999999995</v>
      </c>
      <c r="I505" s="161">
        <v>1793.085</v>
      </c>
      <c r="J505" s="161">
        <v>1793.085</v>
      </c>
      <c r="K505" s="161">
        <v>9108.3549999999996</v>
      </c>
      <c r="L505" s="162">
        <v>3241.6280000000002</v>
      </c>
      <c r="M505" s="162">
        <v>4876.7449999999999</v>
      </c>
      <c r="N505" s="162">
        <v>2077.7200000000003</v>
      </c>
      <c r="O505" s="162">
        <v>133.86500000000001</v>
      </c>
      <c r="P505" s="162">
        <v>2211.585</v>
      </c>
      <c r="Q505" s="162">
        <v>10329.957999999999</v>
      </c>
      <c r="R505" s="162">
        <v>10654.070831134488</v>
      </c>
    </row>
    <row r="506" spans="1:18">
      <c r="A506" t="s">
        <v>188</v>
      </c>
      <c r="B506" s="159">
        <v>2015</v>
      </c>
      <c r="C506" s="161">
        <v>3236.3229999999999</v>
      </c>
      <c r="D506" s="161">
        <v>2486.471</v>
      </c>
      <c r="E506" s="161">
        <v>3493.4870000000001</v>
      </c>
      <c r="F506" s="161">
        <v>4028</v>
      </c>
      <c r="G506" s="161">
        <v>190.64699999999999</v>
      </c>
      <c r="H506" s="161">
        <v>205.33099999999999</v>
      </c>
      <c r="I506" s="161">
        <v>2161.4119999999998</v>
      </c>
      <c r="J506" s="161">
        <v>2161.4119999999998</v>
      </c>
      <c r="K506" s="161">
        <v>9216.280999999999</v>
      </c>
      <c r="L506" s="162">
        <v>3333.3710000000001</v>
      </c>
      <c r="M506" s="162">
        <v>5104.8590000000004</v>
      </c>
      <c r="N506" s="162">
        <v>2068.3269999999998</v>
      </c>
      <c r="O506" s="162">
        <v>143.90899999999999</v>
      </c>
      <c r="P506" s="162">
        <v>2212.2359999999999</v>
      </c>
      <c r="Q506" s="162">
        <v>10650.466</v>
      </c>
      <c r="R506" s="162">
        <v>10984.635092281074</v>
      </c>
    </row>
    <row r="507" spans="1:18">
      <c r="A507" t="s">
        <v>188</v>
      </c>
      <c r="B507" s="159">
        <v>2016</v>
      </c>
      <c r="C507" s="161">
        <v>3173.5340000000001</v>
      </c>
      <c r="D507" s="161">
        <v>2739.1869999999999</v>
      </c>
      <c r="E507" s="161">
        <v>3552.9450000000002</v>
      </c>
      <c r="F507" s="161">
        <v>3894</v>
      </c>
      <c r="G507" s="161">
        <v>200.965</v>
      </c>
      <c r="H507" s="161">
        <v>227.94499999999999</v>
      </c>
      <c r="I507" s="161">
        <v>2235.2959999999998</v>
      </c>
      <c r="J507" s="161">
        <v>2235.2959999999998</v>
      </c>
      <c r="K507" s="161">
        <v>9465.6659999999993</v>
      </c>
      <c r="L507" s="162">
        <v>3308.576</v>
      </c>
      <c r="M507" s="162">
        <v>5273.4560000000001</v>
      </c>
      <c r="N507" s="162">
        <v>2334.7639999999997</v>
      </c>
      <c r="O507" s="162">
        <v>144.755</v>
      </c>
      <c r="P507" s="162">
        <v>2479.5189999999998</v>
      </c>
      <c r="Q507" s="162">
        <v>11061.550999999999</v>
      </c>
      <c r="R507" s="162">
        <v>11408.618297984031</v>
      </c>
    </row>
    <row r="508" spans="1:18">
      <c r="A508" t="s">
        <v>188</v>
      </c>
      <c r="B508" s="159">
        <v>2017</v>
      </c>
      <c r="C508" s="161">
        <v>3324.098</v>
      </c>
      <c r="D508" s="161">
        <v>3028.81</v>
      </c>
      <c r="E508" s="161">
        <v>3751.4140000000002</v>
      </c>
      <c r="F508" s="161">
        <v>3985</v>
      </c>
      <c r="G508" s="161">
        <v>204.90600000000001</v>
      </c>
      <c r="H508" s="161">
        <v>260.36099999999999</v>
      </c>
      <c r="I508" s="161">
        <v>2227.4009999999998</v>
      </c>
      <c r="J508" s="161">
        <v>2227.4009999999998</v>
      </c>
      <c r="K508" s="161">
        <v>10104.322</v>
      </c>
      <c r="L508" s="162">
        <v>3452.442</v>
      </c>
      <c r="M508" s="162">
        <v>5497.0720000000001</v>
      </c>
      <c r="N508" s="162">
        <v>2663.5250000000001</v>
      </c>
      <c r="O508" s="162">
        <v>149.464</v>
      </c>
      <c r="P508" s="162">
        <v>2812.989</v>
      </c>
      <c r="Q508" s="162">
        <v>11762.503000000001</v>
      </c>
      <c r="R508" s="162">
        <v>12131.563372613124</v>
      </c>
    </row>
    <row r="509" spans="1:18">
      <c r="A509" t="s">
        <v>188</v>
      </c>
      <c r="B509" s="159">
        <v>2018</v>
      </c>
      <c r="C509" s="161">
        <v>3283.5819999999999</v>
      </c>
      <c r="D509" s="161">
        <v>3037.1489999999999</v>
      </c>
      <c r="E509" s="161">
        <v>3625.9090000000001</v>
      </c>
      <c r="F509" s="161">
        <v>3760</v>
      </c>
      <c r="G509" s="161">
        <v>183.864</v>
      </c>
      <c r="H509" s="161">
        <v>316.59500000000003</v>
      </c>
      <c r="I509" s="161">
        <v>2069.7829999999999</v>
      </c>
      <c r="J509" s="161">
        <v>2069.7829999999999</v>
      </c>
      <c r="K509" s="161">
        <v>9946.64</v>
      </c>
      <c r="L509" s="162">
        <v>3662.5390000000002</v>
      </c>
      <c r="M509" s="162">
        <v>5147.3500000000004</v>
      </c>
      <c r="N509" s="162">
        <v>2641.712</v>
      </c>
      <c r="O509" s="162">
        <v>149.91200000000001</v>
      </c>
      <c r="P509" s="162">
        <v>2791.6239999999998</v>
      </c>
      <c r="Q509" s="162">
        <v>11601.513000000001</v>
      </c>
      <c r="R509" s="162">
        <v>11965.52214929892</v>
      </c>
    </row>
    <row r="510" spans="1:18">
      <c r="A510" t="s">
        <v>188</v>
      </c>
      <c r="B510" s="159">
        <v>2019</v>
      </c>
      <c r="C510" s="161">
        <v>2680.7429999999999</v>
      </c>
      <c r="D510" s="161">
        <v>3009.4549999999999</v>
      </c>
      <c r="E510" s="161">
        <v>3723.4940000000001</v>
      </c>
      <c r="F510" s="161">
        <v>4048</v>
      </c>
      <c r="G510" s="161">
        <v>210.399</v>
      </c>
      <c r="H510" s="161">
        <v>146.17400000000001</v>
      </c>
      <c r="I510" s="161">
        <v>2158.3322063628498</v>
      </c>
      <c r="J510" s="161">
        <v>2158.3322063628498</v>
      </c>
      <c r="K510" s="161">
        <v>9413.6920000000009</v>
      </c>
      <c r="L510" s="162">
        <v>3463.68</v>
      </c>
      <c r="M510" s="162">
        <v>4864.5625350148102</v>
      </c>
      <c r="N510" s="162">
        <v>2678.2750000000001</v>
      </c>
      <c r="O510" s="162">
        <v>156.959</v>
      </c>
      <c r="P510" s="162">
        <v>2835.2339999999999</v>
      </c>
      <c r="Q510" s="162">
        <v>11163.47653501481</v>
      </c>
      <c r="R510" s="162">
        <v>11513.741849265563</v>
      </c>
    </row>
    <row r="511" spans="1:18">
      <c r="A511" t="s">
        <v>188</v>
      </c>
      <c r="B511" s="159">
        <v>2020</v>
      </c>
      <c r="C511" s="161">
        <v>2261.498</v>
      </c>
      <c r="D511" s="161">
        <v>2812.2339999999999</v>
      </c>
      <c r="E511" s="161">
        <v>3699.9639999999999</v>
      </c>
      <c r="F511" s="161">
        <v>4044</v>
      </c>
      <c r="G511" s="161">
        <v>234.833</v>
      </c>
      <c r="H511" s="161">
        <v>27.428999999999998</v>
      </c>
      <c r="I511" s="161">
        <v>2095.25983959109</v>
      </c>
      <c r="J511" s="161">
        <v>2095.25983959109</v>
      </c>
      <c r="K511" s="161">
        <v>8773.6959999999999</v>
      </c>
      <c r="L511" s="162">
        <v>3138.1770000000001</v>
      </c>
      <c r="M511" s="162">
        <v>4715.9205305245096</v>
      </c>
      <c r="N511" s="162">
        <v>2361.5929999999998</v>
      </c>
      <c r="O511" s="162">
        <v>155.251</v>
      </c>
      <c r="P511" s="162">
        <v>2516.8440000000001</v>
      </c>
      <c r="Q511" s="162">
        <v>10370.941530524509</v>
      </c>
      <c r="R511" s="162">
        <v>10696.340261186197</v>
      </c>
    </row>
    <row r="512" spans="1:18">
      <c r="A512" t="s">
        <v>188</v>
      </c>
      <c r="B512" s="159">
        <v>2021</v>
      </c>
      <c r="C512" s="161">
        <v>2771.51</v>
      </c>
      <c r="D512" s="161">
        <v>2906.9270000000001</v>
      </c>
      <c r="E512" s="161">
        <v>4144.8019999999997</v>
      </c>
      <c r="F512" s="161">
        <v>4051.05</v>
      </c>
      <c r="G512" s="161">
        <v>236.983</v>
      </c>
      <c r="H512" s="161">
        <v>66.552000000000007</v>
      </c>
      <c r="I512" s="161">
        <v>2255.86733065826</v>
      </c>
      <c r="J512" s="161">
        <v>2255.86733065826</v>
      </c>
      <c r="K512" s="161">
        <v>9823.2389999999996</v>
      </c>
      <c r="L512" s="162">
        <v>3382.3919999999998</v>
      </c>
      <c r="M512" s="162">
        <v>5562.5211765548802</v>
      </c>
      <c r="N512" s="162">
        <v>2480.518</v>
      </c>
      <c r="O512" s="162">
        <v>161.49299999999999</v>
      </c>
      <c r="P512" s="162">
        <v>2642.011</v>
      </c>
      <c r="Q512" s="162">
        <v>11586.92417655488</v>
      </c>
      <c r="R512" s="162">
        <v>11950.475586832041</v>
      </c>
    </row>
    <row r="513" spans="1:18">
      <c r="A513" t="s">
        <v>188</v>
      </c>
      <c r="B513" s="159">
        <v>2022</v>
      </c>
      <c r="C513" s="161">
        <v>2361.4520000000002</v>
      </c>
      <c r="D513" s="161">
        <v>3066.5079999999998</v>
      </c>
      <c r="E513" s="161">
        <v>3466.55</v>
      </c>
      <c r="F513" s="161">
        <v>4096.99</v>
      </c>
      <c r="G513" s="161">
        <v>225.99600000000001</v>
      </c>
      <c r="H513" s="161">
        <v>121.41</v>
      </c>
      <c r="I513" s="161">
        <v>2061.3867707079398</v>
      </c>
      <c r="J513" s="161">
        <v>2061.3867707079398</v>
      </c>
      <c r="K513" s="161">
        <v>8894.51</v>
      </c>
      <c r="L513" s="162">
        <v>3167.9589999999998</v>
      </c>
      <c r="M513" s="162">
        <v>4780.9863295118002</v>
      </c>
      <c r="N513" s="162">
        <v>2522.741</v>
      </c>
      <c r="O513" s="162">
        <v>171.34899999999999</v>
      </c>
      <c r="P513" s="162">
        <v>2694.09</v>
      </c>
      <c r="Q513" s="162">
        <v>10643.0353295118</v>
      </c>
      <c r="R513" s="162">
        <v>10976.971277026054</v>
      </c>
    </row>
    <row r="514" spans="1:18">
      <c r="A514" t="s">
        <v>188</v>
      </c>
      <c r="B514" s="159">
        <v>2023</v>
      </c>
      <c r="C514" s="161">
        <v>2346.9594837804666</v>
      </c>
      <c r="D514" s="161">
        <v>3076.9525646904754</v>
      </c>
      <c r="E514" s="161">
        <v>3300.0432844635557</v>
      </c>
      <c r="F514" s="161">
        <v>4701.1158190523938</v>
      </c>
      <c r="G514" s="161">
        <v>239.03698668357646</v>
      </c>
      <c r="H514" s="161">
        <v>165.7780000000057</v>
      </c>
      <c r="I514" s="161">
        <v>1998.4138642456821</v>
      </c>
      <c r="J514" s="161">
        <v>1998.4138642456821</v>
      </c>
      <c r="K514" s="161">
        <v>8723.9553329344981</v>
      </c>
      <c r="L514" s="162">
        <v>3119.5266411054454</v>
      </c>
      <c r="M514" s="162">
        <v>4780.9863295118002</v>
      </c>
      <c r="N514" s="162">
        <v>2546.7207508804263</v>
      </c>
      <c r="O514" s="162">
        <v>173.21519999999873</v>
      </c>
      <c r="P514" s="162">
        <v>2719.935950880425</v>
      </c>
      <c r="Q514" s="162">
        <v>10620.448921497671</v>
      </c>
      <c r="R514" s="162">
        <v>10953.676197723367</v>
      </c>
    </row>
    <row r="515" spans="1:18">
      <c r="A515" t="s">
        <v>163</v>
      </c>
      <c r="B515" s="157">
        <v>2005</v>
      </c>
      <c r="C515" s="158">
        <v>37593.807999999997</v>
      </c>
      <c r="D515" s="158">
        <v>74694.051999999996</v>
      </c>
      <c r="E515" s="158">
        <v>84860.467999999993</v>
      </c>
      <c r="F515" s="158">
        <v>21053.653999999999</v>
      </c>
      <c r="G515" s="158">
        <v>655.68</v>
      </c>
      <c r="H515" s="158">
        <v>715.47699999999998</v>
      </c>
      <c r="I515" s="158">
        <v>3904.643</v>
      </c>
      <c r="J515" s="158">
        <v>197148.32799999998</v>
      </c>
      <c r="K515" s="158">
        <v>223477.78200000001</v>
      </c>
      <c r="L515" s="151">
        <v>30518.379000000001</v>
      </c>
      <c r="M515" s="151">
        <v>66910.687999999995</v>
      </c>
      <c r="N515" s="151">
        <v>55477.006000000001</v>
      </c>
      <c r="O515" s="151">
        <v>68.558000000000007</v>
      </c>
      <c r="P515" s="151">
        <v>55545.563999999998</v>
      </c>
      <c r="Q515" s="151">
        <v>152974.63099999999</v>
      </c>
    </row>
    <row r="516" spans="1:18">
      <c r="A516" t="s">
        <v>163</v>
      </c>
      <c r="B516" s="157">
        <v>2006</v>
      </c>
      <c r="C516" s="158">
        <v>41001.461000000003</v>
      </c>
      <c r="D516" s="158">
        <v>74092.095000000001</v>
      </c>
      <c r="E516" s="158">
        <v>80450.020999999993</v>
      </c>
      <c r="F516" s="158">
        <v>19462.855</v>
      </c>
      <c r="G516" s="158">
        <v>557.44200000000001</v>
      </c>
      <c r="H516" s="158">
        <v>646.346</v>
      </c>
      <c r="I516" s="158">
        <v>4202.7219999999998</v>
      </c>
      <c r="J516" s="158">
        <v>195543.57699999999</v>
      </c>
      <c r="K516" s="158">
        <v>220412.94200000001</v>
      </c>
      <c r="L516" s="151">
        <v>29672.120999999999</v>
      </c>
      <c r="M516" s="151">
        <v>64940.006999999998</v>
      </c>
      <c r="N516" s="151">
        <v>56098.988000000005</v>
      </c>
      <c r="O516" s="151">
        <v>180.494</v>
      </c>
      <c r="P516" s="151">
        <v>56279.482000000004</v>
      </c>
      <c r="Q516" s="151">
        <v>150891.60999999999</v>
      </c>
    </row>
    <row r="517" spans="1:18">
      <c r="A517" t="s">
        <v>163</v>
      </c>
      <c r="B517" s="157">
        <v>2007</v>
      </c>
      <c r="C517" s="158">
        <v>39183.474999999999</v>
      </c>
      <c r="D517" s="158">
        <v>72315.966</v>
      </c>
      <c r="E517" s="158">
        <v>81172.356</v>
      </c>
      <c r="F517" s="158">
        <v>16258.298000000001</v>
      </c>
      <c r="G517" s="158">
        <v>593.05399999999997</v>
      </c>
      <c r="H517" s="158">
        <v>448.40899999999999</v>
      </c>
      <c r="I517" s="158">
        <v>4529.9449999999997</v>
      </c>
      <c r="J517" s="158">
        <v>192671.79699999999</v>
      </c>
      <c r="K517" s="158">
        <v>214501.50300000003</v>
      </c>
      <c r="L517" s="151">
        <v>29123.891</v>
      </c>
      <c r="M517" s="151">
        <v>63005.523999999998</v>
      </c>
      <c r="N517" s="151">
        <v>56252.067999999999</v>
      </c>
      <c r="O517" s="151">
        <v>348.721</v>
      </c>
      <c r="P517" s="151">
        <v>56600.788999999997</v>
      </c>
      <c r="Q517" s="151">
        <v>148730.204</v>
      </c>
    </row>
    <row r="518" spans="1:18">
      <c r="A518" t="s">
        <v>163</v>
      </c>
      <c r="B518" s="157">
        <v>2008</v>
      </c>
      <c r="C518" s="158">
        <v>35837.690999999999</v>
      </c>
      <c r="D518" s="158">
        <v>70829.392000000007</v>
      </c>
      <c r="E518" s="158">
        <v>84264.338000000003</v>
      </c>
      <c r="F518" s="158">
        <v>13538.950999999999</v>
      </c>
      <c r="G518" s="158">
        <v>527.84900000000005</v>
      </c>
      <c r="H518" s="158">
        <v>947.80700000000002</v>
      </c>
      <c r="I518" s="158">
        <v>5851.7084637431899</v>
      </c>
      <c r="J518" s="158">
        <v>190931.42100000003</v>
      </c>
      <c r="K518" s="158">
        <v>211797.7364637432</v>
      </c>
      <c r="L518" s="151">
        <v>28572.685000000001</v>
      </c>
      <c r="M518" s="151">
        <v>65301.3264637432</v>
      </c>
      <c r="N518" s="151">
        <v>53617.389000000003</v>
      </c>
      <c r="O518" s="151">
        <v>797.947</v>
      </c>
      <c r="P518" s="151">
        <v>54415.336000000003</v>
      </c>
      <c r="Q518" s="151">
        <v>148289.34746374321</v>
      </c>
    </row>
    <row r="519" spans="1:18">
      <c r="A519" t="s">
        <v>163</v>
      </c>
      <c r="B519" s="157">
        <v>2009</v>
      </c>
      <c r="C519" s="158">
        <v>29023.864000000001</v>
      </c>
      <c r="D519" s="158">
        <v>66813.612999999998</v>
      </c>
      <c r="E519" s="158">
        <v>77568.831000000006</v>
      </c>
      <c r="F519" s="158">
        <v>15229</v>
      </c>
      <c r="G519" s="158">
        <v>544.18600000000004</v>
      </c>
      <c r="H519" s="158">
        <v>246.00200000000001</v>
      </c>
      <c r="I519" s="158">
        <v>6566.1238705455198</v>
      </c>
      <c r="J519" s="158">
        <v>173406.30800000002</v>
      </c>
      <c r="K519" s="158">
        <v>195991.61987054555</v>
      </c>
      <c r="L519" s="151">
        <v>24360.055</v>
      </c>
      <c r="M519" s="151">
        <v>61217.203870545498</v>
      </c>
      <c r="N519" s="151">
        <v>51446.305999999997</v>
      </c>
      <c r="O519" s="151">
        <v>987.96799999999996</v>
      </c>
      <c r="P519" s="151">
        <v>52434.273999999998</v>
      </c>
      <c r="Q519" s="151">
        <v>138011.53287054549</v>
      </c>
    </row>
    <row r="520" spans="1:18">
      <c r="A520" t="s">
        <v>163</v>
      </c>
      <c r="B520" s="157">
        <v>2010</v>
      </c>
      <c r="C520" s="158">
        <v>31735.080999999998</v>
      </c>
      <c r="D520" s="158">
        <v>67183.019</v>
      </c>
      <c r="E520" s="158">
        <v>84191.486999999994</v>
      </c>
      <c r="F520" s="158">
        <v>13947</v>
      </c>
      <c r="G520" s="158">
        <v>460.61399999999998</v>
      </c>
      <c r="H520" s="158">
        <v>228.80500000000001</v>
      </c>
      <c r="I520" s="158">
        <v>7347.1647215056801</v>
      </c>
      <c r="J520" s="158">
        <v>183109.587</v>
      </c>
      <c r="K520" s="158">
        <v>205093.17072150568</v>
      </c>
      <c r="L520" s="151">
        <v>25596.576000000001</v>
      </c>
      <c r="M520" s="151">
        <v>66124.3347215057</v>
      </c>
      <c r="N520" s="151">
        <v>50237.765999999996</v>
      </c>
      <c r="O520" s="151">
        <v>1150.6690000000001</v>
      </c>
      <c r="P520" s="151">
        <v>51388.434999999998</v>
      </c>
      <c r="Q520" s="151">
        <v>143109.3457215057</v>
      </c>
    </row>
    <row r="521" spans="1:18">
      <c r="A521" t="s">
        <v>163</v>
      </c>
      <c r="B521" s="157">
        <v>2011</v>
      </c>
      <c r="C521" s="158">
        <v>30753.87</v>
      </c>
      <c r="D521" s="158">
        <v>64436.813000000002</v>
      </c>
      <c r="E521" s="158">
        <v>69882.759999999995</v>
      </c>
      <c r="F521" s="158">
        <v>15626</v>
      </c>
      <c r="G521" s="158">
        <v>738.60699999999997</v>
      </c>
      <c r="H521" s="158">
        <v>535.08199999999999</v>
      </c>
      <c r="I521" s="158">
        <v>8115.4537706124001</v>
      </c>
      <c r="J521" s="158">
        <v>165073.443</v>
      </c>
      <c r="K521" s="158">
        <v>190088.58577061238</v>
      </c>
      <c r="L521" s="151">
        <v>23952.179</v>
      </c>
      <c r="M521" s="151">
        <v>56891.076770612402</v>
      </c>
      <c r="N521" s="151">
        <v>50256.18</v>
      </c>
      <c r="O521" s="151">
        <v>1062.961</v>
      </c>
      <c r="P521" s="151">
        <v>51319.141000000003</v>
      </c>
      <c r="Q521" s="151">
        <v>132162.39677061239</v>
      </c>
    </row>
    <row r="522" spans="1:18">
      <c r="A522" t="s">
        <v>163</v>
      </c>
      <c r="B522" s="157">
        <v>2012</v>
      </c>
      <c r="C522" s="158">
        <v>39200.017</v>
      </c>
      <c r="D522" s="158">
        <v>64198.699000000001</v>
      </c>
      <c r="E522" s="158">
        <v>65938.778999999995</v>
      </c>
      <c r="F522" s="158">
        <v>15206</v>
      </c>
      <c r="G522" s="158">
        <v>797.721</v>
      </c>
      <c r="H522" s="158">
        <v>1020.12</v>
      </c>
      <c r="I522" s="158">
        <v>8787.4128397821696</v>
      </c>
      <c r="J522" s="158">
        <v>169337.495</v>
      </c>
      <c r="K522" s="158">
        <v>195148.74883978214</v>
      </c>
      <c r="L522" s="151">
        <v>23613.279999999999</v>
      </c>
      <c r="M522" s="151">
        <v>61339.349839782197</v>
      </c>
      <c r="N522" s="151">
        <v>49916.150999999998</v>
      </c>
      <c r="O522" s="151">
        <v>895.04399999999998</v>
      </c>
      <c r="P522" s="151">
        <v>50811.195</v>
      </c>
      <c r="Q522" s="151">
        <v>135763.8248397822</v>
      </c>
    </row>
    <row r="523" spans="1:18">
      <c r="A523" t="s">
        <v>163</v>
      </c>
      <c r="B523" s="159">
        <v>2013</v>
      </c>
      <c r="C523" s="161">
        <v>36800.315999999999</v>
      </c>
      <c r="D523" s="161">
        <v>61527.425000000003</v>
      </c>
      <c r="E523" s="161">
        <v>65350.623</v>
      </c>
      <c r="F523" s="161">
        <v>15443</v>
      </c>
      <c r="G523" s="161">
        <v>619.97199999999998</v>
      </c>
      <c r="H523" s="161">
        <v>1240.8430000000001</v>
      </c>
      <c r="I523" s="161">
        <v>10646.910534346</v>
      </c>
      <c r="J523" s="161">
        <v>163678.364</v>
      </c>
      <c r="K523" s="161">
        <v>191629.08953434601</v>
      </c>
      <c r="L523" s="162">
        <v>23643.761999999999</v>
      </c>
      <c r="M523" s="162">
        <v>62808.212534345999</v>
      </c>
      <c r="N523" s="162">
        <v>49437.646000000001</v>
      </c>
      <c r="O523" s="162">
        <v>1023.57</v>
      </c>
      <c r="P523" s="162">
        <v>50461.216</v>
      </c>
      <c r="Q523" s="162">
        <v>136913.19053434601</v>
      </c>
    </row>
    <row r="524" spans="1:18">
      <c r="A524" t="s">
        <v>163</v>
      </c>
      <c r="B524" s="159">
        <v>2014</v>
      </c>
      <c r="C524" s="161">
        <v>29459.213</v>
      </c>
      <c r="D524" s="161">
        <v>62919.574000000001</v>
      </c>
      <c r="E524" s="161">
        <v>59519.603999999999</v>
      </c>
      <c r="F524" s="161">
        <v>13850</v>
      </c>
      <c r="G524" s="161">
        <v>855.21199999999999</v>
      </c>
      <c r="H524" s="161">
        <v>1764.4880000000001</v>
      </c>
      <c r="I524" s="161">
        <v>12349.5143734594</v>
      </c>
      <c r="J524" s="161">
        <v>151898.391</v>
      </c>
      <c r="K524" s="161">
        <v>180717.6053734594</v>
      </c>
      <c r="L524" s="162">
        <v>22967.703000000001</v>
      </c>
      <c r="M524" s="162">
        <v>56069.007373459397</v>
      </c>
      <c r="N524" s="162">
        <v>49912.091</v>
      </c>
      <c r="O524" s="162">
        <v>1168.07</v>
      </c>
      <c r="P524" s="162">
        <v>51080.161</v>
      </c>
      <c r="Q524" s="162">
        <v>130116.87137345941</v>
      </c>
    </row>
    <row r="525" spans="1:18">
      <c r="A525" t="s">
        <v>163</v>
      </c>
      <c r="B525" s="159">
        <v>2015</v>
      </c>
      <c r="C525" s="161">
        <v>24577.147000000001</v>
      </c>
      <c r="D525" s="161">
        <v>64171.741000000002</v>
      </c>
      <c r="E525" s="161">
        <v>60838.798000000003</v>
      </c>
      <c r="F525" s="161">
        <v>15479.333000000001</v>
      </c>
      <c r="G525" s="161">
        <v>986.81600000000003</v>
      </c>
      <c r="H525" s="161">
        <v>1814.751</v>
      </c>
      <c r="I525" s="161">
        <v>14736.188038979601</v>
      </c>
      <c r="J525" s="161">
        <v>149587.68600000002</v>
      </c>
      <c r="K525" s="161">
        <v>182604.77403897961</v>
      </c>
      <c r="L525" s="162">
        <v>23060.44</v>
      </c>
      <c r="M525" s="162">
        <v>57605.727038979603</v>
      </c>
      <c r="N525" s="162">
        <v>51026.371999999996</v>
      </c>
      <c r="O525" s="162">
        <v>932.83600000000001</v>
      </c>
      <c r="P525" s="162">
        <v>51959.207999999999</v>
      </c>
      <c r="Q525" s="162">
        <v>132625.3750389796</v>
      </c>
    </row>
    <row r="526" spans="1:18">
      <c r="A526" t="s">
        <v>163</v>
      </c>
      <c r="B526" s="159">
        <v>2016</v>
      </c>
      <c r="C526" s="161">
        <v>12593.582</v>
      </c>
      <c r="D526" s="161">
        <v>64627.474999999999</v>
      </c>
      <c r="E526" s="161">
        <v>68560.426000000007</v>
      </c>
      <c r="F526" s="161">
        <v>15413.826999999999</v>
      </c>
      <c r="G526" s="161">
        <v>1312.1479999999999</v>
      </c>
      <c r="H526" s="161">
        <v>1525.8</v>
      </c>
      <c r="I526" s="161">
        <v>15405.981388554501</v>
      </c>
      <c r="J526" s="161">
        <v>145781.48300000001</v>
      </c>
      <c r="K526" s="161">
        <v>179439.23938855447</v>
      </c>
      <c r="L526" s="162">
        <v>21304.966</v>
      </c>
      <c r="M526" s="162">
        <v>59567.305388554501</v>
      </c>
      <c r="N526" s="162">
        <v>51944.478999999999</v>
      </c>
      <c r="O526" s="162">
        <v>951.11199999999997</v>
      </c>
      <c r="P526" s="162">
        <v>52895.591</v>
      </c>
      <c r="Q526" s="162">
        <v>133767.86238855449</v>
      </c>
    </row>
    <row r="527" spans="1:18">
      <c r="A527" t="s">
        <v>163</v>
      </c>
      <c r="B527" s="159">
        <v>2017</v>
      </c>
      <c r="C527" s="161">
        <v>10100.156999999999</v>
      </c>
      <c r="D527" s="161">
        <v>65670.092000000004</v>
      </c>
      <c r="E527" s="161">
        <v>66894.127999999997</v>
      </c>
      <c r="F527" s="161">
        <v>15123.808000000001</v>
      </c>
      <c r="G527" s="161">
        <v>1177.4390000000001</v>
      </c>
      <c r="H527" s="161">
        <v>1269.126</v>
      </c>
      <c r="I527" s="161">
        <v>17036.5366879717</v>
      </c>
      <c r="J527" s="161">
        <v>142664.37700000001</v>
      </c>
      <c r="K527" s="161">
        <v>177271.2866879717</v>
      </c>
      <c r="L527" s="162">
        <v>21625.724999999999</v>
      </c>
      <c r="M527" s="162">
        <v>58137.1076879717</v>
      </c>
      <c r="N527" s="162">
        <v>52907.262999999999</v>
      </c>
      <c r="O527" s="162">
        <v>921.42</v>
      </c>
      <c r="P527" s="162">
        <v>53828.682999999997</v>
      </c>
      <c r="Q527" s="162">
        <v>133591.5156879717</v>
      </c>
    </row>
    <row r="528" spans="1:18">
      <c r="A528" t="s">
        <v>163</v>
      </c>
      <c r="B528" s="159">
        <v>2018</v>
      </c>
      <c r="C528" s="161">
        <v>8144.8339999999998</v>
      </c>
      <c r="D528" s="161">
        <v>65221.196000000004</v>
      </c>
      <c r="E528" s="161">
        <v>67704.877999999997</v>
      </c>
      <c r="F528" s="161">
        <v>14060.727000000001</v>
      </c>
      <c r="G528" s="161">
        <v>1297.4829999999999</v>
      </c>
      <c r="H528" s="161">
        <v>1642.962</v>
      </c>
      <c r="I528" s="161">
        <v>19148.1280562721</v>
      </c>
      <c r="J528" s="161">
        <v>141070.908</v>
      </c>
      <c r="K528" s="161">
        <v>177220.20805627212</v>
      </c>
      <c r="L528" s="162">
        <v>21689.348000000002</v>
      </c>
      <c r="M528" s="162">
        <v>59697.078056272097</v>
      </c>
      <c r="N528" s="162">
        <v>52475.396000000001</v>
      </c>
      <c r="O528" s="162">
        <v>1270.1110000000001</v>
      </c>
      <c r="P528" s="162">
        <v>53745.506999999998</v>
      </c>
      <c r="Q528" s="162">
        <v>135131.9330562721</v>
      </c>
    </row>
    <row r="529" spans="1:17">
      <c r="A529" t="s">
        <v>163</v>
      </c>
      <c r="B529" s="159">
        <v>2019</v>
      </c>
      <c r="C529" s="161">
        <v>5825.1710000000003</v>
      </c>
      <c r="D529" s="161">
        <v>64524.680999999997</v>
      </c>
      <c r="E529" s="161">
        <v>66472.956000000006</v>
      </c>
      <c r="F529" s="161">
        <v>13252.5</v>
      </c>
      <c r="G529" s="161">
        <v>1531.241</v>
      </c>
      <c r="H529" s="161">
        <v>1820.3330000000001</v>
      </c>
      <c r="I529" s="161">
        <v>20870.111581350899</v>
      </c>
      <c r="J529" s="161">
        <v>136822.80800000002</v>
      </c>
      <c r="K529" s="161">
        <v>174296.99358135095</v>
      </c>
      <c r="L529" s="162">
        <v>21118.795999999998</v>
      </c>
      <c r="M529" s="162">
        <v>59445.675581350901</v>
      </c>
      <c r="N529" s="162">
        <v>51897.303999999996</v>
      </c>
      <c r="O529" s="162">
        <v>1653.067</v>
      </c>
      <c r="P529" s="162">
        <v>53550.370999999999</v>
      </c>
      <c r="Q529" s="162">
        <v>134114.84258135091</v>
      </c>
    </row>
    <row r="530" spans="1:17">
      <c r="A530" t="s">
        <v>163</v>
      </c>
      <c r="B530" s="159">
        <v>2020</v>
      </c>
      <c r="C530" s="161">
        <v>0</v>
      </c>
      <c r="D530" s="161">
        <v>0</v>
      </c>
      <c r="E530" s="161">
        <v>0</v>
      </c>
      <c r="F530" s="161">
        <v>0</v>
      </c>
      <c r="G530" s="161">
        <v>0</v>
      </c>
      <c r="H530" s="161">
        <v>0</v>
      </c>
      <c r="I530" s="161">
        <v>0</v>
      </c>
      <c r="J530" s="161">
        <v>0</v>
      </c>
      <c r="K530" s="161">
        <v>0</v>
      </c>
      <c r="L530" s="162">
        <v>0</v>
      </c>
      <c r="M530" s="162">
        <v>0</v>
      </c>
      <c r="N530" s="162">
        <v>0</v>
      </c>
      <c r="O530" s="162">
        <v>0</v>
      </c>
      <c r="P530" s="162">
        <v>0</v>
      </c>
      <c r="Q530" s="162">
        <v>0</v>
      </c>
    </row>
    <row r="531" spans="1:17">
      <c r="A531" t="s">
        <v>163</v>
      </c>
      <c r="B531" s="159">
        <v>2021</v>
      </c>
      <c r="C531" s="161">
        <v>0</v>
      </c>
      <c r="D531" s="161">
        <v>0</v>
      </c>
      <c r="E531" s="161">
        <v>0</v>
      </c>
      <c r="F531" s="161">
        <v>0</v>
      </c>
      <c r="G531" s="161">
        <v>0</v>
      </c>
      <c r="H531" s="161">
        <v>0</v>
      </c>
      <c r="I531" s="161">
        <v>0</v>
      </c>
      <c r="J531" s="161">
        <v>0</v>
      </c>
      <c r="K531" s="161">
        <v>0</v>
      </c>
      <c r="L531" s="162">
        <v>0</v>
      </c>
      <c r="M531" s="162">
        <v>0</v>
      </c>
      <c r="N531" s="162">
        <v>0</v>
      </c>
      <c r="O531" s="162">
        <v>0</v>
      </c>
      <c r="P531" s="162">
        <v>0</v>
      </c>
      <c r="Q531" s="162">
        <v>0</v>
      </c>
    </row>
    <row r="532" spans="1:17">
      <c r="A532" t="s">
        <v>163</v>
      </c>
      <c r="B532" s="159">
        <v>2022</v>
      </c>
      <c r="C532" s="161">
        <v>0</v>
      </c>
      <c r="D532" s="161">
        <v>0</v>
      </c>
      <c r="E532" s="161">
        <v>0</v>
      </c>
      <c r="F532" s="161">
        <v>0</v>
      </c>
      <c r="G532" s="161">
        <v>0</v>
      </c>
      <c r="H532" s="161">
        <v>0</v>
      </c>
      <c r="I532" s="161">
        <v>0</v>
      </c>
      <c r="J532" s="161">
        <v>0</v>
      </c>
      <c r="K532" s="161">
        <v>0</v>
      </c>
      <c r="L532" s="162">
        <v>0</v>
      </c>
      <c r="M532" s="162">
        <v>0</v>
      </c>
      <c r="N532" s="162">
        <v>0</v>
      </c>
      <c r="O532" s="162">
        <v>0</v>
      </c>
      <c r="P532" s="162">
        <v>0</v>
      </c>
      <c r="Q532" s="162">
        <v>0</v>
      </c>
    </row>
    <row r="533" spans="1:17">
      <c r="A533" t="s">
        <v>163</v>
      </c>
      <c r="B533" s="159">
        <v>2023</v>
      </c>
      <c r="C533" s="161">
        <v>0</v>
      </c>
      <c r="D533" s="161">
        <v>0</v>
      </c>
      <c r="E533" s="161">
        <v>0</v>
      </c>
      <c r="F533" s="161">
        <v>0</v>
      </c>
      <c r="G533" s="161">
        <v>0</v>
      </c>
      <c r="H533" s="161">
        <v>0</v>
      </c>
      <c r="I533" s="161">
        <v>0</v>
      </c>
      <c r="J533" s="161">
        <v>0</v>
      </c>
      <c r="K533" s="161">
        <v>0</v>
      </c>
      <c r="L533" s="162">
        <v>0</v>
      </c>
      <c r="M533" s="162">
        <v>0</v>
      </c>
      <c r="N533" s="162">
        <v>0</v>
      </c>
      <c r="O533" s="162">
        <v>0</v>
      </c>
      <c r="P533" s="162">
        <v>0</v>
      </c>
      <c r="Q533" s="162">
        <v>0</v>
      </c>
    </row>
    <row r="629" spans="12:12">
      <c r="L629" s="151"/>
    </row>
    <row r="630" spans="12:12">
      <c r="L630" s="151"/>
    </row>
    <row r="631" spans="12:12">
      <c r="L631" s="151"/>
    </row>
    <row r="632" spans="12:12">
      <c r="L632" s="151"/>
    </row>
    <row r="633" spans="12:12">
      <c r="L633" s="151"/>
    </row>
    <row r="634" spans="12:12">
      <c r="L634" s="151"/>
    </row>
    <row r="635" spans="12:12">
      <c r="L635" s="151"/>
    </row>
    <row r="636" spans="12:12">
      <c r="L636" s="151"/>
    </row>
    <row r="637" spans="12:12">
      <c r="L637" s="3"/>
    </row>
    <row r="638" spans="12:12">
      <c r="L638" s="3"/>
    </row>
    <row r="639" spans="12:12">
      <c r="L639" s="3"/>
    </row>
    <row r="640" spans="12:12">
      <c r="L640" s="3"/>
    </row>
    <row r="641" spans="12:12">
      <c r="L641" s="3"/>
    </row>
    <row r="642" spans="12:12">
      <c r="L642" s="3"/>
    </row>
    <row r="643" spans="12:12">
      <c r="L643" s="3"/>
    </row>
    <row r="644" spans="12:12">
      <c r="L644" s="3"/>
    </row>
    <row r="645" spans="12:12">
      <c r="L645" s="3"/>
    </row>
    <row r="646" spans="12:12">
      <c r="L646" s="3"/>
    </row>
    <row r="647" spans="12:12">
      <c r="L647" s="3"/>
    </row>
    <row r="686" spans="3:3">
      <c r="C686" s="3"/>
    </row>
    <row r="687" spans="3:3">
      <c r="C68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AQ71"/>
  <sheetViews>
    <sheetView zoomScale="80" zoomScaleNormal="80" workbookViewId="0">
      <pane xSplit="3" ySplit="6" topLeftCell="D7" activePane="bottomRight" state="frozen"/>
      <selection pane="topRight" activeCell="R3" sqref="R3"/>
      <selection pane="bottomLeft" activeCell="R3" sqref="R3"/>
      <selection pane="bottomRight" activeCell="D6" sqref="D6:V36"/>
    </sheetView>
  </sheetViews>
  <sheetFormatPr baseColWidth="10" defaultColWidth="11.5" defaultRowHeight="13"/>
  <cols>
    <col min="1" max="1" width="13.5" customWidth="1"/>
    <col min="27" max="27" width="12.5" customWidth="1"/>
  </cols>
  <sheetData>
    <row r="1" spans="1:43">
      <c r="A1" t="s">
        <v>68</v>
      </c>
    </row>
    <row r="3" spans="1:43">
      <c r="AI3" t="s">
        <v>193</v>
      </c>
      <c r="AK3" t="s">
        <v>193</v>
      </c>
      <c r="AL3" s="130" t="s">
        <v>228</v>
      </c>
      <c r="AM3" s="129"/>
      <c r="AO3" t="s">
        <v>193</v>
      </c>
    </row>
    <row r="4" spans="1:43" ht="14">
      <c r="AA4">
        <v>1</v>
      </c>
      <c r="AB4">
        <v>2</v>
      </c>
      <c r="AC4">
        <v>3</v>
      </c>
      <c r="AD4">
        <v>4</v>
      </c>
      <c r="AE4">
        <v>5</v>
      </c>
      <c r="AF4">
        <v>6</v>
      </c>
      <c r="AH4" t="s">
        <v>225</v>
      </c>
      <c r="AI4" s="10">
        <v>5</v>
      </c>
      <c r="AJ4" s="5"/>
      <c r="AK4" t="s">
        <v>229</v>
      </c>
      <c r="AO4">
        <v>5</v>
      </c>
    </row>
    <row r="5" spans="1:43" ht="12.75" customHeight="1">
      <c r="D5" t="s">
        <v>173</v>
      </c>
      <c r="AA5" t="s">
        <v>196</v>
      </c>
      <c r="AB5" t="s">
        <v>226</v>
      </c>
      <c r="AC5" t="s">
        <v>230</v>
      </c>
      <c r="AD5" t="s">
        <v>231</v>
      </c>
      <c r="AE5" t="str">
        <f>TrendDuration&amp;"yr lin trend"</f>
        <v>5yr lin trend</v>
      </c>
      <c r="AF5" t="s">
        <v>200</v>
      </c>
      <c r="AG5" s="6" t="s">
        <v>201</v>
      </c>
      <c r="AH5" t="s">
        <v>203</v>
      </c>
      <c r="AI5" s="21">
        <v>0.8</v>
      </c>
      <c r="AK5" s="21">
        <v>0.9</v>
      </c>
      <c r="AL5" t="s">
        <v>232</v>
      </c>
      <c r="AO5" s="21">
        <v>0.8</v>
      </c>
      <c r="AQ5" t="s">
        <v>204</v>
      </c>
    </row>
    <row r="6" spans="1:43">
      <c r="A6" t="s">
        <v>233</v>
      </c>
      <c r="B6" t="s">
        <v>175</v>
      </c>
      <c r="C6" t="s">
        <v>176</v>
      </c>
      <c r="D6" s="1">
        <f>'FEC Total'!D6</f>
        <v>2005</v>
      </c>
      <c r="E6" s="1">
        <f>'FEC Total'!E6</f>
        <v>2006</v>
      </c>
      <c r="F6" s="1">
        <f>'FEC Total'!F6</f>
        <v>2007</v>
      </c>
      <c r="G6" s="1">
        <f>'FEC Total'!G6</f>
        <v>2008</v>
      </c>
      <c r="H6" s="1">
        <f>'FEC Total'!H6</f>
        <v>2009</v>
      </c>
      <c r="I6" s="1">
        <f>'FEC Total'!I6</f>
        <v>2010</v>
      </c>
      <c r="J6" s="1">
        <f>'FEC Total'!J6</f>
        <v>2011</v>
      </c>
      <c r="K6" s="1">
        <f>'FEC Total'!K6</f>
        <v>2012</v>
      </c>
      <c r="L6" s="1">
        <f>'FEC Total'!L6</f>
        <v>2013</v>
      </c>
      <c r="M6" s="1">
        <f>'FEC Total'!M6</f>
        <v>2014</v>
      </c>
      <c r="N6" s="1">
        <f>'FEC Total'!N6</f>
        <v>2015</v>
      </c>
      <c r="O6" s="1">
        <f>'FEC Total'!O6</f>
        <v>2016</v>
      </c>
      <c r="P6" s="1">
        <f>'FEC Total'!P6</f>
        <v>2017</v>
      </c>
      <c r="Q6" s="1">
        <f>'FEC Total'!Q6</f>
        <v>2018</v>
      </c>
      <c r="R6" s="1">
        <f>'FEC Total'!R6</f>
        <v>2019</v>
      </c>
      <c r="S6" s="1">
        <f>'FEC Total'!S6</f>
        <v>2020</v>
      </c>
      <c r="T6" s="1">
        <f>'FEC Total'!T6</f>
        <v>2021</v>
      </c>
      <c r="U6" s="1">
        <f>'FEC Total'!U6</f>
        <v>2022</v>
      </c>
      <c r="V6" s="2">
        <f>YearProxy</f>
        <v>2023</v>
      </c>
      <c r="W6" s="21" t="s">
        <v>205</v>
      </c>
      <c r="AA6" s="2">
        <f>YearProxy-1</f>
        <v>2022</v>
      </c>
      <c r="AB6" s="2">
        <f>YearProxy</f>
        <v>2023</v>
      </c>
      <c r="AC6" s="2">
        <f>YearProxy</f>
        <v>2023</v>
      </c>
      <c r="AD6" s="2">
        <f>YearProxy</f>
        <v>2023</v>
      </c>
      <c r="AE6" s="2">
        <f>YearProxy</f>
        <v>2023</v>
      </c>
      <c r="AF6" s="2">
        <f>YearProxy</f>
        <v>2023</v>
      </c>
      <c r="AG6" s="6"/>
      <c r="AI6" s="6" t="s">
        <v>211</v>
      </c>
      <c r="AK6" s="6" t="s">
        <v>234</v>
      </c>
      <c r="AL6" t="s">
        <v>235</v>
      </c>
      <c r="AM6" t="s">
        <v>236</v>
      </c>
      <c r="AO6" t="s">
        <v>231</v>
      </c>
    </row>
    <row r="7" spans="1:43">
      <c r="A7">
        <v>2</v>
      </c>
      <c r="B7" t="s">
        <v>106</v>
      </c>
      <c r="C7" t="s">
        <v>106</v>
      </c>
      <c r="D7" s="3">
        <v>11605.6800278017</v>
      </c>
      <c r="E7" s="3">
        <v>11572.4157527467</v>
      </c>
      <c r="F7" s="3">
        <v>11042.450028757001</v>
      </c>
      <c r="G7" s="3">
        <v>11534.225372790699</v>
      </c>
      <c r="H7" s="3">
        <v>10740.128565778199</v>
      </c>
      <c r="I7" s="3">
        <v>11620.810657112799</v>
      </c>
      <c r="J7" s="3">
        <v>11009.400012133399</v>
      </c>
      <c r="K7" s="3">
        <v>11092.554035826901</v>
      </c>
      <c r="L7" s="3">
        <v>11436.5452136238</v>
      </c>
      <c r="M7" s="3">
        <v>10569.3857516958</v>
      </c>
      <c r="N7" s="3">
        <v>10977.0154500812</v>
      </c>
      <c r="O7" s="3">
        <v>11104.4027935416</v>
      </c>
      <c r="P7" s="3">
        <v>11439.7707529378</v>
      </c>
      <c r="Q7" s="3">
        <v>10622.6008631891</v>
      </c>
      <c r="R7" s="3">
        <v>11002.472851820001</v>
      </c>
      <c r="S7" s="3">
        <v>10860.3773624725</v>
      </c>
      <c r="T7" s="3">
        <v>11987.685821056601</v>
      </c>
      <c r="U7" s="3">
        <v>10583.402493073499</v>
      </c>
      <c r="V7" s="3">
        <f ca="1">INDEX($AA7:$AL7,1,W7)</f>
        <v>9966.8852870742539</v>
      </c>
      <c r="W7" s="16">
        <f ca="1">IF(ISNUMBER(AF7),$AF$4,IF(ISNUMBER(AG7),AG7,IF(AO7&gt;$AO$5,$AD$4,IF(AK7&gt;$AK$5,$AC$4,IF(AI7&gt;$AI$5,$AE$4,1)))))</f>
        <v>6</v>
      </c>
      <c r="X7" t="str">
        <f t="shared" ref="X7:X34" ca="1" si="0">INDEX($AA$5:$AM$5,W7)</f>
        <v>Based on MS Stats</v>
      </c>
      <c r="AA7" s="3">
        <f t="shared" ref="AA7:AA34" ca="1" si="1">OFFSET($A7,0,OffsetLast)</f>
        <v>10583.402493073499</v>
      </c>
      <c r="AB7" s="3">
        <f t="shared" ref="AB7:AB34" ca="1" si="2">$AA7*(1+AB42)</f>
        <v>8614.4776753943916</v>
      </c>
      <c r="AC7" s="3">
        <v>9765.1124679198601</v>
      </c>
      <c r="AD7" s="3">
        <f ca="1">$AA7*(1+AD42)</f>
        <v>10317.34323893257</v>
      </c>
      <c r="AE7" s="3">
        <f ca="1">FORECAST(AE$6,OFFSET($A7,0,OffsetLast-TrendDuration+1,1,TrendDuration),OFFSET($A$6,0,OffsetLast-TrendDuration+1,1,TrendDuration))</f>
        <v>11283.35274702395</v>
      </c>
      <c r="AF7" s="3">
        <f ca="1">IF(ISNUMBER(AF42),$AA7*(1+AF42),"")</f>
        <v>9966.8852870742539</v>
      </c>
      <c r="AI7" s="7">
        <f t="shared" ref="AI7:AI34" ca="1" si="3">IFERROR(RSQ(OFFSET($A7,0,OffsetLast-TrendDuration+1,1,TrendDuration),OFFSET($A$6,0,OffsetLast-TrendDuration+1,1,TrendDuration)),0)</f>
        <v>6.2754553915162409E-2</v>
      </c>
      <c r="AJ7" s="7"/>
      <c r="AK7" s="7">
        <v>0.68447174119713428</v>
      </c>
      <c r="AL7" s="7">
        <v>0.69254700601716912</v>
      </c>
      <c r="AM7" s="7">
        <v>205.60830763054298</v>
      </c>
      <c r="AO7" s="7">
        <v>0</v>
      </c>
      <c r="AP7" s="7"/>
      <c r="AQ7" s="7" t="str">
        <f>IFERROR(INDEX('MS Stats list'!P:P, MATCH(B7,'MS Stats list'!B:B,0)),"")</f>
        <v>Statistics Austria - Preliminary energy balance 2022</v>
      </c>
    </row>
    <row r="8" spans="1:43">
      <c r="A8">
        <v>3</v>
      </c>
      <c r="B8" t="s">
        <v>177</v>
      </c>
      <c r="C8" t="s">
        <v>177</v>
      </c>
      <c r="D8" s="3">
        <v>16386.108</v>
      </c>
      <c r="E8" s="3">
        <v>15756.111000000001</v>
      </c>
      <c r="F8" s="3">
        <v>14647.385</v>
      </c>
      <c r="G8" s="3">
        <v>16415.848999999998</v>
      </c>
      <c r="H8" s="3">
        <v>14837.978999999999</v>
      </c>
      <c r="I8" s="3">
        <v>16864.3027152002</v>
      </c>
      <c r="J8" s="3">
        <v>14549.7410247444</v>
      </c>
      <c r="K8" s="3">
        <v>15080.0031461737</v>
      </c>
      <c r="L8" s="3">
        <v>16257.2468833477</v>
      </c>
      <c r="M8" s="3">
        <v>13951.354509983799</v>
      </c>
      <c r="N8" s="3">
        <v>15017.1714742524</v>
      </c>
      <c r="O8" s="3">
        <v>15356.212655011001</v>
      </c>
      <c r="P8" s="3">
        <v>15233.581846565399</v>
      </c>
      <c r="Q8" s="3">
        <v>15124.909039075201</v>
      </c>
      <c r="R8" s="3">
        <v>14953.8432912965</v>
      </c>
      <c r="S8" s="3">
        <v>14275.120845514501</v>
      </c>
      <c r="T8" s="3">
        <v>15235.847766217599</v>
      </c>
      <c r="U8" s="3">
        <v>13426.7887862807</v>
      </c>
      <c r="V8" s="3">
        <f ca="1">INDEX($AA8:$AL8,1,W8)</f>
        <v>13426.7887862807</v>
      </c>
      <c r="W8" s="16">
        <f ca="1">IF(ISNUMBER(AF8),$AF$4,IF(ISNUMBER(AG8),AG8,IF(AO8&gt;$AO$5,$AD$4,IF(AK8&gt;$AK$5,$AC$4,IF(AI8&gt;$AI$5,$AE$4,1)))))</f>
        <v>1</v>
      </c>
      <c r="X8" t="str">
        <f t="shared" ca="1" si="0"/>
        <v>No Change</v>
      </c>
      <c r="AA8" s="3">
        <f t="shared" ca="1" si="1"/>
        <v>13426.7887862807</v>
      </c>
      <c r="AB8" s="3">
        <f t="shared" ca="1" si="2"/>
        <v>13334.355120382794</v>
      </c>
      <c r="AC8" s="3">
        <v>13489.750829982635</v>
      </c>
      <c r="AD8" s="3">
        <f t="shared" ref="AD8:AD34" ca="1" si="4">$AA8*(1+AD43)</f>
        <v>13349.009141851411</v>
      </c>
      <c r="AE8" s="3">
        <f t="shared" ref="AE8:AE34" ca="1" si="5">FORECAST(AE$6,OFFSET($A8,0,OffsetLast-TrendDuration+1,1,TrendDuration),OFFSET($A$6,0,OffsetLast-TrendDuration+1,1,TrendDuration))</f>
        <v>13669.031136476435</v>
      </c>
      <c r="AF8" s="3" t="str">
        <f t="shared" ref="AF8:AF34" si="6">IF(ISNUMBER(AF43),$AA8*(1+AF43),"")</f>
        <v/>
      </c>
      <c r="AI8" s="7">
        <f t="shared" ca="1" si="3"/>
        <v>0.42407798102971778</v>
      </c>
      <c r="AJ8" s="7"/>
      <c r="AK8" s="7">
        <v>0.87358099990694382</v>
      </c>
      <c r="AL8" s="7">
        <v>0.57489160707010944</v>
      </c>
      <c r="AM8" s="7">
        <v>141.91788697358754</v>
      </c>
      <c r="AO8" s="7">
        <v>0</v>
      </c>
      <c r="AP8" s="7"/>
      <c r="AQ8" s="7" t="str">
        <f>IFERROR(INDEX('MS Stats list'!P:P, MATCH(B8,'MS Stats list'!B:B,0)),"")</f>
        <v/>
      </c>
    </row>
    <row r="9" spans="1:43">
      <c r="A9">
        <v>4</v>
      </c>
      <c r="B9" t="s">
        <v>178</v>
      </c>
      <c r="C9" t="s">
        <v>178</v>
      </c>
      <c r="D9" s="3">
        <v>3582.0812150000002</v>
      </c>
      <c r="E9" s="3">
        <v>3795.728063</v>
      </c>
      <c r="F9" s="3">
        <v>3575.041647</v>
      </c>
      <c r="G9" s="3">
        <v>3424.7777639999999</v>
      </c>
      <c r="H9" s="3">
        <v>3236.0938116938901</v>
      </c>
      <c r="I9" s="3">
        <v>3416.8888022356</v>
      </c>
      <c r="J9" s="3">
        <v>3626.2838426483199</v>
      </c>
      <c r="K9" s="3">
        <v>3575.4372536543401</v>
      </c>
      <c r="L9" s="3">
        <v>3400.4006079105802</v>
      </c>
      <c r="M9" s="3">
        <v>3282.4867007738599</v>
      </c>
      <c r="N9" s="3">
        <v>3382.4677789242401</v>
      </c>
      <c r="O9" s="3">
        <v>3513.22834823732</v>
      </c>
      <c r="P9" s="3">
        <v>3576.0639525174302</v>
      </c>
      <c r="Q9" s="3">
        <v>3554.3950173879798</v>
      </c>
      <c r="R9" s="3">
        <v>3521.71054896341</v>
      </c>
      <c r="S9" s="3">
        <v>3531.9525477214102</v>
      </c>
      <c r="T9" s="3">
        <v>3775.1566397248498</v>
      </c>
      <c r="U9" s="3">
        <v>3531.4227280022901</v>
      </c>
      <c r="V9" s="3">
        <f t="shared" ref="V9:V34" ca="1" si="7">INDEX($AA9:$AL9,1,W9)</f>
        <v>3531.4227280022901</v>
      </c>
      <c r="W9" s="16">
        <f t="shared" ref="W9:W34" ca="1" si="8">IF(ISNUMBER(AF9),$AF$4,IF(ISNUMBER(AG9),AG9,IF(AO9&gt;$AO$5,$AD$4,IF(AK9&gt;$AK$5,$AC$4,IF(AI9&gt;$AI$5,$AE$4,1)))))</f>
        <v>1</v>
      </c>
      <c r="X9" t="str">
        <f t="shared" ca="1" si="0"/>
        <v>No Change</v>
      </c>
      <c r="AA9" s="3">
        <f t="shared" ca="1" si="1"/>
        <v>3531.4227280022901</v>
      </c>
      <c r="AB9" s="3">
        <f t="shared" ca="1" si="2"/>
        <v>3531.4201928418838</v>
      </c>
      <c r="AC9" s="3">
        <v>3761.3180474722417</v>
      </c>
      <c r="AD9" s="3">
        <f t="shared" ca="1" si="4"/>
        <v>3185.3506785486329</v>
      </c>
      <c r="AE9" s="3">
        <f t="shared" ca="1" si="5"/>
        <v>3645.1779499570039</v>
      </c>
      <c r="AF9" s="3" t="str">
        <f t="shared" si="6"/>
        <v/>
      </c>
      <c r="AI9" s="7">
        <f t="shared" ca="1" si="3"/>
        <v>9.2071032267964925E-2</v>
      </c>
      <c r="AJ9" s="7"/>
      <c r="AK9" s="7">
        <v>1.0313140802799223E-2</v>
      </c>
      <c r="AL9" s="7">
        <v>-0.42749830957817031</v>
      </c>
      <c r="AM9" s="7">
        <v>229.89493044649001</v>
      </c>
      <c r="AO9" s="7">
        <v>0</v>
      </c>
      <c r="AP9" s="7"/>
      <c r="AQ9" s="7" t="str">
        <f>IFERROR(INDEX('MS Stats list'!P:P, MATCH(B9,'MS Stats list'!B:B,0)),"")</f>
        <v/>
      </c>
    </row>
    <row r="10" spans="1:43">
      <c r="A10">
        <v>5</v>
      </c>
      <c r="B10" t="s">
        <v>179</v>
      </c>
      <c r="C10" t="s">
        <v>179</v>
      </c>
      <c r="D10" s="3">
        <v>531.15899999999999</v>
      </c>
      <c r="E10" s="3">
        <v>589.61900000000003</v>
      </c>
      <c r="F10" s="3">
        <v>611.21403900000007</v>
      </c>
      <c r="G10" s="3">
        <v>629.19227000000001</v>
      </c>
      <c r="H10" s="3">
        <v>650.84273115505903</v>
      </c>
      <c r="I10" s="3">
        <v>643.25469313079202</v>
      </c>
      <c r="J10" s="3">
        <v>658.54307805483904</v>
      </c>
      <c r="K10" s="3">
        <v>629.91415544090898</v>
      </c>
      <c r="L10" s="3">
        <v>564.94915544090895</v>
      </c>
      <c r="M10" s="3">
        <v>550.71350167192099</v>
      </c>
      <c r="N10" s="3">
        <v>588.82950167192098</v>
      </c>
      <c r="O10" s="3">
        <v>615.53750167192095</v>
      </c>
      <c r="P10" s="3">
        <v>634.64050797745301</v>
      </c>
      <c r="Q10" s="3">
        <v>621.17059692366399</v>
      </c>
      <c r="R10" s="3">
        <v>654.88980366867202</v>
      </c>
      <c r="S10" s="3">
        <v>615.42161536256697</v>
      </c>
      <c r="T10" s="3">
        <v>627.25163905607997</v>
      </c>
      <c r="U10" s="3">
        <v>656.34869122002397</v>
      </c>
      <c r="V10" s="3">
        <f t="shared" ca="1" si="7"/>
        <v>656.34869122002397</v>
      </c>
      <c r="W10" s="16">
        <f t="shared" ca="1" si="8"/>
        <v>1</v>
      </c>
      <c r="X10" t="str">
        <f t="shared" ca="1" si="0"/>
        <v>No Change</v>
      </c>
      <c r="AA10" s="3">
        <f t="shared" ca="1" si="1"/>
        <v>656.34869122002397</v>
      </c>
      <c r="AB10" s="3">
        <f t="shared" ca="1" si="2"/>
        <v>658.62634908754978</v>
      </c>
      <c r="AC10" s="3">
        <v>709.40166756281451</v>
      </c>
      <c r="AD10" s="3">
        <f t="shared" ca="1" si="4"/>
        <v>499.61757306114157</v>
      </c>
      <c r="AE10" s="3">
        <f t="shared" ca="1" si="5"/>
        <v>647.83187644023837</v>
      </c>
      <c r="AF10" s="3" t="str">
        <f t="shared" si="6"/>
        <v/>
      </c>
      <c r="AI10" s="7">
        <f t="shared" ca="1" si="3"/>
        <v>0.12280375059520586</v>
      </c>
      <c r="AJ10" s="7"/>
      <c r="AK10" s="7">
        <v>4.6306549381055648E-2</v>
      </c>
      <c r="AL10" s="7">
        <v>0.79706511843340488</v>
      </c>
      <c r="AM10" s="7">
        <v>51.605266968179833</v>
      </c>
      <c r="AO10" s="7">
        <v>0</v>
      </c>
      <c r="AP10" s="7"/>
      <c r="AQ10" s="7" t="str">
        <f>IFERROR(INDEX('MS Stats list'!P:P, MATCH(B10,'MS Stats list'!B:B,0)),"")</f>
        <v/>
      </c>
    </row>
    <row r="11" spans="1:43">
      <c r="A11">
        <v>6</v>
      </c>
      <c r="B11" t="s">
        <v>180</v>
      </c>
      <c r="C11" t="s">
        <v>180</v>
      </c>
      <c r="D11" s="3">
        <v>11400.8546509028</v>
      </c>
      <c r="E11" s="3">
        <v>11614.833067259</v>
      </c>
      <c r="F11" s="3">
        <v>11141.2028984427</v>
      </c>
      <c r="G11" s="3">
        <v>11303.0127350721</v>
      </c>
      <c r="H11" s="3">
        <v>11026.9346477501</v>
      </c>
      <c r="I11" s="3">
        <v>12135.225657208401</v>
      </c>
      <c r="J11" s="3">
        <v>11438.8658223942</v>
      </c>
      <c r="K11" s="3">
        <v>11608.494952613</v>
      </c>
      <c r="L11" s="3">
        <v>11767.451761918401</v>
      </c>
      <c r="M11" s="3">
        <v>11011.8649173593</v>
      </c>
      <c r="N11" s="3">
        <v>11233.260733448</v>
      </c>
      <c r="O11" s="3">
        <v>11680.2164702398</v>
      </c>
      <c r="P11" s="3">
        <v>11796.5570870354</v>
      </c>
      <c r="Q11" s="3">
        <v>11560.928956338999</v>
      </c>
      <c r="R11" s="3">
        <v>11453.609920512101</v>
      </c>
      <c r="S11" s="3">
        <v>11433.3102866151</v>
      </c>
      <c r="T11" s="3">
        <v>12171.9491447406</v>
      </c>
      <c r="U11" s="3">
        <v>11114.4324899207</v>
      </c>
      <c r="V11" s="3">
        <f t="shared" ca="1" si="7"/>
        <v>11114.4324899207</v>
      </c>
      <c r="W11" s="16">
        <f t="shared" ca="1" si="8"/>
        <v>1</v>
      </c>
      <c r="X11" t="str">
        <f t="shared" ca="1" si="0"/>
        <v>No Change</v>
      </c>
      <c r="AA11" s="3">
        <f t="shared" ca="1" si="1"/>
        <v>11114.4324899207</v>
      </c>
      <c r="AB11" s="3">
        <f t="shared" ca="1" si="2"/>
        <v>10800.11874208836</v>
      </c>
      <c r="AC11" s="3">
        <v>11072.315514599248</v>
      </c>
      <c r="AD11" s="3">
        <f t="shared" ca="1" si="4"/>
        <v>10532.84888725869</v>
      </c>
      <c r="AE11" s="3">
        <f t="shared" ca="1" si="5"/>
        <v>11494.450047043072</v>
      </c>
      <c r="AF11" s="3" t="str">
        <f t="shared" si="6"/>
        <v/>
      </c>
      <c r="AI11" s="7">
        <f t="shared" ca="1" si="3"/>
        <v>5.0880818914040811E-3</v>
      </c>
      <c r="AJ11" s="7"/>
      <c r="AK11" s="7">
        <v>0.85531192211539631</v>
      </c>
      <c r="AL11" s="7">
        <v>0.54336452220924603</v>
      </c>
      <c r="AM11" s="7">
        <v>123.88088621347219</v>
      </c>
      <c r="AO11" s="7">
        <v>0</v>
      </c>
      <c r="AP11" s="7"/>
      <c r="AQ11" s="7" t="str">
        <f>IFERROR(INDEX('MS Stats list'!P:P, MATCH(B11,'MS Stats list'!B:B,0)),"")</f>
        <v/>
      </c>
    </row>
    <row r="12" spans="1:43">
      <c r="A12">
        <v>7</v>
      </c>
      <c r="B12" t="s">
        <v>91</v>
      </c>
      <c r="C12" t="s">
        <v>91</v>
      </c>
      <c r="D12" s="3">
        <v>102894.2516</v>
      </c>
      <c r="E12" s="3">
        <v>106396.1102</v>
      </c>
      <c r="F12" s="3">
        <v>92782.565199999997</v>
      </c>
      <c r="G12" s="3">
        <v>102976.7277</v>
      </c>
      <c r="H12" s="3">
        <v>97177.083318047196</v>
      </c>
      <c r="I12" s="3">
        <v>105264.60312677899</v>
      </c>
      <c r="J12" s="3">
        <v>93007.550746727793</v>
      </c>
      <c r="K12" s="3">
        <v>97642.078642208799</v>
      </c>
      <c r="L12" s="3">
        <v>102090.477923951</v>
      </c>
      <c r="M12" s="3">
        <v>90803.660354447304</v>
      </c>
      <c r="N12" s="3">
        <v>93523.169780930504</v>
      </c>
      <c r="O12" s="3">
        <v>95016.431902550801</v>
      </c>
      <c r="P12" s="3">
        <v>94704.943148944294</v>
      </c>
      <c r="Q12" s="3">
        <v>92788.233442724697</v>
      </c>
      <c r="R12" s="3">
        <v>93089.016818572607</v>
      </c>
      <c r="S12" s="3">
        <v>91949.112139772595</v>
      </c>
      <c r="T12" s="3">
        <v>95806.144104709994</v>
      </c>
      <c r="U12" s="3">
        <v>89962.108302092296</v>
      </c>
      <c r="V12" s="3">
        <f t="shared" ca="1" si="7"/>
        <v>85113.150664609522</v>
      </c>
      <c r="W12" s="16">
        <f t="shared" ca="1" si="8"/>
        <v>6</v>
      </c>
      <c r="X12" t="str">
        <f t="shared" ca="1" si="0"/>
        <v>Based on MS Stats</v>
      </c>
      <c r="AA12" s="3">
        <f t="shared" ca="1" si="1"/>
        <v>89962.108302092296</v>
      </c>
      <c r="AB12" s="3">
        <f t="shared" ca="1" si="2"/>
        <v>83642.524951665953</v>
      </c>
      <c r="AC12" s="3">
        <v>96657.642482141862</v>
      </c>
      <c r="AD12" s="3">
        <f t="shared" ca="1" si="4"/>
        <v>87514.741275572102</v>
      </c>
      <c r="AE12" s="3">
        <f t="shared" ca="1" si="5"/>
        <v>91838.38606303616</v>
      </c>
      <c r="AF12" s="3">
        <f t="shared" ca="1" si="6"/>
        <v>85113.150664609522</v>
      </c>
      <c r="AG12" s="3"/>
      <c r="AH12" s="3"/>
      <c r="AI12" s="7">
        <f t="shared" ca="1" si="3"/>
        <v>4.8221557941767183E-2</v>
      </c>
      <c r="AJ12" s="7"/>
      <c r="AK12" s="7">
        <v>1.2394628267877385E-3</v>
      </c>
      <c r="AL12" s="7">
        <v>-5.8782489913206747E-2</v>
      </c>
      <c r="AM12" s="7">
        <v>6212.7577403295563</v>
      </c>
      <c r="AO12" s="7">
        <v>0</v>
      </c>
      <c r="AP12" s="7"/>
      <c r="AQ12" s="7" t="str">
        <f>IFERROR(INDEX('MS Stats list'!P:P, MATCH(B12,'MS Stats list'!B:B,0)),"")</f>
        <v>BMWi - Gesamtausgabe der Energiedaten - Datensammlung des BMWi, AGEB - Primärenergieverbrauch Jahr 2021</v>
      </c>
    </row>
    <row r="13" spans="1:43">
      <c r="A13">
        <v>8</v>
      </c>
      <c r="B13" t="s">
        <v>115</v>
      </c>
      <c r="C13" t="s">
        <v>115</v>
      </c>
      <c r="D13" s="3">
        <v>7362.8174805579401</v>
      </c>
      <c r="E13" s="3">
        <v>7386.6104532339696</v>
      </c>
      <c r="F13" s="3">
        <v>7322.8566527180601</v>
      </c>
      <c r="G13" s="3">
        <v>7299.0190476736398</v>
      </c>
      <c r="H13" s="3">
        <v>7280.4813652431403</v>
      </c>
      <c r="I13" s="3">
        <v>7917.0286111588803</v>
      </c>
      <c r="J13" s="3">
        <v>7188.6400600936204</v>
      </c>
      <c r="K13" s="3">
        <v>7088.83230428967</v>
      </c>
      <c r="L13" s="3">
        <v>7119.3029777395604</v>
      </c>
      <c r="M13" s="3">
        <v>6607.1505791535301</v>
      </c>
      <c r="N13" s="3">
        <v>6944.6232912964497</v>
      </c>
      <c r="O13" s="3">
        <v>7112.14418458011</v>
      </c>
      <c r="P13" s="3">
        <v>7050.4627750071604</v>
      </c>
      <c r="Q13" s="3">
        <v>6919.9899395242101</v>
      </c>
      <c r="R13" s="3">
        <v>6769.1337801662303</v>
      </c>
      <c r="S13" s="3">
        <v>6511.5389719117202</v>
      </c>
      <c r="T13" s="3">
        <v>6954.0839229005396</v>
      </c>
      <c r="U13" s="3">
        <v>6263.3746295022402</v>
      </c>
      <c r="V13" s="3">
        <f t="shared" ca="1" si="7"/>
        <v>6263.3746295022402</v>
      </c>
      <c r="W13" s="16">
        <f t="shared" ca="1" si="8"/>
        <v>1</v>
      </c>
      <c r="X13" t="str">
        <f t="shared" ca="1" si="0"/>
        <v>No Change</v>
      </c>
      <c r="AA13" s="3">
        <f t="shared" ca="1" si="1"/>
        <v>6263.3746295022402</v>
      </c>
      <c r="AB13" s="3">
        <f t="shared" ca="1" si="2"/>
        <v>6263.3808312577039</v>
      </c>
      <c r="AC13" s="3">
        <v>6453.1863331470895</v>
      </c>
      <c r="AD13" s="3">
        <f t="shared" ca="1" si="4"/>
        <v>6295.0323521802902</v>
      </c>
      <c r="AE13" s="3">
        <f t="shared" ca="1" si="5"/>
        <v>6345.1401056081231</v>
      </c>
      <c r="AF13" s="3" t="str">
        <f t="shared" si="6"/>
        <v/>
      </c>
      <c r="AI13" s="7">
        <f t="shared" ca="1" si="3"/>
        <v>0.37162717338355633</v>
      </c>
      <c r="AJ13" s="7"/>
      <c r="AK13" s="7">
        <v>0.7738437978666125</v>
      </c>
      <c r="AL13" s="7">
        <v>1.0555374612851474</v>
      </c>
      <c r="AM13" s="7">
        <v>189.80822401673592</v>
      </c>
      <c r="AO13" s="7">
        <v>0</v>
      </c>
      <c r="AP13" s="7"/>
      <c r="AQ13" s="7" t="str">
        <f>IFERROR(INDEX('MS Stats list'!P:P, MATCH(B13,'MS Stats list'!B:B,0)),"")</f>
        <v>Danish Energy Agency - Preliminary Energy Statsticis 2022</v>
      </c>
    </row>
    <row r="14" spans="1:43">
      <c r="A14">
        <v>9</v>
      </c>
      <c r="B14" t="s">
        <v>120</v>
      </c>
      <c r="C14" t="s">
        <v>120</v>
      </c>
      <c r="D14" s="3">
        <v>1381.921</v>
      </c>
      <c r="E14" s="3">
        <v>1376.9159999999999</v>
      </c>
      <c r="F14" s="3">
        <v>1464.675</v>
      </c>
      <c r="G14" s="3">
        <v>1480.088</v>
      </c>
      <c r="H14" s="3">
        <v>1481.4369999999999</v>
      </c>
      <c r="I14" s="3">
        <v>1546.21</v>
      </c>
      <c r="J14" s="3">
        <v>1446.3810000000001</v>
      </c>
      <c r="K14" s="3">
        <v>1505.1659999999999</v>
      </c>
      <c r="L14" s="3">
        <v>1461.521</v>
      </c>
      <c r="M14" s="3">
        <v>1477.019</v>
      </c>
      <c r="N14" s="3">
        <v>1455.308</v>
      </c>
      <c r="O14" s="3">
        <v>1560.182</v>
      </c>
      <c r="P14" s="3">
        <v>1540.625</v>
      </c>
      <c r="Q14" s="3">
        <v>1567.3810000000001</v>
      </c>
      <c r="R14" s="3">
        <v>1526.913</v>
      </c>
      <c r="S14" s="3">
        <v>1521.8309999999999</v>
      </c>
      <c r="T14" s="3">
        <v>1565.825</v>
      </c>
      <c r="U14" s="3">
        <v>1516.5920000000001</v>
      </c>
      <c r="V14" s="3">
        <f t="shared" ca="1" si="7"/>
        <v>1516.5920000000001</v>
      </c>
      <c r="W14" s="16">
        <f t="shared" ca="1" si="8"/>
        <v>1</v>
      </c>
      <c r="X14" t="str">
        <f t="shared" ca="1" si="0"/>
        <v>No Change</v>
      </c>
      <c r="AA14" s="3">
        <f t="shared" ca="1" si="1"/>
        <v>1516.5920000000001</v>
      </c>
      <c r="AB14" s="3">
        <f t="shared" ca="1" si="2"/>
        <v>1796.0645163874135</v>
      </c>
      <c r="AC14" s="3">
        <v>1356.5292896397298</v>
      </c>
      <c r="AD14" s="3">
        <f t="shared" ca="1" si="4"/>
        <v>1467.8410061832437</v>
      </c>
      <c r="AE14" s="3">
        <f t="shared" ca="1" si="5"/>
        <v>1520.9085999999988</v>
      </c>
      <c r="AF14" s="3" t="str">
        <f t="shared" si="6"/>
        <v/>
      </c>
      <c r="AI14" s="7">
        <f t="shared" ca="1" si="3"/>
        <v>0.15927649120918272</v>
      </c>
      <c r="AJ14" s="7"/>
      <c r="AK14" s="7">
        <v>0.11762322238927969</v>
      </c>
      <c r="AL14" s="7">
        <v>-3.356716075789981</v>
      </c>
      <c r="AM14" s="7">
        <v>82.117641075825404</v>
      </c>
      <c r="AO14" s="7">
        <v>0</v>
      </c>
      <c r="AP14" s="7"/>
      <c r="AQ14" s="7">
        <f>IFERROR(INDEX('MS Stats list'!P:P, MATCH(B14,'MS Stats list'!B:B,0)),"")</f>
        <v>0</v>
      </c>
    </row>
    <row r="15" spans="1:43">
      <c r="A15">
        <v>11</v>
      </c>
      <c r="B15" t="s">
        <v>85</v>
      </c>
      <c r="C15" t="s">
        <v>85</v>
      </c>
      <c r="D15" s="3">
        <v>28011.563999999998</v>
      </c>
      <c r="E15" s="3">
        <v>30128.84</v>
      </c>
      <c r="F15" s="3">
        <v>29512.846000000001</v>
      </c>
      <c r="G15" s="3">
        <v>29337.120999999999</v>
      </c>
      <c r="H15" s="3">
        <v>29373.125</v>
      </c>
      <c r="I15" s="3">
        <v>31414.866999999998</v>
      </c>
      <c r="J15" s="3">
        <v>30223.287</v>
      </c>
      <c r="K15" s="3">
        <v>29939.992999999999</v>
      </c>
      <c r="L15" s="3">
        <v>29446.364000000001</v>
      </c>
      <c r="M15" s="3">
        <v>28058.844196617902</v>
      </c>
      <c r="N15" s="3">
        <v>28399.138052832699</v>
      </c>
      <c r="O15" s="3">
        <v>27481.909902646399</v>
      </c>
      <c r="P15" s="3">
        <v>28027.6672195471</v>
      </c>
      <c r="Q15" s="3">
        <v>28767.4346613165</v>
      </c>
      <c r="R15" s="3">
        <v>28034.766051017501</v>
      </c>
      <c r="S15" s="3">
        <v>27283.816574185501</v>
      </c>
      <c r="T15" s="3">
        <v>27967.567816566301</v>
      </c>
      <c r="U15" s="3">
        <v>27138.1442806917</v>
      </c>
      <c r="V15" s="3">
        <f t="shared" ca="1" si="7"/>
        <v>27138.1442806917</v>
      </c>
      <c r="W15" s="16">
        <f t="shared" ca="1" si="8"/>
        <v>1</v>
      </c>
      <c r="X15" t="str">
        <f t="shared" ca="1" si="0"/>
        <v>No Change</v>
      </c>
      <c r="AA15" s="3">
        <f t="shared" ca="1" si="1"/>
        <v>27138.1442806917</v>
      </c>
      <c r="AB15" s="3">
        <f t="shared" ca="1" si="2"/>
        <v>29006.819651412177</v>
      </c>
      <c r="AC15" s="3">
        <v>31111.833294868215</v>
      </c>
      <c r="AD15" s="3">
        <f ca="1">$AA15*(1+AD50)</f>
        <v>27200.010885727272</v>
      </c>
      <c r="AE15" s="3">
        <f t="shared" ca="1" si="5"/>
        <v>26840.612178045325</v>
      </c>
      <c r="AF15" s="3" t="str">
        <f t="shared" si="6"/>
        <v/>
      </c>
      <c r="AI15" s="7">
        <f t="shared" ca="1" si="3"/>
        <v>0.64446763766096349</v>
      </c>
      <c r="AJ15" s="7"/>
      <c r="AK15" s="7">
        <v>2.8607741951406123E-2</v>
      </c>
      <c r="AL15" s="7">
        <v>0.74166015138454255</v>
      </c>
      <c r="AM15" s="7">
        <v>2166.5421566750683</v>
      </c>
      <c r="AO15" s="7">
        <v>0</v>
      </c>
      <c r="AP15" s="7"/>
      <c r="AQ15" s="7" t="str">
        <f>IFERROR(INDEX('MS Stats list'!P:P, MATCH(B15,'MS Stats list'!B:B,0)),"")</f>
        <v>Ministry of Ecological Transition</v>
      </c>
    </row>
    <row r="16" spans="1:43">
      <c r="A16">
        <v>12</v>
      </c>
      <c r="B16" t="s">
        <v>2</v>
      </c>
      <c r="C16" t="s">
        <v>2</v>
      </c>
      <c r="D16" s="3">
        <v>9450.527</v>
      </c>
      <c r="E16" s="3">
        <v>9605.8109999999997</v>
      </c>
      <c r="F16" s="3">
        <v>9720.8539999999994</v>
      </c>
      <c r="G16" s="3">
        <v>9556.0249999999996</v>
      </c>
      <c r="H16" s="3">
        <v>9808.4249999999993</v>
      </c>
      <c r="I16" s="3">
        <v>10665.416999999999</v>
      </c>
      <c r="J16" s="3">
        <v>9546.3130000000001</v>
      </c>
      <c r="K16" s="3">
        <v>10115.406999999999</v>
      </c>
      <c r="L16" s="3">
        <v>9565.7060000000001</v>
      </c>
      <c r="M16" s="3">
        <v>9567.357</v>
      </c>
      <c r="N16" s="3">
        <v>9308.866</v>
      </c>
      <c r="O16" s="3">
        <v>9869.6810000000005</v>
      </c>
      <c r="P16" s="3">
        <v>9745.3445524983199</v>
      </c>
      <c r="Q16" s="3">
        <v>9720.4696132607096</v>
      </c>
      <c r="R16" s="3">
        <v>9470.0804145409293</v>
      </c>
      <c r="S16" s="3">
        <v>8955.1268794305797</v>
      </c>
      <c r="T16" s="3">
        <v>9864.9689705741694</v>
      </c>
      <c r="U16" s="3">
        <v>9199.5666198528597</v>
      </c>
      <c r="V16" s="3">
        <f t="shared" ca="1" si="7"/>
        <v>9278.2407332436942</v>
      </c>
      <c r="W16" s="16">
        <f t="shared" ca="1" si="8"/>
        <v>6</v>
      </c>
      <c r="X16" t="str">
        <f t="shared" ca="1" si="0"/>
        <v>Based on MS Stats</v>
      </c>
      <c r="AA16" s="3">
        <f t="shared" ca="1" si="1"/>
        <v>9199.5666198528597</v>
      </c>
      <c r="AB16" s="3">
        <f t="shared" ca="1" si="2"/>
        <v>8196.9296482758364</v>
      </c>
      <c r="AC16" s="3">
        <v>8905.5384172774466</v>
      </c>
      <c r="AD16" s="3">
        <f t="shared" ca="1" si="4"/>
        <v>9478.8406100276679</v>
      </c>
      <c r="AE16" s="3">
        <f t="shared" ca="1" si="5"/>
        <v>9247.9672702971147</v>
      </c>
      <c r="AF16" s="3">
        <f t="shared" ca="1" si="6"/>
        <v>9278.2407332436942</v>
      </c>
      <c r="AI16" s="7">
        <f t="shared" ca="1" si="3"/>
        <v>7.5670853561012788E-2</v>
      </c>
      <c r="AJ16" s="7"/>
      <c r="AK16" s="7">
        <v>0.49656101645464912</v>
      </c>
      <c r="AL16" s="7">
        <v>1.2298403985370687</v>
      </c>
      <c r="AM16" s="7">
        <v>237.90482628063498</v>
      </c>
      <c r="AO16" s="7">
        <v>0</v>
      </c>
      <c r="AP16" s="7"/>
      <c r="AQ16" s="7" t="str">
        <f>IFERROR(INDEX('MS Stats list'!P:P, MATCH(B16,'MS Stats list'!B:B,0)),"")</f>
        <v>Statistics Finland - Energy supply and consumption</v>
      </c>
    </row>
    <row r="17" spans="1:43">
      <c r="A17">
        <v>13</v>
      </c>
      <c r="B17" t="s">
        <v>82</v>
      </c>
      <c r="C17" t="s">
        <v>82</v>
      </c>
      <c r="D17" s="3">
        <v>77806.554512563307</v>
      </c>
      <c r="E17" s="3">
        <v>76189.915946976194</v>
      </c>
      <c r="F17" s="3">
        <v>70744.3661669055</v>
      </c>
      <c r="G17" s="3">
        <v>74307.558165185794</v>
      </c>
      <c r="H17" s="3">
        <v>74301.4983182383</v>
      </c>
      <c r="I17" s="3">
        <v>77148.236373841602</v>
      </c>
      <c r="J17" s="3">
        <v>68665.417711283095</v>
      </c>
      <c r="K17" s="3">
        <v>73413.711330085003</v>
      </c>
      <c r="L17" s="3">
        <v>76591.479640680205</v>
      </c>
      <c r="M17" s="3">
        <v>66682.839912677897</v>
      </c>
      <c r="N17" s="3">
        <v>69400.825827744295</v>
      </c>
      <c r="O17" s="3">
        <v>70563.940842361699</v>
      </c>
      <c r="P17" s="3">
        <v>70196.349340403103</v>
      </c>
      <c r="Q17" s="3">
        <v>68474.613914588699</v>
      </c>
      <c r="R17" s="3">
        <v>67310.718914397599</v>
      </c>
      <c r="S17" s="3">
        <v>64274.485120378296</v>
      </c>
      <c r="T17" s="3">
        <v>70981.206508072893</v>
      </c>
      <c r="U17" s="3">
        <v>63924.839849718097</v>
      </c>
      <c r="V17" s="3">
        <f t="shared" ca="1" si="7"/>
        <v>62303.138074876828</v>
      </c>
      <c r="W17" s="16">
        <f t="shared" ca="1" si="8"/>
        <v>6</v>
      </c>
      <c r="X17" t="str">
        <f t="shared" ca="1" si="0"/>
        <v>Based on MS Stats</v>
      </c>
      <c r="AA17" s="3">
        <f t="shared" ca="1" si="1"/>
        <v>63924.839849718097</v>
      </c>
      <c r="AB17" s="3">
        <f t="shared" ca="1" si="2"/>
        <v>60341.990921313431</v>
      </c>
      <c r="AC17" s="3">
        <v>62353.872206682092</v>
      </c>
      <c r="AD17" s="3">
        <f t="shared" ca="1" si="4"/>
        <v>64224.431598588832</v>
      </c>
      <c r="AE17" s="3">
        <f t="shared" ca="1" si="5"/>
        <v>65364.454700611299</v>
      </c>
      <c r="AF17" s="3">
        <f t="shared" ca="1" si="6"/>
        <v>62303.138074876828</v>
      </c>
      <c r="AI17" s="7">
        <f t="shared" ca="1" si="3"/>
        <v>8.4199360122426486E-2</v>
      </c>
      <c r="AJ17" s="7"/>
      <c r="AK17" s="7">
        <v>0.84705826190613631</v>
      </c>
      <c r="AL17" s="7">
        <v>0.67167873071352313</v>
      </c>
      <c r="AM17" s="7">
        <v>796.54948896114649</v>
      </c>
      <c r="AO17" s="7">
        <v>0</v>
      </c>
      <c r="AP17" s="7"/>
      <c r="AQ17" s="7" t="str">
        <f>IFERROR(INDEX('MS Stats list'!P:P, MATCH(B17,'MS Stats list'!B:B,0)),"")</f>
        <v>Ministère de la Transition écologique et solidaire - Données et études statistiques</v>
      </c>
    </row>
    <row r="18" spans="1:43">
      <c r="A18">
        <v>10</v>
      </c>
      <c r="B18" t="s">
        <v>181</v>
      </c>
      <c r="C18" t="s">
        <v>182</v>
      </c>
      <c r="D18" s="3">
        <v>8682.2849999999999</v>
      </c>
      <c r="E18" s="3">
        <v>8845.9850000000006</v>
      </c>
      <c r="F18" s="3">
        <v>8673.6749999999993</v>
      </c>
      <c r="G18" s="3">
        <v>8599.2270000000008</v>
      </c>
      <c r="H18" s="3">
        <v>7915.76</v>
      </c>
      <c r="I18" s="3">
        <v>7424.1019999999999</v>
      </c>
      <c r="J18" s="3">
        <v>8156.9840000000004</v>
      </c>
      <c r="K18" s="3">
        <v>7791.9480000000003</v>
      </c>
      <c r="L18" s="3">
        <v>6224.0349999999999</v>
      </c>
      <c r="M18" s="3">
        <v>6080.3140000000003</v>
      </c>
      <c r="N18" s="3">
        <v>6859.1769999999997</v>
      </c>
      <c r="O18" s="3">
        <v>6897.78</v>
      </c>
      <c r="P18" s="3">
        <v>6840.9197128116903</v>
      </c>
      <c r="Q18" s="3">
        <v>6181.9843871214198</v>
      </c>
      <c r="R18" s="3">
        <v>6410.4605626253897</v>
      </c>
      <c r="S18" s="3">
        <v>6418.2176087704102</v>
      </c>
      <c r="T18" s="3">
        <v>6376.5945450463296</v>
      </c>
      <c r="U18" s="3">
        <v>6523.4481801853399</v>
      </c>
      <c r="V18" s="3">
        <f t="shared" ca="1" si="7"/>
        <v>6523.4481801853399</v>
      </c>
      <c r="W18" s="16">
        <f t="shared" ca="1" si="8"/>
        <v>1</v>
      </c>
      <c r="X18" t="str">
        <f t="shared" ca="1" si="0"/>
        <v>No Change</v>
      </c>
      <c r="AA18" s="3">
        <f t="shared" ca="1" si="1"/>
        <v>6523.4481801853399</v>
      </c>
      <c r="AB18" s="3">
        <f t="shared" ca="1" si="2"/>
        <v>6600.1398046732784</v>
      </c>
      <c r="AC18" s="3">
        <v>6603.1430377705065</v>
      </c>
      <c r="AD18" s="3">
        <f t="shared" ca="1" si="4"/>
        <v>5836.9167975826222</v>
      </c>
      <c r="AE18" s="3">
        <f t="shared" ca="1" si="5"/>
        <v>6576.8595273144165</v>
      </c>
      <c r="AF18" s="3" t="str">
        <f t="shared" si="6"/>
        <v/>
      </c>
      <c r="AI18" s="7">
        <f t="shared" ca="1" si="3"/>
        <v>0.67768542916442165</v>
      </c>
      <c r="AJ18" s="7"/>
      <c r="AK18" s="7">
        <v>0.86087246353515068</v>
      </c>
      <c r="AL18" s="7">
        <v>0.36150806541717356</v>
      </c>
      <c r="AM18" s="7">
        <v>51.970804048323913</v>
      </c>
      <c r="AO18" s="7">
        <v>0</v>
      </c>
      <c r="AP18" s="7"/>
      <c r="AQ18" s="7" t="str">
        <f>IFERROR(INDEX('MS Stats list'!P:P, MATCH(B18,'MS Stats list'!B:B,0)),"")</f>
        <v/>
      </c>
    </row>
    <row r="19" spans="1:43">
      <c r="A19">
        <v>14</v>
      </c>
      <c r="B19" t="s">
        <v>183</v>
      </c>
      <c r="C19" t="s">
        <v>183</v>
      </c>
      <c r="D19" s="3">
        <v>3790.247167</v>
      </c>
      <c r="E19" s="3">
        <v>3619.5458250000001</v>
      </c>
      <c r="F19" s="3">
        <v>3474.8281360000001</v>
      </c>
      <c r="G19" s="3">
        <v>3594.2190190000001</v>
      </c>
      <c r="H19" s="3">
        <v>3647.7084410000002</v>
      </c>
      <c r="I19" s="3">
        <v>3805.0414850000002</v>
      </c>
      <c r="J19" s="3">
        <v>3672.8458919999998</v>
      </c>
      <c r="K19" s="3">
        <v>3541.9158539999999</v>
      </c>
      <c r="L19" s="3">
        <v>3453.0617010000001</v>
      </c>
      <c r="M19" s="3">
        <v>3150.7947330000002</v>
      </c>
      <c r="N19" s="3">
        <v>3416.189116</v>
      </c>
      <c r="O19" s="3">
        <v>3414.882494</v>
      </c>
      <c r="P19" s="3">
        <v>3432.3906320000001</v>
      </c>
      <c r="Q19" s="3">
        <v>3359.1294280000002</v>
      </c>
      <c r="R19" s="3">
        <v>3304.8142619999999</v>
      </c>
      <c r="S19" s="3">
        <v>3277.9638539999996</v>
      </c>
      <c r="T19" s="3">
        <v>3532.4517056463201</v>
      </c>
      <c r="U19" s="3">
        <v>3341.69743059138</v>
      </c>
      <c r="V19" s="3">
        <f t="shared" ca="1" si="7"/>
        <v>3341.69743059138</v>
      </c>
      <c r="W19" s="16">
        <f t="shared" ca="1" si="8"/>
        <v>1</v>
      </c>
      <c r="X19" t="str">
        <f t="shared" ca="1" si="0"/>
        <v>No Change</v>
      </c>
      <c r="AA19" s="3">
        <f t="shared" ca="1" si="1"/>
        <v>3341.69743059138</v>
      </c>
      <c r="AB19" s="3">
        <f t="shared" ca="1" si="2"/>
        <v>3247.7703724383232</v>
      </c>
      <c r="AC19" s="3">
        <v>3540.7123559047241</v>
      </c>
      <c r="AD19" s="3">
        <f t="shared" ca="1" si="4"/>
        <v>3093.2021483483204</v>
      </c>
      <c r="AE19" s="3">
        <f t="shared" ca="1" si="5"/>
        <v>3421.0433706962649</v>
      </c>
      <c r="AF19" s="3" t="str">
        <f t="shared" si="6"/>
        <v/>
      </c>
      <c r="AI19" s="7">
        <f t="shared" ca="1" si="3"/>
        <v>9.3372821435257866E-2</v>
      </c>
      <c r="AJ19" s="7"/>
      <c r="AK19" s="7">
        <v>8.8155888010644598E-2</v>
      </c>
      <c r="AL19" s="7">
        <v>1.5739293405357306</v>
      </c>
      <c r="AM19" s="7">
        <v>319.4543685455053</v>
      </c>
      <c r="AO19" s="7">
        <v>0</v>
      </c>
      <c r="AP19" s="7"/>
      <c r="AQ19" s="7" t="str">
        <f>IFERROR(INDEX('MS Stats list'!P:P, MATCH(B19,'MS Stats list'!B:B,0)),"")</f>
        <v/>
      </c>
    </row>
    <row r="20" spans="1:43">
      <c r="A20">
        <v>15</v>
      </c>
      <c r="B20" t="s">
        <v>88</v>
      </c>
      <c r="C20" t="s">
        <v>88</v>
      </c>
      <c r="D20" s="3">
        <v>11346.694</v>
      </c>
      <c r="E20" s="3">
        <v>10757.300999999999</v>
      </c>
      <c r="F20" s="3">
        <v>9729.3919999999998</v>
      </c>
      <c r="G20" s="3">
        <v>9587.2430000000004</v>
      </c>
      <c r="H20" s="3">
        <v>9932.5439999999999</v>
      </c>
      <c r="I20" s="3">
        <v>10526.186</v>
      </c>
      <c r="J20" s="3">
        <v>10449.439</v>
      </c>
      <c r="K20" s="3">
        <v>9431.4089999999997</v>
      </c>
      <c r="L20" s="3">
        <v>9236.2630000000008</v>
      </c>
      <c r="M20" s="3">
        <v>8471.8469999999998</v>
      </c>
      <c r="N20" s="3">
        <v>9176.6409999999996</v>
      </c>
      <c r="O20" s="3">
        <v>9302.0580000000009</v>
      </c>
      <c r="P20" s="3">
        <v>9495.1053155631998</v>
      </c>
      <c r="Q20" s="3">
        <v>9007.3187024935505</v>
      </c>
      <c r="R20" s="3">
        <v>8792.9170520684092</v>
      </c>
      <c r="S20" s="3">
        <v>9030.1403276010296</v>
      </c>
      <c r="T20" s="3">
        <v>9344.8732208846795</v>
      </c>
      <c r="U20" s="3">
        <v>8468.5488881245801</v>
      </c>
      <c r="V20" s="3">
        <f t="shared" ca="1" si="7"/>
        <v>8468.5488881245801</v>
      </c>
      <c r="W20" s="16">
        <f t="shared" ca="1" si="8"/>
        <v>1</v>
      </c>
      <c r="X20" t="str">
        <f t="shared" ca="1" si="0"/>
        <v>No Change</v>
      </c>
      <c r="AA20" s="3">
        <f t="shared" ca="1" si="1"/>
        <v>8468.5488881245801</v>
      </c>
      <c r="AB20" s="3">
        <f t="shared" ca="1" si="2"/>
        <v>7298.158226365852</v>
      </c>
      <c r="AC20" s="3">
        <v>8750.2839914135984</v>
      </c>
      <c r="AD20" s="3">
        <f t="shared" ca="1" si="4"/>
        <v>7719.1700429539778</v>
      </c>
      <c r="AE20" s="3">
        <f t="shared" ca="1" si="5"/>
        <v>8771.0846002579492</v>
      </c>
      <c r="AF20" s="3" t="str">
        <f t="shared" si="6"/>
        <v/>
      </c>
      <c r="AI20" s="7">
        <f t="shared" ca="1" si="3"/>
        <v>6.5794878583960548E-2</v>
      </c>
      <c r="AJ20" s="7"/>
      <c r="AK20" s="7">
        <v>1.0167833621697027E-2</v>
      </c>
      <c r="AL20" s="7">
        <v>0.2593045133487113</v>
      </c>
      <c r="AM20" s="7">
        <v>675.77177166337992</v>
      </c>
      <c r="AO20" s="7">
        <v>0</v>
      </c>
      <c r="AP20" s="7"/>
      <c r="AQ20" s="7" t="str">
        <f>IFERROR(INDEX('MS Stats list'!P:P, MATCH(B20,'MS Stats list'!B:B,0)),"")</f>
        <v>MEKH - Official Statistics - 7.2 National simplified Energy Balance - IEA format</v>
      </c>
    </row>
    <row r="21" spans="1:43">
      <c r="A21">
        <v>16</v>
      </c>
      <c r="B21" t="s">
        <v>133</v>
      </c>
      <c r="C21" t="s">
        <v>133</v>
      </c>
      <c r="D21" s="3">
        <v>5055.0903117416601</v>
      </c>
      <c r="E21" s="3">
        <v>5135.7125925289001</v>
      </c>
      <c r="F21" s="3">
        <v>5092.8635809687603</v>
      </c>
      <c r="G21" s="3">
        <v>5488.7758644310697</v>
      </c>
      <c r="H21" s="3">
        <v>5216.9802634947901</v>
      </c>
      <c r="I21" s="3">
        <v>5363.8051354733898</v>
      </c>
      <c r="J21" s="3">
        <v>4910.9379111493299</v>
      </c>
      <c r="K21" s="3">
        <v>4766.0170670679299</v>
      </c>
      <c r="L21" s="3">
        <v>4698.4748239228002</v>
      </c>
      <c r="M21" s="3">
        <v>4334.8799347472996</v>
      </c>
      <c r="N21" s="3">
        <v>4605.1667646890201</v>
      </c>
      <c r="O21" s="3">
        <v>4731.4050703162302</v>
      </c>
      <c r="P21" s="3">
        <v>4655.7104391898301</v>
      </c>
      <c r="Q21" s="3">
        <v>5016.3836678131302</v>
      </c>
      <c r="R21" s="3">
        <v>4973.4488143689696</v>
      </c>
      <c r="S21" s="3">
        <v>5128.8880952517402</v>
      </c>
      <c r="T21" s="3">
        <v>5023.7963593197701</v>
      </c>
      <c r="U21" s="3">
        <v>4835.6982718066301</v>
      </c>
      <c r="V21" s="3">
        <f t="shared" si="7"/>
        <v>4688.0190363217635</v>
      </c>
      <c r="W21" s="16">
        <f t="shared" si="8"/>
        <v>3</v>
      </c>
      <c r="X21" t="str">
        <f t="shared" si="0"/>
        <v>GHG Proxy LinM</v>
      </c>
      <c r="AA21" s="3">
        <f t="shared" ca="1" si="1"/>
        <v>4835.6982718066301</v>
      </c>
      <c r="AB21" s="3">
        <f t="shared" ca="1" si="2"/>
        <v>4537.0080506815139</v>
      </c>
      <c r="AC21" s="3">
        <v>4688.0190363217635</v>
      </c>
      <c r="AD21" s="3">
        <f t="shared" ca="1" si="4"/>
        <v>4547.0437572884539</v>
      </c>
      <c r="AE21" s="3">
        <f t="shared" ca="1" si="5"/>
        <v>4902.33606759338</v>
      </c>
      <c r="AF21" s="3" t="str">
        <f t="shared" si="6"/>
        <v/>
      </c>
      <c r="AI21" s="7">
        <f t="shared" ca="1" si="3"/>
        <v>0.21471985348721845</v>
      </c>
      <c r="AJ21" s="7"/>
      <c r="AK21" s="7">
        <v>0.97261027400573441</v>
      </c>
      <c r="AL21" s="7">
        <v>0.39249086115550808</v>
      </c>
      <c r="AM21" s="7">
        <v>43.91806479590683</v>
      </c>
      <c r="AO21" s="7">
        <v>0</v>
      </c>
      <c r="AP21" s="7"/>
      <c r="AQ21" s="7" t="str">
        <f>IFERROR(INDEX('MS Stats list'!P:P, MATCH(B21,'MS Stats list'!B:B,0)),"")</f>
        <v>SEAI - 2022 Provisional Energy Balance</v>
      </c>
    </row>
    <row r="22" spans="1:43">
      <c r="A22">
        <v>17</v>
      </c>
      <c r="B22" t="s">
        <v>157</v>
      </c>
      <c r="C22" t="s">
        <v>157</v>
      </c>
      <c r="D22" s="3">
        <v>55168.425999999999</v>
      </c>
      <c r="E22" s="3">
        <v>54086.652999999998</v>
      </c>
      <c r="F22" s="3">
        <v>52989.716999999997</v>
      </c>
      <c r="G22" s="3">
        <v>55750.659</v>
      </c>
      <c r="H22" s="3">
        <v>55492.392</v>
      </c>
      <c r="I22" s="3">
        <v>57757.504000000001</v>
      </c>
      <c r="J22" s="3">
        <v>53617.983</v>
      </c>
      <c r="K22" s="3">
        <v>55418.411</v>
      </c>
      <c r="L22" s="3">
        <v>54498.171999999999</v>
      </c>
      <c r="M22" s="3">
        <v>48485.313000000002</v>
      </c>
      <c r="N22" s="3">
        <v>51830.267</v>
      </c>
      <c r="O22" s="3">
        <v>51721.002999999997</v>
      </c>
      <c r="P22" s="3">
        <v>52315.185571223803</v>
      </c>
      <c r="Q22" s="3">
        <v>52247.398033629499</v>
      </c>
      <c r="R22" s="3">
        <v>50597.3405051113</v>
      </c>
      <c r="S22" s="3">
        <v>48405.567769465903</v>
      </c>
      <c r="T22" s="3">
        <v>49214.401980796698</v>
      </c>
      <c r="U22" s="3">
        <v>47843.995672112302</v>
      </c>
      <c r="V22" s="3">
        <f t="shared" ca="1" si="7"/>
        <v>46604.817818018608</v>
      </c>
      <c r="W22" s="16">
        <f t="shared" ca="1" si="8"/>
        <v>5</v>
      </c>
      <c r="X22" t="str">
        <f t="shared" ca="1" si="0"/>
        <v>5yr lin trend</v>
      </c>
      <c r="AA22" s="3">
        <f t="shared" ca="1" si="1"/>
        <v>47843.995672112302</v>
      </c>
      <c r="AB22" s="3">
        <f t="shared" ca="1" si="2"/>
        <v>43957.928166017213</v>
      </c>
      <c r="AC22" s="3">
        <v>45010.688176009833</v>
      </c>
      <c r="AD22" s="3">
        <f t="shared" ca="1" si="4"/>
        <v>46575.790394327574</v>
      </c>
      <c r="AE22" s="3">
        <f t="shared" ca="1" si="5"/>
        <v>46604.817818018608</v>
      </c>
      <c r="AF22" s="3" t="str">
        <f t="shared" si="6"/>
        <v/>
      </c>
      <c r="AI22" s="7">
        <f t="shared" ca="1" si="3"/>
        <v>0.82123556750247562</v>
      </c>
      <c r="AJ22" s="7"/>
      <c r="AK22" s="7">
        <v>0.84667493455176557</v>
      </c>
      <c r="AL22" s="7">
        <v>0.5304269493620879</v>
      </c>
      <c r="AM22" s="7">
        <v>172.28487036620092</v>
      </c>
      <c r="AO22" s="7">
        <v>0</v>
      </c>
      <c r="AP22" s="7"/>
      <c r="AQ22" s="7" t="str">
        <f>IFERROR(INDEX('MS Stats list'!P:P, MATCH(B22,'MS Stats list'!B:B,0)),"")</f>
        <v>Ministry of Ecological Transition</v>
      </c>
    </row>
    <row r="23" spans="1:43">
      <c r="A23">
        <v>18</v>
      </c>
      <c r="B23" t="s">
        <v>137</v>
      </c>
      <c r="C23" t="s">
        <v>137</v>
      </c>
      <c r="D23" s="3">
        <v>2178.3809999999999</v>
      </c>
      <c r="E23" s="3">
        <v>2294.5070000000001</v>
      </c>
      <c r="F23" s="3">
        <v>2258.326</v>
      </c>
      <c r="G23" s="3">
        <v>2276.1019999999999</v>
      </c>
      <c r="H23" s="3">
        <v>2268.4639999999999</v>
      </c>
      <c r="I23" s="3">
        <v>2310.576</v>
      </c>
      <c r="J23" s="3">
        <v>2231.2559999999999</v>
      </c>
      <c r="K23" s="3">
        <v>2258.7860000000001</v>
      </c>
      <c r="L23" s="3">
        <v>2172.9110000000001</v>
      </c>
      <c r="M23" s="3">
        <v>2104.1909999999998</v>
      </c>
      <c r="N23" s="3">
        <v>2046.569</v>
      </c>
      <c r="O23" s="3">
        <v>2149.7330000000002</v>
      </c>
      <c r="P23" s="3">
        <v>2208.13</v>
      </c>
      <c r="Q23" s="3">
        <v>2254.0411801853402</v>
      </c>
      <c r="R23" s="3">
        <v>2169.8871815228799</v>
      </c>
      <c r="S23" s="3">
        <v>2103.2726478456102</v>
      </c>
      <c r="T23" s="3">
        <v>2344.8252990350602</v>
      </c>
      <c r="U23" s="3">
        <v>2235.1950135664501</v>
      </c>
      <c r="V23" s="3">
        <f t="shared" ca="1" si="7"/>
        <v>2187.0247629860269</v>
      </c>
      <c r="W23" s="16">
        <f t="shared" ca="1" si="8"/>
        <v>6</v>
      </c>
      <c r="X23" t="str">
        <f t="shared" ca="1" si="0"/>
        <v>Based on MS Stats</v>
      </c>
      <c r="AA23" s="3">
        <f t="shared" ca="1" si="1"/>
        <v>2235.1950135664501</v>
      </c>
      <c r="AB23" s="3">
        <f t="shared" ca="1" si="2"/>
        <v>2093.7719054563036</v>
      </c>
      <c r="AC23" s="3">
        <v>2170.6782205020149</v>
      </c>
      <c r="AD23" s="3">
        <f t="shared" ca="1" si="4"/>
        <v>2050.802191611333</v>
      </c>
      <c r="AE23" s="3">
        <f t="shared" ca="1" si="5"/>
        <v>2262.6179997133913</v>
      </c>
      <c r="AF23" s="3">
        <f t="shared" ca="1" si="6"/>
        <v>2187.0247629860269</v>
      </c>
      <c r="AI23" s="7">
        <f t="shared" ca="1" si="3"/>
        <v>5.6912408189077598E-2</v>
      </c>
      <c r="AJ23" s="7"/>
      <c r="AK23" s="7">
        <v>0.5965176075143116</v>
      </c>
      <c r="AL23" s="7">
        <v>0.73651171351535694</v>
      </c>
      <c r="AM23" s="7">
        <v>-0.43406298531899123</v>
      </c>
      <c r="AO23" s="7">
        <v>0</v>
      </c>
      <c r="AP23" s="7"/>
      <c r="AQ23" s="7" t="str">
        <f>IFERROR(INDEX('MS Stats list'!P:P, MATCH(B23,'MS Stats list'!B:B,0)),"")</f>
        <v>Statistics Lithuania - Energy balances</v>
      </c>
    </row>
    <row r="24" spans="1:43">
      <c r="A24">
        <v>19</v>
      </c>
      <c r="B24" t="s">
        <v>184</v>
      </c>
      <c r="C24" t="s">
        <v>184</v>
      </c>
      <c r="D24" s="3">
        <v>914.93085182000596</v>
      </c>
      <c r="E24" s="3">
        <v>907.27543183338105</v>
      </c>
      <c r="F24" s="3">
        <v>895.197819432502</v>
      </c>
      <c r="G24" s="3">
        <v>923.993593770899</v>
      </c>
      <c r="H24" s="3">
        <v>923.45436046622694</v>
      </c>
      <c r="I24" s="3">
        <v>965.53227228432195</v>
      </c>
      <c r="J24" s="3">
        <v>841.96594573421203</v>
      </c>
      <c r="K24" s="3">
        <v>898.22120426101105</v>
      </c>
      <c r="L24" s="3">
        <v>923.41855335817297</v>
      </c>
      <c r="M24" s="3">
        <v>845.78609783127899</v>
      </c>
      <c r="N24" s="3">
        <v>929.27432530811097</v>
      </c>
      <c r="O24" s="3">
        <v>952.11422069360799</v>
      </c>
      <c r="P24" s="3">
        <v>1008.97495414159</v>
      </c>
      <c r="Q24" s="3">
        <v>984.674414158785</v>
      </c>
      <c r="R24" s="3">
        <v>1003.16736476545</v>
      </c>
      <c r="S24" s="3">
        <v>1017.74569122002</v>
      </c>
      <c r="T24" s="3">
        <v>1056.6830839782201</v>
      </c>
      <c r="U24" s="3">
        <v>931.15375991210499</v>
      </c>
      <c r="V24" s="3">
        <f t="shared" si="7"/>
        <v>927.19670567320179</v>
      </c>
      <c r="W24" s="16">
        <f t="shared" si="8"/>
        <v>3</v>
      </c>
      <c r="X24" t="str">
        <f t="shared" si="0"/>
        <v>GHG Proxy LinM</v>
      </c>
      <c r="AA24" s="3">
        <f t="shared" ca="1" si="1"/>
        <v>931.15375991210499</v>
      </c>
      <c r="AB24" s="3">
        <f t="shared" ca="1" si="2"/>
        <v>910.14983865709314</v>
      </c>
      <c r="AC24" s="3">
        <v>927.19670567320179</v>
      </c>
      <c r="AD24" s="3">
        <f t="shared" ca="1" si="4"/>
        <v>952.58864275345854</v>
      </c>
      <c r="AE24" s="3">
        <f t="shared" ca="1" si="5"/>
        <v>982.62718602274072</v>
      </c>
      <c r="AF24" s="3" t="str">
        <f t="shared" si="6"/>
        <v/>
      </c>
      <c r="AI24" s="7">
        <f t="shared" ca="1" si="3"/>
        <v>3.3690116528273986E-2</v>
      </c>
      <c r="AJ24" s="7"/>
      <c r="AK24" s="7">
        <v>0.93773548353477398</v>
      </c>
      <c r="AL24" s="7">
        <v>0.4231159375747518</v>
      </c>
      <c r="AM24" s="7">
        <v>9.4256915978947902</v>
      </c>
      <c r="AO24" s="7">
        <v>0</v>
      </c>
      <c r="AP24" s="7"/>
      <c r="AQ24" s="7" t="str">
        <f>IFERROR(INDEX('MS Stats list'!P:P, MATCH(B24,'MS Stats list'!B:B,0)),"")</f>
        <v/>
      </c>
    </row>
    <row r="25" spans="1:43">
      <c r="A25">
        <v>20</v>
      </c>
      <c r="B25" t="s">
        <v>93</v>
      </c>
      <c r="C25" t="s">
        <v>93</v>
      </c>
      <c r="D25" s="3">
        <v>2252.9160000000002</v>
      </c>
      <c r="E25" s="3">
        <v>2273.9740000000002</v>
      </c>
      <c r="F25" s="3">
        <v>2298.7930000000001</v>
      </c>
      <c r="G25" s="3">
        <v>2194.1559999999999</v>
      </c>
      <c r="H25" s="3">
        <v>2246.8130000000001</v>
      </c>
      <c r="I25" s="3">
        <v>2144.9369999999999</v>
      </c>
      <c r="J25" s="3">
        <v>2038.6510000000001</v>
      </c>
      <c r="K25" s="3">
        <v>2151.21</v>
      </c>
      <c r="L25" s="3">
        <v>2025.0619999999999</v>
      </c>
      <c r="M25" s="3">
        <v>2002.54</v>
      </c>
      <c r="N25" s="3">
        <v>1854.7370000000001</v>
      </c>
      <c r="O25" s="3">
        <v>1914.9280000000001</v>
      </c>
      <c r="P25" s="3">
        <v>1999.99990493933</v>
      </c>
      <c r="Q25" s="3">
        <v>2017.13290493933</v>
      </c>
      <c r="R25" s="3">
        <v>1972.0449049393301</v>
      </c>
      <c r="S25" s="3">
        <v>1880.7469049393301</v>
      </c>
      <c r="T25" s="3">
        <v>2007.98787035445</v>
      </c>
      <c r="U25" s="3">
        <v>1891.8668703544499</v>
      </c>
      <c r="V25" s="3">
        <f t="shared" ca="1" si="7"/>
        <v>1806.827904738306</v>
      </c>
      <c r="W25" s="16">
        <f t="shared" ca="1" si="8"/>
        <v>6</v>
      </c>
      <c r="X25" t="str">
        <f t="shared" ca="1" si="0"/>
        <v>Based on MS Stats</v>
      </c>
      <c r="AA25" s="3">
        <f t="shared" ca="1" si="1"/>
        <v>1891.8668703544499</v>
      </c>
      <c r="AB25" s="3">
        <f t="shared" ca="1" si="2"/>
        <v>1801.3825257474246</v>
      </c>
      <c r="AC25" s="3">
        <v>1863.1410549031264</v>
      </c>
      <c r="AD25" s="3">
        <f t="shared" ca="1" si="4"/>
        <v>1764.6627974467256</v>
      </c>
      <c r="AE25" s="3">
        <f t="shared" ca="1" si="5"/>
        <v>1889.5791599789809</v>
      </c>
      <c r="AF25" s="3">
        <f t="shared" ca="1" si="6"/>
        <v>1806.827904738306</v>
      </c>
      <c r="AI25" s="7">
        <f t="shared" ca="1" si="3"/>
        <v>0.27988567789918828</v>
      </c>
      <c r="AJ25" s="7"/>
      <c r="AK25" s="7">
        <v>1.5128491930953782E-2</v>
      </c>
      <c r="AL25" s="7">
        <v>0.16983025545873739</v>
      </c>
      <c r="AM25" s="7">
        <v>-17.836910860228951</v>
      </c>
      <c r="AO25" s="7">
        <v>0</v>
      </c>
      <c r="AP25" s="7"/>
      <c r="AQ25" s="7" t="str">
        <f>IFERROR(INDEX('MS Stats list'!P:P, MATCH(B25,'MS Stats list'!B:B,0)),"")</f>
        <v/>
      </c>
    </row>
    <row r="26" spans="1:43">
      <c r="A26">
        <v>21</v>
      </c>
      <c r="B26" t="s">
        <v>141</v>
      </c>
      <c r="C26" t="s">
        <v>141</v>
      </c>
      <c r="D26" s="3">
        <v>160.53800000000001</v>
      </c>
      <c r="E26" s="3">
        <v>151.17500000000001</v>
      </c>
      <c r="F26" s="3">
        <v>154.065</v>
      </c>
      <c r="G26" s="3">
        <v>153.048</v>
      </c>
      <c r="H26" s="3">
        <v>141.17699999999999</v>
      </c>
      <c r="I26" s="3">
        <v>172.04300000000001</v>
      </c>
      <c r="J26" s="3">
        <v>165.35499999999999</v>
      </c>
      <c r="K26" s="3">
        <v>182.30099999999999</v>
      </c>
      <c r="L26" s="3">
        <v>185.17500000000001</v>
      </c>
      <c r="M26" s="3">
        <v>192.279</v>
      </c>
      <c r="N26" s="3">
        <v>207.44</v>
      </c>
      <c r="O26" s="3">
        <v>204.09200000000001</v>
      </c>
      <c r="P26" s="3">
        <v>218.399149613069</v>
      </c>
      <c r="Q26" s="3">
        <v>217.25764087131</v>
      </c>
      <c r="R26" s="3">
        <v>230.141205598548</v>
      </c>
      <c r="S26" s="3">
        <v>214.781364096685</v>
      </c>
      <c r="T26" s="3">
        <v>223.419553358173</v>
      </c>
      <c r="U26" s="3">
        <v>246.84175685487699</v>
      </c>
      <c r="V26" s="3">
        <f t="shared" ca="1" si="7"/>
        <v>246.84175685487699</v>
      </c>
      <c r="W26" s="16">
        <f t="shared" ca="1" si="8"/>
        <v>1</v>
      </c>
      <c r="X26" t="str">
        <f ca="1">INDEX($AA$5:$AM$5,W26)</f>
        <v>No Change</v>
      </c>
      <c r="AA26" s="3">
        <f t="shared" ca="1" si="1"/>
        <v>246.84175685487699</v>
      </c>
      <c r="AB26" s="3">
        <f t="shared" ca="1" si="2"/>
        <v>93.333884986208162</v>
      </c>
      <c r="AC26" s="3">
        <v>193.87778482932845</v>
      </c>
      <c r="AD26" s="3">
        <f t="shared" ca="1" si="4"/>
        <v>178.27712478636144</v>
      </c>
      <c r="AE26" s="3">
        <f t="shared" ca="1" si="5"/>
        <v>242.22227807394665</v>
      </c>
      <c r="AF26" s="3" t="str">
        <f t="shared" si="6"/>
        <v/>
      </c>
      <c r="AG26" s="3"/>
      <c r="AI26" s="7">
        <f t="shared" ca="1" si="3"/>
        <v>0.41721836988728822</v>
      </c>
      <c r="AJ26" s="7"/>
      <c r="AK26" s="7">
        <v>0.68356948114883398</v>
      </c>
      <c r="AL26" s="7">
        <v>0.57239695895813913</v>
      </c>
      <c r="AM26" s="7">
        <v>3.8340703756393655</v>
      </c>
      <c r="AO26" s="7">
        <v>0</v>
      </c>
      <c r="AP26" s="7"/>
      <c r="AQ26" s="7" t="str">
        <f>IFERROR(INDEX('MS Stats list'!P:P, MATCH(B26,'MS Stats list'!B:B,0)),"")</f>
        <v>Msdata from consultations</v>
      </c>
    </row>
    <row r="27" spans="1:43">
      <c r="A27">
        <v>22</v>
      </c>
      <c r="B27" t="s">
        <v>145</v>
      </c>
      <c r="C27" t="s">
        <v>145</v>
      </c>
      <c r="D27" s="3">
        <v>23779.833091334702</v>
      </c>
      <c r="E27" s="3">
        <v>23383.293479411499</v>
      </c>
      <c r="F27" s="3">
        <v>22430.991926148901</v>
      </c>
      <c r="G27" s="3">
        <v>23691.2643266456</v>
      </c>
      <c r="H27" s="3">
        <v>23584.699818572699</v>
      </c>
      <c r="I27" s="3">
        <v>26245.148270278001</v>
      </c>
      <c r="J27" s="3">
        <v>22868.476984618301</v>
      </c>
      <c r="K27" s="3">
        <v>23844.517798223002</v>
      </c>
      <c r="L27" s="3">
        <v>24318.531878379701</v>
      </c>
      <c r="M27" s="3">
        <v>20906.034601318399</v>
      </c>
      <c r="N27" s="3">
        <v>21683.787631413001</v>
      </c>
      <c r="O27" s="3">
        <v>21977.177243909398</v>
      </c>
      <c r="P27" s="3">
        <v>21910.613008120799</v>
      </c>
      <c r="Q27" s="3">
        <v>22090.528849813702</v>
      </c>
      <c r="R27" s="3">
        <v>21668.276255851699</v>
      </c>
      <c r="S27" s="3">
        <v>20660.573938473299</v>
      </c>
      <c r="T27" s="3">
        <v>21899.7283789051</v>
      </c>
      <c r="U27" s="3">
        <v>18807.9405040604</v>
      </c>
      <c r="V27" s="3">
        <f t="shared" si="7"/>
        <v>18078.316629677891</v>
      </c>
      <c r="W27" s="16">
        <f t="shared" si="8"/>
        <v>3</v>
      </c>
      <c r="X27" t="str">
        <f t="shared" si="0"/>
        <v>GHG Proxy LinM</v>
      </c>
      <c r="AA27" s="3">
        <f t="shared" ca="1" si="1"/>
        <v>18807.9405040604</v>
      </c>
      <c r="AB27" s="3">
        <f t="shared" ca="1" si="2"/>
        <v>17487.801499464116</v>
      </c>
      <c r="AC27" s="3">
        <v>18078.316629677891</v>
      </c>
      <c r="AD27" s="3">
        <f t="shared" ca="1" si="4"/>
        <v>18203.932263647006</v>
      </c>
      <c r="AE27" s="3">
        <f t="shared" ca="1" si="5"/>
        <v>19125.292214884888</v>
      </c>
      <c r="AF27" s="3" t="str">
        <f t="shared" si="6"/>
        <v/>
      </c>
      <c r="AI27" s="7">
        <f t="shared" ca="1" si="3"/>
        <v>0.54487283319215885</v>
      </c>
      <c r="AJ27" s="7"/>
      <c r="AK27" s="7">
        <v>0.99153770996580315</v>
      </c>
      <c r="AL27" s="7">
        <v>0.41428824659092178</v>
      </c>
      <c r="AM27" s="7">
        <v>31.464990172128836</v>
      </c>
      <c r="AO27" s="7">
        <v>0</v>
      </c>
      <c r="AP27" s="7"/>
      <c r="AQ27" s="7" t="str">
        <f>IFERROR(INDEX('MS Stats list'!P:P, MATCH(B27,'MS Stats list'!B:B,0)),"")</f>
        <v>CBS - Energy balance sheet; supply, transformation and consumption</v>
      </c>
    </row>
    <row r="28" spans="1:43">
      <c r="A28">
        <v>23</v>
      </c>
      <c r="B28" t="s">
        <v>185</v>
      </c>
      <c r="C28" t="s">
        <v>185</v>
      </c>
      <c r="D28" s="3">
        <v>31320.721000000001</v>
      </c>
      <c r="E28" s="3">
        <v>32628.112000000001</v>
      </c>
      <c r="F28" s="3">
        <v>31069.383999999998</v>
      </c>
      <c r="G28" s="3">
        <v>32152.132000000001</v>
      </c>
      <c r="H28" s="3">
        <v>32050.104049488898</v>
      </c>
      <c r="I28" s="3">
        <v>35087.770608197199</v>
      </c>
      <c r="J28" s="3">
        <v>32804.202979841401</v>
      </c>
      <c r="K28" s="3">
        <v>33475.128749307303</v>
      </c>
      <c r="L28" s="3">
        <v>32766.296797458701</v>
      </c>
      <c r="M28" s="3">
        <v>31004.837980605698</v>
      </c>
      <c r="N28" s="3">
        <v>30992.7383832999</v>
      </c>
      <c r="O28" s="3">
        <v>32708.776248017599</v>
      </c>
      <c r="P28" s="3">
        <v>32796.287258526798</v>
      </c>
      <c r="Q28" s="3">
        <v>35195.494477022999</v>
      </c>
      <c r="R28" s="3">
        <v>33379.842557561897</v>
      </c>
      <c r="S28" s="3">
        <v>32968.482098309003</v>
      </c>
      <c r="T28" s="3">
        <v>34786.6675133276</v>
      </c>
      <c r="U28" s="3">
        <v>32480.2934409095</v>
      </c>
      <c r="V28" s="3">
        <f t="shared" ca="1" si="7"/>
        <v>32480.2934409095</v>
      </c>
      <c r="W28" s="16">
        <f t="shared" ca="1" si="8"/>
        <v>1</v>
      </c>
      <c r="X28" t="str">
        <f t="shared" ca="1" si="0"/>
        <v>No Change</v>
      </c>
      <c r="AA28" s="3">
        <f t="shared" ca="1" si="1"/>
        <v>32480.2934409095</v>
      </c>
      <c r="AB28" s="3">
        <f t="shared" ca="1" si="2"/>
        <v>31087.955641145647</v>
      </c>
      <c r="AC28" s="3">
        <v>32127.009084913789</v>
      </c>
      <c r="AD28" s="3">
        <f t="shared" ca="1" si="4"/>
        <v>30170.102402359629</v>
      </c>
      <c r="AE28" s="3">
        <f t="shared" ca="1" si="5"/>
        <v>32555.082882487797</v>
      </c>
      <c r="AF28" s="3" t="str">
        <f t="shared" si="6"/>
        <v/>
      </c>
      <c r="AI28" s="7">
        <f t="shared" ca="1" si="3"/>
        <v>0.29310495325054803</v>
      </c>
      <c r="AJ28" s="7"/>
      <c r="AK28" s="7">
        <v>0.69413147753446824</v>
      </c>
      <c r="AL28" s="7">
        <v>0.38476414183429558</v>
      </c>
      <c r="AM28" s="7">
        <v>352.93308197995236</v>
      </c>
      <c r="AO28" s="7">
        <v>0</v>
      </c>
      <c r="AP28" s="7"/>
      <c r="AQ28" s="7" t="str">
        <f>IFERROR(INDEX('MS Stats list'!P:P, MATCH(B28,'MS Stats list'!B:B,0)),"")</f>
        <v/>
      </c>
    </row>
    <row r="29" spans="1:43">
      <c r="A29">
        <v>24</v>
      </c>
      <c r="B29" t="s">
        <v>149</v>
      </c>
      <c r="C29" t="s">
        <v>149</v>
      </c>
      <c r="D29" s="3">
        <v>6025.8270000000002</v>
      </c>
      <c r="E29" s="3">
        <v>5733.1559999999999</v>
      </c>
      <c r="F29" s="3">
        <v>5766.25</v>
      </c>
      <c r="G29" s="3">
        <v>5525.6469999999999</v>
      </c>
      <c r="H29" s="3">
        <v>5698.2560000000003</v>
      </c>
      <c r="I29" s="3">
        <v>5347.8339999999998</v>
      </c>
      <c r="J29" s="3">
        <v>5087.3549999999996</v>
      </c>
      <c r="K29" s="3">
        <v>4974.1080000000002</v>
      </c>
      <c r="L29" s="3">
        <v>4874.2020000000002</v>
      </c>
      <c r="M29" s="3">
        <v>4921.6116337059202</v>
      </c>
      <c r="N29" s="3">
        <v>4983.2884373746001</v>
      </c>
      <c r="O29" s="3">
        <v>4963.8891729244197</v>
      </c>
      <c r="P29" s="3">
        <v>4962.1843562625299</v>
      </c>
      <c r="Q29" s="3">
        <v>5101.3333984904802</v>
      </c>
      <c r="R29" s="3">
        <v>5072.7305114168203</v>
      </c>
      <c r="S29" s="3">
        <v>4987.4981199961703</v>
      </c>
      <c r="T29" s="3">
        <v>5018.1014899206903</v>
      </c>
      <c r="U29" s="3">
        <v>5030.0931776057896</v>
      </c>
      <c r="V29" s="3">
        <f t="shared" ca="1" si="7"/>
        <v>5030.0931776057896</v>
      </c>
      <c r="W29" s="16">
        <f t="shared" ca="1" si="8"/>
        <v>1</v>
      </c>
      <c r="X29" t="str">
        <f t="shared" ca="1" si="0"/>
        <v>No Change</v>
      </c>
      <c r="AA29" s="3">
        <f t="shared" ca="1" si="1"/>
        <v>5030.0931776057896</v>
      </c>
      <c r="AB29" s="3">
        <f t="shared" ca="1" si="2"/>
        <v>4612.2954104353003</v>
      </c>
      <c r="AC29" s="3">
        <v>4882.2605413949259</v>
      </c>
      <c r="AD29" s="3">
        <f t="shared" ca="1" si="4"/>
        <v>5439.9822639778276</v>
      </c>
      <c r="AE29" s="3">
        <f t="shared" ca="1" si="5"/>
        <v>4982.8185005063351</v>
      </c>
      <c r="AF29" s="3" t="str">
        <f t="shared" si="6"/>
        <v/>
      </c>
      <c r="AI29" s="7">
        <f t="shared" ca="1" si="3"/>
        <v>0.47682039906282431</v>
      </c>
      <c r="AJ29" s="7"/>
      <c r="AK29" s="7">
        <v>0.28543406781136149</v>
      </c>
      <c r="AL29" s="7">
        <v>0.45693019385464806</v>
      </c>
      <c r="AM29" s="7">
        <v>1.1353271940486991</v>
      </c>
      <c r="AO29" s="7">
        <v>0</v>
      </c>
      <c r="AP29" s="7"/>
      <c r="AQ29" s="7" t="str">
        <f>IFERROR(INDEX('MS Stats list'!P:P, MATCH(B29,'MS Stats list'!B:B,0)),"")</f>
        <v>DGEG - Balanço Energético Sintético 2022</v>
      </c>
    </row>
    <row r="30" spans="1:43">
      <c r="A30">
        <v>25</v>
      </c>
      <c r="B30" t="s">
        <v>186</v>
      </c>
      <c r="C30" t="s">
        <v>186</v>
      </c>
      <c r="D30" s="3">
        <v>11321.284</v>
      </c>
      <c r="E30" s="3">
        <v>11690.213</v>
      </c>
      <c r="F30" s="3">
        <v>11097.148999999999</v>
      </c>
      <c r="G30" s="3">
        <v>11069.286</v>
      </c>
      <c r="H30" s="3">
        <v>10682.331</v>
      </c>
      <c r="I30" s="3">
        <v>10923.544</v>
      </c>
      <c r="J30" s="3">
        <v>10318.379000000001</v>
      </c>
      <c r="K30" s="3">
        <v>10566.513000000001</v>
      </c>
      <c r="L30" s="3">
        <v>10169.469999999999</v>
      </c>
      <c r="M30" s="3">
        <v>9785.1650000000009</v>
      </c>
      <c r="N30" s="3">
        <v>9853.9240000000009</v>
      </c>
      <c r="O30" s="3">
        <v>9944.125</v>
      </c>
      <c r="P30" s="3">
        <v>10402.558999999999</v>
      </c>
      <c r="Q30" s="3">
        <v>10538.656000000001</v>
      </c>
      <c r="R30" s="3">
        <v>10489.942999999999</v>
      </c>
      <c r="S30" s="3">
        <v>10584.203</v>
      </c>
      <c r="T30" s="3">
        <v>11554.844999999999</v>
      </c>
      <c r="U30" s="3">
        <v>10747.066000000001</v>
      </c>
      <c r="V30" s="3">
        <f t="shared" ca="1" si="7"/>
        <v>10747.066000000001</v>
      </c>
      <c r="W30" s="16">
        <f t="shared" ca="1" si="8"/>
        <v>1</v>
      </c>
      <c r="X30" t="str">
        <f t="shared" ca="1" si="0"/>
        <v>No Change</v>
      </c>
      <c r="AA30" s="3">
        <f t="shared" ca="1" si="1"/>
        <v>10747.066000000001</v>
      </c>
      <c r="AB30" s="3">
        <f t="shared" ca="1" si="2"/>
        <v>10300.131030023023</v>
      </c>
      <c r="AC30" s="3">
        <v>10529.335467232813</v>
      </c>
      <c r="AD30" s="3">
        <f t="shared" ca="1" si="4"/>
        <v>9791.2356485413766</v>
      </c>
      <c r="AE30" s="3">
        <f t="shared" ca="1" si="5"/>
        <v>11227.459200000041</v>
      </c>
      <c r="AF30" s="3" t="str">
        <f t="shared" si="6"/>
        <v/>
      </c>
      <c r="AI30" s="7">
        <f t="shared" ca="1" si="3"/>
        <v>0.2807033057453085</v>
      </c>
      <c r="AJ30" s="7"/>
      <c r="AK30" s="7">
        <v>0.52711449264120835</v>
      </c>
      <c r="AL30" s="7">
        <v>0.39117350841146536</v>
      </c>
      <c r="AM30" s="7">
        <v>-22.244894005946204</v>
      </c>
      <c r="AO30" s="7">
        <v>0</v>
      </c>
      <c r="AP30" s="7"/>
      <c r="AQ30" s="7" t="str">
        <f>IFERROR(INDEX('MS Stats list'!P:P, MATCH(B30,'MS Stats list'!B:B,0)),"")</f>
        <v/>
      </c>
    </row>
    <row r="31" spans="1:43">
      <c r="A31">
        <v>26</v>
      </c>
      <c r="B31" t="s">
        <v>187</v>
      </c>
      <c r="C31" t="s">
        <v>187</v>
      </c>
      <c r="D31" s="3">
        <v>13415.764999999999</v>
      </c>
      <c r="E31" s="3">
        <v>12972.31</v>
      </c>
      <c r="F31" s="3">
        <v>12911.200999999999</v>
      </c>
      <c r="G31" s="3">
        <v>12639.826999999999</v>
      </c>
      <c r="H31" s="3">
        <v>12393.666999999999</v>
      </c>
      <c r="I31" s="3">
        <v>14132.816000000001</v>
      </c>
      <c r="J31" s="3">
        <v>12980.2935398872</v>
      </c>
      <c r="K31" s="3">
        <v>13374.9008639534</v>
      </c>
      <c r="L31" s="3">
        <v>13035.6364965128</v>
      </c>
      <c r="M31" s="3">
        <v>12534.2024758765</v>
      </c>
      <c r="N31" s="3">
        <v>12729.153475876499</v>
      </c>
      <c r="O31" s="3">
        <v>13220.334705646301</v>
      </c>
      <c r="P31" s="3">
        <v>12998.0593843508</v>
      </c>
      <c r="Q31" s="3">
        <v>12851.630724754001</v>
      </c>
      <c r="R31" s="3">
        <v>12721.517724754</v>
      </c>
      <c r="S31" s="3">
        <v>12418.9356903602</v>
      </c>
      <c r="T31" s="3">
        <v>13400.1433181427</v>
      </c>
      <c r="U31" s="3">
        <v>12572.491597783501</v>
      </c>
      <c r="V31" s="3">
        <f t="shared" ca="1" si="7"/>
        <v>12572.491597783501</v>
      </c>
      <c r="W31" s="16">
        <f t="shared" ca="1" si="8"/>
        <v>1</v>
      </c>
      <c r="X31" t="str">
        <f t="shared" ca="1" si="0"/>
        <v>No Change</v>
      </c>
      <c r="AA31" s="3">
        <f t="shared" ca="1" si="1"/>
        <v>12572.491597783501</v>
      </c>
      <c r="AB31" s="3">
        <f t="shared" ca="1" si="2"/>
        <v>11546.783777183829</v>
      </c>
      <c r="AC31" s="3">
        <v>12566.734518344401</v>
      </c>
      <c r="AD31" s="3">
        <f t="shared" ca="1" si="4"/>
        <v>13239.270010251174</v>
      </c>
      <c r="AE31" s="3">
        <f t="shared" ca="1" si="5"/>
        <v>12829.048012993189</v>
      </c>
      <c r="AF31" s="3" t="str">
        <f t="shared" si="6"/>
        <v/>
      </c>
      <c r="AI31" s="7">
        <f t="shared" ca="1" si="3"/>
        <v>2.5601931647787428E-3</v>
      </c>
      <c r="AJ31" s="7"/>
      <c r="AK31" s="7">
        <v>0.44642597312369187</v>
      </c>
      <c r="AL31" s="7">
        <v>2.348211997851462</v>
      </c>
      <c r="AM31" s="7">
        <v>376.58516185371371</v>
      </c>
      <c r="AO31" s="7">
        <v>0</v>
      </c>
      <c r="AP31" s="7"/>
      <c r="AQ31" s="7" t="str">
        <f>IFERROR(INDEX('MS Stats list'!P:P, MATCH(B31,'MS Stats list'!B:B,0)),"")</f>
        <v/>
      </c>
    </row>
    <row r="32" spans="1:43">
      <c r="A32">
        <v>27</v>
      </c>
      <c r="B32" t="s">
        <v>79</v>
      </c>
      <c r="C32" t="s">
        <v>79</v>
      </c>
      <c r="D32" s="3">
        <v>1999.8473003726001</v>
      </c>
      <c r="E32" s="3">
        <v>1865.46529578676</v>
      </c>
      <c r="F32" s="3">
        <v>1773.7042792586201</v>
      </c>
      <c r="G32" s="3">
        <v>1945.733361135</v>
      </c>
      <c r="H32" s="3">
        <v>1895.33558956721</v>
      </c>
      <c r="I32" s="3">
        <v>1986.2825289958901</v>
      </c>
      <c r="J32" s="3">
        <v>1907.2823490016201</v>
      </c>
      <c r="K32" s="3">
        <v>1787.2684723416401</v>
      </c>
      <c r="L32" s="3">
        <v>1776.96676421133</v>
      </c>
      <c r="M32" s="3">
        <v>1561.08612314894</v>
      </c>
      <c r="N32" s="3">
        <v>1685.9321662367399</v>
      </c>
      <c r="O32" s="3">
        <v>1734.7510235024399</v>
      </c>
      <c r="P32" s="3">
        <v>1692.80575188688</v>
      </c>
      <c r="Q32" s="3">
        <v>1620.7715977835101</v>
      </c>
      <c r="R32" s="3">
        <v>1574.3986027515</v>
      </c>
      <c r="S32" s="3">
        <v>1557.9158377758699</v>
      </c>
      <c r="T32" s="3">
        <v>1615.42333543518</v>
      </c>
      <c r="U32" s="3">
        <v>1542.22667096589</v>
      </c>
      <c r="V32" s="3">
        <f t="shared" ca="1" si="7"/>
        <v>1542.22667096589</v>
      </c>
      <c r="W32" s="16">
        <f t="shared" ca="1" si="8"/>
        <v>1</v>
      </c>
      <c r="X32" t="str">
        <f t="shared" ca="1" si="0"/>
        <v>No Change</v>
      </c>
      <c r="AA32" s="3">
        <f t="shared" ca="1" si="1"/>
        <v>1542.22667096589</v>
      </c>
      <c r="AB32" s="3">
        <f t="shared" ca="1" si="2"/>
        <v>1334.3882569529078</v>
      </c>
      <c r="AC32" s="3">
        <v>1493.9554447398034</v>
      </c>
      <c r="AD32" s="3">
        <f t="shared" ca="1" si="4"/>
        <v>1452.4256580739236</v>
      </c>
      <c r="AE32" s="3">
        <f t="shared" ca="1" si="5"/>
        <v>1547.3276726569238</v>
      </c>
      <c r="AF32" s="3" t="str">
        <f t="shared" si="6"/>
        <v/>
      </c>
      <c r="AI32" s="7">
        <f t="shared" ca="1" si="3"/>
        <v>0.27832913422129263</v>
      </c>
      <c r="AJ32" s="7"/>
      <c r="AK32" s="7">
        <v>0.6537477603033186</v>
      </c>
      <c r="AL32" s="7">
        <v>0.43179278111851843</v>
      </c>
      <c r="AM32" s="7">
        <v>16.808581744096394</v>
      </c>
      <c r="AO32" s="7">
        <v>0</v>
      </c>
      <c r="AP32" s="7"/>
      <c r="AQ32" s="7" t="str">
        <f>IFERROR(INDEX('MS Stats list'!P:P, MATCH(B32,'MS Stats list'!B:B,0)),"")</f>
        <v>Statistical Office of Slovenia - Energy balance</v>
      </c>
    </row>
    <row r="33" spans="1:43">
      <c r="A33">
        <v>28</v>
      </c>
      <c r="B33" t="s">
        <v>188</v>
      </c>
      <c r="C33" t="s">
        <v>188</v>
      </c>
      <c r="D33" s="3">
        <v>5572.5990000000002</v>
      </c>
      <c r="E33" s="3">
        <v>5546.9589999999998</v>
      </c>
      <c r="F33" s="3">
        <v>5061.41</v>
      </c>
      <c r="G33" s="3">
        <v>5063.8689999999997</v>
      </c>
      <c r="H33" s="3">
        <v>5147.2489999999998</v>
      </c>
      <c r="I33" s="3">
        <v>6394.402</v>
      </c>
      <c r="J33" s="3">
        <v>5539.9059999999999</v>
      </c>
      <c r="K33" s="3">
        <v>5519.5619999999999</v>
      </c>
      <c r="L33" s="3">
        <v>5820.7169999999996</v>
      </c>
      <c r="M33" s="3">
        <v>4876.7449999999999</v>
      </c>
      <c r="N33" s="3">
        <v>5104.8590000000004</v>
      </c>
      <c r="O33" s="3">
        <v>5273.4560000000001</v>
      </c>
      <c r="P33" s="3">
        <v>5497.0720000000001</v>
      </c>
      <c r="Q33" s="3">
        <v>5147.3500000000004</v>
      </c>
      <c r="R33" s="3">
        <v>4864.5625350148102</v>
      </c>
      <c r="S33" s="3">
        <v>4715.9205305245096</v>
      </c>
      <c r="T33" s="3">
        <v>5562.5211765548802</v>
      </c>
      <c r="U33" s="3">
        <v>4780.9863295118002</v>
      </c>
      <c r="V33" s="3">
        <f t="shared" ca="1" si="7"/>
        <v>4780.9863295118002</v>
      </c>
      <c r="W33" s="16">
        <f t="shared" ca="1" si="8"/>
        <v>1</v>
      </c>
      <c r="X33" t="str">
        <f t="shared" ca="1" si="0"/>
        <v>No Change</v>
      </c>
      <c r="AA33" s="3">
        <f t="shared" ca="1" si="1"/>
        <v>4780.9863295118002</v>
      </c>
      <c r="AB33" s="3">
        <f t="shared" ca="1" si="2"/>
        <v>4517.8909031543253</v>
      </c>
      <c r="AC33" s="3">
        <v>4640.7051499642366</v>
      </c>
      <c r="AD33" s="3">
        <f t="shared" ca="1" si="4"/>
        <v>4465.1063546798241</v>
      </c>
      <c r="AE33" s="3">
        <f t="shared" ca="1" si="5"/>
        <v>5003.8375044903005</v>
      </c>
      <c r="AF33" s="3" t="str">
        <f t="shared" si="6"/>
        <v/>
      </c>
      <c r="AI33" s="7">
        <f t="shared" ca="1" si="3"/>
        <v>2.4969499420532832E-4</v>
      </c>
      <c r="AJ33" s="7"/>
      <c r="AK33" s="7">
        <v>0.69534581702964893</v>
      </c>
      <c r="AL33" s="7">
        <v>0.89223459357791335</v>
      </c>
      <c r="AM33" s="7">
        <v>85.186502249574545</v>
      </c>
      <c r="AO33" s="7">
        <v>0</v>
      </c>
      <c r="AP33" s="7"/>
      <c r="AQ33" s="7" t="str">
        <f>IFERROR(INDEX('MS Stats list'!P:P, MATCH(B33,'MS Stats list'!B:B,0)),"")</f>
        <v/>
      </c>
    </row>
    <row r="34" spans="1:43">
      <c r="A34">
        <v>29</v>
      </c>
      <c r="B34" t="s">
        <v>163</v>
      </c>
      <c r="C34" t="s">
        <v>163</v>
      </c>
      <c r="D34" s="3">
        <v>66910.687999999995</v>
      </c>
      <c r="E34" s="3">
        <v>64940.006999999998</v>
      </c>
      <c r="F34" s="3">
        <v>63005.523999999998</v>
      </c>
      <c r="G34" s="3">
        <v>65301.3264637432</v>
      </c>
      <c r="H34" s="3">
        <v>61217.203870545498</v>
      </c>
      <c r="I34" s="3">
        <v>66124.3347215057</v>
      </c>
      <c r="J34" s="3">
        <v>56891.076770612402</v>
      </c>
      <c r="K34" s="3">
        <v>61339.349839782197</v>
      </c>
      <c r="L34" s="3">
        <v>62808.212534345999</v>
      </c>
      <c r="M34" s="3">
        <v>56069.007373459397</v>
      </c>
      <c r="N34" s="3">
        <v>57605.727038979603</v>
      </c>
      <c r="O34" s="3">
        <v>59567.305388554501</v>
      </c>
      <c r="P34" s="3">
        <v>58137.1076879717</v>
      </c>
      <c r="Q34" s="3">
        <v>59697.078056272097</v>
      </c>
      <c r="R34" s="3">
        <v>59445.675581350901</v>
      </c>
      <c r="S34" s="3">
        <v>0</v>
      </c>
      <c r="T34" s="3">
        <v>0</v>
      </c>
      <c r="U34" s="3">
        <v>0</v>
      </c>
      <c r="V34" s="3">
        <f t="shared" ca="1" si="7"/>
        <v>0</v>
      </c>
      <c r="W34" s="16">
        <f t="shared" ca="1" si="8"/>
        <v>1</v>
      </c>
      <c r="X34" t="str">
        <f t="shared" ca="1" si="0"/>
        <v>No Change</v>
      </c>
      <c r="AA34" s="3">
        <f t="shared" ca="1" si="1"/>
        <v>0</v>
      </c>
      <c r="AB34" s="3">
        <f t="shared" ca="1" si="2"/>
        <v>0</v>
      </c>
      <c r="AC34" s="3">
        <v>0</v>
      </c>
      <c r="AD34" s="3">
        <f t="shared" ca="1" si="4"/>
        <v>0</v>
      </c>
      <c r="AE34" s="3">
        <f t="shared" ca="1" si="5"/>
        <v>-29823.398780651391</v>
      </c>
      <c r="AF34" s="3" t="str">
        <f t="shared" si="6"/>
        <v/>
      </c>
      <c r="AI34" s="7">
        <f t="shared" ca="1" si="3"/>
        <v>0.75104984490126192</v>
      </c>
      <c r="AJ34" s="7"/>
      <c r="AK34" s="7">
        <v>0</v>
      </c>
      <c r="AL34" s="7">
        <v>0</v>
      </c>
      <c r="AM34" s="7">
        <v>0</v>
      </c>
      <c r="AO34" s="7">
        <v>0</v>
      </c>
      <c r="AP34" s="7"/>
      <c r="AQ34" s="7" t="str">
        <f>IFERROR(INDEX('MS Stats list'!P:P, MATCH(B34,'MS Stats list'!B:B,0)),"")</f>
        <v>BEIS - Digest of UK Energy Statistics (DUKES)</v>
      </c>
    </row>
    <row r="35" spans="1:43">
      <c r="B35" s="40" t="s">
        <v>189</v>
      </c>
      <c r="C35" s="40" t="s">
        <v>189</v>
      </c>
      <c r="D35" s="41">
        <f>SUM(D7:D34)</f>
        <v>520309.59120909474</v>
      </c>
      <c r="E35" s="41">
        <f t="shared" ref="E35:V35" si="9">SUM(E7:E34)</f>
        <v>521244.55510777625</v>
      </c>
      <c r="F35" s="41">
        <f t="shared" si="9"/>
        <v>491247.92837463191</v>
      </c>
      <c r="G35" s="41">
        <f t="shared" si="9"/>
        <v>514220.10468344798</v>
      </c>
      <c r="H35" s="41">
        <f t="shared" si="9"/>
        <v>500368.16815104126</v>
      </c>
      <c r="I35" s="41">
        <f t="shared" si="9"/>
        <v>535348.70365840173</v>
      </c>
      <c r="J35" s="41">
        <f t="shared" si="9"/>
        <v>485842.81367092417</v>
      </c>
      <c r="K35" s="41">
        <f t="shared" si="9"/>
        <v>503013.15966922883</v>
      </c>
      <c r="L35" s="41">
        <f t="shared" si="9"/>
        <v>508688.05171380163</v>
      </c>
      <c r="M35" s="41">
        <f t="shared" si="9"/>
        <v>459889.31137807469</v>
      </c>
      <c r="N35" s="41">
        <f t="shared" si="9"/>
        <v>475795.54723035917</v>
      </c>
      <c r="O35" s="41">
        <f t="shared" si="9"/>
        <v>484551.69816840516</v>
      </c>
      <c r="P35" s="41">
        <f t="shared" si="9"/>
        <v>484517.51031003532</v>
      </c>
      <c r="Q35" s="41">
        <f t="shared" si="9"/>
        <v>483250.29050767905</v>
      </c>
      <c r="R35" s="41">
        <f t="shared" ref="R35:S35" si="10">SUM(R7:R34)</f>
        <v>476458.32401665743</v>
      </c>
      <c r="S35" s="41">
        <f t="shared" si="10"/>
        <v>406582.94682199456</v>
      </c>
      <c r="T35" s="41">
        <f t="shared" ref="T35:U35" si="11">SUM(T7:T34)</f>
        <v>429900.15116432554</v>
      </c>
      <c r="U35" s="41">
        <f t="shared" si="11"/>
        <v>399596.56443469948</v>
      </c>
      <c r="V35" s="41">
        <f t="shared" ca="1" si="9"/>
        <v>390334.41469537042</v>
      </c>
      <c r="AO35" s="7"/>
    </row>
    <row r="36" spans="1:43">
      <c r="B36" s="40" t="s">
        <v>190</v>
      </c>
      <c r="C36" s="40" t="s">
        <v>190</v>
      </c>
      <c r="D36" s="41">
        <f>SUM(D7:D33)</f>
        <v>453398.90320909471</v>
      </c>
      <c r="E36" s="41">
        <f t="shared" ref="E36:V36" si="12">SUM(E7:E33)</f>
        <v>456304.54810777627</v>
      </c>
      <c r="F36" s="41">
        <f t="shared" si="12"/>
        <v>428242.40437463194</v>
      </c>
      <c r="G36" s="41">
        <f t="shared" si="12"/>
        <v>448918.77821970481</v>
      </c>
      <c r="H36" s="41">
        <f t="shared" si="12"/>
        <v>439150.96428049577</v>
      </c>
      <c r="I36" s="41">
        <f t="shared" si="12"/>
        <v>469224.36893689603</v>
      </c>
      <c r="J36" s="41">
        <f t="shared" si="12"/>
        <v>428951.73690031178</v>
      </c>
      <c r="K36" s="41">
        <f t="shared" si="12"/>
        <v>441673.8098294466</v>
      </c>
      <c r="L36" s="41">
        <f t="shared" si="12"/>
        <v>445879.83917945565</v>
      </c>
      <c r="M36" s="41">
        <f t="shared" si="12"/>
        <v>403820.30400461529</v>
      </c>
      <c r="N36" s="41">
        <f t="shared" si="12"/>
        <v>418189.82019137958</v>
      </c>
      <c r="O36" s="41">
        <f t="shared" si="12"/>
        <v>424984.39277985063</v>
      </c>
      <c r="P36" s="41">
        <f t="shared" si="12"/>
        <v>426380.40262206364</v>
      </c>
      <c r="Q36" s="41">
        <f t="shared" si="12"/>
        <v>423553.21245140693</v>
      </c>
      <c r="R36" s="41">
        <f t="shared" ref="R36:S36" si="13">SUM(R7:R33)</f>
        <v>417012.6484353065</v>
      </c>
      <c r="S36" s="41">
        <f t="shared" si="13"/>
        <v>406582.94682199456</v>
      </c>
      <c r="T36" s="41">
        <f t="shared" ref="T36:U36" si="14">SUM(T7:T33)</f>
        <v>429900.15116432554</v>
      </c>
      <c r="U36" s="41">
        <f t="shared" si="14"/>
        <v>399596.56443469948</v>
      </c>
      <c r="V36" s="41">
        <f t="shared" ca="1" si="12"/>
        <v>390334.41469537042</v>
      </c>
    </row>
    <row r="37" spans="1:43">
      <c r="W37" s="25"/>
    </row>
    <row r="38" spans="1:43">
      <c r="W38" s="25"/>
    </row>
    <row r="39" spans="1:43">
      <c r="AB39" s="42"/>
    </row>
    <row r="40" spans="1:43">
      <c r="A40" s="5" t="s">
        <v>191</v>
      </c>
      <c r="E40" t="s">
        <v>173</v>
      </c>
      <c r="AA40" t="str">
        <f>AA5</f>
        <v>No Change</v>
      </c>
      <c r="AB40" t="str">
        <f t="shared" ref="AB40:AE40" si="15">AB5</f>
        <v>GHG Proxy</v>
      </c>
      <c r="AC40" t="str">
        <f t="shared" si="15"/>
        <v>GHG Proxy LinM</v>
      </c>
      <c r="AD40" t="str">
        <f t="shared" si="15"/>
        <v>HDD trend</v>
      </c>
      <c r="AE40" t="str">
        <f t="shared" si="15"/>
        <v>5yr lin trend</v>
      </c>
      <c r="AF40" t="s">
        <v>237</v>
      </c>
    </row>
    <row r="41" spans="1:43">
      <c r="A41" t="str">
        <f t="shared" ref="A41:S41" si="16">A6</f>
        <v>Source Row</v>
      </c>
      <c r="B41" t="str">
        <f t="shared" si="16"/>
        <v>MS Code 1</v>
      </c>
      <c r="C41" t="str">
        <f t="shared" si="16"/>
        <v>MS Code 2</v>
      </c>
      <c r="E41" s="1">
        <f t="shared" si="16"/>
        <v>2006</v>
      </c>
      <c r="F41" s="1">
        <f t="shared" si="16"/>
        <v>2007</v>
      </c>
      <c r="G41" s="1">
        <f t="shared" si="16"/>
        <v>2008</v>
      </c>
      <c r="H41" s="1">
        <f t="shared" si="16"/>
        <v>2009</v>
      </c>
      <c r="I41" s="1">
        <f t="shared" si="16"/>
        <v>2010</v>
      </c>
      <c r="J41" s="1">
        <f t="shared" si="16"/>
        <v>2011</v>
      </c>
      <c r="K41" s="1">
        <f t="shared" si="16"/>
        <v>2012</v>
      </c>
      <c r="L41" s="1">
        <f t="shared" si="16"/>
        <v>2013</v>
      </c>
      <c r="M41" s="1">
        <f t="shared" si="16"/>
        <v>2014</v>
      </c>
      <c r="N41" s="1">
        <f t="shared" si="16"/>
        <v>2015</v>
      </c>
      <c r="O41" s="1">
        <f t="shared" si="16"/>
        <v>2016</v>
      </c>
      <c r="P41" s="1">
        <f t="shared" si="16"/>
        <v>2017</v>
      </c>
      <c r="Q41" s="1">
        <f t="shared" si="16"/>
        <v>2018</v>
      </c>
      <c r="R41" s="1">
        <f t="shared" ref="R41" si="17">R6</f>
        <v>2019</v>
      </c>
      <c r="S41" s="1">
        <f t="shared" si="16"/>
        <v>2020</v>
      </c>
      <c r="T41" s="1">
        <f t="shared" ref="T41:U41" si="18">T6</f>
        <v>2021</v>
      </c>
      <c r="U41" s="1">
        <f t="shared" si="18"/>
        <v>2022</v>
      </c>
      <c r="V41" s="2">
        <f>YearProxy</f>
        <v>2023</v>
      </c>
      <c r="AA41" s="2">
        <f>YearProxy</f>
        <v>2023</v>
      </c>
      <c r="AB41" s="2">
        <f>AB6</f>
        <v>2023</v>
      </c>
      <c r="AC41" s="2">
        <f>AC6</f>
        <v>2023</v>
      </c>
      <c r="AD41" s="2">
        <f>AD6</f>
        <v>2023</v>
      </c>
      <c r="AE41" s="2">
        <f>YearProxy</f>
        <v>2023</v>
      </c>
      <c r="AF41" s="2">
        <f>AF6</f>
        <v>2023</v>
      </c>
    </row>
    <row r="42" spans="1:43">
      <c r="A42">
        <f t="shared" ref="A42:C69" si="19">A7</f>
        <v>2</v>
      </c>
      <c r="B42" t="str">
        <f t="shared" si="19"/>
        <v>AT</v>
      </c>
      <c r="C42" t="str">
        <f t="shared" si="19"/>
        <v>AT</v>
      </c>
      <c r="E42" s="4">
        <f t="shared" ref="E42:R42" si="20">IFERROR(E7/D7-1,0)</f>
        <v>-2.8662064588472758E-3</v>
      </c>
      <c r="F42" s="4">
        <f t="shared" si="20"/>
        <v>-4.5795600098787692E-2</v>
      </c>
      <c r="G42" s="4">
        <f t="shared" si="20"/>
        <v>4.4534984786257281E-2</v>
      </c>
      <c r="H42" s="4">
        <f t="shared" si="20"/>
        <v>-6.8846999373341378E-2</v>
      </c>
      <c r="I42" s="4">
        <f t="shared" si="20"/>
        <v>8.1999213132397664E-2</v>
      </c>
      <c r="J42" s="4">
        <f t="shared" si="20"/>
        <v>-5.2613424572507839E-2</v>
      </c>
      <c r="K42" s="4">
        <f t="shared" si="20"/>
        <v>7.5530023072880592E-3</v>
      </c>
      <c r="L42" s="4">
        <f t="shared" si="20"/>
        <v>3.1010998610948581E-2</v>
      </c>
      <c r="M42" s="4">
        <f t="shared" si="20"/>
        <v>-7.5823550358109504E-2</v>
      </c>
      <c r="N42" s="4">
        <f t="shared" si="20"/>
        <v>3.856701874278734E-2</v>
      </c>
      <c r="O42" s="4">
        <f t="shared" si="20"/>
        <v>1.160491611218939E-2</v>
      </c>
      <c r="P42" s="4">
        <f t="shared" si="20"/>
        <v>3.0201350368094904E-2</v>
      </c>
      <c r="Q42" s="4">
        <f t="shared" si="20"/>
        <v>-7.1432365857405533E-2</v>
      </c>
      <c r="R42" s="4">
        <f t="shared" si="20"/>
        <v>3.5760732566662234E-2</v>
      </c>
      <c r="S42" s="4">
        <f t="shared" ref="S42:S71" si="21">IFERROR(S7/R7-1,0)</f>
        <v>-1.2914868435598637E-2</v>
      </c>
      <c r="T42" s="4">
        <f t="shared" ref="T42:T71" si="22">IFERROR(T7/S7-1,0)</f>
        <v>0.10380011862934513</v>
      </c>
      <c r="U42" s="4">
        <f t="shared" ref="U42:V71" si="23">IFERROR(U7/T7-1,0)</f>
        <v>-0.11714382149692737</v>
      </c>
      <c r="V42" s="4">
        <f t="shared" ca="1" si="23"/>
        <v>-5.825321359579172E-2</v>
      </c>
      <c r="AA42" s="8">
        <v>0</v>
      </c>
      <c r="AB42" s="4">
        <v>-0.18603892452996151</v>
      </c>
      <c r="AC42" s="4">
        <f ca="1">AC7/AA7-1</f>
        <v>-7.731823727663989E-2</v>
      </c>
      <c r="AD42" s="4">
        <v>-2.513929280446978E-2</v>
      </c>
      <c r="AE42" s="4">
        <f t="shared" ref="AE42:AE69" ca="1" si="24">AE7/$AA7-1</f>
        <v>6.6136599681297703E-2</v>
      </c>
      <c r="AF42" s="4">
        <v>-5.8253213595791831E-2</v>
      </c>
    </row>
    <row r="43" spans="1:43">
      <c r="A43">
        <f t="shared" si="19"/>
        <v>3</v>
      </c>
      <c r="B43" t="str">
        <f t="shared" si="19"/>
        <v>BE</v>
      </c>
      <c r="C43" t="str">
        <f t="shared" si="19"/>
        <v>BE</v>
      </c>
      <c r="E43" s="4">
        <f t="shared" ref="E43:R43" si="25">IFERROR(E8/D8-1,0)</f>
        <v>-3.8447018657511545E-2</v>
      </c>
      <c r="F43" s="4">
        <f t="shared" si="25"/>
        <v>-7.0367998803765763E-2</v>
      </c>
      <c r="G43" s="4">
        <f t="shared" si="25"/>
        <v>0.12073581734896699</v>
      </c>
      <c r="H43" s="4">
        <f t="shared" si="25"/>
        <v>-9.6118696023580585E-2</v>
      </c>
      <c r="I43" s="4">
        <f t="shared" si="25"/>
        <v>0.13656332275441296</v>
      </c>
      <c r="J43" s="4">
        <f t="shared" si="25"/>
        <v>-0.13724621346897603</v>
      </c>
      <c r="K43" s="4">
        <f t="shared" si="25"/>
        <v>3.6444780737161953E-2</v>
      </c>
      <c r="L43" s="4">
        <f t="shared" si="25"/>
        <v>7.8066544533361482E-2</v>
      </c>
      <c r="M43" s="4">
        <f t="shared" si="25"/>
        <v>-0.14183781484710223</v>
      </c>
      <c r="N43" s="4">
        <f t="shared" si="25"/>
        <v>7.6395231983094281E-2</v>
      </c>
      <c r="O43" s="4">
        <f t="shared" si="25"/>
        <v>2.2576900139943179E-2</v>
      </c>
      <c r="P43" s="4">
        <f t="shared" si="25"/>
        <v>-7.9857456523034775E-3</v>
      </c>
      <c r="Q43" s="4">
        <f t="shared" si="25"/>
        <v>-7.1337659510918305E-3</v>
      </c>
      <c r="R43" s="4">
        <f t="shared" si="25"/>
        <v>-1.1310200103468504E-2</v>
      </c>
      <c r="S43" s="4">
        <f t="shared" si="21"/>
        <v>-4.5387826564762257E-2</v>
      </c>
      <c r="T43" s="4">
        <f t="shared" si="22"/>
        <v>6.7300790732358395E-2</v>
      </c>
      <c r="U43" s="4">
        <f t="shared" si="23"/>
        <v>-0.1187370081202912</v>
      </c>
      <c r="V43" s="4">
        <f t="shared" ca="1" si="23"/>
        <v>0</v>
      </c>
      <c r="AA43" s="8">
        <v>0</v>
      </c>
      <c r="AB43" s="4">
        <v>-6.8842719855959512E-3</v>
      </c>
      <c r="AC43" s="4">
        <f t="shared" ref="AC43:AC69" ca="1" si="26">AC8/AA8-1</f>
        <v>4.6892853312974214E-3</v>
      </c>
      <c r="AD43" s="4">
        <v>-5.7928701841770854E-3</v>
      </c>
      <c r="AE43" s="4">
        <f t="shared" ca="1" si="24"/>
        <v>1.8041718988180966E-2</v>
      </c>
      <c r="AF43" s="4"/>
    </row>
    <row r="44" spans="1:43">
      <c r="A44">
        <f t="shared" si="19"/>
        <v>4</v>
      </c>
      <c r="B44" t="str">
        <f t="shared" si="19"/>
        <v>BG</v>
      </c>
      <c r="C44" t="str">
        <f t="shared" si="19"/>
        <v>BG</v>
      </c>
      <c r="E44" s="4">
        <f t="shared" ref="E44:R44" si="27">IFERROR(E9/D9-1,0)</f>
        <v>5.9643217218345423E-2</v>
      </c>
      <c r="F44" s="4">
        <f t="shared" si="27"/>
        <v>-5.8140734092941737E-2</v>
      </c>
      <c r="G44" s="4">
        <f t="shared" si="27"/>
        <v>-4.2031365739779281E-2</v>
      </c>
      <c r="H44" s="4">
        <f t="shared" si="27"/>
        <v>-5.509377989120523E-2</v>
      </c>
      <c r="I44" s="4">
        <f t="shared" si="27"/>
        <v>5.5868278567324792E-2</v>
      </c>
      <c r="J44" s="4">
        <f t="shared" si="27"/>
        <v>6.1282369000629222E-2</v>
      </c>
      <c r="K44" s="4">
        <f t="shared" si="27"/>
        <v>-1.4021679272863019E-2</v>
      </c>
      <c r="L44" s="4">
        <f t="shared" si="27"/>
        <v>-4.8955311847484029E-2</v>
      </c>
      <c r="M44" s="4">
        <f t="shared" si="27"/>
        <v>-3.4676475137196849E-2</v>
      </c>
      <c r="N44" s="4">
        <f t="shared" si="27"/>
        <v>3.0458943863141741E-2</v>
      </c>
      <c r="O44" s="4">
        <f t="shared" si="27"/>
        <v>3.8658334050610588E-2</v>
      </c>
      <c r="P44" s="4">
        <f t="shared" si="27"/>
        <v>1.7885431304696331E-2</v>
      </c>
      <c r="Q44" s="4">
        <f t="shared" si="27"/>
        <v>-6.0594372520088591E-3</v>
      </c>
      <c r="R44" s="4">
        <f t="shared" si="27"/>
        <v>-9.1955081707797426E-3</v>
      </c>
      <c r="S44" s="4">
        <f t="shared" si="21"/>
        <v>2.9082454720803508E-3</v>
      </c>
      <c r="T44" s="4">
        <f t="shared" si="22"/>
        <v>6.8858255799710388E-2</v>
      </c>
      <c r="U44" s="4">
        <f t="shared" si="23"/>
        <v>-6.4562595670288325E-2</v>
      </c>
      <c r="V44" s="4">
        <f t="shared" ca="1" si="23"/>
        <v>0</v>
      </c>
      <c r="AA44" s="8">
        <v>0</v>
      </c>
      <c r="AB44" s="4">
        <v>-7.1788641615024141E-7</v>
      </c>
      <c r="AC44" s="4">
        <f t="shared" ca="1" si="26"/>
        <v>6.5099915013573595E-2</v>
      </c>
      <c r="AD44" s="4">
        <v>-9.7997910788049064E-2</v>
      </c>
      <c r="AE44" s="4">
        <f t="shared" ca="1" si="24"/>
        <v>3.2212292528078112E-2</v>
      </c>
      <c r="AF44" s="4"/>
    </row>
    <row r="45" spans="1:43">
      <c r="A45">
        <f t="shared" si="19"/>
        <v>5</v>
      </c>
      <c r="B45" t="str">
        <f t="shared" si="19"/>
        <v>CY</v>
      </c>
      <c r="C45" t="str">
        <f t="shared" si="19"/>
        <v>CY</v>
      </c>
      <c r="E45" s="4">
        <f t="shared" ref="E45:R45" si="28">IFERROR(E10/D10-1,0)</f>
        <v>0.11006120577830747</v>
      </c>
      <c r="F45" s="4">
        <f t="shared" si="28"/>
        <v>3.6625412342546682E-2</v>
      </c>
      <c r="G45" s="4">
        <f t="shared" si="28"/>
        <v>2.9413969334562307E-2</v>
      </c>
      <c r="H45" s="4">
        <f t="shared" si="28"/>
        <v>3.4409928709167037E-2</v>
      </c>
      <c r="I45" s="4">
        <f t="shared" si="28"/>
        <v>-1.1658788922479624E-2</v>
      </c>
      <c r="J45" s="4">
        <f t="shared" si="28"/>
        <v>2.3767234172263452E-2</v>
      </c>
      <c r="K45" s="4">
        <f t="shared" si="28"/>
        <v>-4.3473120541320243E-2</v>
      </c>
      <c r="L45" s="4">
        <f t="shared" si="28"/>
        <v>-0.10313310065960923</v>
      </c>
      <c r="M45" s="4">
        <f t="shared" si="28"/>
        <v>-2.5198114966430762E-2</v>
      </c>
      <c r="N45" s="4">
        <f t="shared" si="28"/>
        <v>6.9212031091089976E-2</v>
      </c>
      <c r="O45" s="4">
        <f t="shared" si="28"/>
        <v>4.5357781707888956E-2</v>
      </c>
      <c r="P45" s="4">
        <f t="shared" si="28"/>
        <v>3.1034674985105815E-2</v>
      </c>
      <c r="Q45" s="4">
        <f t="shared" si="28"/>
        <v>-2.122447414634232E-2</v>
      </c>
      <c r="R45" s="4">
        <f t="shared" si="28"/>
        <v>5.4283327176144258E-2</v>
      </c>
      <c r="S45" s="4">
        <f t="shared" si="21"/>
        <v>-6.0266915265752341E-2</v>
      </c>
      <c r="T45" s="4">
        <f t="shared" si="22"/>
        <v>1.9222632741853651E-2</v>
      </c>
      <c r="U45" s="4">
        <f t="shared" si="23"/>
        <v>4.6388164417921152E-2</v>
      </c>
      <c r="V45" s="4">
        <f t="shared" ca="1" si="23"/>
        <v>0</v>
      </c>
      <c r="AA45" s="8">
        <v>0</v>
      </c>
      <c r="AB45" s="4">
        <v>3.4701948796333005E-3</v>
      </c>
      <c r="AC45" s="4">
        <f t="shared" ca="1" si="26"/>
        <v>8.083047479560812E-2</v>
      </c>
      <c r="AD45" s="4">
        <v>-0.23879245933674356</v>
      </c>
      <c r="AE45" s="4">
        <f t="shared" ca="1" si="24"/>
        <v>-1.2976052049337494E-2</v>
      </c>
      <c r="AF45" s="4"/>
    </row>
    <row r="46" spans="1:43">
      <c r="A46">
        <f t="shared" si="19"/>
        <v>6</v>
      </c>
      <c r="B46" t="str">
        <f t="shared" si="19"/>
        <v>CZ</v>
      </c>
      <c r="C46" t="str">
        <f t="shared" si="19"/>
        <v>CZ</v>
      </c>
      <c r="E46" s="4">
        <f t="shared" ref="E46:R46" si="29">IFERROR(E11/D11-1,0)</f>
        <v>1.8768629450008456E-2</v>
      </c>
      <c r="F46" s="4">
        <f t="shared" si="29"/>
        <v>-4.0778043564949185E-2</v>
      </c>
      <c r="G46" s="4">
        <f t="shared" si="29"/>
        <v>1.4523551729949791E-2</v>
      </c>
      <c r="H46" s="4">
        <f t="shared" si="29"/>
        <v>-2.4425177056145109E-2</v>
      </c>
      <c r="I46" s="4">
        <f t="shared" si="29"/>
        <v>0.10050762472637231</v>
      </c>
      <c r="J46" s="4">
        <f t="shared" si="29"/>
        <v>-5.7383344528130653E-2</v>
      </c>
      <c r="K46" s="4">
        <f t="shared" si="29"/>
        <v>1.4829191359751137E-2</v>
      </c>
      <c r="L46" s="4">
        <f t="shared" si="29"/>
        <v>1.36931454037994E-2</v>
      </c>
      <c r="M46" s="4">
        <f t="shared" si="29"/>
        <v>-6.4209895213194423E-2</v>
      </c>
      <c r="N46" s="4">
        <f t="shared" si="29"/>
        <v>2.0105206316115121E-2</v>
      </c>
      <c r="O46" s="4">
        <f t="shared" si="29"/>
        <v>3.9788601671191692E-2</v>
      </c>
      <c r="P46" s="4">
        <f t="shared" si="29"/>
        <v>9.9604846444434347E-3</v>
      </c>
      <c r="Q46" s="4">
        <f t="shared" si="29"/>
        <v>-1.9974313603361438E-2</v>
      </c>
      <c r="R46" s="4">
        <f t="shared" si="29"/>
        <v>-9.2829076480098749E-3</v>
      </c>
      <c r="S46" s="4">
        <f t="shared" si="21"/>
        <v>-1.7723350138409977E-3</v>
      </c>
      <c r="T46" s="4">
        <f t="shared" si="22"/>
        <v>6.4604111985854029E-2</v>
      </c>
      <c r="U46" s="4">
        <f t="shared" si="23"/>
        <v>-8.6881455241442862E-2</v>
      </c>
      <c r="V46" s="4">
        <f t="shared" ca="1" si="23"/>
        <v>0</v>
      </c>
      <c r="AA46" s="8">
        <v>0</v>
      </c>
      <c r="AB46" s="4">
        <v>-2.8279783796193014E-2</v>
      </c>
      <c r="AC46" s="4">
        <f t="shared" ca="1" si="26"/>
        <v>-3.7893950374566776E-3</v>
      </c>
      <c r="AD46" s="4">
        <v>-5.2326882473705254E-2</v>
      </c>
      <c r="AE46" s="4">
        <f t="shared" ca="1" si="24"/>
        <v>3.4191359519885278E-2</v>
      </c>
      <c r="AF46" s="4"/>
    </row>
    <row r="47" spans="1:43">
      <c r="A47">
        <f t="shared" si="19"/>
        <v>7</v>
      </c>
      <c r="B47" t="str">
        <f t="shared" si="19"/>
        <v>DE</v>
      </c>
      <c r="C47" t="str">
        <f t="shared" si="19"/>
        <v>DE</v>
      </c>
      <c r="E47" s="4">
        <f t="shared" ref="E47:R47" si="30">IFERROR(E12/D12-1,0)</f>
        <v>3.4033568887924082E-2</v>
      </c>
      <c r="F47" s="4">
        <f t="shared" si="30"/>
        <v>-0.12795152919039698</v>
      </c>
      <c r="G47" s="4">
        <f t="shared" si="30"/>
        <v>0.10987153112253045</v>
      </c>
      <c r="H47" s="4">
        <f t="shared" si="30"/>
        <v>-5.6319952201712931E-2</v>
      </c>
      <c r="I47" s="4">
        <f t="shared" si="30"/>
        <v>8.322455801912132E-2</v>
      </c>
      <c r="J47" s="4">
        <f t="shared" si="30"/>
        <v>-0.11644039891822899</v>
      </c>
      <c r="K47" s="4">
        <f t="shared" si="30"/>
        <v>4.9829587579415469E-2</v>
      </c>
      <c r="L47" s="4">
        <f t="shared" si="30"/>
        <v>4.5558219812612988E-2</v>
      </c>
      <c r="M47" s="4">
        <f t="shared" si="30"/>
        <v>-0.11055700589345308</v>
      </c>
      <c r="N47" s="4">
        <f t="shared" si="30"/>
        <v>2.9949337018659206E-2</v>
      </c>
      <c r="O47" s="4">
        <f t="shared" si="30"/>
        <v>1.5966761232731219E-2</v>
      </c>
      <c r="P47" s="4">
        <f t="shared" si="30"/>
        <v>-3.2782619529005963E-3</v>
      </c>
      <c r="Q47" s="4">
        <f t="shared" si="30"/>
        <v>-2.0238750401920913E-2</v>
      </c>
      <c r="R47" s="4">
        <f t="shared" si="30"/>
        <v>3.2416111902116018E-3</v>
      </c>
      <c r="S47" s="4">
        <f t="shared" si="21"/>
        <v>-1.2245318704156571E-2</v>
      </c>
      <c r="T47" s="4">
        <f t="shared" si="22"/>
        <v>4.1947462843080929E-2</v>
      </c>
      <c r="U47" s="4">
        <f t="shared" si="23"/>
        <v>-6.0998549281250036E-2</v>
      </c>
      <c r="V47" s="4">
        <f t="shared" ca="1" si="23"/>
        <v>-5.3899999999999948E-2</v>
      </c>
      <c r="AA47" s="8">
        <v>0</v>
      </c>
      <c r="AB47" s="4">
        <v>-7.0247168165570459E-2</v>
      </c>
      <c r="AC47" s="4">
        <f t="shared" ca="1" si="26"/>
        <v>7.4426159039825857E-2</v>
      </c>
      <c r="AD47" s="4">
        <v>-2.720442053560989E-2</v>
      </c>
      <c r="AE47" s="4">
        <f t="shared" ca="1" si="24"/>
        <v>2.0856311577795994E-2</v>
      </c>
      <c r="AF47" s="4">
        <v>-5.3900000000000003E-2</v>
      </c>
      <c r="AG47" s="4"/>
      <c r="AH47" s="4"/>
      <c r="AI47" s="4"/>
    </row>
    <row r="48" spans="1:43">
      <c r="A48">
        <f t="shared" si="19"/>
        <v>8</v>
      </c>
      <c r="B48" t="str">
        <f t="shared" si="19"/>
        <v>DK</v>
      </c>
      <c r="C48" t="str">
        <f t="shared" si="19"/>
        <v>DK</v>
      </c>
      <c r="E48" s="4">
        <f t="shared" ref="E48:R48" si="31">IFERROR(E13/D13-1,0)</f>
        <v>3.2315038012087349E-3</v>
      </c>
      <c r="F48" s="4">
        <f t="shared" si="31"/>
        <v>-8.630995355656923E-3</v>
      </c>
      <c r="G48" s="4">
        <f t="shared" si="31"/>
        <v>-3.2552330565657206E-3</v>
      </c>
      <c r="H48" s="4">
        <f t="shared" si="31"/>
        <v>-2.5397498361656723E-3</v>
      </c>
      <c r="I48" s="4">
        <f t="shared" si="31"/>
        <v>8.7432027359427344E-2</v>
      </c>
      <c r="J48" s="4">
        <f t="shared" si="31"/>
        <v>-9.2002768568830495E-2</v>
      </c>
      <c r="K48" s="4">
        <f t="shared" si="31"/>
        <v>-1.3884094205524944E-2</v>
      </c>
      <c r="L48" s="4">
        <f t="shared" si="31"/>
        <v>4.2984051733669926E-3</v>
      </c>
      <c r="M48" s="4">
        <f t="shared" si="31"/>
        <v>-7.1938559180219519E-2</v>
      </c>
      <c r="N48" s="4">
        <f t="shared" si="31"/>
        <v>5.107689133159643E-2</v>
      </c>
      <c r="O48" s="4">
        <f t="shared" si="31"/>
        <v>2.4122387386168453E-2</v>
      </c>
      <c r="P48" s="4">
        <f t="shared" si="31"/>
        <v>-8.6726882881088541E-3</v>
      </c>
      <c r="Q48" s="4">
        <f t="shared" si="31"/>
        <v>-1.8505570435100704E-2</v>
      </c>
      <c r="R48" s="4">
        <f t="shared" si="31"/>
        <v>-2.1800054722095785E-2</v>
      </c>
      <c r="S48" s="4">
        <f t="shared" si="21"/>
        <v>-3.8054323731829709E-2</v>
      </c>
      <c r="T48" s="4">
        <f t="shared" si="22"/>
        <v>6.7963188563838539E-2</v>
      </c>
      <c r="U48" s="4">
        <f t="shared" si="23"/>
        <v>-9.9324267733341576E-2</v>
      </c>
      <c r="V48" s="4">
        <f t="shared" ca="1" si="23"/>
        <v>0</v>
      </c>
      <c r="AA48" s="8">
        <v>0</v>
      </c>
      <c r="AB48" s="4">
        <v>9.9016198618009723E-7</v>
      </c>
      <c r="AC48" s="4">
        <f t="shared" ca="1" si="26"/>
        <v>3.0305021633351359E-2</v>
      </c>
      <c r="AD48" s="4">
        <v>5.0544194704452983E-3</v>
      </c>
      <c r="AE48" s="4">
        <f t="shared" ca="1" si="24"/>
        <v>1.3054540234707535E-2</v>
      </c>
      <c r="AF48" s="4"/>
    </row>
    <row r="49" spans="1:32">
      <c r="A49">
        <f t="shared" si="19"/>
        <v>9</v>
      </c>
      <c r="B49" t="str">
        <f t="shared" si="19"/>
        <v>EE</v>
      </c>
      <c r="C49" t="str">
        <f t="shared" si="19"/>
        <v>EE</v>
      </c>
      <c r="E49" s="4">
        <f t="shared" ref="E49:R49" si="32">IFERROR(E14/D14-1,0)</f>
        <v>-3.6217699854044216E-3</v>
      </c>
      <c r="F49" s="4">
        <f t="shared" si="32"/>
        <v>6.3735914173413732E-2</v>
      </c>
      <c r="G49" s="4">
        <f t="shared" si="32"/>
        <v>1.0523153600628055E-2</v>
      </c>
      <c r="H49" s="4">
        <f t="shared" si="32"/>
        <v>9.1143229321488661E-4</v>
      </c>
      <c r="I49" s="4">
        <f t="shared" si="32"/>
        <v>4.3723087785710879E-2</v>
      </c>
      <c r="J49" s="4">
        <f t="shared" si="32"/>
        <v>-6.4563675050607561E-2</v>
      </c>
      <c r="K49" s="4">
        <f t="shared" si="32"/>
        <v>4.0642818178612483E-2</v>
      </c>
      <c r="L49" s="4">
        <f t="shared" si="32"/>
        <v>-2.8996801681674955E-2</v>
      </c>
      <c r="M49" s="4">
        <f t="shared" si="32"/>
        <v>1.0604021426992905E-2</v>
      </c>
      <c r="N49" s="4">
        <f t="shared" si="32"/>
        <v>-1.4699201567481501E-2</v>
      </c>
      <c r="O49" s="4">
        <f t="shared" si="32"/>
        <v>7.2063095921963027E-2</v>
      </c>
      <c r="P49" s="4">
        <f t="shared" si="32"/>
        <v>-1.2535076036000903E-2</v>
      </c>
      <c r="Q49" s="4">
        <f t="shared" si="32"/>
        <v>1.736697768762685E-2</v>
      </c>
      <c r="R49" s="4">
        <f t="shared" si="32"/>
        <v>-2.5818865993654461E-2</v>
      </c>
      <c r="S49" s="4">
        <f t="shared" si="21"/>
        <v>-3.3282839297328337E-3</v>
      </c>
      <c r="T49" s="4">
        <f t="shared" si="22"/>
        <v>2.8908597603807706E-2</v>
      </c>
      <c r="U49" s="4">
        <f t="shared" si="23"/>
        <v>-3.1442210975045071E-2</v>
      </c>
      <c r="V49" s="4">
        <f t="shared" ca="1" si="23"/>
        <v>0</v>
      </c>
      <c r="AA49" s="8">
        <v>0</v>
      </c>
      <c r="AB49" s="4">
        <v>0.1842766653044545</v>
      </c>
      <c r="AC49" s="4">
        <f t="shared" ca="1" si="26"/>
        <v>-0.10554104885181403</v>
      </c>
      <c r="AD49" s="4">
        <v>-3.2145094934403248E-2</v>
      </c>
      <c r="AE49" s="4">
        <f t="shared" ca="1" si="24"/>
        <v>2.8462500131867241E-3</v>
      </c>
      <c r="AF49" s="4"/>
    </row>
    <row r="50" spans="1:32">
      <c r="A50">
        <f t="shared" si="19"/>
        <v>11</v>
      </c>
      <c r="B50" t="str">
        <f t="shared" si="19"/>
        <v>ES</v>
      </c>
      <c r="C50" t="str">
        <f t="shared" si="19"/>
        <v>ES</v>
      </c>
      <c r="E50" s="4">
        <f t="shared" ref="E50:R50" si="33">IFERROR(E15/D15-1,0)</f>
        <v>7.5585783071591583E-2</v>
      </c>
      <c r="F50" s="4">
        <f t="shared" si="33"/>
        <v>-2.0445327466971808E-2</v>
      </c>
      <c r="G50" s="4">
        <f t="shared" si="33"/>
        <v>-5.9541868649334306E-3</v>
      </c>
      <c r="H50" s="4">
        <f t="shared" si="33"/>
        <v>1.2272506221724377E-3</v>
      </c>
      <c r="I50" s="4">
        <f t="shared" si="33"/>
        <v>6.9510547481754115E-2</v>
      </c>
      <c r="J50" s="4">
        <f t="shared" si="33"/>
        <v>-3.793044866304851E-2</v>
      </c>
      <c r="K50" s="4">
        <f t="shared" si="33"/>
        <v>-9.3733682904841853E-3</v>
      </c>
      <c r="L50" s="4">
        <f t="shared" si="33"/>
        <v>-1.6487278403839234E-2</v>
      </c>
      <c r="M50" s="4">
        <f t="shared" si="33"/>
        <v>-4.7120242192961403E-2</v>
      </c>
      <c r="N50" s="4">
        <f t="shared" si="33"/>
        <v>1.2127864349302575E-2</v>
      </c>
      <c r="O50" s="4">
        <f t="shared" si="33"/>
        <v>-3.2297746096375257E-2</v>
      </c>
      <c r="P50" s="4">
        <f t="shared" si="33"/>
        <v>1.9858784154159093E-2</v>
      </c>
      <c r="Q50" s="4">
        <f t="shared" si="33"/>
        <v>2.639418528751003E-2</v>
      </c>
      <c r="R50" s="4">
        <f t="shared" si="33"/>
        <v>-2.5468680781752684E-2</v>
      </c>
      <c r="S50" s="4">
        <f t="shared" si="21"/>
        <v>-2.6786365024963121E-2</v>
      </c>
      <c r="T50" s="4">
        <f t="shared" si="22"/>
        <v>2.5060689017669446E-2</v>
      </c>
      <c r="U50" s="4">
        <f t="shared" si="23"/>
        <v>-2.9656620172144543E-2</v>
      </c>
      <c r="V50" s="4">
        <f t="shared" ca="1" si="23"/>
        <v>0</v>
      </c>
      <c r="AA50" s="8">
        <v>0</v>
      </c>
      <c r="AB50" s="4">
        <v>6.8857890627768786E-2</v>
      </c>
      <c r="AC50" s="4">
        <f t="shared" ca="1" si="26"/>
        <v>0.14642449288633652</v>
      </c>
      <c r="AD50" s="4">
        <v>2.2796918019036567E-3</v>
      </c>
      <c r="AE50" s="4">
        <f t="shared" ca="1" si="24"/>
        <v>-1.0963612676275103E-2</v>
      </c>
      <c r="AF50" s="4"/>
    </row>
    <row r="51" spans="1:32">
      <c r="A51">
        <f t="shared" si="19"/>
        <v>12</v>
      </c>
      <c r="B51" t="str">
        <f t="shared" si="19"/>
        <v>FI</v>
      </c>
      <c r="C51" t="str">
        <f t="shared" si="19"/>
        <v>FI</v>
      </c>
      <c r="E51" s="4">
        <f t="shared" ref="E51:R51" si="34">IFERROR(E16/D16-1,0)</f>
        <v>1.643125298726722E-2</v>
      </c>
      <c r="F51" s="4">
        <f t="shared" si="34"/>
        <v>1.1976396370904974E-2</v>
      </c>
      <c r="G51" s="4">
        <f t="shared" si="34"/>
        <v>-1.6956226273946662E-2</v>
      </c>
      <c r="H51" s="4">
        <f t="shared" si="34"/>
        <v>2.6412655889870518E-2</v>
      </c>
      <c r="I51" s="4">
        <f t="shared" si="34"/>
        <v>8.7373049189854557E-2</v>
      </c>
      <c r="J51" s="4">
        <f t="shared" si="34"/>
        <v>-0.10492829300532736</v>
      </c>
      <c r="K51" s="4">
        <f t="shared" si="34"/>
        <v>5.96140101419258E-2</v>
      </c>
      <c r="L51" s="4">
        <f t="shared" si="34"/>
        <v>-5.4342944381773228E-2</v>
      </c>
      <c r="M51" s="4">
        <f t="shared" si="34"/>
        <v>1.7259572895089725E-4</v>
      </c>
      <c r="N51" s="4">
        <f t="shared" si="34"/>
        <v>-2.701801552926264E-2</v>
      </c>
      <c r="O51" s="4">
        <f t="shared" si="34"/>
        <v>6.0245254362883749E-2</v>
      </c>
      <c r="P51" s="4">
        <f t="shared" si="34"/>
        <v>-1.2597818257923499E-2</v>
      </c>
      <c r="Q51" s="4">
        <f t="shared" si="34"/>
        <v>-2.5524945889402462E-3</v>
      </c>
      <c r="R51" s="4">
        <f t="shared" si="34"/>
        <v>-2.5758961108031109E-2</v>
      </c>
      <c r="S51" s="4">
        <f t="shared" si="21"/>
        <v>-5.4376891490769075E-2</v>
      </c>
      <c r="T51" s="4">
        <f t="shared" si="22"/>
        <v>0.10160013402305279</v>
      </c>
      <c r="U51" s="4">
        <f t="shared" si="23"/>
        <v>-6.7451033318615794E-2</v>
      </c>
      <c r="V51" s="4">
        <f t="shared" ca="1" si="23"/>
        <v>8.5519369163602477E-3</v>
      </c>
      <c r="AA51" s="8">
        <v>0</v>
      </c>
      <c r="AB51" s="4">
        <v>-0.10898741353894988</v>
      </c>
      <c r="AC51" s="4">
        <f t="shared" ca="1" si="26"/>
        <v>-3.1961092812882508E-2</v>
      </c>
      <c r="AD51" s="4">
        <v>3.0357298524490227E-2</v>
      </c>
      <c r="AE51" s="4">
        <f t="shared" ca="1" si="24"/>
        <v>5.2611881020356854E-3</v>
      </c>
      <c r="AF51" s="4">
        <v>8.5519369163602477E-3</v>
      </c>
    </row>
    <row r="52" spans="1:32">
      <c r="A52">
        <f t="shared" si="19"/>
        <v>13</v>
      </c>
      <c r="B52" t="str">
        <f t="shared" si="19"/>
        <v>FR</v>
      </c>
      <c r="C52" t="str">
        <f t="shared" si="19"/>
        <v>FR</v>
      </c>
      <c r="E52" s="4">
        <f t="shared" ref="E52:R52" si="35">IFERROR(E17/D17-1,0)</f>
        <v>-2.077766552850091E-2</v>
      </c>
      <c r="F52" s="4">
        <f t="shared" si="35"/>
        <v>-7.1473366421095474E-2</v>
      </c>
      <c r="G52" s="4">
        <f t="shared" si="35"/>
        <v>5.0367148528460026E-2</v>
      </c>
      <c r="H52" s="4">
        <f t="shared" si="35"/>
        <v>-8.1550882536363112E-5</v>
      </c>
      <c r="I52" s="4">
        <f t="shared" si="35"/>
        <v>3.8313333109522674E-2</v>
      </c>
      <c r="J52" s="4">
        <f t="shared" si="35"/>
        <v>-0.10995479691140098</v>
      </c>
      <c r="K52" s="4">
        <f t="shared" si="35"/>
        <v>6.9151164837691903E-2</v>
      </c>
      <c r="L52" s="4">
        <f t="shared" si="35"/>
        <v>4.3285760289480724E-2</v>
      </c>
      <c r="M52" s="4">
        <f t="shared" si="35"/>
        <v>-0.12937000008992527</v>
      </c>
      <c r="N52" s="4">
        <f t="shared" si="35"/>
        <v>4.0759900427540741E-2</v>
      </c>
      <c r="O52" s="4">
        <f t="shared" si="35"/>
        <v>1.6759382914323107E-2</v>
      </c>
      <c r="P52" s="4">
        <f t="shared" si="35"/>
        <v>-5.2093391833059055E-3</v>
      </c>
      <c r="Q52" s="4">
        <f t="shared" si="35"/>
        <v>-2.452742118347484E-2</v>
      </c>
      <c r="R52" s="4">
        <f t="shared" si="35"/>
        <v>-1.699746714370487E-2</v>
      </c>
      <c r="S52" s="4">
        <f t="shared" si="21"/>
        <v>-4.5107730878355845E-2</v>
      </c>
      <c r="T52" s="4">
        <f t="shared" si="22"/>
        <v>0.10434500369989319</v>
      </c>
      <c r="U52" s="4">
        <f t="shared" si="23"/>
        <v>-9.9411759893828444E-2</v>
      </c>
      <c r="V52" s="4">
        <f t="shared" ca="1" si="23"/>
        <v>-2.53688828732892E-2</v>
      </c>
      <c r="AA52" s="8">
        <v>0</v>
      </c>
      <c r="AB52" s="4">
        <v>-5.6047835815117276E-2</v>
      </c>
      <c r="AC52" s="4">
        <f t="shared" ca="1" si="26"/>
        <v>-2.4575230015893901E-2</v>
      </c>
      <c r="AD52" s="4">
        <v>4.6866249422768767E-3</v>
      </c>
      <c r="AE52" s="4">
        <f t="shared" ca="1" si="24"/>
        <v>2.2520429527514096E-2</v>
      </c>
      <c r="AF52" s="4">
        <v>-2.53688828732892E-2</v>
      </c>
    </row>
    <row r="53" spans="1:32">
      <c r="A53">
        <f t="shared" si="19"/>
        <v>10</v>
      </c>
      <c r="B53" t="str">
        <f t="shared" si="19"/>
        <v>EL</v>
      </c>
      <c r="C53" t="str">
        <f t="shared" si="19"/>
        <v>GR</v>
      </c>
      <c r="E53" s="4">
        <f t="shared" ref="E53:R53" si="36">IFERROR(E18/D18-1,0)</f>
        <v>1.8854483583526704E-2</v>
      </c>
      <c r="F53" s="4">
        <f t="shared" si="36"/>
        <v>-1.9478893531924557E-2</v>
      </c>
      <c r="G53" s="4">
        <f t="shared" si="36"/>
        <v>-8.5832129979505067E-3</v>
      </c>
      <c r="H53" s="4">
        <f t="shared" si="36"/>
        <v>-7.9480050939462421E-2</v>
      </c>
      <c r="I53" s="4">
        <f t="shared" si="36"/>
        <v>-6.2111281797325835E-2</v>
      </c>
      <c r="J53" s="4">
        <f t="shared" si="36"/>
        <v>9.8716585521050337E-2</v>
      </c>
      <c r="K53" s="4">
        <f t="shared" si="36"/>
        <v>-4.4751344369438506E-2</v>
      </c>
      <c r="L53" s="4">
        <f t="shared" si="36"/>
        <v>-0.20122221041516197</v>
      </c>
      <c r="M53" s="4">
        <f t="shared" si="36"/>
        <v>-2.3091290457074809E-2</v>
      </c>
      <c r="N53" s="4">
        <f t="shared" si="36"/>
        <v>0.12809585162871517</v>
      </c>
      <c r="O53" s="4">
        <f t="shared" si="36"/>
        <v>5.6279346632985838E-3</v>
      </c>
      <c r="P53" s="4">
        <f t="shared" si="36"/>
        <v>-8.2432735152917491E-3</v>
      </c>
      <c r="Q53" s="4">
        <f t="shared" si="36"/>
        <v>-9.6322622301240446E-2</v>
      </c>
      <c r="R53" s="4">
        <f t="shared" si="36"/>
        <v>3.6958387662696435E-2</v>
      </c>
      <c r="S53" s="4">
        <f t="shared" si="21"/>
        <v>1.2100606608900222E-3</v>
      </c>
      <c r="T53" s="4">
        <f t="shared" si="22"/>
        <v>-6.4851437363550035E-3</v>
      </c>
      <c r="U53" s="4">
        <f t="shared" si="23"/>
        <v>2.3030103937389912E-2</v>
      </c>
      <c r="V53" s="4">
        <f t="shared" ca="1" si="23"/>
        <v>0</v>
      </c>
      <c r="AA53" s="8">
        <v>0</v>
      </c>
      <c r="AB53" s="4">
        <v>1.175630163214695E-2</v>
      </c>
      <c r="AC53" s="4">
        <f t="shared" ca="1" si="26"/>
        <v>1.2216676730449905E-2</v>
      </c>
      <c r="AD53" s="4">
        <v>-0.10524056658992466</v>
      </c>
      <c r="AE53" s="4">
        <f t="shared" ca="1" si="24"/>
        <v>8.1875942988727246E-3</v>
      </c>
      <c r="AF53" s="4"/>
    </row>
    <row r="54" spans="1:32">
      <c r="A54">
        <f t="shared" si="19"/>
        <v>14</v>
      </c>
      <c r="B54" t="str">
        <f t="shared" si="19"/>
        <v>HR</v>
      </c>
      <c r="C54" t="str">
        <f t="shared" si="19"/>
        <v>HR</v>
      </c>
      <c r="E54" s="4">
        <f t="shared" ref="E54:R54" si="37">IFERROR(E19/D19-1,0)</f>
        <v>-4.5036994812955866E-2</v>
      </c>
      <c r="F54" s="4">
        <f t="shared" si="37"/>
        <v>-3.9982278439588459E-2</v>
      </c>
      <c r="G54" s="4">
        <f t="shared" si="37"/>
        <v>3.4358787924813727E-2</v>
      </c>
      <c r="H54" s="4">
        <f t="shared" si="37"/>
        <v>1.4882070824632665E-2</v>
      </c>
      <c r="I54" s="4">
        <f t="shared" si="37"/>
        <v>4.313202289733109E-2</v>
      </c>
      <c r="J54" s="4">
        <f t="shared" si="37"/>
        <v>-3.4742221213916791E-2</v>
      </c>
      <c r="K54" s="4">
        <f t="shared" si="37"/>
        <v>-3.5648116433413368E-2</v>
      </c>
      <c r="L54" s="4">
        <f t="shared" si="37"/>
        <v>-2.5086466382213457E-2</v>
      </c>
      <c r="M54" s="4">
        <f t="shared" si="37"/>
        <v>-8.7535930189855615E-2</v>
      </c>
      <c r="N54" s="4">
        <f t="shared" si="37"/>
        <v>8.4230933935612873E-2</v>
      </c>
      <c r="O54" s="4">
        <f t="shared" si="37"/>
        <v>-3.8247941072122593E-4</v>
      </c>
      <c r="P54" s="4">
        <f t="shared" si="37"/>
        <v>5.1270103819860413E-3</v>
      </c>
      <c r="Q54" s="4">
        <f t="shared" si="37"/>
        <v>-2.1344075268411866E-2</v>
      </c>
      <c r="R54" s="4">
        <f t="shared" si="37"/>
        <v>-1.6169417453003376E-2</v>
      </c>
      <c r="S54" s="4">
        <f t="shared" si="21"/>
        <v>-8.1246345093387573E-3</v>
      </c>
      <c r="T54" s="4">
        <f t="shared" si="22"/>
        <v>7.7635954202416535E-2</v>
      </c>
      <c r="U54" s="4">
        <f t="shared" si="23"/>
        <v>-5.4000533043391918E-2</v>
      </c>
      <c r="V54" s="4">
        <f t="shared" ca="1" si="23"/>
        <v>0</v>
      </c>
      <c r="AA54" s="8">
        <v>0</v>
      </c>
      <c r="AB54" s="4">
        <v>-2.8107589063332522E-2</v>
      </c>
      <c r="AC54" s="4">
        <f t="shared" ca="1" si="26"/>
        <v>5.9555040349097199E-2</v>
      </c>
      <c r="AD54" s="4">
        <v>-7.4361993389414544E-2</v>
      </c>
      <c r="AE54" s="4">
        <f t="shared" ca="1" si="24"/>
        <v>2.3744202386043911E-2</v>
      </c>
      <c r="AF54" s="4"/>
    </row>
    <row r="55" spans="1:32">
      <c r="A55">
        <f t="shared" si="19"/>
        <v>15</v>
      </c>
      <c r="B55" t="str">
        <f t="shared" si="19"/>
        <v>HU</v>
      </c>
      <c r="C55" t="str">
        <f t="shared" si="19"/>
        <v>HU</v>
      </c>
      <c r="E55" s="4">
        <f t="shared" ref="E55:R55" si="38">IFERROR(E20/D20-1,0)</f>
        <v>-5.1944028806981124E-2</v>
      </c>
      <c r="F55" s="4">
        <f t="shared" si="38"/>
        <v>-9.5554544769175798E-2</v>
      </c>
      <c r="G55" s="4">
        <f t="shared" si="38"/>
        <v>-1.4610265471881378E-2</v>
      </c>
      <c r="H55" s="4">
        <f t="shared" si="38"/>
        <v>3.6016715128635024E-2</v>
      </c>
      <c r="I55" s="4">
        <f t="shared" si="38"/>
        <v>5.9767366749142958E-2</v>
      </c>
      <c r="J55" s="4">
        <f t="shared" si="38"/>
        <v>-7.2910548987068502E-3</v>
      </c>
      <c r="K55" s="4">
        <f t="shared" si="38"/>
        <v>-9.7424368906311676E-2</v>
      </c>
      <c r="L55" s="4">
        <f t="shared" si="38"/>
        <v>-2.0691075956943306E-2</v>
      </c>
      <c r="M55" s="4">
        <f t="shared" si="38"/>
        <v>-8.2762476555723996E-2</v>
      </c>
      <c r="N55" s="4">
        <f t="shared" si="38"/>
        <v>8.3192484472394357E-2</v>
      </c>
      <c r="O55" s="4">
        <f t="shared" si="38"/>
        <v>1.3666983376597219E-2</v>
      </c>
      <c r="P55" s="4">
        <f t="shared" si="38"/>
        <v>2.0753183388364072E-2</v>
      </c>
      <c r="Q55" s="4">
        <f t="shared" si="38"/>
        <v>-5.1372427883462191E-2</v>
      </c>
      <c r="R55" s="4">
        <f t="shared" si="38"/>
        <v>-2.3803049221050365E-2</v>
      </c>
      <c r="S55" s="4">
        <f t="shared" si="21"/>
        <v>2.6978905194700697E-2</v>
      </c>
      <c r="T55" s="4">
        <f t="shared" si="22"/>
        <v>3.4853599375599398E-2</v>
      </c>
      <c r="U55" s="4">
        <f t="shared" si="23"/>
        <v>-9.3775946665773824E-2</v>
      </c>
      <c r="V55" s="4">
        <f t="shared" ca="1" si="23"/>
        <v>0</v>
      </c>
      <c r="AA55" s="8">
        <v>0</v>
      </c>
      <c r="AB55" s="4">
        <v>-0.13820439336424725</v>
      </c>
      <c r="AC55" s="4">
        <f t="shared" ca="1" si="26"/>
        <v>3.3268403714843631E-2</v>
      </c>
      <c r="AD55" s="4">
        <v>-8.8489640323320781E-2</v>
      </c>
      <c r="AE55" s="4">
        <f t="shared" ca="1" si="24"/>
        <v>3.5724622497912639E-2</v>
      </c>
      <c r="AF55" s="4"/>
    </row>
    <row r="56" spans="1:32">
      <c r="A56">
        <f t="shared" si="19"/>
        <v>16</v>
      </c>
      <c r="B56" t="str">
        <f t="shared" si="19"/>
        <v>IE</v>
      </c>
      <c r="C56" t="str">
        <f t="shared" si="19"/>
        <v>IE</v>
      </c>
      <c r="E56" s="4">
        <f t="shared" ref="E56:R56" si="39">IFERROR(E21/D21-1,0)</f>
        <v>1.594873203352587E-2</v>
      </c>
      <c r="F56" s="4">
        <f t="shared" si="39"/>
        <v>-8.3433429710365603E-3</v>
      </c>
      <c r="G56" s="4">
        <f t="shared" si="39"/>
        <v>7.7738639012788768E-2</v>
      </c>
      <c r="H56" s="4">
        <f t="shared" si="39"/>
        <v>-4.9518436833538293E-2</v>
      </c>
      <c r="I56" s="4">
        <f t="shared" si="39"/>
        <v>2.8143651032377814E-2</v>
      </c>
      <c r="J56" s="4">
        <f t="shared" si="39"/>
        <v>-8.4430215655865948E-2</v>
      </c>
      <c r="K56" s="4">
        <f t="shared" si="39"/>
        <v>-2.9509809878146775E-2</v>
      </c>
      <c r="L56" s="4">
        <f t="shared" si="39"/>
        <v>-1.4171632664060518E-2</v>
      </c>
      <c r="M56" s="4">
        <f t="shared" si="39"/>
        <v>-7.738572681590572E-2</v>
      </c>
      <c r="N56" s="4">
        <f t="shared" si="39"/>
        <v>6.2351630035971661E-2</v>
      </c>
      <c r="O56" s="4">
        <f t="shared" si="39"/>
        <v>2.7412320134672541E-2</v>
      </c>
      <c r="P56" s="4">
        <f t="shared" si="39"/>
        <v>-1.5998340873684902E-2</v>
      </c>
      <c r="Q56" s="4">
        <f t="shared" si="39"/>
        <v>7.7468999271798067E-2</v>
      </c>
      <c r="R56" s="4">
        <f t="shared" si="39"/>
        <v>-8.5589253708096003E-3</v>
      </c>
      <c r="S56" s="4">
        <f t="shared" si="21"/>
        <v>3.1253821379177538E-2</v>
      </c>
      <c r="T56" s="4">
        <f t="shared" si="22"/>
        <v>-2.049015965648826E-2</v>
      </c>
      <c r="U56" s="4">
        <f t="shared" si="23"/>
        <v>-3.7441423588795431E-2</v>
      </c>
      <c r="V56" s="4">
        <f t="shared" si="23"/>
        <v>-3.0539381736423676E-2</v>
      </c>
      <c r="AA56" s="8">
        <v>0</v>
      </c>
      <c r="AB56" s="4">
        <v>-6.1767753969795343E-2</v>
      </c>
      <c r="AC56" s="4">
        <f t="shared" ca="1" si="26"/>
        <v>-3.0539381736423676E-2</v>
      </c>
      <c r="AD56" s="4">
        <v>-5.9692416336458901E-2</v>
      </c>
      <c r="AE56" s="4">
        <f t="shared" ca="1" si="24"/>
        <v>1.378038745205945E-2</v>
      </c>
      <c r="AF56" s="4"/>
    </row>
    <row r="57" spans="1:32">
      <c r="A57">
        <f t="shared" si="19"/>
        <v>17</v>
      </c>
      <c r="B57" t="str">
        <f t="shared" si="19"/>
        <v>IT</v>
      </c>
      <c r="C57" t="str">
        <f t="shared" si="19"/>
        <v>IT</v>
      </c>
      <c r="E57" s="4">
        <f t="shared" ref="E57:R57" si="40">IFERROR(E22/D22-1,0)</f>
        <v>-1.9608552906693388E-2</v>
      </c>
      <c r="F57" s="4">
        <f t="shared" si="40"/>
        <v>-2.0281084873194133E-2</v>
      </c>
      <c r="G57" s="4">
        <f t="shared" si="40"/>
        <v>5.2103354316838546E-2</v>
      </c>
      <c r="H57" s="4">
        <f t="shared" si="40"/>
        <v>-4.6325371687534478E-3</v>
      </c>
      <c r="I57" s="4">
        <f t="shared" si="40"/>
        <v>4.0818424262554887E-2</v>
      </c>
      <c r="J57" s="4">
        <f t="shared" si="40"/>
        <v>-7.167070446811552E-2</v>
      </c>
      <c r="K57" s="4">
        <f t="shared" si="40"/>
        <v>3.3578808811215444E-2</v>
      </c>
      <c r="L57" s="4">
        <f t="shared" si="40"/>
        <v>-1.6605293861637449E-2</v>
      </c>
      <c r="M57" s="4">
        <f t="shared" si="40"/>
        <v>-0.11033138872988246</v>
      </c>
      <c r="N57" s="4">
        <f t="shared" si="40"/>
        <v>6.8989015292115319E-2</v>
      </c>
      <c r="O57" s="4">
        <f t="shared" si="40"/>
        <v>-2.1081118490090534E-3</v>
      </c>
      <c r="P57" s="4">
        <f t="shared" si="40"/>
        <v>1.148822599638688E-2</v>
      </c>
      <c r="Q57" s="4">
        <f t="shared" si="40"/>
        <v>-1.2957525975324513E-3</v>
      </c>
      <c r="R57" s="4">
        <f t="shared" si="40"/>
        <v>-3.1581621106875457E-2</v>
      </c>
      <c r="S57" s="4">
        <f t="shared" si="21"/>
        <v>-4.3317943468273556E-2</v>
      </c>
      <c r="T57" s="4">
        <f t="shared" si="22"/>
        <v>1.6709528440672639E-2</v>
      </c>
      <c r="U57" s="4">
        <f t="shared" si="23"/>
        <v>-2.7845635698654281E-2</v>
      </c>
      <c r="V57" s="4">
        <f t="shared" ca="1" si="23"/>
        <v>-2.5900383876507949E-2</v>
      </c>
      <c r="AA57" s="8">
        <v>0</v>
      </c>
      <c r="AB57" s="4">
        <v>-8.1223724137242936E-2</v>
      </c>
      <c r="AC57" s="4">
        <f t="shared" ca="1" si="26"/>
        <v>-5.9219708895550505E-2</v>
      </c>
      <c r="AD57" s="4">
        <v>-2.6507093731804487E-2</v>
      </c>
      <c r="AE57" s="4">
        <f t="shared" ca="1" si="24"/>
        <v>-2.5900383876507949E-2</v>
      </c>
      <c r="AF57" s="4"/>
    </row>
    <row r="58" spans="1:32">
      <c r="A58">
        <f t="shared" si="19"/>
        <v>18</v>
      </c>
      <c r="B58" t="str">
        <f t="shared" si="19"/>
        <v>LT</v>
      </c>
      <c r="C58" t="str">
        <f t="shared" si="19"/>
        <v>LT</v>
      </c>
      <c r="E58" s="4">
        <f t="shared" ref="E58:R58" si="41">IFERROR(E23/D23-1,0)</f>
        <v>5.3308397383194261E-2</v>
      </c>
      <c r="F58" s="4">
        <f t="shared" si="41"/>
        <v>-1.576852892582159E-2</v>
      </c>
      <c r="G58" s="4">
        <f t="shared" si="41"/>
        <v>7.8713170729114434E-3</v>
      </c>
      <c r="H58" s="4">
        <f t="shared" si="41"/>
        <v>-3.3557371330458219E-3</v>
      </c>
      <c r="I58" s="4">
        <f t="shared" si="41"/>
        <v>1.8564103287510791E-2</v>
      </c>
      <c r="J58" s="4">
        <f t="shared" si="41"/>
        <v>-3.4329102353698904E-2</v>
      </c>
      <c r="K58" s="4">
        <f t="shared" si="41"/>
        <v>1.2338342171404948E-2</v>
      </c>
      <c r="L58" s="4">
        <f t="shared" si="41"/>
        <v>-3.8018209781714551E-2</v>
      </c>
      <c r="M58" s="4">
        <f t="shared" si="41"/>
        <v>-3.1625777585920556E-2</v>
      </c>
      <c r="N58" s="4">
        <f t="shared" si="41"/>
        <v>-2.7384396188368743E-2</v>
      </c>
      <c r="O58" s="4">
        <f t="shared" si="41"/>
        <v>5.0408268668195477E-2</v>
      </c>
      <c r="P58" s="4">
        <f t="shared" si="41"/>
        <v>2.7164768834083031E-2</v>
      </c>
      <c r="Q58" s="4">
        <f t="shared" si="41"/>
        <v>2.079188280823141E-2</v>
      </c>
      <c r="R58" s="4">
        <f t="shared" si="41"/>
        <v>-3.7334721034484653E-2</v>
      </c>
      <c r="S58" s="4">
        <f t="shared" si="21"/>
        <v>-3.0699537858239201E-2</v>
      </c>
      <c r="T58" s="4">
        <f t="shared" si="22"/>
        <v>0.11484609541082236</v>
      </c>
      <c r="U58" s="4">
        <f t="shared" si="23"/>
        <v>-4.6754137936726003E-2</v>
      </c>
      <c r="V58" s="4">
        <f t="shared" ca="1" si="23"/>
        <v>-2.1550804421115566E-2</v>
      </c>
      <c r="AA58" s="8">
        <v>0</v>
      </c>
      <c r="AB58" s="4">
        <v>-6.3271037762603871E-2</v>
      </c>
      <c r="AC58" s="4">
        <f t="shared" ca="1" si="26"/>
        <v>-2.8864055562424107E-2</v>
      </c>
      <c r="AD58" s="4">
        <v>-8.2495183120913598E-2</v>
      </c>
      <c r="AE58" s="4">
        <f t="shared" ca="1" si="24"/>
        <v>1.2268721959604489E-2</v>
      </c>
      <c r="AF58" s="4">
        <v>-2.1550804421115566E-2</v>
      </c>
    </row>
    <row r="59" spans="1:32">
      <c r="A59">
        <f t="shared" si="19"/>
        <v>19</v>
      </c>
      <c r="B59" t="str">
        <f t="shared" si="19"/>
        <v>LU</v>
      </c>
      <c r="C59" t="str">
        <f t="shared" si="19"/>
        <v>LU</v>
      </c>
      <c r="E59" s="4">
        <f t="shared" ref="E59:R59" si="42">IFERROR(E24/D24-1,0)</f>
        <v>-8.3672115454370699E-3</v>
      </c>
      <c r="F59" s="4">
        <f t="shared" si="42"/>
        <v>-1.3311957953576647E-2</v>
      </c>
      <c r="G59" s="4">
        <f t="shared" si="42"/>
        <v>3.2166939768297986E-2</v>
      </c>
      <c r="H59" s="4">
        <f t="shared" si="42"/>
        <v>-5.8358987368234416E-4</v>
      </c>
      <c r="I59" s="4">
        <f t="shared" si="42"/>
        <v>4.5565773057643089E-2</v>
      </c>
      <c r="J59" s="4">
        <f t="shared" si="42"/>
        <v>-0.12797741732419599</v>
      </c>
      <c r="K59" s="4">
        <f t="shared" si="42"/>
        <v>6.6814173200013816E-2</v>
      </c>
      <c r="L59" s="4">
        <f t="shared" si="42"/>
        <v>2.8052498624648203E-2</v>
      </c>
      <c r="M59" s="4">
        <f t="shared" si="42"/>
        <v>-8.4070712294625261E-2</v>
      </c>
      <c r="N59" s="4">
        <f t="shared" si="42"/>
        <v>9.8710806066578893E-2</v>
      </c>
      <c r="O59" s="4">
        <f t="shared" si="42"/>
        <v>2.4578205556173405E-2</v>
      </c>
      <c r="P59" s="4">
        <f t="shared" si="42"/>
        <v>5.9720495936463891E-2</v>
      </c>
      <c r="Q59" s="4">
        <f t="shared" si="42"/>
        <v>-2.4084383743181559E-2</v>
      </c>
      <c r="R59" s="4">
        <f t="shared" si="42"/>
        <v>1.8780777017003869E-2</v>
      </c>
      <c r="S59" s="4">
        <f t="shared" si="21"/>
        <v>1.4532297367925828E-2</v>
      </c>
      <c r="T59" s="4">
        <f t="shared" si="22"/>
        <v>3.8258469767161518E-2</v>
      </c>
      <c r="U59" s="4">
        <f t="shared" si="23"/>
        <v>-0.11879562185619552</v>
      </c>
      <c r="V59" s="4">
        <f t="shared" si="23"/>
        <v>-4.2496249376436923E-3</v>
      </c>
      <c r="AA59" s="8">
        <v>0</v>
      </c>
      <c r="AB59" s="4">
        <v>-2.2556877455979459E-2</v>
      </c>
      <c r="AC59" s="4">
        <f t="shared" ca="1" si="26"/>
        <v>-4.2496249376436923E-3</v>
      </c>
      <c r="AD59" s="4">
        <v>2.3019702829076099E-2</v>
      </c>
      <c r="AE59" s="4">
        <f t="shared" ca="1" si="24"/>
        <v>5.5279190534004208E-2</v>
      </c>
      <c r="AF59" s="4"/>
    </row>
    <row r="60" spans="1:32">
      <c r="A60">
        <f t="shared" si="19"/>
        <v>20</v>
      </c>
      <c r="B60" t="str">
        <f t="shared" si="19"/>
        <v>LV</v>
      </c>
      <c r="C60" t="str">
        <f t="shared" si="19"/>
        <v>LV</v>
      </c>
      <c r="E60" s="4">
        <f t="shared" ref="E60:R60" si="43">IFERROR(E25/D25-1,0)</f>
        <v>9.3469974024775748E-3</v>
      </c>
      <c r="F60" s="4">
        <f t="shared" si="43"/>
        <v>1.091437281165053E-2</v>
      </c>
      <c r="G60" s="4">
        <f t="shared" si="43"/>
        <v>-4.5518235004195717E-2</v>
      </c>
      <c r="H60" s="4">
        <f t="shared" si="43"/>
        <v>2.3998749405238273E-2</v>
      </c>
      <c r="I60" s="4">
        <f t="shared" si="43"/>
        <v>-4.5342447279769216E-2</v>
      </c>
      <c r="J60" s="4">
        <f t="shared" si="43"/>
        <v>-4.9552038125128983E-2</v>
      </c>
      <c r="K60" s="4">
        <f t="shared" si="43"/>
        <v>5.5212491005081299E-2</v>
      </c>
      <c r="L60" s="4">
        <f t="shared" si="43"/>
        <v>-5.8640486052035867E-2</v>
      </c>
      <c r="M60" s="4">
        <f t="shared" si="43"/>
        <v>-1.1121634794391433E-2</v>
      </c>
      <c r="N60" s="4">
        <f t="shared" si="43"/>
        <v>-7.3807764139542709E-2</v>
      </c>
      <c r="O60" s="4">
        <f t="shared" si="43"/>
        <v>3.2452579530143577E-2</v>
      </c>
      <c r="P60" s="4">
        <f t="shared" si="43"/>
        <v>4.4425641559019402E-2</v>
      </c>
      <c r="Q60" s="4">
        <f t="shared" si="43"/>
        <v>8.5665004071686646E-3</v>
      </c>
      <c r="R60" s="4">
        <f t="shared" si="43"/>
        <v>-2.2352518215132733E-2</v>
      </c>
      <c r="S60" s="4">
        <f t="shared" si="21"/>
        <v>-4.6296106022397532E-2</v>
      </c>
      <c r="T60" s="4">
        <f t="shared" si="22"/>
        <v>6.7654486141092152E-2</v>
      </c>
      <c r="U60" s="4">
        <f t="shared" si="23"/>
        <v>-5.7829532595484512E-2</v>
      </c>
      <c r="V60" s="4">
        <f t="shared" ca="1" si="23"/>
        <v>-4.4949762030671581E-2</v>
      </c>
      <c r="AA60" s="8">
        <v>0</v>
      </c>
      <c r="AB60" s="4">
        <v>-4.782807185056983E-2</v>
      </c>
      <c r="AC60" s="4">
        <f t="shared" ca="1" si="26"/>
        <v>-1.5183846126520351E-2</v>
      </c>
      <c r="AD60" s="4">
        <v>-6.7237327795635057E-2</v>
      </c>
      <c r="AE60" s="4">
        <f t="shared" ca="1" si="24"/>
        <v>-1.2092343342533507E-3</v>
      </c>
      <c r="AF60" s="4">
        <v>-4.4949762030671581E-2</v>
      </c>
    </row>
    <row r="61" spans="1:32">
      <c r="A61">
        <f t="shared" si="19"/>
        <v>21</v>
      </c>
      <c r="B61" t="str">
        <f t="shared" si="19"/>
        <v>MT</v>
      </c>
      <c r="C61" t="str">
        <f t="shared" si="19"/>
        <v>MT</v>
      </c>
      <c r="E61" s="4">
        <f t="shared" ref="E61:R61" si="44">IFERROR(E26/D26-1,0)</f>
        <v>-5.832264012258781E-2</v>
      </c>
      <c r="F61" s="4">
        <f t="shared" si="44"/>
        <v>1.9116917479741868E-2</v>
      </c>
      <c r="G61" s="4">
        <f t="shared" si="44"/>
        <v>-6.6011099211371604E-3</v>
      </c>
      <c r="H61" s="4">
        <f t="shared" si="44"/>
        <v>-7.7563901521091494E-2</v>
      </c>
      <c r="I61" s="4">
        <f t="shared" si="44"/>
        <v>0.21863334679161639</v>
      </c>
      <c r="J61" s="4">
        <f t="shared" si="44"/>
        <v>-3.8874002429625243E-2</v>
      </c>
      <c r="K61" s="4">
        <f t="shared" si="44"/>
        <v>0.10248253757068126</v>
      </c>
      <c r="L61" s="4">
        <f t="shared" si="44"/>
        <v>1.5765135682195952E-2</v>
      </c>
      <c r="M61" s="4">
        <f t="shared" si="44"/>
        <v>3.8363710004050144E-2</v>
      </c>
      <c r="N61" s="4">
        <f t="shared" si="44"/>
        <v>7.8848964265468391E-2</v>
      </c>
      <c r="O61" s="4">
        <f t="shared" si="44"/>
        <v>-1.613960663324332E-2</v>
      </c>
      <c r="P61" s="4">
        <f t="shared" si="44"/>
        <v>7.0101471949262972E-2</v>
      </c>
      <c r="Q61" s="4">
        <f t="shared" si="44"/>
        <v>-5.2267087293214054E-3</v>
      </c>
      <c r="R61" s="4">
        <f t="shared" si="44"/>
        <v>5.9300858996574668E-2</v>
      </c>
      <c r="S61" s="4">
        <f t="shared" si="21"/>
        <v>-6.6740944812187508E-2</v>
      </c>
      <c r="T61" s="4">
        <f t="shared" si="22"/>
        <v>4.0218523137787177E-2</v>
      </c>
      <c r="U61" s="4">
        <f t="shared" si="23"/>
        <v>0.10483506543921384</v>
      </c>
      <c r="V61" s="4">
        <f t="shared" ca="1" si="23"/>
        <v>0</v>
      </c>
      <c r="AA61" s="8">
        <v>0</v>
      </c>
      <c r="AB61" s="4">
        <v>-0.62188777873153389</v>
      </c>
      <c r="AC61" s="4">
        <f t="shared" ca="1" si="26"/>
        <v>-0.21456650082379325</v>
      </c>
      <c r="AD61" s="4">
        <v>-0.277767558220816</v>
      </c>
      <c r="AE61" s="4">
        <f t="shared" ca="1" si="24"/>
        <v>-1.8714332776549658E-2</v>
      </c>
      <c r="AF61" s="4"/>
    </row>
    <row r="62" spans="1:32">
      <c r="A62">
        <f t="shared" si="19"/>
        <v>22</v>
      </c>
      <c r="B62" t="str">
        <f t="shared" si="19"/>
        <v>NL</v>
      </c>
      <c r="C62" t="str">
        <f t="shared" si="19"/>
        <v>NL</v>
      </c>
      <c r="E62" s="4">
        <f t="shared" ref="E62:R62" si="45">IFERROR(E27/D27-1,0)</f>
        <v>-1.6675458166596657E-2</v>
      </c>
      <c r="F62" s="4">
        <f t="shared" si="45"/>
        <v>-4.0725723863538676E-2</v>
      </c>
      <c r="G62" s="4">
        <f t="shared" si="45"/>
        <v>5.6184425755489542E-2</v>
      </c>
      <c r="H62" s="4">
        <f t="shared" si="45"/>
        <v>-4.4980506993477221E-3</v>
      </c>
      <c r="I62" s="4">
        <f t="shared" si="45"/>
        <v>0.11280399887092174</v>
      </c>
      <c r="J62" s="4">
        <f t="shared" si="45"/>
        <v>-0.12865887633348594</v>
      </c>
      <c r="K62" s="4">
        <f t="shared" si="45"/>
        <v>4.2680621637426919E-2</v>
      </c>
      <c r="L62" s="4">
        <f t="shared" si="45"/>
        <v>1.9879373706270798E-2</v>
      </c>
      <c r="M62" s="4">
        <f t="shared" si="45"/>
        <v>-0.14032497085464146</v>
      </c>
      <c r="N62" s="4">
        <f t="shared" si="45"/>
        <v>3.7202321957582329E-2</v>
      </c>
      <c r="O62" s="4">
        <f t="shared" si="45"/>
        <v>1.3530367364019469E-2</v>
      </c>
      <c r="P62" s="4">
        <f t="shared" si="45"/>
        <v>-3.0287891411098222E-3</v>
      </c>
      <c r="Q62" s="4">
        <f t="shared" si="45"/>
        <v>8.211355913511742E-3</v>
      </c>
      <c r="R62" s="4">
        <f t="shared" si="45"/>
        <v>-1.9114643964966205E-2</v>
      </c>
      <c r="S62" s="4">
        <f t="shared" si="21"/>
        <v>-4.6505882862106329E-2</v>
      </c>
      <c r="T62" s="4">
        <f t="shared" si="22"/>
        <v>5.9976767543920895E-2</v>
      </c>
      <c r="U62" s="4">
        <f t="shared" si="23"/>
        <v>-0.14117927954863874</v>
      </c>
      <c r="V62" s="4">
        <f t="shared" si="23"/>
        <v>-3.8793395492982996E-2</v>
      </c>
      <c r="AA62" s="8">
        <v>0</v>
      </c>
      <c r="AB62" s="4">
        <v>-7.0190513645621136E-2</v>
      </c>
      <c r="AC62" s="4">
        <f t="shared" ca="1" si="26"/>
        <v>-3.8793395492982996E-2</v>
      </c>
      <c r="AD62" s="4">
        <v>-3.2114533767426352E-2</v>
      </c>
      <c r="AE62" s="4">
        <f t="shared" ca="1" si="24"/>
        <v>1.6873283428133767E-2</v>
      </c>
      <c r="AF62" s="4"/>
    </row>
    <row r="63" spans="1:32">
      <c r="A63">
        <f t="shared" si="19"/>
        <v>23</v>
      </c>
      <c r="B63" t="str">
        <f t="shared" si="19"/>
        <v>PL</v>
      </c>
      <c r="C63" t="str">
        <f t="shared" si="19"/>
        <v>PL</v>
      </c>
      <c r="E63" s="4">
        <f t="shared" ref="E63:R63" si="46">IFERROR(E28/D28-1,0)</f>
        <v>4.1742046742793582E-2</v>
      </c>
      <c r="F63" s="4">
        <f t="shared" si="46"/>
        <v>-4.777254656965757E-2</v>
      </c>
      <c r="G63" s="4">
        <f t="shared" si="46"/>
        <v>3.4849355236653556E-2</v>
      </c>
      <c r="H63" s="4">
        <f t="shared" si="46"/>
        <v>-3.1732872492282738E-3</v>
      </c>
      <c r="I63" s="4">
        <f t="shared" si="46"/>
        <v>9.4778680094698142E-2</v>
      </c>
      <c r="J63" s="4">
        <f t="shared" si="46"/>
        <v>-6.5081582237154545E-2</v>
      </c>
      <c r="K63" s="4">
        <f t="shared" si="46"/>
        <v>2.0452433179924956E-2</v>
      </c>
      <c r="L63" s="4">
        <f t="shared" si="46"/>
        <v>-2.1174883512980358E-2</v>
      </c>
      <c r="M63" s="4">
        <f t="shared" si="46"/>
        <v>-5.3758251283056779E-2</v>
      </c>
      <c r="N63" s="4">
        <f t="shared" si="46"/>
        <v>-3.9024868678128044E-4</v>
      </c>
      <c r="O63" s="4">
        <f t="shared" si="46"/>
        <v>5.5369030109400308E-2</v>
      </c>
      <c r="P63" s="4">
        <f t="shared" si="46"/>
        <v>2.6754596333913305E-3</v>
      </c>
      <c r="Q63" s="4">
        <f t="shared" si="46"/>
        <v>7.3154842180266133E-2</v>
      </c>
      <c r="R63" s="4">
        <f t="shared" si="46"/>
        <v>-5.1587623542167615E-2</v>
      </c>
      <c r="S63" s="4">
        <f t="shared" si="21"/>
        <v>-1.2323618918918644E-2</v>
      </c>
      <c r="T63" s="4">
        <f t="shared" si="22"/>
        <v>5.5149200063167481E-2</v>
      </c>
      <c r="U63" s="4">
        <f t="shared" si="23"/>
        <v>-6.6300517907743606E-2</v>
      </c>
      <c r="V63" s="4">
        <f t="shared" ca="1" si="23"/>
        <v>0</v>
      </c>
      <c r="AA63" s="8">
        <v>0</v>
      </c>
      <c r="AB63" s="4">
        <v>-4.2867155812397258E-2</v>
      </c>
      <c r="AC63" s="4">
        <f t="shared" ca="1" si="26"/>
        <v>-1.0876883136491045E-2</v>
      </c>
      <c r="AD63" s="4">
        <v>-7.1125928795955515E-2</v>
      </c>
      <c r="AE63" s="4">
        <f t="shared" ca="1" si="24"/>
        <v>2.3026097875118445E-3</v>
      </c>
      <c r="AF63" s="4"/>
    </row>
    <row r="64" spans="1:32">
      <c r="A64">
        <f t="shared" si="19"/>
        <v>24</v>
      </c>
      <c r="B64" t="str">
        <f t="shared" si="19"/>
        <v>PT</v>
      </c>
      <c r="C64" t="str">
        <f t="shared" si="19"/>
        <v>PT</v>
      </c>
      <c r="E64" s="4">
        <f t="shared" ref="E64:R64" si="47">IFERROR(E29/D29-1,0)</f>
        <v>-4.8569432876184537E-2</v>
      </c>
      <c r="F64" s="4">
        <f t="shared" si="47"/>
        <v>5.7723878436239939E-3</v>
      </c>
      <c r="G64" s="4">
        <f t="shared" si="47"/>
        <v>-4.1726078473878214E-2</v>
      </c>
      <c r="H64" s="4">
        <f t="shared" si="47"/>
        <v>3.1237789891392032E-2</v>
      </c>
      <c r="I64" s="4">
        <f t="shared" si="47"/>
        <v>-6.1496359587916105E-2</v>
      </c>
      <c r="J64" s="4">
        <f t="shared" si="47"/>
        <v>-4.8707383213465572E-2</v>
      </c>
      <c r="K64" s="4">
        <f t="shared" si="47"/>
        <v>-2.2260487031079856E-2</v>
      </c>
      <c r="L64" s="4">
        <f t="shared" si="47"/>
        <v>-2.0085209247567626E-2</v>
      </c>
      <c r="M64" s="4">
        <f t="shared" si="47"/>
        <v>9.7266452448871998E-3</v>
      </c>
      <c r="N64" s="4">
        <f t="shared" si="47"/>
        <v>1.2531830680479361E-2</v>
      </c>
      <c r="O64" s="4">
        <f t="shared" si="47"/>
        <v>-3.8928640583366647E-3</v>
      </c>
      <c r="P64" s="4">
        <f t="shared" si="47"/>
        <v>-3.4344373987815757E-4</v>
      </c>
      <c r="Q64" s="4">
        <f t="shared" si="47"/>
        <v>2.8041892891854658E-2</v>
      </c>
      <c r="R64" s="4">
        <f t="shared" si="47"/>
        <v>-5.6069432909685579E-3</v>
      </c>
      <c r="S64" s="4">
        <f t="shared" si="21"/>
        <v>-1.680207360292918E-2</v>
      </c>
      <c r="T64" s="4">
        <f t="shared" si="22"/>
        <v>6.1360163328829653E-3</v>
      </c>
      <c r="U64" s="4">
        <f t="shared" si="23"/>
        <v>2.3896861610284148E-3</v>
      </c>
      <c r="V64" s="4">
        <f t="shared" ca="1" si="23"/>
        <v>0</v>
      </c>
      <c r="AA64" s="8">
        <v>0</v>
      </c>
      <c r="AB64" s="4">
        <v>-8.3059647688147109E-2</v>
      </c>
      <c r="AC64" s="4">
        <f t="shared" ca="1" si="26"/>
        <v>-2.9389641700678926E-2</v>
      </c>
      <c r="AD64" s="4">
        <v>8.1487374467909254E-2</v>
      </c>
      <c r="AE64" s="4">
        <f t="shared" ca="1" si="24"/>
        <v>-9.3983700560307248E-3</v>
      </c>
      <c r="AF64" s="4"/>
    </row>
    <row r="65" spans="1:32">
      <c r="A65">
        <f t="shared" si="19"/>
        <v>25</v>
      </c>
      <c r="B65" t="str">
        <f t="shared" si="19"/>
        <v>RO</v>
      </c>
      <c r="C65" t="str">
        <f t="shared" si="19"/>
        <v>RO</v>
      </c>
      <c r="E65" s="4">
        <f t="shared" ref="E65:R65" si="48">IFERROR(E30/D30-1,0)</f>
        <v>3.2587204772886125E-2</v>
      </c>
      <c r="F65" s="4">
        <f t="shared" si="48"/>
        <v>-5.07316675923698E-2</v>
      </c>
      <c r="G65" s="4">
        <f t="shared" si="48"/>
        <v>-2.5108250776842977E-3</v>
      </c>
      <c r="H65" s="4">
        <f t="shared" si="48"/>
        <v>-3.4957539266760262E-2</v>
      </c>
      <c r="I65" s="4">
        <f t="shared" si="48"/>
        <v>2.2580558494208702E-2</v>
      </c>
      <c r="J65" s="4">
        <f t="shared" si="48"/>
        <v>-5.5400060639660409E-2</v>
      </c>
      <c r="K65" s="4">
        <f t="shared" si="48"/>
        <v>2.4047769518836137E-2</v>
      </c>
      <c r="L65" s="4">
        <f t="shared" si="48"/>
        <v>-3.7575593764944126E-2</v>
      </c>
      <c r="M65" s="4">
        <f t="shared" si="48"/>
        <v>-3.7790071655651514E-2</v>
      </c>
      <c r="N65" s="4">
        <f t="shared" si="48"/>
        <v>7.0268615807704826E-3</v>
      </c>
      <c r="O65" s="4">
        <f t="shared" si="48"/>
        <v>9.153815271966792E-3</v>
      </c>
      <c r="P65" s="4">
        <f t="shared" si="48"/>
        <v>4.6100989277588544E-2</v>
      </c>
      <c r="Q65" s="4">
        <f t="shared" si="48"/>
        <v>1.3083030819628361E-2</v>
      </c>
      <c r="R65" s="4">
        <f t="shared" si="48"/>
        <v>-4.6223161663120349E-3</v>
      </c>
      <c r="S65" s="4">
        <f t="shared" si="21"/>
        <v>8.9857494935863258E-3</v>
      </c>
      <c r="T65" s="4">
        <f t="shared" si="22"/>
        <v>9.1706668891365695E-2</v>
      </c>
      <c r="U65" s="4">
        <f t="shared" si="23"/>
        <v>-6.9908250608294531E-2</v>
      </c>
      <c r="V65" s="4">
        <f t="shared" ca="1" si="23"/>
        <v>0</v>
      </c>
      <c r="AA65" s="8">
        <v>0</v>
      </c>
      <c r="AB65" s="4">
        <v>-4.1586696311065527E-2</v>
      </c>
      <c r="AC65" s="4">
        <f t="shared" ca="1" si="26"/>
        <v>-2.0259532487023613E-2</v>
      </c>
      <c r="AD65" s="4">
        <v>-8.8938725365474092E-2</v>
      </c>
      <c r="AE65" s="4">
        <f t="shared" ca="1" si="24"/>
        <v>4.4699939499770469E-2</v>
      </c>
      <c r="AF65" s="4"/>
    </row>
    <row r="66" spans="1:32">
      <c r="A66">
        <f t="shared" si="19"/>
        <v>26</v>
      </c>
      <c r="B66" t="str">
        <f t="shared" si="19"/>
        <v>SE</v>
      </c>
      <c r="C66" t="str">
        <f t="shared" si="19"/>
        <v>SE</v>
      </c>
      <c r="E66" s="4">
        <f t="shared" ref="E66:R66" si="49">IFERROR(E31/D31-1,0)</f>
        <v>-3.3054768028509707E-2</v>
      </c>
      <c r="F66" s="4">
        <f t="shared" si="49"/>
        <v>-4.7107261544011569E-3</v>
      </c>
      <c r="G66" s="4">
        <f t="shared" si="49"/>
        <v>-2.1018493941810656E-2</v>
      </c>
      <c r="H66" s="4">
        <f t="shared" si="49"/>
        <v>-1.9474950092275733E-2</v>
      </c>
      <c r="I66" s="4">
        <f t="shared" si="49"/>
        <v>0.14032561952810263</v>
      </c>
      <c r="J66" s="4">
        <f t="shared" si="49"/>
        <v>-8.1549385494921967E-2</v>
      </c>
      <c r="K66" s="4">
        <f t="shared" si="49"/>
        <v>3.0400493090052993E-2</v>
      </c>
      <c r="L66" s="4">
        <f t="shared" si="49"/>
        <v>-2.5365748194437043E-2</v>
      </c>
      <c r="M66" s="4">
        <f t="shared" si="49"/>
        <v>-3.8466400990119665E-2</v>
      </c>
      <c r="N66" s="4">
        <f t="shared" si="49"/>
        <v>1.5553522481801751E-2</v>
      </c>
      <c r="O66" s="4">
        <f t="shared" si="49"/>
        <v>3.8587108773624035E-2</v>
      </c>
      <c r="P66" s="4">
        <f t="shared" si="49"/>
        <v>-1.681313871732526E-2</v>
      </c>
      <c r="Q66" s="4">
        <f t="shared" si="49"/>
        <v>-1.1265424727409212E-2</v>
      </c>
      <c r="R66" s="4">
        <f t="shared" si="49"/>
        <v>-1.0124240478633251E-2</v>
      </c>
      <c r="S66" s="4">
        <f t="shared" si="21"/>
        <v>-2.3785057800534637E-2</v>
      </c>
      <c r="T66" s="4">
        <f t="shared" si="22"/>
        <v>7.9008994993357673E-2</v>
      </c>
      <c r="U66" s="4">
        <f t="shared" si="23"/>
        <v>-6.176439316426019E-2</v>
      </c>
      <c r="V66" s="4">
        <f t="shared" ca="1" si="23"/>
        <v>0</v>
      </c>
      <c r="AA66" s="8">
        <v>0</v>
      </c>
      <c r="AB66" s="4">
        <v>-8.158349620854001E-2</v>
      </c>
      <c r="AC66" s="4">
        <f t="shared" ca="1" si="26"/>
        <v>-4.5791078039891797E-4</v>
      </c>
      <c r="AD66" s="4">
        <v>5.3034707343548558E-2</v>
      </c>
      <c r="AE66" s="4">
        <f t="shared" ca="1" si="24"/>
        <v>2.0406171140724405E-2</v>
      </c>
      <c r="AF66" s="4"/>
    </row>
    <row r="67" spans="1:32">
      <c r="A67">
        <f t="shared" si="19"/>
        <v>27</v>
      </c>
      <c r="B67" t="str">
        <f t="shared" si="19"/>
        <v>SI</v>
      </c>
      <c r="C67" t="str">
        <f t="shared" si="19"/>
        <v>SI</v>
      </c>
      <c r="E67" s="4">
        <f t="shared" ref="E67:R67" si="50">IFERROR(E32/D32-1,0)</f>
        <v>-6.7196132705133471E-2</v>
      </c>
      <c r="F67" s="4">
        <f t="shared" si="50"/>
        <v>-4.9189345272402707E-2</v>
      </c>
      <c r="G67" s="4">
        <f t="shared" si="50"/>
        <v>9.6988592680334218E-2</v>
      </c>
      <c r="H67" s="4">
        <f t="shared" si="50"/>
        <v>-2.5901684462249053E-2</v>
      </c>
      <c r="I67" s="4">
        <f t="shared" si="50"/>
        <v>4.7984610181591725E-2</v>
      </c>
      <c r="J67" s="4">
        <f t="shared" si="50"/>
        <v>-3.9772881672682447E-2</v>
      </c>
      <c r="K67" s="4">
        <f t="shared" si="50"/>
        <v>-6.2924022089756226E-2</v>
      </c>
      <c r="L67" s="4">
        <f t="shared" si="50"/>
        <v>-5.7639399394837643E-3</v>
      </c>
      <c r="M67" s="4">
        <f t="shared" si="50"/>
        <v>-0.12148828296076997</v>
      </c>
      <c r="N67" s="4">
        <f t="shared" si="50"/>
        <v>7.9973834394201804E-2</v>
      </c>
      <c r="O67" s="4">
        <f t="shared" si="50"/>
        <v>2.8956596382327282E-2</v>
      </c>
      <c r="P67" s="4">
        <f t="shared" si="50"/>
        <v>-2.417941886027708E-2</v>
      </c>
      <c r="Q67" s="4">
        <f t="shared" si="50"/>
        <v>-4.2553112796951065E-2</v>
      </c>
      <c r="R67" s="4">
        <f t="shared" si="50"/>
        <v>-2.8611677978209626E-2</v>
      </c>
      <c r="S67" s="4">
        <f t="shared" si="21"/>
        <v>-1.0469245175157016E-2</v>
      </c>
      <c r="T67" s="4">
        <f t="shared" si="22"/>
        <v>3.6913096500392095E-2</v>
      </c>
      <c r="U67" s="4">
        <f t="shared" si="23"/>
        <v>-4.5311134774199346E-2</v>
      </c>
      <c r="V67" s="4">
        <f t="shared" ca="1" si="23"/>
        <v>0</v>
      </c>
      <c r="AA67" s="8">
        <v>0</v>
      </c>
      <c r="AB67" s="4">
        <v>-0.13476515347955553</v>
      </c>
      <c r="AC67" s="4">
        <f t="shared" ca="1" si="26"/>
        <v>-3.1299696169730051E-2</v>
      </c>
      <c r="AD67" s="4">
        <v>-5.8228154513580203E-2</v>
      </c>
      <c r="AE67" s="4">
        <f t="shared" ca="1" si="24"/>
        <v>3.307556396906941E-3</v>
      </c>
      <c r="AF67" s="4"/>
    </row>
    <row r="68" spans="1:32">
      <c r="A68">
        <f t="shared" si="19"/>
        <v>28</v>
      </c>
      <c r="B68" t="str">
        <f t="shared" si="19"/>
        <v>SK</v>
      </c>
      <c r="C68" t="str">
        <f t="shared" si="19"/>
        <v>SK</v>
      </c>
      <c r="E68" s="4">
        <f t="shared" ref="E68:R68" si="51">IFERROR(E33/D33-1,0)</f>
        <v>-4.6010847003347122E-3</v>
      </c>
      <c r="F68" s="4">
        <f t="shared" si="51"/>
        <v>-8.7534268776819912E-2</v>
      </c>
      <c r="G68" s="4">
        <f t="shared" si="51"/>
        <v>4.8583299910487376E-4</v>
      </c>
      <c r="H68" s="4">
        <f t="shared" si="51"/>
        <v>1.6465670814154176E-2</v>
      </c>
      <c r="I68" s="4">
        <f t="shared" si="51"/>
        <v>0.24229505897227832</v>
      </c>
      <c r="J68" s="4">
        <f t="shared" si="51"/>
        <v>-0.13363188614040844</v>
      </c>
      <c r="K68" s="4">
        <f t="shared" si="51"/>
        <v>-3.6722644752456013E-3</v>
      </c>
      <c r="L68" s="4">
        <f t="shared" si="51"/>
        <v>5.4561394545436626E-2</v>
      </c>
      <c r="M68" s="4">
        <f t="shared" si="51"/>
        <v>-0.16217452248580366</v>
      </c>
      <c r="N68" s="4">
        <f t="shared" si="51"/>
        <v>4.6775872021194598E-2</v>
      </c>
      <c r="O68" s="4">
        <f t="shared" si="51"/>
        <v>3.3026769201656592E-2</v>
      </c>
      <c r="P68" s="4">
        <f t="shared" si="51"/>
        <v>4.2404070499497903E-2</v>
      </c>
      <c r="Q68" s="4">
        <f t="shared" si="51"/>
        <v>-6.3619686989728308E-2</v>
      </c>
      <c r="R68" s="4">
        <f t="shared" si="51"/>
        <v>-5.4938456678716219E-2</v>
      </c>
      <c r="S68" s="4">
        <f t="shared" si="21"/>
        <v>-3.0556088737761056E-2</v>
      </c>
      <c r="T68" s="4">
        <f t="shared" si="22"/>
        <v>0.17951970151969698</v>
      </c>
      <c r="U68" s="4">
        <f t="shared" si="23"/>
        <v>-0.14050011177253974</v>
      </c>
      <c r="V68" s="4">
        <f t="shared" ca="1" si="23"/>
        <v>0</v>
      </c>
      <c r="AA68" s="8">
        <v>0</v>
      </c>
      <c r="AB68" s="4">
        <v>-5.5029529102280407E-2</v>
      </c>
      <c r="AC68" s="4">
        <f t="shared" ca="1" si="26"/>
        <v>-2.9341472633302446E-2</v>
      </c>
      <c r="AD68" s="4">
        <v>-6.6070043514270232E-2</v>
      </c>
      <c r="AE68" s="4">
        <f t="shared" ca="1" si="24"/>
        <v>4.6611966573277375E-2</v>
      </c>
      <c r="AF68" s="4"/>
    </row>
    <row r="69" spans="1:32">
      <c r="A69">
        <f t="shared" si="19"/>
        <v>29</v>
      </c>
      <c r="B69" t="str">
        <f t="shared" si="19"/>
        <v>UK</v>
      </c>
      <c r="C69" t="str">
        <f t="shared" si="19"/>
        <v>UK</v>
      </c>
      <c r="E69" s="4">
        <f t="shared" ref="E69:R69" si="52">IFERROR(E34/D34-1,0)</f>
        <v>-2.9452409755523656E-2</v>
      </c>
      <c r="F69" s="4">
        <f t="shared" si="52"/>
        <v>-2.9788771042171258E-2</v>
      </c>
      <c r="G69" s="4">
        <f t="shared" si="52"/>
        <v>3.6438113961931418E-2</v>
      </c>
      <c r="H69" s="4">
        <f t="shared" si="52"/>
        <v>-6.254272025339791E-2</v>
      </c>
      <c r="I69" s="4">
        <f t="shared" si="52"/>
        <v>8.0159343137219841E-2</v>
      </c>
      <c r="J69" s="4">
        <f t="shared" si="52"/>
        <v>-0.13963479541655566</v>
      </c>
      <c r="K69" s="4">
        <f t="shared" si="52"/>
        <v>7.8189292973051883E-2</v>
      </c>
      <c r="L69" s="4">
        <f t="shared" si="52"/>
        <v>2.3946499243967523E-2</v>
      </c>
      <c r="M69" s="4">
        <f t="shared" si="52"/>
        <v>-0.10729815240644425</v>
      </c>
      <c r="N69" s="4">
        <f t="shared" si="52"/>
        <v>2.7407648851076605E-2</v>
      </c>
      <c r="O69" s="4">
        <f t="shared" si="52"/>
        <v>3.4051793986517476E-2</v>
      </c>
      <c r="P69" s="4">
        <f t="shared" si="52"/>
        <v>-2.4009776692997864E-2</v>
      </c>
      <c r="Q69" s="4">
        <f t="shared" si="52"/>
        <v>2.6832610536336565E-2</v>
      </c>
      <c r="R69" s="4">
        <f t="shared" si="52"/>
        <v>-4.2113028494329408E-3</v>
      </c>
      <c r="S69" s="4">
        <f t="shared" si="21"/>
        <v>-1</v>
      </c>
      <c r="T69" s="4">
        <f t="shared" si="22"/>
        <v>0</v>
      </c>
      <c r="U69" s="4">
        <f t="shared" si="23"/>
        <v>0</v>
      </c>
      <c r="V69" s="4">
        <f t="shared" ca="1" si="23"/>
        <v>0</v>
      </c>
      <c r="AA69" s="8">
        <v>0</v>
      </c>
      <c r="AB69" s="4">
        <v>0</v>
      </c>
      <c r="AC69" s="4" t="e">
        <f t="shared" ca="1" si="26"/>
        <v>#DIV/0!</v>
      </c>
      <c r="AD69" s="4">
        <v>0</v>
      </c>
      <c r="AE69" s="4" t="e">
        <f t="shared" ca="1" si="24"/>
        <v>#DIV/0!</v>
      </c>
      <c r="AF69" s="4"/>
    </row>
    <row r="70" spans="1:32">
      <c r="B70" s="40" t="s">
        <v>189</v>
      </c>
      <c r="C70" s="40" t="s">
        <v>189</v>
      </c>
      <c r="D70" s="41"/>
      <c r="E70" s="49">
        <f t="shared" ref="E70:R70" si="53">IFERROR(E35/D35-1,0)</f>
        <v>1.7969376588058417E-3</v>
      </c>
      <c r="F70" s="49">
        <f t="shared" si="53"/>
        <v>-5.7548086477262173E-2</v>
      </c>
      <c r="G70" s="49">
        <f t="shared" si="53"/>
        <v>4.676289706670711E-2</v>
      </c>
      <c r="H70" s="49">
        <f t="shared" si="53"/>
        <v>-2.6937757598828105E-2</v>
      </c>
      <c r="I70" s="49">
        <f t="shared" si="53"/>
        <v>6.9909594042763423E-2</v>
      </c>
      <c r="J70" s="49">
        <f t="shared" si="53"/>
        <v>-9.2474100804149084E-2</v>
      </c>
      <c r="K70" s="49">
        <f t="shared" si="53"/>
        <v>3.5341360446538683E-2</v>
      </c>
      <c r="L70" s="49">
        <f t="shared" si="53"/>
        <v>1.1281796381439557E-2</v>
      </c>
      <c r="M70" s="49">
        <f t="shared" si="53"/>
        <v>-9.5930580974569635E-2</v>
      </c>
      <c r="N70" s="49">
        <f t="shared" si="53"/>
        <v>3.4587096196301736E-2</v>
      </c>
      <c r="O70" s="49">
        <f t="shared" si="53"/>
        <v>1.8403179661970803E-2</v>
      </c>
      <c r="P70" s="49">
        <f t="shared" si="53"/>
        <v>-7.0555646588532639E-5</v>
      </c>
      <c r="Q70" s="49">
        <f t="shared" si="53"/>
        <v>-2.6154262238022863E-3</v>
      </c>
      <c r="R70" s="49">
        <f t="shared" si="53"/>
        <v>-1.4054759250918036E-2</v>
      </c>
      <c r="S70" s="49">
        <f t="shared" si="21"/>
        <v>-0.14665580109000254</v>
      </c>
      <c r="T70" s="49">
        <f t="shared" si="22"/>
        <v>5.7349194117921165E-2</v>
      </c>
      <c r="U70" s="49">
        <f t="shared" si="23"/>
        <v>-7.0489825713140442E-2</v>
      </c>
      <c r="V70" s="49">
        <f t="shared" ca="1" si="23"/>
        <v>-2.3178752180795237E-2</v>
      </c>
    </row>
    <row r="71" spans="1:32">
      <c r="B71" s="40" t="s">
        <v>190</v>
      </c>
      <c r="C71" s="40" t="s">
        <v>190</v>
      </c>
      <c r="D71" s="41"/>
      <c r="E71" s="49">
        <f t="shared" ref="E71:R71" si="54">IFERROR(E36/D36-1,0)</f>
        <v>6.408583871985174E-3</v>
      </c>
      <c r="F71" s="49">
        <f t="shared" si="54"/>
        <v>-6.1498715823705141E-2</v>
      </c>
      <c r="G71" s="49">
        <f t="shared" si="54"/>
        <v>4.8281939466659818E-2</v>
      </c>
      <c r="H71" s="49">
        <f t="shared" si="54"/>
        <v>-2.1758532752730098E-2</v>
      </c>
      <c r="I71" s="49">
        <f t="shared" si="54"/>
        <v>6.8480789301402334E-2</v>
      </c>
      <c r="J71" s="49">
        <f t="shared" si="54"/>
        <v>-8.5828091426343511E-2</v>
      </c>
      <c r="K71" s="49">
        <f t="shared" si="54"/>
        <v>2.9658518277760004E-2</v>
      </c>
      <c r="L71" s="49">
        <f t="shared" si="54"/>
        <v>9.522931304514648E-3</v>
      </c>
      <c r="M71" s="49">
        <f t="shared" si="54"/>
        <v>-9.4329304622164045E-2</v>
      </c>
      <c r="N71" s="49">
        <f t="shared" si="54"/>
        <v>3.5583936826019569E-2</v>
      </c>
      <c r="O71" s="49">
        <f t="shared" si="54"/>
        <v>1.6247580071082623E-2</v>
      </c>
      <c r="P71" s="49">
        <f t="shared" si="54"/>
        <v>3.2848496696116225E-3</v>
      </c>
      <c r="Q71" s="49">
        <f t="shared" si="54"/>
        <v>-6.6306756906993058E-3</v>
      </c>
      <c r="R71" s="49">
        <f t="shared" si="54"/>
        <v>-1.5442130584361502E-2</v>
      </c>
      <c r="S71" s="49">
        <f t="shared" si="21"/>
        <v>-2.5010516233610058E-2</v>
      </c>
      <c r="T71" s="49">
        <f t="shared" si="22"/>
        <v>5.7349194117921165E-2</v>
      </c>
      <c r="U71" s="49">
        <f t="shared" si="23"/>
        <v>-7.0489825713140442E-2</v>
      </c>
      <c r="V71" s="49">
        <f t="shared" ca="1" si="23"/>
        <v>-2.3178752180795237E-2</v>
      </c>
    </row>
  </sheetData>
  <conditionalFormatting sqref="AI7:AJ34">
    <cfRule type="cellIs" dxfId="4" priority="3" operator="greaterThan">
      <formula>$AI$5</formula>
    </cfRule>
  </conditionalFormatting>
  <conditionalFormatting sqref="AO7:AO34">
    <cfRule type="cellIs" dxfId="3" priority="2" operator="greaterThan">
      <formula>$AO$5</formula>
    </cfRule>
  </conditionalFormatting>
  <conditionalFormatting sqref="AP7:AP34">
    <cfRule type="cellIs" dxfId="2" priority="1" operator="greaterThan">
      <formula>$AK$5</formula>
    </cfRule>
  </conditionalFormatting>
  <pageMargins left="0.7" right="0.7" top="0.78740157499999996" bottom="0.78740157499999996" header="0.3" footer="0.3"/>
  <pageSetup paperSize="9" orientation="portrait" verticalDpi="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AN71"/>
  <sheetViews>
    <sheetView zoomScale="111" zoomScaleNormal="80" workbookViewId="0">
      <pane xSplit="3" ySplit="6" topLeftCell="D7" activePane="bottomRight" state="frozen"/>
      <selection pane="topRight" activeCell="AL5" sqref="AL5:AL34"/>
      <selection pane="bottomLeft" activeCell="AL5" sqref="AL5:AL34"/>
      <selection pane="bottomRight" activeCell="D6" sqref="D6:V36"/>
    </sheetView>
  </sheetViews>
  <sheetFormatPr baseColWidth="10" defaultColWidth="11.5" defaultRowHeight="13"/>
  <cols>
    <col min="1" max="1" width="13.5" customWidth="1"/>
    <col min="22" max="22" width="10.83203125" customWidth="1"/>
    <col min="24" max="24" width="18.6640625" bestFit="1" customWidth="1"/>
    <col min="28" max="28" width="18.6640625" bestFit="1" customWidth="1"/>
  </cols>
  <sheetData>
    <row r="1" spans="1:40">
      <c r="A1" t="s">
        <v>70</v>
      </c>
    </row>
    <row r="2" spans="1:40">
      <c r="A2" t="s">
        <v>238</v>
      </c>
    </row>
    <row r="4" spans="1:40" ht="14">
      <c r="AF4" t="s">
        <v>239</v>
      </c>
      <c r="AG4" s="10">
        <v>5</v>
      </c>
    </row>
    <row r="5" spans="1:40">
      <c r="D5" t="s">
        <v>173</v>
      </c>
      <c r="AA5" t="s">
        <v>196</v>
      </c>
      <c r="AB5" t="s">
        <v>226</v>
      </c>
      <c r="AC5" t="str">
        <f>TrendDuration&amp;"yr lin trend"</f>
        <v>5yr lin trend</v>
      </c>
      <c r="AD5" t="s">
        <v>200</v>
      </c>
      <c r="AE5" s="6" t="s">
        <v>201</v>
      </c>
      <c r="AF5" t="s">
        <v>240</v>
      </c>
      <c r="AG5" s="21">
        <v>0.8</v>
      </c>
      <c r="AN5" t="s">
        <v>204</v>
      </c>
    </row>
    <row r="6" spans="1:40">
      <c r="B6" t="s">
        <v>175</v>
      </c>
      <c r="C6" t="s">
        <v>176</v>
      </c>
      <c r="D6" s="1">
        <f>'FEC Total'!D6</f>
        <v>2005</v>
      </c>
      <c r="E6" s="1">
        <f>'FEC Total'!E6</f>
        <v>2006</v>
      </c>
      <c r="F6" s="1">
        <f>'FEC Total'!F6</f>
        <v>2007</v>
      </c>
      <c r="G6" s="1">
        <f>'FEC Total'!G6</f>
        <v>2008</v>
      </c>
      <c r="H6" s="1">
        <f>'FEC Total'!H6</f>
        <v>2009</v>
      </c>
      <c r="I6" s="1">
        <f>'FEC Total'!I6</f>
        <v>2010</v>
      </c>
      <c r="J6" s="1">
        <f>'FEC Total'!J6</f>
        <v>2011</v>
      </c>
      <c r="K6" s="1">
        <f>'FEC Total'!K6</f>
        <v>2012</v>
      </c>
      <c r="L6" s="1">
        <f>'FEC Total'!L6</f>
        <v>2013</v>
      </c>
      <c r="M6" s="1">
        <f>'FEC Total'!M6</f>
        <v>2014</v>
      </c>
      <c r="N6" s="1">
        <f>'FEC Total'!N6</f>
        <v>2015</v>
      </c>
      <c r="O6" s="1">
        <f>'FEC Total'!O6</f>
        <v>2016</v>
      </c>
      <c r="P6" s="1">
        <f>'FEC Total'!P6</f>
        <v>2017</v>
      </c>
      <c r="Q6" s="1">
        <f>'FEC Total'!Q6</f>
        <v>2018</v>
      </c>
      <c r="R6" s="1">
        <f>'FEC Total'!R6</f>
        <v>2019</v>
      </c>
      <c r="S6" s="1">
        <f>'FEC Total'!S6</f>
        <v>2020</v>
      </c>
      <c r="T6" s="1">
        <f>'FEC Total'!T6</f>
        <v>2021</v>
      </c>
      <c r="U6" s="1">
        <f>'FEC Total'!U6</f>
        <v>2022</v>
      </c>
      <c r="V6" s="2">
        <f>YearProxy</f>
        <v>2023</v>
      </c>
      <c r="W6" s="21" t="s">
        <v>205</v>
      </c>
      <c r="AA6" s="2">
        <f>YearProxy-1</f>
        <v>2022</v>
      </c>
      <c r="AB6" s="2">
        <f>YearProxy</f>
        <v>2023</v>
      </c>
      <c r="AC6" s="2">
        <f>YearProxy</f>
        <v>2023</v>
      </c>
      <c r="AD6" s="2">
        <f>AA6</f>
        <v>2022</v>
      </c>
      <c r="AE6" s="6"/>
      <c r="AG6" s="2" t="s">
        <v>241</v>
      </c>
    </row>
    <row r="7" spans="1:40">
      <c r="B7" t="s">
        <v>106</v>
      </c>
      <c r="C7" t="s">
        <v>106</v>
      </c>
      <c r="D7" s="3">
        <f>'FEC Transport'!D7-'FEC Transport RES'!D7</f>
        <v>8985.5499999999993</v>
      </c>
      <c r="E7" s="3">
        <f>'FEC Transport'!E7-'FEC Transport RES'!E7</f>
        <v>8692.0990000000002</v>
      </c>
      <c r="F7" s="3">
        <f>'FEC Transport'!F7-'FEC Transport RES'!F7</f>
        <v>8791.9629999999997</v>
      </c>
      <c r="G7" s="3">
        <f>'FEC Transport'!G7-'FEC Transport RES'!G7</f>
        <v>8450.0509999999995</v>
      </c>
      <c r="H7" s="3">
        <f>'FEC Transport'!H7-'FEC Transport RES'!H7</f>
        <v>8021.6640000000007</v>
      </c>
      <c r="I7" s="3">
        <f>'FEC Transport'!I7-'FEC Transport RES'!I7</f>
        <v>8335.0190000000002</v>
      </c>
      <c r="J7" s="3">
        <f>'FEC Transport'!J7-'FEC Transport RES'!J7</f>
        <v>8077.476999999999</v>
      </c>
      <c r="K7" s="3">
        <f>'FEC Transport'!K7-'FEC Transport RES'!K7</f>
        <v>7981.835</v>
      </c>
      <c r="L7" s="3">
        <f>'FEC Transport'!L7-'FEC Transport RES'!L7</f>
        <v>8440.8829999999998</v>
      </c>
      <c r="M7" s="3">
        <f>'FEC Transport'!M7-'FEC Transport RES'!M7</f>
        <v>8280.1859999999997</v>
      </c>
      <c r="N7" s="3">
        <f>'FEC Transport'!N7-'FEC Transport RES'!N7</f>
        <v>8509.4840000000004</v>
      </c>
      <c r="O7" s="3">
        <f>'FEC Transport'!O7-'FEC Transport RES'!O7</f>
        <v>8818.2690000000002</v>
      </c>
      <c r="P7" s="3">
        <f>'FEC Transport'!P7-'FEC Transport RES'!P7</f>
        <v>8983.3220000000001</v>
      </c>
      <c r="Q7" s="3">
        <f>'FEC Transport'!Q7-'FEC Transport RES'!Q7</f>
        <v>9173.7030000000013</v>
      </c>
      <c r="R7" s="3">
        <f>'FEC Transport'!R7-'FEC Transport RES'!R7</f>
        <v>9305.7710000000006</v>
      </c>
      <c r="S7" s="3">
        <f>'FEC Transport'!S7-'FEC Transport RES'!S7</f>
        <v>7622.5</v>
      </c>
      <c r="T7" s="3">
        <f>'FEC Transport'!T7-'FEC Transport RES'!T7</f>
        <v>7960.1710000000003</v>
      </c>
      <c r="U7" s="3">
        <f>'FEC Transport'!U7-'FEC Transport RES'!U7</f>
        <v>7733.3519999999999</v>
      </c>
      <c r="V7" s="3">
        <f ca="1">INDEX($AA7:$AL7,1,W7)</f>
        <v>7727.1623681365791</v>
      </c>
      <c r="W7" s="16">
        <f ca="1">IF(ISNUMBER(AD7),4,IF(ISNUMBER(AE7),AE7,IF(AG7&gt;$AG$5,3,IF(ABS(AB42)&lt;$AB$39,2,1))))</f>
        <v>4</v>
      </c>
      <c r="X7" t="str">
        <f t="shared" ref="X7:X34" ca="1" si="0">INDEX($AA$5:$AJ$5,W7)</f>
        <v>Based on MS Stats</v>
      </c>
      <c r="AA7" s="3">
        <f t="shared" ref="AA7:AA34" ca="1" si="1">OFFSET($A7,0,OffsetLast)</f>
        <v>7733.3519999999999</v>
      </c>
      <c r="AB7" s="3">
        <f ca="1">$AA7*(1+AB42)</f>
        <v>7422.9775328135674</v>
      </c>
      <c r="AC7" s="3">
        <f t="shared" ref="AC7:AC34" ca="1" si="2">FORECAST(AC$6,OFFSET($A7,0,OffsetLast-TrendDuration+1,1,TrendDuration),OFFSET($A$6,0,OffsetLast-TrendDuration+1,1,TrendDuration))</f>
        <v>7091.2087999999058</v>
      </c>
      <c r="AD7" s="3">
        <f ca="1">IF(ISNUMBER(AD42),$AA7*(1+AD42),"")</f>
        <v>7727.1623681365791</v>
      </c>
      <c r="AE7" s="16"/>
      <c r="AG7" s="7">
        <f t="shared" ref="AG7:AG34" ca="1" si="3">RSQ(OFFSET($A7,0,OffsetLast-TrendDuration+1,1,TrendDuration),OFFSET($A$6,0,OffsetLast-TrendDuration+1,1,TrendDuration))</f>
        <v>0.67324923081831156</v>
      </c>
      <c r="AN7" s="7" t="str">
        <f>IFERROR(INDEX('MS Stats list'!P:P, MATCH(B7,'MS Stats list'!B:B,0)),"")</f>
        <v>Statistics Austria - Preliminary energy balance 2022</v>
      </c>
    </row>
    <row r="8" spans="1:40">
      <c r="B8" t="s">
        <v>177</v>
      </c>
      <c r="C8" t="s">
        <v>177</v>
      </c>
      <c r="D8" s="3">
        <f>'FEC Transport'!D8-'FEC Transport RES'!D8</f>
        <v>9884.009</v>
      </c>
      <c r="E8" s="3">
        <f>'FEC Transport'!E8-'FEC Transport RES'!E8</f>
        <v>10067.156000000001</v>
      </c>
      <c r="F8" s="3">
        <f>'FEC Transport'!F8-'FEC Transport RES'!F8</f>
        <v>10429.254000000001</v>
      </c>
      <c r="G8" s="3">
        <f>'FEC Transport'!G8-'FEC Transport RES'!G8</f>
        <v>10557.437</v>
      </c>
      <c r="H8" s="3">
        <f>'FEC Transport'!H8-'FEC Transport RES'!H8</f>
        <v>10156.166999999999</v>
      </c>
      <c r="I8" s="3">
        <f>'FEC Transport'!I8-'FEC Transport RES'!I8</f>
        <v>9966.107</v>
      </c>
      <c r="J8" s="3">
        <f>'FEC Transport'!J8-'FEC Transport RES'!J8</f>
        <v>9915.9599999999991</v>
      </c>
      <c r="K8" s="3">
        <f>'FEC Transport'!K8-'FEC Transport RES'!K8</f>
        <v>9545.2379999999994</v>
      </c>
      <c r="L8" s="3">
        <f>'FEC Transport'!L8-'FEC Transport RES'!L8</f>
        <v>9321.1560000000009</v>
      </c>
      <c r="M8" s="3">
        <f>'FEC Transport'!M8-'FEC Transport RES'!M8</f>
        <v>9438.9279999999999</v>
      </c>
      <c r="N8" s="3">
        <f>'FEC Transport'!N8-'FEC Transport RES'!N8</f>
        <v>10096.337</v>
      </c>
      <c r="O8" s="3">
        <f>'FEC Transport'!O8-'FEC Transport RES'!O8</f>
        <v>10004.874</v>
      </c>
      <c r="P8" s="3">
        <f>'FEC Transport'!P8-'FEC Transport RES'!P8</f>
        <v>9961.9740000000002</v>
      </c>
      <c r="Q8" s="3">
        <f>'FEC Transport'!Q8-'FEC Transport RES'!Q8</f>
        <v>10109.033000000001</v>
      </c>
      <c r="R8" s="3">
        <f>'FEC Transport'!R8-'FEC Transport RES'!R8</f>
        <v>10039.273999999999</v>
      </c>
      <c r="S8" s="3">
        <f>'FEC Transport'!S8-'FEC Transport RES'!S8</f>
        <v>8212.9930000000004</v>
      </c>
      <c r="T8" s="3">
        <f>'FEC Transport'!T8-'FEC Transport RES'!T8</f>
        <v>9268.0390000000007</v>
      </c>
      <c r="U8" s="3">
        <f>'FEC Transport'!U8-'FEC Transport RES'!U8</f>
        <v>9609.857</v>
      </c>
      <c r="V8" s="3">
        <f ca="1">INDEX($AA8:$AL8,1,W8)</f>
        <v>9759.8716410786219</v>
      </c>
      <c r="W8" s="16">
        <f t="shared" ref="W8:W34" ca="1" si="4">IF(ISNUMBER(AD8),4,IF(ISNUMBER(AE8),AE8,IF(AG8&gt;$AG$5,3,IF(ABS(AB43)&lt;$AB$39,2,1))))</f>
        <v>2</v>
      </c>
      <c r="X8" t="str">
        <f t="shared" ca="1" si="0"/>
        <v>GHG Proxy</v>
      </c>
      <c r="AA8" s="3">
        <f t="shared" ca="1" si="1"/>
        <v>9609.857</v>
      </c>
      <c r="AB8" s="3">
        <f t="shared" ref="AB8:AB34" ca="1" si="5">$AA8*(1+AB43)</f>
        <v>9759.8716410786219</v>
      </c>
      <c r="AC8" s="3">
        <f t="shared" ca="1" si="2"/>
        <v>8916.9630999999936</v>
      </c>
      <c r="AD8" s="3" t="str">
        <f t="shared" ref="AD8:AD34" si="6">IF(ISNUMBER(AD43),$AA8*(1+AD43),"")</f>
        <v/>
      </c>
      <c r="AE8" s="16"/>
      <c r="AG8" s="7">
        <f t="shared" ca="1" si="3"/>
        <v>0.13210615308316173</v>
      </c>
      <c r="AN8" s="7" t="str">
        <f>IFERROR(INDEX('MS Stats list'!P:P, MATCH(B8,'MS Stats list'!B:B,0)),"")</f>
        <v/>
      </c>
    </row>
    <row r="9" spans="1:40">
      <c r="B9" t="s">
        <v>178</v>
      </c>
      <c r="C9" t="s">
        <v>178</v>
      </c>
      <c r="D9" s="3">
        <f>'FEC Transport'!D9-'FEC Transport RES'!D9</f>
        <v>2905.752</v>
      </c>
      <c r="E9" s="3">
        <f>'FEC Transport'!E9-'FEC Transport RES'!E9</f>
        <v>3030.598</v>
      </c>
      <c r="F9" s="3">
        <f>'FEC Transport'!F9-'FEC Transport RES'!F9</f>
        <v>2946.5240000000003</v>
      </c>
      <c r="G9" s="3">
        <f>'FEC Transport'!G9-'FEC Transport RES'!G9</f>
        <v>3091.6600000000003</v>
      </c>
      <c r="H9" s="3">
        <f>'FEC Transport'!H9-'FEC Transport RES'!H9</f>
        <v>2909.7560000000003</v>
      </c>
      <c r="I9" s="3">
        <f>'FEC Transport'!I9-'FEC Transport RES'!I9</f>
        <v>2848.7509999999997</v>
      </c>
      <c r="J9" s="3">
        <f>'FEC Transport'!J9-'FEC Transport RES'!J9</f>
        <v>2912.1969999999997</v>
      </c>
      <c r="K9" s="3">
        <f>'FEC Transport'!K9-'FEC Transport RES'!K9</f>
        <v>2991.761</v>
      </c>
      <c r="L9" s="3">
        <f>'FEC Transport'!L9-'FEC Transport RES'!L9</f>
        <v>2675.2710000000002</v>
      </c>
      <c r="M9" s="3">
        <f>'FEC Transport'!M9-'FEC Transport RES'!M9</f>
        <v>2975.2379999999998</v>
      </c>
      <c r="N9" s="3">
        <f>'FEC Transport'!N9-'FEC Transport RES'!N9</f>
        <v>3242.0230000000001</v>
      </c>
      <c r="O9" s="3">
        <f>'FEC Transport'!O9-'FEC Transport RES'!O9</f>
        <v>3317.5360000000001</v>
      </c>
      <c r="P9" s="3">
        <f>'FEC Transport'!P9-'FEC Transport RES'!P9</f>
        <v>3396.6369999999997</v>
      </c>
      <c r="Q9" s="3">
        <f>'FEC Transport'!Q9-'FEC Transport RES'!Q9</f>
        <v>3467.1689999999999</v>
      </c>
      <c r="R9" s="3">
        <f>'FEC Transport'!R9-'FEC Transport RES'!R9</f>
        <v>3472.29</v>
      </c>
      <c r="S9" s="3">
        <f>'FEC Transport'!S9-'FEC Transport RES'!S9</f>
        <v>3175.2610000000004</v>
      </c>
      <c r="T9" s="3">
        <f>'FEC Transport'!T9-'FEC Transport RES'!T9</f>
        <v>3430.9340000000002</v>
      </c>
      <c r="U9" s="3">
        <f>'FEC Transport'!U9-'FEC Transport RES'!U9</f>
        <v>3496.8159999999998</v>
      </c>
      <c r="V9" s="3">
        <f t="shared" ref="V9:V34" ca="1" si="7">INDEX($AA9:$AL9,1,W9)</f>
        <v>3642.9729549759313</v>
      </c>
      <c r="W9" s="16">
        <f t="shared" ca="1" si="4"/>
        <v>2</v>
      </c>
      <c r="X9" t="str">
        <f t="shared" ca="1" si="0"/>
        <v>GHG Proxy</v>
      </c>
      <c r="AA9" s="3">
        <f t="shared" ca="1" si="1"/>
        <v>3496.8159999999998</v>
      </c>
      <c r="AB9" s="3">
        <f ca="1">$AA9*(1+AB44)</f>
        <v>3642.9729549759313</v>
      </c>
      <c r="AC9" s="3">
        <f t="shared" ca="1" si="2"/>
        <v>3413.8754000000004</v>
      </c>
      <c r="AD9" s="3" t="str">
        <f t="shared" si="6"/>
        <v/>
      </c>
      <c r="AE9" s="16"/>
      <c r="AG9" s="7">
        <f t="shared" ca="1" si="3"/>
        <v>4.5826883506568756E-4</v>
      </c>
      <c r="AN9" s="7" t="str">
        <f>IFERROR(INDEX('MS Stats list'!P:P, MATCH(B9,'MS Stats list'!B:B,0)),"")</f>
        <v/>
      </c>
    </row>
    <row r="10" spans="1:40">
      <c r="B10" t="s">
        <v>179</v>
      </c>
      <c r="C10" t="s">
        <v>179</v>
      </c>
      <c r="D10" s="3">
        <f>'FEC Transport'!D10-'FEC Transport RES'!D10</f>
        <v>982.46799999999996</v>
      </c>
      <c r="E10" s="3">
        <f>'FEC Transport'!E10-'FEC Transport RES'!E10</f>
        <v>989.48800000000006</v>
      </c>
      <c r="F10" s="3">
        <f>'FEC Transport'!F10-'FEC Transport RES'!F10</f>
        <v>1020.8579999999999</v>
      </c>
      <c r="G10" s="3">
        <f>'FEC Transport'!G10-'FEC Transport RES'!G10</f>
        <v>1034.694</v>
      </c>
      <c r="H10" s="3">
        <f>'FEC Transport'!H10-'FEC Transport RES'!H10</f>
        <v>1013.6239999999999</v>
      </c>
      <c r="I10" s="3">
        <f>'FEC Transport'!I10-'FEC Transport RES'!I10</f>
        <v>1034.818</v>
      </c>
      <c r="J10" s="3">
        <f>'FEC Transport'!J10-'FEC Transport RES'!J10</f>
        <v>1038.0810000000001</v>
      </c>
      <c r="K10" s="3">
        <f>'FEC Transport'!K10-'FEC Transport RES'!K10</f>
        <v>950.10799999999995</v>
      </c>
      <c r="L10" s="3">
        <f>'FEC Transport'!L10-'FEC Transport RES'!L10</f>
        <v>852.44100000000003</v>
      </c>
      <c r="M10" s="3">
        <f>'FEC Transport'!M10-'FEC Transport RES'!M10</f>
        <v>833.13599999999997</v>
      </c>
      <c r="N10" s="3">
        <f>'FEC Transport'!N10-'FEC Transport RES'!N10</f>
        <v>857.649</v>
      </c>
      <c r="O10" s="3">
        <f>'FEC Transport'!O10-'FEC Transport RES'!O10</f>
        <v>926.33100000000002</v>
      </c>
      <c r="P10" s="3">
        <f>'FEC Transport'!P10-'FEC Transport RES'!P10</f>
        <v>986.26699999999994</v>
      </c>
      <c r="Q10" s="3">
        <f>'FEC Transport'!Q10-'FEC Transport RES'!Q10</f>
        <v>1000.486</v>
      </c>
      <c r="R10" s="3">
        <f>'FEC Transport'!R10-'FEC Transport RES'!R10</f>
        <v>992.48899999999992</v>
      </c>
      <c r="S10" s="3">
        <f>'FEC Transport'!S10-'FEC Transport RES'!S10</f>
        <v>688.00800000000004</v>
      </c>
      <c r="T10" s="3">
        <f>'FEC Transport'!T10-'FEC Transport RES'!T10</f>
        <v>794.91499999999996</v>
      </c>
      <c r="U10" s="3">
        <f>'FEC Transport'!U10-'FEC Transport RES'!U10</f>
        <v>895.56299999999999</v>
      </c>
      <c r="V10" s="3">
        <f t="shared" ca="1" si="7"/>
        <v>898.54527569817583</v>
      </c>
      <c r="W10" s="16">
        <f t="shared" ca="1" si="4"/>
        <v>2</v>
      </c>
      <c r="X10" t="str">
        <f t="shared" ca="1" si="0"/>
        <v>GHG Proxy</v>
      </c>
      <c r="AA10" s="3">
        <f t="shared" ca="1" si="1"/>
        <v>895.56299999999999</v>
      </c>
      <c r="AB10" s="3">
        <f t="shared" ca="1" si="5"/>
        <v>898.54527569817583</v>
      </c>
      <c r="AC10" s="3">
        <f t="shared" ca="1" si="2"/>
        <v>752.06620000000112</v>
      </c>
      <c r="AD10" s="3" t="str">
        <f t="shared" si="6"/>
        <v/>
      </c>
      <c r="AE10" s="16"/>
      <c r="AG10" s="7">
        <f t="shared" ca="1" si="3"/>
        <v>0.23264224981696768</v>
      </c>
      <c r="AN10" s="7" t="str">
        <f>IFERROR(INDEX('MS Stats list'!P:P, MATCH(B10,'MS Stats list'!B:B,0)),"")</f>
        <v/>
      </c>
    </row>
    <row r="11" spans="1:40">
      <c r="B11" t="s">
        <v>180</v>
      </c>
      <c r="C11" t="s">
        <v>180</v>
      </c>
      <c r="D11" s="3">
        <f>'FEC Transport'!D11-'FEC Transport RES'!D11</f>
        <v>6059.6580000000004</v>
      </c>
      <c r="E11" s="3">
        <f>'FEC Transport'!E11-'FEC Transport RES'!E11</f>
        <v>6281.3249999999998</v>
      </c>
      <c r="F11" s="3">
        <f>'FEC Transport'!F11-'FEC Transport RES'!F11</f>
        <v>6605.8810000000003</v>
      </c>
      <c r="G11" s="3">
        <f>'FEC Transport'!G11-'FEC Transport RES'!G11</f>
        <v>6570.8559999999998</v>
      </c>
      <c r="H11" s="3">
        <f>'FEC Transport'!H11-'FEC Transport RES'!H11</f>
        <v>6366.3130000000001</v>
      </c>
      <c r="I11" s="3">
        <f>'FEC Transport'!I11-'FEC Transport RES'!I11</f>
        <v>5998.2219999999998</v>
      </c>
      <c r="J11" s="3">
        <f>'FEC Transport'!J11-'FEC Transport RES'!J11</f>
        <v>5945.7430000000004</v>
      </c>
      <c r="K11" s="3">
        <f>'FEC Transport'!K11-'FEC Transport RES'!K11</f>
        <v>5807.3330000000005</v>
      </c>
      <c r="L11" s="3">
        <f>'FEC Transport'!L11-'FEC Transport RES'!L11</f>
        <v>5744.9439999999995</v>
      </c>
      <c r="M11" s="3">
        <f>'FEC Transport'!M11-'FEC Transport RES'!M11</f>
        <v>5924.6900000000005</v>
      </c>
      <c r="N11" s="3">
        <f>'FEC Transport'!N11-'FEC Transport RES'!N11</f>
        <v>6193.4650000000001</v>
      </c>
      <c r="O11" s="3">
        <f>'FEC Transport'!O11-'FEC Transport RES'!O11</f>
        <v>6432.4459999999999</v>
      </c>
      <c r="P11" s="3">
        <f>'FEC Transport'!P11-'FEC Transport RES'!P11</f>
        <v>6658.152</v>
      </c>
      <c r="Q11" s="3">
        <f>'FEC Transport'!Q11-'FEC Transport RES'!Q11</f>
        <v>6760.7270000000008</v>
      </c>
      <c r="R11" s="3">
        <f>'FEC Transport'!R11-'FEC Transport RES'!R11</f>
        <v>6857.2269999999999</v>
      </c>
      <c r="S11" s="3">
        <f>'FEC Transport'!S11-'FEC Transport RES'!S11</f>
        <v>6118.8310000000001</v>
      </c>
      <c r="T11" s="3">
        <f>'FEC Transport'!T11-'FEC Transport RES'!T11</f>
        <v>6559.0199999999995</v>
      </c>
      <c r="U11" s="3">
        <f>'FEC Transport'!U11-'FEC Transport RES'!U11</f>
        <v>6827.9179999999997</v>
      </c>
      <c r="V11" s="3">
        <f t="shared" ca="1" si="7"/>
        <v>7374.5793117360217</v>
      </c>
      <c r="W11" s="16">
        <f t="shared" ca="1" si="4"/>
        <v>2</v>
      </c>
      <c r="X11" t="str">
        <f t="shared" ca="1" si="0"/>
        <v>GHG Proxy</v>
      </c>
      <c r="AA11" s="3">
        <f t="shared" ca="1" si="1"/>
        <v>6827.9179999999997</v>
      </c>
      <c r="AB11" s="3">
        <f t="shared" ca="1" si="5"/>
        <v>7374.5793117360217</v>
      </c>
      <c r="AC11" s="3">
        <f t="shared" ca="1" si="2"/>
        <v>6575.597099999999</v>
      </c>
      <c r="AD11" s="3" t="str">
        <f t="shared" si="6"/>
        <v/>
      </c>
      <c r="AE11" s="16"/>
      <c r="AG11" s="7">
        <f t="shared" ca="1" si="3"/>
        <v>7.1744354567044675E-3</v>
      </c>
      <c r="AN11" s="7" t="str">
        <f>IFERROR(INDEX('MS Stats list'!P:P, MATCH(B11,'MS Stats list'!B:B,0)),"")</f>
        <v/>
      </c>
    </row>
    <row r="12" spans="1:40">
      <c r="B12" t="s">
        <v>91</v>
      </c>
      <c r="C12" t="s">
        <v>91</v>
      </c>
      <c r="D12" s="3">
        <f>'FEC Transport'!D12-'FEC Transport RES'!D12</f>
        <v>60459.726999999999</v>
      </c>
      <c r="E12" s="3">
        <f>'FEC Transport'!E12-'FEC Transport RES'!E12</f>
        <v>60051.179000000004</v>
      </c>
      <c r="F12" s="3">
        <f>'FEC Transport'!F12-'FEC Transport RES'!F12</f>
        <v>58611.276999999995</v>
      </c>
      <c r="G12" s="3">
        <f>'FEC Transport'!G12-'FEC Transport RES'!G12</f>
        <v>58770.46</v>
      </c>
      <c r="H12" s="3">
        <f>'FEC Transport'!H12-'FEC Transport RES'!H12</f>
        <v>57954.326999999997</v>
      </c>
      <c r="I12" s="3">
        <f>'FEC Transport'!I12-'FEC Transport RES'!I12</f>
        <v>58199.547000000006</v>
      </c>
      <c r="J12" s="3">
        <f>'FEC Transport'!J12-'FEC Transport RES'!J12</f>
        <v>58498.428</v>
      </c>
      <c r="K12" s="3">
        <f>'FEC Transport'!K12-'FEC Transport RES'!K12</f>
        <v>58478.441000000006</v>
      </c>
      <c r="L12" s="3">
        <f>'FEC Transport'!L12-'FEC Transport RES'!L12</f>
        <v>59874.856999999996</v>
      </c>
      <c r="M12" s="3">
        <f>'FEC Transport'!M12-'FEC Transport RES'!M12</f>
        <v>60671.020000000004</v>
      </c>
      <c r="N12" s="3">
        <f>'FEC Transport'!N12-'FEC Transport RES'!N12</f>
        <v>60589.708999999995</v>
      </c>
      <c r="O12" s="3">
        <f>'FEC Transport'!O12-'FEC Transport RES'!O12</f>
        <v>62601.203999999998</v>
      </c>
      <c r="P12" s="3">
        <f>'FEC Transport'!P12-'FEC Transport RES'!P12</f>
        <v>64169.716</v>
      </c>
      <c r="Q12" s="3">
        <f>'FEC Transport'!Q12-'FEC Transport RES'!Q12</f>
        <v>62599.843999999997</v>
      </c>
      <c r="R12" s="3">
        <f>'FEC Transport'!R12-'FEC Transport RES'!R12</f>
        <v>63285.678</v>
      </c>
      <c r="S12" s="3">
        <f>'FEC Transport'!S12-'FEC Transport RES'!S12</f>
        <v>52205.896000000001</v>
      </c>
      <c r="T12" s="3">
        <f>'FEC Transport'!T12-'FEC Transport RES'!T12</f>
        <v>53033.525999999998</v>
      </c>
      <c r="U12" s="3">
        <f>'FEC Transport'!U12-'FEC Transport RES'!U12</f>
        <v>56484.409999999996</v>
      </c>
      <c r="V12" s="3">
        <f t="shared" ca="1" si="7"/>
        <v>55388.612445999999</v>
      </c>
      <c r="W12" s="16">
        <f t="shared" ca="1" si="4"/>
        <v>4</v>
      </c>
      <c r="X12" t="str">
        <f t="shared" ca="1" si="0"/>
        <v>Based on MS Stats</v>
      </c>
      <c r="AA12" s="3">
        <f t="shared" ca="1" si="1"/>
        <v>56484.409999999996</v>
      </c>
      <c r="AB12" s="3">
        <f t="shared" ca="1" si="5"/>
        <v>55792.516937063119</v>
      </c>
      <c r="AC12" s="3">
        <f t="shared" ca="1" si="2"/>
        <v>50776.964799999259</v>
      </c>
      <c r="AD12" s="3">
        <f t="shared" ca="1" si="6"/>
        <v>55388.612445999999</v>
      </c>
      <c r="AE12" s="16"/>
      <c r="AG12" s="7">
        <f t="shared" ca="1" si="3"/>
        <v>0.46593554203183191</v>
      </c>
      <c r="AN12" s="7" t="str">
        <f>IFERROR(INDEX('MS Stats list'!P:P, MATCH(B12,'MS Stats list'!B:B,0)),"")</f>
        <v>BMWi - Gesamtausgabe der Energiedaten - Datensammlung des BMWi, AGEB - Primärenergieverbrauch Jahr 2021</v>
      </c>
    </row>
    <row r="13" spans="1:40">
      <c r="B13" t="s">
        <v>115</v>
      </c>
      <c r="C13" t="s">
        <v>115</v>
      </c>
      <c r="D13" s="3">
        <f>'FEC Transport'!D13-'FEC Transport RES'!D13</f>
        <v>5265.6750000000002</v>
      </c>
      <c r="E13" s="3">
        <f>'FEC Transport'!E13-'FEC Transport RES'!E13</f>
        <v>5361.89</v>
      </c>
      <c r="F13" s="3">
        <f>'FEC Transport'!F13-'FEC Transport RES'!F13</f>
        <v>5560.308</v>
      </c>
      <c r="G13" s="3">
        <f>'FEC Transport'!G13-'FEC Transport RES'!G13</f>
        <v>5506.576</v>
      </c>
      <c r="H13" s="3">
        <f>'FEC Transport'!H13-'FEC Transport RES'!H13</f>
        <v>5154.0369999999994</v>
      </c>
      <c r="I13" s="3">
        <f>'FEC Transport'!I13-'FEC Transport RES'!I13</f>
        <v>5132.1060000000007</v>
      </c>
      <c r="J13" s="3">
        <f>'FEC Transport'!J13-'FEC Transport RES'!J13</f>
        <v>5039.402</v>
      </c>
      <c r="K13" s="3">
        <f>'FEC Transport'!K13-'FEC Transport RES'!K13</f>
        <v>4695.9830000000002</v>
      </c>
      <c r="L13" s="3">
        <f>'FEC Transport'!L13-'FEC Transport RES'!L13</f>
        <v>4618.0309999999999</v>
      </c>
      <c r="M13" s="3">
        <f>'FEC Transport'!M13-'FEC Transport RES'!M13</f>
        <v>4715.6710000000003</v>
      </c>
      <c r="N13" s="3">
        <f>'FEC Transport'!N13-'FEC Transport RES'!N13</f>
        <v>4882.7049999999999</v>
      </c>
      <c r="O13" s="3">
        <f>'FEC Transport'!O13-'FEC Transport RES'!O13</f>
        <v>5003.0029999999997</v>
      </c>
      <c r="P13" s="3">
        <f>'FEC Transport'!P13-'FEC Transport RES'!P13</f>
        <v>5024.9779999999992</v>
      </c>
      <c r="Q13" s="3">
        <f>'FEC Transport'!Q13-'FEC Transport RES'!Q13</f>
        <v>5117.4150000000009</v>
      </c>
      <c r="R13" s="3">
        <f>'FEC Transport'!R13-'FEC Transport RES'!R13</f>
        <v>5055.3249999999998</v>
      </c>
      <c r="S13" s="3">
        <f>'FEC Transport'!S13-'FEC Transport RES'!S13</f>
        <v>4018.7919999999995</v>
      </c>
      <c r="T13" s="3">
        <f>'FEC Transport'!T13-'FEC Transport RES'!T13</f>
        <v>4193.3230000000003</v>
      </c>
      <c r="U13" s="3">
        <f>'FEC Transport'!U13-'FEC Transport RES'!U13</f>
        <v>4484.4569999999994</v>
      </c>
      <c r="V13" s="3">
        <f t="shared" ca="1" si="7"/>
        <v>4331.1485804349923</v>
      </c>
      <c r="W13" s="16">
        <f t="shared" ca="1" si="4"/>
        <v>2</v>
      </c>
      <c r="X13" t="str">
        <f t="shared" ca="1" si="0"/>
        <v>GHG Proxy</v>
      </c>
      <c r="AA13" s="3">
        <f t="shared" ca="1" si="1"/>
        <v>4484.4569999999994</v>
      </c>
      <c r="AB13" s="3">
        <f t="shared" ca="1" si="5"/>
        <v>4331.1485804349923</v>
      </c>
      <c r="AC13" s="3">
        <f t="shared" ca="1" si="2"/>
        <v>3935.4869999999646</v>
      </c>
      <c r="AD13" s="3" t="str">
        <f t="shared" si="6"/>
        <v/>
      </c>
      <c r="AE13" s="16"/>
      <c r="AG13" s="7">
        <f t="shared" ca="1" si="3"/>
        <v>0.4582278313351979</v>
      </c>
      <c r="AN13" s="7" t="str">
        <f>IFERROR(INDEX('MS Stats list'!P:P, MATCH(B13,'MS Stats list'!B:B,0)),"")</f>
        <v>Danish Energy Agency - Preliminary Energy Statsticis 2022</v>
      </c>
    </row>
    <row r="14" spans="1:40">
      <c r="B14" t="s">
        <v>120</v>
      </c>
      <c r="C14" t="s">
        <v>120</v>
      </c>
      <c r="D14" s="3">
        <f>'FEC Transport'!D14-'FEC Transport RES'!D14</f>
        <v>768.47</v>
      </c>
      <c r="E14" s="3">
        <f>'FEC Transport'!E14-'FEC Transport RES'!E14</f>
        <v>818.63700000000006</v>
      </c>
      <c r="F14" s="3">
        <f>'FEC Transport'!F14-'FEC Transport RES'!F14</f>
        <v>862.19400000000007</v>
      </c>
      <c r="G14" s="3">
        <f>'FEC Transport'!G14-'FEC Transport RES'!G14</f>
        <v>841.15600000000006</v>
      </c>
      <c r="H14" s="3">
        <f>'FEC Transport'!H14-'FEC Transport RES'!H14</f>
        <v>748.16600000000005</v>
      </c>
      <c r="I14" s="3">
        <f>'FEC Transport'!I14-'FEC Transport RES'!I14</f>
        <v>780.51099999999997</v>
      </c>
      <c r="J14" s="3">
        <f>'FEC Transport'!J14-'FEC Transport RES'!J14</f>
        <v>790.149</v>
      </c>
      <c r="K14" s="3">
        <f>'FEC Transport'!K14-'FEC Transport RES'!K14</f>
        <v>813.69200000000001</v>
      </c>
      <c r="L14" s="3">
        <f>'FEC Transport'!L14-'FEC Transport RES'!L14</f>
        <v>783.64300000000003</v>
      </c>
      <c r="M14" s="3">
        <f>'FEC Transport'!M14-'FEC Transport RES'!M14</f>
        <v>784.05899999999997</v>
      </c>
      <c r="N14" s="3">
        <f>'FEC Transport'!N14-'FEC Transport RES'!N14</f>
        <v>807.42700000000002</v>
      </c>
      <c r="O14" s="3">
        <f>'FEC Transport'!O14-'FEC Transport RES'!O14</f>
        <v>820.81000000000006</v>
      </c>
      <c r="P14" s="3">
        <f>'FEC Transport'!P14-'FEC Transport RES'!P14</f>
        <v>861.04399999999998</v>
      </c>
      <c r="Q14" s="3">
        <f>'FEC Transport'!Q14-'FEC Transport RES'!Q14</f>
        <v>885.52300000000002</v>
      </c>
      <c r="R14" s="3">
        <f>'FEC Transport'!R14-'FEC Transport RES'!R14</f>
        <v>878.428</v>
      </c>
      <c r="S14" s="3">
        <f>'FEC Transport'!S14-'FEC Transport RES'!S14</f>
        <v>777.63300000000004</v>
      </c>
      <c r="T14" s="3">
        <f>'FEC Transport'!T14-'FEC Transport RES'!T14</f>
        <v>832.88200000000006</v>
      </c>
      <c r="U14" s="3">
        <f>'FEC Transport'!U14-'FEC Transport RES'!U14</f>
        <v>869.99099999999999</v>
      </c>
      <c r="V14" s="3">
        <f t="shared" ca="1" si="7"/>
        <v>901.44191528866224</v>
      </c>
      <c r="W14" s="16">
        <f t="shared" ca="1" si="4"/>
        <v>2</v>
      </c>
      <c r="X14" t="str">
        <f t="shared" ca="1" si="0"/>
        <v>GHG Proxy</v>
      </c>
      <c r="AA14" s="3">
        <f t="shared" ca="1" si="1"/>
        <v>869.99099999999999</v>
      </c>
      <c r="AB14" s="3">
        <f t="shared" ca="1" si="5"/>
        <v>901.44191528866224</v>
      </c>
      <c r="AC14" s="3">
        <f t="shared" ca="1" si="2"/>
        <v>825.90840000000026</v>
      </c>
      <c r="AD14" s="3" t="str">
        <f t="shared" si="6"/>
        <v/>
      </c>
      <c r="AE14" s="16"/>
      <c r="AG14" s="7">
        <f t="shared" ca="1" si="3"/>
        <v>7.342295462903721E-2</v>
      </c>
      <c r="AN14" s="7">
        <f>IFERROR(INDEX('MS Stats list'!P:P, MATCH(B14,'MS Stats list'!B:B,0)),"")</f>
        <v>0</v>
      </c>
    </row>
    <row r="15" spans="1:40">
      <c r="B15" t="s">
        <v>85</v>
      </c>
      <c r="C15" t="s">
        <v>85</v>
      </c>
      <c r="D15" s="3">
        <f>'FEC Transport'!D15-'FEC Transport RES'!D15</f>
        <v>39907.572</v>
      </c>
      <c r="E15" s="3">
        <f>'FEC Transport'!E15-'FEC Transport RES'!E15</f>
        <v>41046.256000000001</v>
      </c>
      <c r="F15" s="3">
        <f>'FEC Transport'!F15-'FEC Transport RES'!F15</f>
        <v>42088.477999999996</v>
      </c>
      <c r="G15" s="3">
        <f>'FEC Transport'!G15-'FEC Transport RES'!G15</f>
        <v>40073.876000000004</v>
      </c>
      <c r="H15" s="3">
        <f>'FEC Transport'!H15-'FEC Transport RES'!H15</f>
        <v>36984.177000000003</v>
      </c>
      <c r="I15" s="3">
        <f>'FEC Transport'!I15-'FEC Transport RES'!I15</f>
        <v>35928.415000000001</v>
      </c>
      <c r="J15" s="3">
        <f>'FEC Transport'!J15-'FEC Transport RES'!J15</f>
        <v>34470.649999999994</v>
      </c>
      <c r="K15" s="3">
        <f>'FEC Transport'!K15-'FEC Transport RES'!K15</f>
        <v>31337.944</v>
      </c>
      <c r="L15" s="3">
        <f>'FEC Transport'!L15-'FEC Transport RES'!L15</f>
        <v>30975.037</v>
      </c>
      <c r="M15" s="3">
        <f>'FEC Transport'!M15-'FEC Transport RES'!M15</f>
        <v>31194.933000000001</v>
      </c>
      <c r="N15" s="3">
        <f>'FEC Transport'!N15-'FEC Transport RES'!N15</f>
        <v>32412.53</v>
      </c>
      <c r="O15" s="3">
        <f>'FEC Transport'!O15-'FEC Transport RES'!O15</f>
        <v>33706.735000000001</v>
      </c>
      <c r="P15" s="3">
        <f>'FEC Transport'!P15-'FEC Transport RES'!P15</f>
        <v>35040.573000000004</v>
      </c>
      <c r="Q15" s="3">
        <f>'FEC Transport'!Q15-'FEC Transport RES'!Q15</f>
        <v>35604.265999999996</v>
      </c>
      <c r="R15" s="3">
        <f>'FEC Transport'!R15-'FEC Transport RES'!R15</f>
        <v>36174.631999999998</v>
      </c>
      <c r="S15" s="3">
        <f>'FEC Transport'!S15-'FEC Transport RES'!S15</f>
        <v>26232.352999999999</v>
      </c>
      <c r="T15" s="3">
        <f>'FEC Transport'!T15-'FEC Transport RES'!T15</f>
        <v>30796.064000000002</v>
      </c>
      <c r="U15" s="3">
        <f>'FEC Transport'!U15-'FEC Transport RES'!U15</f>
        <v>34770.008999999998</v>
      </c>
      <c r="V15" s="3">
        <f t="shared" ca="1" si="7"/>
        <v>34627.904517263378</v>
      </c>
      <c r="W15" s="16">
        <f t="shared" ca="1" si="4"/>
        <v>2</v>
      </c>
      <c r="X15" t="str">
        <f t="shared" ca="1" si="0"/>
        <v>GHG Proxy</v>
      </c>
      <c r="AA15" s="3">
        <f t="shared" ca="1" si="1"/>
        <v>34770.008999999998</v>
      </c>
      <c r="AB15" s="3">
        <f t="shared" ca="1" si="5"/>
        <v>34627.904517263378</v>
      </c>
      <c r="AC15" s="3">
        <f t="shared" ca="1" si="2"/>
        <v>30601.340199999977</v>
      </c>
      <c r="AD15" s="3" t="str">
        <f t="shared" si="6"/>
        <v/>
      </c>
      <c r="AE15" s="16"/>
      <c r="AG15" s="7">
        <f t="shared" ca="1" si="3"/>
        <v>7.0695353129336572E-2</v>
      </c>
      <c r="AN15" s="7" t="str">
        <f>IFERROR(INDEX('MS Stats list'!P:P, MATCH(B15,'MS Stats list'!B:B,0)),"")</f>
        <v>Ministry of Ecological Transition</v>
      </c>
    </row>
    <row r="16" spans="1:40">
      <c r="B16" t="s">
        <v>2</v>
      </c>
      <c r="C16" t="s">
        <v>2</v>
      </c>
      <c r="D16" s="3">
        <f>'FEC Transport'!D16-'FEC Transport RES'!D16</f>
        <v>4644.433</v>
      </c>
      <c r="E16" s="3">
        <f>'FEC Transport'!E16-'FEC Transport RES'!E16</f>
        <v>4751.2749999999996</v>
      </c>
      <c r="F16" s="3">
        <f>'FEC Transport'!F16-'FEC Transport RES'!F16</f>
        <v>4935.4389999999994</v>
      </c>
      <c r="G16" s="3">
        <f>'FEC Transport'!G16-'FEC Transport RES'!G16</f>
        <v>4771.1329999999998</v>
      </c>
      <c r="H16" s="3">
        <f>'FEC Transport'!H16-'FEC Transport RES'!H16</f>
        <v>4511.8379999999997</v>
      </c>
      <c r="I16" s="3">
        <f>'FEC Transport'!I16-'FEC Transport RES'!I16</f>
        <v>4704.3359999999993</v>
      </c>
      <c r="J16" s="3">
        <f>'FEC Transport'!J16-'FEC Transport RES'!J16</f>
        <v>4741.2809999999999</v>
      </c>
      <c r="K16" s="3">
        <f>'FEC Transport'!K16-'FEC Transport RES'!K16</f>
        <v>4619.7349999999997</v>
      </c>
      <c r="L16" s="3">
        <f>'FEC Transport'!L16-'FEC Transport RES'!L16</f>
        <v>4623.6859999999997</v>
      </c>
      <c r="M16" s="3">
        <f>'FEC Transport'!M16-'FEC Transport RES'!M16</f>
        <v>4244.1630000000005</v>
      </c>
      <c r="N16" s="3">
        <f>'FEC Transport'!N16-'FEC Transport RES'!N16</f>
        <v>4249.665</v>
      </c>
      <c r="O16" s="3">
        <f>'FEC Transport'!O16-'FEC Transport RES'!O16</f>
        <v>4646.058</v>
      </c>
      <c r="P16" s="3">
        <f>'FEC Transport'!P16-'FEC Transport RES'!P16</f>
        <v>4484.1469999999999</v>
      </c>
      <c r="Q16" s="3">
        <f>'FEC Transport'!Q16-'FEC Transport RES'!Q16</f>
        <v>4653.4900000000007</v>
      </c>
      <c r="R16" s="3">
        <f>'FEC Transport'!R16-'FEC Transport RES'!R16</f>
        <v>4588.5659999999998</v>
      </c>
      <c r="S16" s="3">
        <f>'FEC Transport'!S16-'FEC Transport RES'!S16</f>
        <v>3766.817</v>
      </c>
      <c r="T16" s="3">
        <f>'FEC Transport'!T16-'FEC Transport RES'!T16</f>
        <v>3624.4399999999996</v>
      </c>
      <c r="U16" s="3">
        <f>'FEC Transport'!U16-'FEC Transport RES'!U16</f>
        <v>3824.8670000000002</v>
      </c>
      <c r="V16" s="3">
        <f t="shared" ca="1" si="7"/>
        <v>3741.0454168221563</v>
      </c>
      <c r="W16" s="16">
        <f t="shared" ca="1" si="4"/>
        <v>4</v>
      </c>
      <c r="X16" t="str">
        <f t="shared" ca="1" si="0"/>
        <v>Based on MS Stats</v>
      </c>
      <c r="AA16" s="3">
        <f t="shared" ca="1" si="1"/>
        <v>3824.8670000000002</v>
      </c>
      <c r="AB16" s="3">
        <f t="shared" ca="1" si="5"/>
        <v>3681.834449213115</v>
      </c>
      <c r="AC16" s="3">
        <f t="shared" ca="1" si="2"/>
        <v>3305.2244000000646</v>
      </c>
      <c r="AD16" s="3">
        <f t="shared" ca="1" si="6"/>
        <v>3741.0454168221563</v>
      </c>
      <c r="AE16" s="16"/>
      <c r="AG16" s="7">
        <f t="shared" ca="1" si="3"/>
        <v>0.71761129097771226</v>
      </c>
      <c r="AN16" s="7" t="str">
        <f>IFERROR(INDEX('MS Stats list'!P:P, MATCH(B16,'MS Stats list'!B:B,0)),"")</f>
        <v>Statistics Finland - Energy supply and consumption</v>
      </c>
    </row>
    <row r="17" spans="2:40">
      <c r="B17" t="s">
        <v>82</v>
      </c>
      <c r="C17" t="s">
        <v>82</v>
      </c>
      <c r="D17" s="3">
        <f>'FEC Transport'!D17-'FEC Transport RES'!D17</f>
        <v>49220.794999999998</v>
      </c>
      <c r="E17" s="3">
        <f>'FEC Transport'!E17-'FEC Transport RES'!E17</f>
        <v>49542.712999999996</v>
      </c>
      <c r="F17" s="3">
        <f>'FEC Transport'!F17-'FEC Transport RES'!F17</f>
        <v>49438.159000000007</v>
      </c>
      <c r="G17" s="3">
        <f>'FEC Transport'!G17-'FEC Transport RES'!G17</f>
        <v>47514.074000000001</v>
      </c>
      <c r="H17" s="3">
        <f>'FEC Transport'!H17-'FEC Transport RES'!H17</f>
        <v>46485.023000000001</v>
      </c>
      <c r="I17" s="3">
        <f>'FEC Transport'!I17-'FEC Transport RES'!I17</f>
        <v>46656.787000000004</v>
      </c>
      <c r="J17" s="3">
        <f>'FEC Transport'!J17-'FEC Transport RES'!J17</f>
        <v>48299.847999999998</v>
      </c>
      <c r="K17" s="3">
        <f>'FEC Transport'!K17-'FEC Transport RES'!K17</f>
        <v>47765.794999999998</v>
      </c>
      <c r="L17" s="3">
        <f>'FEC Transport'!L17-'FEC Transport RES'!L17</f>
        <v>47385.506000000001</v>
      </c>
      <c r="M17" s="3">
        <f>'FEC Transport'!M17-'FEC Transport RES'!M17</f>
        <v>47436.436000000002</v>
      </c>
      <c r="N17" s="3">
        <f>'FEC Transport'!N17-'FEC Transport RES'!N17</f>
        <v>48197.168000000005</v>
      </c>
      <c r="O17" s="3">
        <f>'FEC Transport'!O17-'FEC Transport RES'!O17</f>
        <v>48262.678999999996</v>
      </c>
      <c r="P17" s="3">
        <f>'FEC Transport'!P17-'FEC Transport RES'!P17</f>
        <v>48588.028999999995</v>
      </c>
      <c r="Q17" s="3">
        <f>'FEC Transport'!Q17-'FEC Transport RES'!Q17</f>
        <v>47898.172000000006</v>
      </c>
      <c r="R17" s="3">
        <f>'FEC Transport'!R17-'FEC Transport RES'!R17</f>
        <v>48105.869000000006</v>
      </c>
      <c r="S17" s="3">
        <f>'FEC Transport'!S17-'FEC Transport RES'!S17</f>
        <v>38046.747000000003</v>
      </c>
      <c r="T17" s="3">
        <f>'FEC Transport'!T17-'FEC Transport RES'!T17</f>
        <v>42461.167999999998</v>
      </c>
      <c r="U17" s="3">
        <f>'FEC Transport'!U17-'FEC Transport RES'!U17</f>
        <v>46229.445</v>
      </c>
      <c r="V17" s="3">
        <f t="shared" ca="1" si="7"/>
        <v>44637.660102599613</v>
      </c>
      <c r="W17" s="16">
        <f t="shared" ca="1" si="4"/>
        <v>4</v>
      </c>
      <c r="X17" t="str">
        <f t="shared" ca="1" si="0"/>
        <v>Based on MS Stats</v>
      </c>
      <c r="AA17" s="3">
        <f t="shared" ca="1" si="1"/>
        <v>46229.445</v>
      </c>
      <c r="AB17" s="3">
        <f ca="1">$AA17*(1+AB52)</f>
        <v>44757.545345640516</v>
      </c>
      <c r="AC17" s="3">
        <f t="shared" ca="1" si="2"/>
        <v>41853.633699999889</v>
      </c>
      <c r="AD17" s="3">
        <f t="shared" ca="1" si="6"/>
        <v>44637.660102599613</v>
      </c>
      <c r="AE17" s="16"/>
      <c r="AG17" s="7">
        <f t="shared" ca="1" si="3"/>
        <v>0.11002121761128271</v>
      </c>
      <c r="AN17" s="7" t="str">
        <f>IFERROR(INDEX('MS Stats list'!P:P, MATCH(B17,'MS Stats list'!B:B,0)),"")</f>
        <v>Ministère de la Transition écologique et solidaire - Données et études statistiques</v>
      </c>
    </row>
    <row r="18" spans="2:40">
      <c r="B18" t="s">
        <v>181</v>
      </c>
      <c r="C18" t="s">
        <v>182</v>
      </c>
      <c r="D18" s="3">
        <f>'FEC Transport'!D18-'FEC Transport RES'!D18</f>
        <v>8171.3580000000002</v>
      </c>
      <c r="E18" s="3">
        <f>'FEC Transport'!E18-'FEC Transport RES'!E18</f>
        <v>8495.4030000000002</v>
      </c>
      <c r="F18" s="3">
        <f>'FEC Transport'!F18-'FEC Transport RES'!F18</f>
        <v>8723.64</v>
      </c>
      <c r="G18" s="3">
        <f>'FEC Transport'!G18-'FEC Transport RES'!G18</f>
        <v>8537.8959999999988</v>
      </c>
      <c r="H18" s="3">
        <f>'FEC Transport'!H18-'FEC Transport RES'!H18</f>
        <v>9130.4979999999996</v>
      </c>
      <c r="I18" s="3">
        <f>'FEC Transport'!I18-'FEC Transport RES'!I18</f>
        <v>8034.2340000000004</v>
      </c>
      <c r="J18" s="3">
        <f>'FEC Transport'!J18-'FEC Transport RES'!J18</f>
        <v>7341.5960000000005</v>
      </c>
      <c r="K18" s="3">
        <f>'FEC Transport'!K18-'FEC Transport RES'!K18</f>
        <v>6170.4810000000007</v>
      </c>
      <c r="L18" s="3">
        <f>'FEC Transport'!L18-'FEC Transport RES'!L18</f>
        <v>6161.2109999999993</v>
      </c>
      <c r="M18" s="3">
        <f>'FEC Transport'!M18-'FEC Transport RES'!M18</f>
        <v>6278.4840000000004</v>
      </c>
      <c r="N18" s="3">
        <f>'FEC Transport'!N18-'FEC Transport RES'!N18</f>
        <v>6435.5719999999992</v>
      </c>
      <c r="O18" s="3">
        <f>'FEC Transport'!O18-'FEC Transport RES'!O18</f>
        <v>6626.77</v>
      </c>
      <c r="P18" s="3">
        <f>'FEC Transport'!P18-'FEC Transport RES'!P18</f>
        <v>6636.058</v>
      </c>
      <c r="Q18" s="3">
        <f>'FEC Transport'!Q18-'FEC Transport RES'!Q18</f>
        <v>6827.777</v>
      </c>
      <c r="R18" s="3">
        <f>'FEC Transport'!R18-'FEC Transport RES'!R18</f>
        <v>6989.6959999999999</v>
      </c>
      <c r="S18" s="3">
        <f>'FEC Transport'!S18-'FEC Transport RES'!S18</f>
        <v>5297.7429999999995</v>
      </c>
      <c r="T18" s="3">
        <f>'FEC Transport'!T18-'FEC Transport RES'!T18</f>
        <v>6010.3949999999995</v>
      </c>
      <c r="U18" s="3">
        <f>'FEC Transport'!U18-'FEC Transport RES'!U18</f>
        <v>6806.2469999999994</v>
      </c>
      <c r="V18" s="3">
        <f ca="1">INDEX($AA18:$AG18,1,W18)</f>
        <v>6806.2469999999994</v>
      </c>
      <c r="W18" s="16">
        <f t="shared" ca="1" si="4"/>
        <v>1</v>
      </c>
      <c r="X18" t="str">
        <f ca="1">INDEX($AA$5:$AG$5,W18)</f>
        <v>No Change</v>
      </c>
      <c r="AA18" s="3">
        <f t="shared" ca="1" si="1"/>
        <v>6806.2469999999994</v>
      </c>
      <c r="AB18" s="3">
        <f ca="1">$AA18*(1+AB53)</f>
        <v>2333.7816741541192</v>
      </c>
      <c r="AC18" s="3">
        <f t="shared" ca="1" si="2"/>
        <v>6079.6633000000147</v>
      </c>
      <c r="AD18" s="3" t="str">
        <f t="shared" si="6"/>
        <v/>
      </c>
      <c r="AE18" s="16"/>
      <c r="AG18" s="7">
        <f t="shared" ca="1" si="3"/>
        <v>5.0699430425521885E-2</v>
      </c>
      <c r="AN18" s="7" t="str">
        <f>IFERROR(INDEX('MS Stats list'!P:P, MATCH(B18,'MS Stats list'!B:B,0)),"")</f>
        <v/>
      </c>
    </row>
    <row r="19" spans="2:40">
      <c r="B19" t="s">
        <v>183</v>
      </c>
      <c r="C19" t="s">
        <v>183</v>
      </c>
      <c r="D19" s="3">
        <f>'FEC Transport'!D19-'FEC Transport RES'!D19</f>
        <v>1919.2329999999999</v>
      </c>
      <c r="E19" s="3">
        <f>'FEC Transport'!E19-'FEC Transport RES'!E19</f>
        <v>2038.3109999999999</v>
      </c>
      <c r="F19" s="3">
        <f>'FEC Transport'!F19-'FEC Transport RES'!F19</f>
        <v>2185.8500000000004</v>
      </c>
      <c r="G19" s="3">
        <f>'FEC Transport'!G19-'FEC Transport RES'!G19</f>
        <v>2179.6440000000002</v>
      </c>
      <c r="H19" s="3">
        <f>'FEC Transport'!H19-'FEC Transport RES'!H19</f>
        <v>2151.2810000000004</v>
      </c>
      <c r="I19" s="3">
        <f>'FEC Transport'!I19-'FEC Transport RES'!I19</f>
        <v>2076.6610000000001</v>
      </c>
      <c r="J19" s="3">
        <f>'FEC Transport'!J19-'FEC Transport RES'!J19</f>
        <v>2042.3319999999999</v>
      </c>
      <c r="K19" s="3">
        <f>'FEC Transport'!K19-'FEC Transport RES'!K19</f>
        <v>1976.1969999999999</v>
      </c>
      <c r="L19" s="3">
        <f>'FEC Transport'!L19-'FEC Transport RES'!L19</f>
        <v>2012.6480000000001</v>
      </c>
      <c r="M19" s="3">
        <f>'FEC Transport'!M19-'FEC Transport RES'!M19</f>
        <v>1991.845</v>
      </c>
      <c r="N19" s="3">
        <f>'FEC Transport'!N19-'FEC Transport RES'!N19</f>
        <v>2090.0619999999999</v>
      </c>
      <c r="O19" s="3">
        <f>'FEC Transport'!O19-'FEC Transport RES'!O19</f>
        <v>2168.1419999999998</v>
      </c>
      <c r="P19" s="3">
        <f>'FEC Transport'!P19-'FEC Transport RES'!P19</f>
        <v>2343.9160000000002</v>
      </c>
      <c r="Q19" s="3">
        <f>'FEC Transport'!Q19-'FEC Transport RES'!Q19</f>
        <v>2304.1280000000002</v>
      </c>
      <c r="R19" s="3">
        <f>'FEC Transport'!R19-'FEC Transport RES'!R19</f>
        <v>2372.1669999999999</v>
      </c>
      <c r="S19" s="3">
        <f>'FEC Transport'!S19-'FEC Transport RES'!S19</f>
        <v>1957.0049999999999</v>
      </c>
      <c r="T19" s="3">
        <f>'FEC Transport'!T19-'FEC Transport RES'!T19</f>
        <v>2154.962</v>
      </c>
      <c r="U19" s="3">
        <f>'FEC Transport'!U19-'FEC Transport RES'!U19</f>
        <v>2399.8249999999998</v>
      </c>
      <c r="V19" s="3">
        <f t="shared" ca="1" si="7"/>
        <v>2399.8249999999998</v>
      </c>
      <c r="W19" s="16">
        <f t="shared" ca="1" si="4"/>
        <v>2</v>
      </c>
      <c r="X19" t="str">
        <f t="shared" ca="1" si="0"/>
        <v>GHG Proxy</v>
      </c>
      <c r="AA19" s="3">
        <f t="shared" ca="1" si="1"/>
        <v>2399.8249999999998</v>
      </c>
      <c r="AB19" s="3">
        <f t="shared" ca="1" si="5"/>
        <v>2399.8249999999998</v>
      </c>
      <c r="AC19" s="3">
        <f t="shared" ca="1" si="2"/>
        <v>2229.8741</v>
      </c>
      <c r="AD19" s="3" t="str">
        <f t="shared" si="6"/>
        <v/>
      </c>
      <c r="AE19" s="16"/>
      <c r="AG19" s="7">
        <f t="shared" ca="1" si="3"/>
        <v>4.9563939751138446E-4</v>
      </c>
      <c r="AN19" s="7" t="str">
        <f>IFERROR(INDEX('MS Stats list'!P:P, MATCH(B19,'MS Stats list'!B:B,0)),"")</f>
        <v/>
      </c>
    </row>
    <row r="20" spans="2:40">
      <c r="B20" t="s">
        <v>88</v>
      </c>
      <c r="C20" t="s">
        <v>88</v>
      </c>
      <c r="D20" s="3">
        <f>'FEC Transport'!D20-'FEC Transport RES'!D20</f>
        <v>4294.3489999999993</v>
      </c>
      <c r="E20" s="3">
        <f>'FEC Transport'!E20-'FEC Transport RES'!E20</f>
        <v>4572.7380000000003</v>
      </c>
      <c r="F20" s="3">
        <f>'FEC Transport'!F20-'FEC Transport RES'!F20</f>
        <v>4612.7420000000002</v>
      </c>
      <c r="G20" s="3">
        <f>'FEC Transport'!G20-'FEC Transport RES'!G20</f>
        <v>4606.3029999999999</v>
      </c>
      <c r="H20" s="3">
        <f>'FEC Transport'!H20-'FEC Transport RES'!H20</f>
        <v>4542.1729999999998</v>
      </c>
      <c r="I20" s="3">
        <f>'FEC Transport'!I20-'FEC Transport RES'!I20</f>
        <v>4144.3229999999994</v>
      </c>
      <c r="J20" s="3">
        <f>'FEC Transport'!J20-'FEC Transport RES'!J20</f>
        <v>3886.2380000000003</v>
      </c>
      <c r="K20" s="3">
        <f>'FEC Transport'!K20-'FEC Transport RES'!K20</f>
        <v>3704.9269999999997</v>
      </c>
      <c r="L20" s="3">
        <f>'FEC Transport'!L20-'FEC Transport RES'!L20</f>
        <v>3485.6769999999997</v>
      </c>
      <c r="M20" s="3">
        <f>'FEC Transport'!M20-'FEC Transport RES'!M20</f>
        <v>3855.58</v>
      </c>
      <c r="N20" s="3">
        <f>'FEC Transport'!N20-'FEC Transport RES'!N20</f>
        <v>4180.8419999999996</v>
      </c>
      <c r="O20" s="3">
        <f>'FEC Transport'!O20-'FEC Transport RES'!O20</f>
        <v>4266.7249999999995</v>
      </c>
      <c r="P20" s="3">
        <f>'FEC Transport'!P20-'FEC Transport RES'!P20</f>
        <v>4556.0460000000003</v>
      </c>
      <c r="Q20" s="3">
        <f>'FEC Transport'!Q20-'FEC Transport RES'!Q20</f>
        <v>4873.2619999999997</v>
      </c>
      <c r="R20" s="3">
        <f>'FEC Transport'!R20-'FEC Transport RES'!R20</f>
        <v>5147.3450000000003</v>
      </c>
      <c r="S20" s="3">
        <f>'FEC Transport'!S20-'FEC Transport RES'!S20</f>
        <v>4281.817</v>
      </c>
      <c r="T20" s="3">
        <f>'FEC Transport'!T20-'FEC Transport RES'!T20</f>
        <v>4735.7669999999998</v>
      </c>
      <c r="U20" s="3">
        <f>'FEC Transport'!U20-'FEC Transport RES'!U20</f>
        <v>5232.0079999999998</v>
      </c>
      <c r="V20" s="3">
        <f t="shared" ca="1" si="7"/>
        <v>4921.9597931134031</v>
      </c>
      <c r="W20" s="16">
        <f t="shared" ca="1" si="4"/>
        <v>2</v>
      </c>
      <c r="X20" t="str">
        <f t="shared" ca="1" si="0"/>
        <v>GHG Proxy</v>
      </c>
      <c r="AA20" s="3">
        <f t="shared" ca="1" si="1"/>
        <v>5232.0079999999998</v>
      </c>
      <c r="AB20" s="3">
        <f t="shared" ca="1" si="5"/>
        <v>4921.9597931134031</v>
      </c>
      <c r="AC20" s="3">
        <f t="shared" ca="1" si="2"/>
        <v>4945.8139999999985</v>
      </c>
      <c r="AD20" s="3" t="str">
        <f t="shared" si="6"/>
        <v/>
      </c>
      <c r="AE20" s="16"/>
      <c r="AG20" s="7">
        <f t="shared" ca="1" si="3"/>
        <v>1.6398435426144276E-2</v>
      </c>
      <c r="AN20" s="7" t="str">
        <f>IFERROR(INDEX('MS Stats list'!P:P, MATCH(B20,'MS Stats list'!B:B,0)),"")</f>
        <v>MEKH - Official Statistics - 7.2 National simplified Energy Balance - IEA format</v>
      </c>
    </row>
    <row r="21" spans="2:40">
      <c r="B21" t="s">
        <v>133</v>
      </c>
      <c r="C21" t="s">
        <v>133</v>
      </c>
      <c r="D21" s="3">
        <f>'FEC Transport'!D21-'FEC Transport RES'!D21</f>
        <v>5087.1210000000001</v>
      </c>
      <c r="E21" s="3">
        <f>'FEC Transport'!E21-'FEC Transport RES'!E21</f>
        <v>5509.2150000000001</v>
      </c>
      <c r="F21" s="3">
        <f>'FEC Transport'!F21-'FEC Transport RES'!F21</f>
        <v>5776.317</v>
      </c>
      <c r="G21" s="3">
        <f>'FEC Transport'!G21-'FEC Transport RES'!G21</f>
        <v>5437.5619999999999</v>
      </c>
      <c r="H21" s="3">
        <f>'FEC Transport'!H21-'FEC Transport RES'!H21</f>
        <v>4653.5610000000006</v>
      </c>
      <c r="I21" s="3">
        <f>'FEC Transport'!I21-'FEC Transport RES'!I21</f>
        <v>4555.777</v>
      </c>
      <c r="J21" s="3">
        <f>'FEC Transport'!J21-'FEC Transport RES'!J21</f>
        <v>4307.433</v>
      </c>
      <c r="K21" s="3">
        <f>'FEC Transport'!K21-'FEC Transport RES'!K21</f>
        <v>4122.1009999999997</v>
      </c>
      <c r="L21" s="3">
        <f>'FEC Transport'!L21-'FEC Transport RES'!L21</f>
        <v>4227.1490000000003</v>
      </c>
      <c r="M21" s="3">
        <f>'FEC Transport'!M21-'FEC Transport RES'!M21</f>
        <v>4464.8970000000008</v>
      </c>
      <c r="N21" s="3">
        <f>'FEC Transport'!N21-'FEC Transport RES'!N21</f>
        <v>4602.2659999999996</v>
      </c>
      <c r="O21" s="3">
        <f>'FEC Transport'!O21-'FEC Transport RES'!O21</f>
        <v>4851.5389999999998</v>
      </c>
      <c r="P21" s="3">
        <f>'FEC Transport'!P21-'FEC Transport RES'!P21</f>
        <v>4907.5159999999996</v>
      </c>
      <c r="Q21" s="3">
        <f>'FEC Transport'!Q21-'FEC Transport RES'!Q21</f>
        <v>5040.8149999999996</v>
      </c>
      <c r="R21" s="3">
        <f>'FEC Transport'!R21-'FEC Transport RES'!R21</f>
        <v>5046.8059999999996</v>
      </c>
      <c r="S21" s="3">
        <f>'FEC Transport'!S21-'FEC Transport RES'!S21</f>
        <v>3706.3070000000002</v>
      </c>
      <c r="T21" s="3">
        <f>'FEC Transport'!T21-'FEC Transport RES'!T21</f>
        <v>3974.4629999999997</v>
      </c>
      <c r="U21" s="3">
        <f>'FEC Transport'!U21-'FEC Transport RES'!U21</f>
        <v>4764.6130000000003</v>
      </c>
      <c r="V21" s="3">
        <f t="shared" ca="1" si="7"/>
        <v>4793.3086677032898</v>
      </c>
      <c r="W21" s="16">
        <f t="shared" ca="1" si="4"/>
        <v>2</v>
      </c>
      <c r="X21" t="str">
        <f t="shared" ca="1" si="0"/>
        <v>GHG Proxy</v>
      </c>
      <c r="AA21" s="3">
        <f t="shared" ca="1" si="1"/>
        <v>4764.6130000000003</v>
      </c>
      <c r="AB21" s="3">
        <f t="shared" ca="1" si="5"/>
        <v>4793.3086677032898</v>
      </c>
      <c r="AC21" s="3">
        <f t="shared" ca="1" si="2"/>
        <v>4019.1767000000109</v>
      </c>
      <c r="AD21" s="3" t="str">
        <f t="shared" si="6"/>
        <v/>
      </c>
      <c r="AE21" s="16"/>
      <c r="AG21" s="7">
        <f t="shared" ca="1" si="3"/>
        <v>0.16841732959163203</v>
      </c>
      <c r="AN21" s="7" t="str">
        <f>IFERROR(INDEX('MS Stats list'!P:P, MATCH(B21,'MS Stats list'!B:B,0)),"")</f>
        <v>SEAI - 2022 Provisional Energy Balance</v>
      </c>
    </row>
    <row r="22" spans="2:40">
      <c r="B22" t="s">
        <v>157</v>
      </c>
      <c r="C22" t="s">
        <v>157</v>
      </c>
      <c r="D22" s="3">
        <f>'FEC Transport'!D22-'FEC Transport RES'!D22</f>
        <v>44659.038</v>
      </c>
      <c r="E22" s="3">
        <f>'FEC Transport'!E22-'FEC Transport RES'!E22</f>
        <v>45269.148999999998</v>
      </c>
      <c r="F22" s="3">
        <f>'FEC Transport'!F22-'FEC Transport RES'!F22</f>
        <v>45586.983</v>
      </c>
      <c r="G22" s="3">
        <f>'FEC Transport'!G22-'FEC Transport RES'!G22</f>
        <v>43271.205000000002</v>
      </c>
      <c r="H22" s="3">
        <f>'FEC Transport'!H22-'FEC Transport RES'!H22</f>
        <v>40983.756000000001</v>
      </c>
      <c r="I22" s="3">
        <f>'FEC Transport'!I22-'FEC Transport RES'!I22</f>
        <v>40314.247000000003</v>
      </c>
      <c r="J22" s="3">
        <f>'FEC Transport'!J22-'FEC Transport RES'!J22</f>
        <v>40420.640999999996</v>
      </c>
      <c r="K22" s="3">
        <f>'FEC Transport'!K22-'FEC Transport RES'!K22</f>
        <v>38081.404000000002</v>
      </c>
      <c r="L22" s="3">
        <f>'FEC Transport'!L22-'FEC Transport RES'!L22</f>
        <v>37449.921000000002</v>
      </c>
      <c r="M22" s="3">
        <f>'FEC Transport'!M22-'FEC Transport RES'!M22</f>
        <v>39020.151000000005</v>
      </c>
      <c r="N22" s="3">
        <f>'FEC Transport'!N22-'FEC Transport RES'!N22</f>
        <v>38374.126000000004</v>
      </c>
      <c r="O22" s="3">
        <f>'FEC Transport'!O22-'FEC Transport RES'!O22</f>
        <v>38069.361000000004</v>
      </c>
      <c r="P22" s="3">
        <f>'FEC Transport'!P22-'FEC Transport RES'!P22</f>
        <v>36882.812999999995</v>
      </c>
      <c r="Q22" s="3">
        <f>'FEC Transport'!Q22-'FEC Transport RES'!Q22</f>
        <v>38164.629999999997</v>
      </c>
      <c r="R22" s="3">
        <f>'FEC Transport'!R22-'FEC Transport RES'!R22</f>
        <v>38553.595999999998</v>
      </c>
      <c r="S22" s="3">
        <f>'FEC Transport'!S22-'FEC Transport RES'!S22</f>
        <v>29206.651999999998</v>
      </c>
      <c r="T22" s="3">
        <f>'FEC Transport'!T22-'FEC Transport RES'!T22</f>
        <v>35084.943999999996</v>
      </c>
      <c r="U22" s="3">
        <f>'FEC Transport'!U22-'FEC Transport RES'!U22</f>
        <v>37956.072999999997</v>
      </c>
      <c r="V22" s="3">
        <f t="shared" ca="1" si="7"/>
        <v>37664.440349496501</v>
      </c>
      <c r="W22" s="16">
        <f t="shared" ca="1" si="4"/>
        <v>2</v>
      </c>
      <c r="X22" t="str">
        <f t="shared" ca="1" si="0"/>
        <v>GHG Proxy</v>
      </c>
      <c r="AA22" s="3">
        <f t="shared" ca="1" si="1"/>
        <v>37956.072999999997</v>
      </c>
      <c r="AB22" s="3">
        <f t="shared" ca="1" si="5"/>
        <v>37664.440349496501</v>
      </c>
      <c r="AC22" s="3">
        <f t="shared" ca="1" si="2"/>
        <v>34627.449200000032</v>
      </c>
      <c r="AD22" s="3" t="str">
        <f t="shared" si="6"/>
        <v/>
      </c>
      <c r="AE22" s="16"/>
      <c r="AG22" s="7">
        <f t="shared" ca="1" si="3"/>
        <v>2.4430061949080272E-2</v>
      </c>
      <c r="AN22" s="7" t="str">
        <f>IFERROR(INDEX('MS Stats list'!P:P, MATCH(B22,'MS Stats list'!B:B,0)),"")</f>
        <v>Ministry of Ecological Transition</v>
      </c>
    </row>
    <row r="23" spans="2:40">
      <c r="B23" t="s">
        <v>137</v>
      </c>
      <c r="C23" t="s">
        <v>137</v>
      </c>
      <c r="D23" s="3">
        <f>'FEC Transport'!D23-'FEC Transport RES'!D23</f>
        <v>1429.5739999999998</v>
      </c>
      <c r="E23" s="3">
        <f>'FEC Transport'!E23-'FEC Transport RES'!E23</f>
        <v>1527.008</v>
      </c>
      <c r="F23" s="3">
        <f>'FEC Transport'!F23-'FEC Transport RES'!F23</f>
        <v>1784.06</v>
      </c>
      <c r="G23" s="3">
        <f>'FEC Transport'!G23-'FEC Transport RES'!G23</f>
        <v>1782.915</v>
      </c>
      <c r="H23" s="3">
        <f>'FEC Transport'!H23-'FEC Transport RES'!H23</f>
        <v>1450.1390000000001</v>
      </c>
      <c r="I23" s="3">
        <f>'FEC Transport'!I23-'FEC Transport RES'!I23</f>
        <v>1500.7199999999998</v>
      </c>
      <c r="J23" s="3">
        <f>'FEC Transport'!J23-'FEC Transport RES'!J23</f>
        <v>1494.2860000000001</v>
      </c>
      <c r="K23" s="3">
        <f>'FEC Transport'!K23-'FEC Transport RES'!K23</f>
        <v>1510.7820000000002</v>
      </c>
      <c r="L23" s="3">
        <f>'FEC Transport'!L23-'FEC Transport RES'!L23</f>
        <v>1514.461</v>
      </c>
      <c r="M23" s="3">
        <f>'FEC Transport'!M23-'FEC Transport RES'!M23</f>
        <v>1676.6909999999998</v>
      </c>
      <c r="N23" s="3">
        <f>'FEC Transport'!N23-'FEC Transport RES'!N23</f>
        <v>1763.7760000000001</v>
      </c>
      <c r="O23" s="3">
        <f>'FEC Transport'!O23-'FEC Transport RES'!O23</f>
        <v>1903.6510000000001</v>
      </c>
      <c r="P23" s="3">
        <f>'FEC Transport'!P23-'FEC Transport RES'!P23</f>
        <v>1994.1780000000001</v>
      </c>
      <c r="Q23" s="3">
        <f>'FEC Transport'!Q23-'FEC Transport RES'!Q23</f>
        <v>2129.694</v>
      </c>
      <c r="R23" s="3">
        <f>'FEC Transport'!R23-'FEC Transport RES'!R23</f>
        <v>2198.86</v>
      </c>
      <c r="S23" s="3">
        <f>'FEC Transport'!S23-'FEC Transport RES'!S23</f>
        <v>2077.752</v>
      </c>
      <c r="T23" s="3">
        <f>'FEC Transport'!T23-'FEC Transport RES'!T23</f>
        <v>2079.9900000000002</v>
      </c>
      <c r="U23" s="3">
        <f>'FEC Transport'!U23-'FEC Transport RES'!U23</f>
        <v>2085.4090000000001</v>
      </c>
      <c r="V23" s="3">
        <f t="shared" ca="1" si="7"/>
        <v>2135.6754094792614</v>
      </c>
      <c r="W23" s="16">
        <f t="shared" ca="1" si="4"/>
        <v>4</v>
      </c>
      <c r="X23" t="str">
        <f t="shared" ca="1" si="0"/>
        <v>Based on MS Stats</v>
      </c>
      <c r="AA23" s="3">
        <f t="shared" ca="1" si="1"/>
        <v>2085.4090000000001</v>
      </c>
      <c r="AB23" s="3">
        <f t="shared" ca="1" si="5"/>
        <v>2129.2241738839452</v>
      </c>
      <c r="AC23" s="3">
        <f t="shared" ca="1" si="2"/>
        <v>2052.1089999999967</v>
      </c>
      <c r="AD23" s="3">
        <f t="shared" ca="1" si="6"/>
        <v>2135.6754094792614</v>
      </c>
      <c r="AE23" s="16"/>
      <c r="AG23" s="7">
        <f t="shared" ca="1" si="3"/>
        <v>0.40085163375124555</v>
      </c>
      <c r="AN23" s="7" t="str">
        <f>IFERROR(INDEX('MS Stats list'!P:P, MATCH(B23,'MS Stats list'!B:B,0)),"")</f>
        <v>Statistics Lithuania - Energy balances</v>
      </c>
    </row>
    <row r="24" spans="2:40">
      <c r="B24" t="s">
        <v>184</v>
      </c>
      <c r="C24" t="s">
        <v>184</v>
      </c>
      <c r="D24" s="3">
        <f>'FEC Transport'!D24-'FEC Transport RES'!D24</f>
        <v>2782.125</v>
      </c>
      <c r="E24" s="3">
        <f>'FEC Transport'!E24-'FEC Transport RES'!E24</f>
        <v>2653.7200000000003</v>
      </c>
      <c r="F24" s="3">
        <f>'FEC Transport'!F24-'FEC Transport RES'!F24</f>
        <v>2594.643</v>
      </c>
      <c r="G24" s="3">
        <f>'FEC Transport'!G24-'FEC Transport RES'!G24</f>
        <v>2627.3050000000003</v>
      </c>
      <c r="H24" s="3">
        <f>'FEC Transport'!H24-'FEC Transport RES'!H24</f>
        <v>2438.2350000000001</v>
      </c>
      <c r="I24" s="3">
        <f>'FEC Transport'!I24-'FEC Transport RES'!I24</f>
        <v>2564.9070000000002</v>
      </c>
      <c r="J24" s="3">
        <f>'FEC Transport'!J24-'FEC Transport RES'!J24</f>
        <v>2664.3739999999998</v>
      </c>
      <c r="K24" s="3">
        <f>'FEC Transport'!K24-'FEC Transport RES'!K24</f>
        <v>2530.9830000000002</v>
      </c>
      <c r="L24" s="3">
        <f>'FEC Transport'!L24-'FEC Transport RES'!L24</f>
        <v>2485.4159999999997</v>
      </c>
      <c r="M24" s="3">
        <f>'FEC Transport'!M24-'FEC Transport RES'!M24</f>
        <v>2422.261</v>
      </c>
      <c r="N24" s="3">
        <f>'FEC Transport'!N24-'FEC Transport RES'!N24</f>
        <v>2332.576</v>
      </c>
      <c r="O24" s="3">
        <f>'FEC Transport'!O24-'FEC Transport RES'!O24</f>
        <v>2325.6730000000002</v>
      </c>
      <c r="P24" s="3">
        <f>'FEC Transport'!P24-'FEC Transport RES'!P24</f>
        <v>2427.2540000000004</v>
      </c>
      <c r="Q24" s="3">
        <f>'FEC Transport'!Q24-'FEC Transport RES'!Q24</f>
        <v>2592.4989999999998</v>
      </c>
      <c r="R24" s="3">
        <f>'FEC Transport'!R24-'FEC Transport RES'!R24</f>
        <v>2624.4450000000002</v>
      </c>
      <c r="S24" s="3">
        <f>'FEC Transport'!S24-'FEC Transport RES'!S24</f>
        <v>2071.8480000000004</v>
      </c>
      <c r="T24" s="3">
        <f>'FEC Transport'!T24-'FEC Transport RES'!T24</f>
        <v>2256.0389999999998</v>
      </c>
      <c r="U24" s="3">
        <f>'FEC Transport'!U24-'FEC Transport RES'!U24</f>
        <v>2069.2950000000001</v>
      </c>
      <c r="V24" s="3">
        <f t="shared" ca="1" si="7"/>
        <v>1998.2026227309143</v>
      </c>
      <c r="W24" s="16">
        <f t="shared" ca="1" si="4"/>
        <v>2</v>
      </c>
      <c r="X24" t="str">
        <f t="shared" ca="1" si="0"/>
        <v>GHG Proxy</v>
      </c>
      <c r="AA24" s="3">
        <f t="shared" ca="1" si="1"/>
        <v>2069.2950000000001</v>
      </c>
      <c r="AB24" s="3">
        <f t="shared" ca="1" si="5"/>
        <v>1998.2026227309143</v>
      </c>
      <c r="AC24" s="3">
        <f t="shared" ca="1" si="2"/>
        <v>1898.3809999999939</v>
      </c>
      <c r="AD24" s="3" t="str">
        <f t="shared" si="6"/>
        <v/>
      </c>
      <c r="AE24" s="16"/>
      <c r="AG24" s="7">
        <f t="shared" ca="1" si="3"/>
        <v>0.67756352449797574</v>
      </c>
      <c r="AN24" s="7" t="str">
        <f>IFERROR(INDEX('MS Stats list'!P:P, MATCH(B24,'MS Stats list'!B:B,0)),"")</f>
        <v/>
      </c>
    </row>
    <row r="25" spans="2:40">
      <c r="B25" t="s">
        <v>93</v>
      </c>
      <c r="C25" t="s">
        <v>93</v>
      </c>
      <c r="D25" s="3">
        <f>'FEC Transport'!D25-'FEC Transport RES'!D25</f>
        <v>1064.0610000000001</v>
      </c>
      <c r="E25" s="3">
        <f>'FEC Transport'!E25-'FEC Transport RES'!E25</f>
        <v>1175.394</v>
      </c>
      <c r="F25" s="3">
        <f>'FEC Transport'!F25-'FEC Transport RES'!F25</f>
        <v>1331.1009999999999</v>
      </c>
      <c r="G25" s="3">
        <f>'FEC Transport'!G25-'FEC Transport RES'!G25</f>
        <v>1278.192</v>
      </c>
      <c r="H25" s="3">
        <f>'FEC Transport'!H25-'FEC Transport RES'!H25</f>
        <v>1136.7819999999999</v>
      </c>
      <c r="I25" s="3">
        <f>'FEC Transport'!I25-'FEC Transport RES'!I25</f>
        <v>1174.127</v>
      </c>
      <c r="J25" s="3">
        <f>'FEC Transport'!J25-'FEC Transport RES'!J25</f>
        <v>1057.846</v>
      </c>
      <c r="K25" s="3">
        <f>'FEC Transport'!K25-'FEC Transport RES'!K25</f>
        <v>1028.5929999999998</v>
      </c>
      <c r="L25" s="3">
        <f>'FEC Transport'!L25-'FEC Transport RES'!L25</f>
        <v>1043.5140000000001</v>
      </c>
      <c r="M25" s="3">
        <f>'FEC Transport'!M25-'FEC Transport RES'!M25</f>
        <v>1069.3710000000001</v>
      </c>
      <c r="N25" s="3">
        <f>'FEC Transport'!N25-'FEC Transport RES'!N25</f>
        <v>1122.1979999999999</v>
      </c>
      <c r="O25" s="3">
        <f>'FEC Transport'!O25-'FEC Transport RES'!O25</f>
        <v>1145.3889999999999</v>
      </c>
      <c r="P25" s="3">
        <f>'FEC Transport'!P25-'FEC Transport RES'!P25</f>
        <v>1211.4769999999999</v>
      </c>
      <c r="Q25" s="3">
        <f>'FEC Transport'!Q25-'FEC Transport RES'!Q25</f>
        <v>1224.1569999999999</v>
      </c>
      <c r="R25" s="3">
        <f>'FEC Transport'!R25-'FEC Transport RES'!R25</f>
        <v>1220.8240000000001</v>
      </c>
      <c r="S25" s="3">
        <f>'FEC Transport'!S25-'FEC Transport RES'!S25</f>
        <v>1058.5160000000001</v>
      </c>
      <c r="T25" s="3">
        <f>'FEC Transport'!T25-'FEC Transport RES'!T25</f>
        <v>1108.5339999999999</v>
      </c>
      <c r="U25" s="3">
        <f>'FEC Transport'!U25-'FEC Transport RES'!U25</f>
        <v>1148.3390000000002</v>
      </c>
      <c r="V25" s="3">
        <f t="shared" ca="1" si="7"/>
        <v>1148.3390000000002</v>
      </c>
      <c r="W25" s="16">
        <f t="shared" ca="1" si="4"/>
        <v>4</v>
      </c>
      <c r="X25" t="str">
        <f t="shared" ca="1" si="0"/>
        <v>Based on MS Stats</v>
      </c>
      <c r="AA25" s="3">
        <f t="shared" ca="1" si="1"/>
        <v>1148.3390000000002</v>
      </c>
      <c r="AB25" s="3">
        <f t="shared" ca="1" si="5"/>
        <v>1143.1937707115264</v>
      </c>
      <c r="AC25" s="3">
        <f t="shared" ca="1" si="2"/>
        <v>1072.8962000000029</v>
      </c>
      <c r="AD25" s="3">
        <f t="shared" ca="1" si="6"/>
        <v>1148.3390000000002</v>
      </c>
      <c r="AE25" s="16"/>
      <c r="AG25" s="7">
        <f t="shared" ca="1" si="3"/>
        <v>0.33838187809997938</v>
      </c>
      <c r="AN25" s="7" t="str">
        <f>IFERROR(INDEX('MS Stats list'!P:P, MATCH(B25,'MS Stats list'!B:B,0)),"")</f>
        <v/>
      </c>
    </row>
    <row r="26" spans="2:40">
      <c r="B26" t="s">
        <v>141</v>
      </c>
      <c r="C26" t="s">
        <v>141</v>
      </c>
      <c r="D26" s="3">
        <f>'FEC Transport'!D26-'FEC Transport RES'!D26</f>
        <v>253.46299999999999</v>
      </c>
      <c r="E26" s="3">
        <f>'FEC Transport'!E26-'FEC Transport RES'!E26</f>
        <v>259.625</v>
      </c>
      <c r="F26" s="3">
        <f>'FEC Transport'!F26-'FEC Transport RES'!F26</f>
        <v>268.86799999999999</v>
      </c>
      <c r="G26" s="3">
        <f>'FEC Transport'!G26-'FEC Transport RES'!G26</f>
        <v>288.31099999999998</v>
      </c>
      <c r="H26" s="3">
        <f>'FEC Transport'!H26-'FEC Transport RES'!H26</f>
        <v>259.76900000000001</v>
      </c>
      <c r="I26" s="3">
        <f>'FEC Transport'!I26-'FEC Transport RES'!I26</f>
        <v>286.32900000000001</v>
      </c>
      <c r="J26" s="3">
        <f>'FEC Transport'!J26-'FEC Transport RES'!J26</f>
        <v>286.47200000000004</v>
      </c>
      <c r="K26" s="3">
        <f>'FEC Transport'!K26-'FEC Transport RES'!K26</f>
        <v>278.18400000000003</v>
      </c>
      <c r="L26" s="3">
        <f>'FEC Transport'!L26-'FEC Transport RES'!L26</f>
        <v>283.46199999999999</v>
      </c>
      <c r="M26" s="3">
        <f>'FEC Transport'!M26-'FEC Transport RES'!M26</f>
        <v>292.70600000000002</v>
      </c>
      <c r="N26" s="3">
        <f>'FEC Transport'!N26-'FEC Transport RES'!N26</f>
        <v>309.13800000000003</v>
      </c>
      <c r="O26" s="3">
        <f>'FEC Transport'!O26-'FEC Transport RES'!O26</f>
        <v>317.42700000000002</v>
      </c>
      <c r="P26" s="3">
        <f>'FEC Transport'!P26-'FEC Transport RES'!P26</f>
        <v>339.29400000000004</v>
      </c>
      <c r="Q26" s="3">
        <f>'FEC Transport'!Q26-'FEC Transport RES'!Q26</f>
        <v>374.55099999999999</v>
      </c>
      <c r="R26" s="3">
        <f>'FEC Transport'!R26-'FEC Transport RES'!R26</f>
        <v>395.86</v>
      </c>
      <c r="S26" s="3">
        <f>'FEC Transport'!S26-'FEC Transport RES'!S26</f>
        <v>250.43800000000002</v>
      </c>
      <c r="T26" s="3">
        <f>'FEC Transport'!T26-'FEC Transport RES'!T26</f>
        <v>281.67499999999995</v>
      </c>
      <c r="U26" s="3">
        <f>'FEC Transport'!U26-'FEC Transport RES'!U26</f>
        <v>365.28200000000004</v>
      </c>
      <c r="V26" s="3">
        <f t="shared" ca="1" si="7"/>
        <v>353.43847761062403</v>
      </c>
      <c r="W26" s="16">
        <f t="shared" ca="1" si="4"/>
        <v>2</v>
      </c>
      <c r="X26" t="str">
        <f t="shared" ca="1" si="0"/>
        <v>GHG Proxy</v>
      </c>
      <c r="AA26" s="3">
        <f t="shared" ca="1" si="1"/>
        <v>365.28200000000004</v>
      </c>
      <c r="AB26" s="3">
        <f t="shared" ca="1" si="5"/>
        <v>353.43847761062403</v>
      </c>
      <c r="AC26" s="3">
        <f t="shared" ca="1" si="2"/>
        <v>293.74429999999847</v>
      </c>
      <c r="AD26" s="3" t="str">
        <f t="shared" si="6"/>
        <v/>
      </c>
      <c r="AE26" s="16"/>
      <c r="AG26" s="7">
        <f t="shared" ca="1" si="3"/>
        <v>0.10894441943044671</v>
      </c>
      <c r="AN26" s="7" t="str">
        <f>IFERROR(INDEX('MS Stats list'!P:P, MATCH(B26,'MS Stats list'!B:B,0)),"")</f>
        <v>Msdata from consultations</v>
      </c>
    </row>
    <row r="27" spans="2:40">
      <c r="B27" t="s">
        <v>145</v>
      </c>
      <c r="C27" t="s">
        <v>145</v>
      </c>
      <c r="D27" s="3">
        <f>'FEC Transport'!D27-'FEC Transport RES'!D27</f>
        <v>15025.343000000001</v>
      </c>
      <c r="E27" s="3">
        <f>'FEC Transport'!E27-'FEC Transport RES'!E27</f>
        <v>15380.912</v>
      </c>
      <c r="F27" s="3">
        <f>'FEC Transport'!F27-'FEC Transport RES'!F27</f>
        <v>15237.51</v>
      </c>
      <c r="G27" s="3">
        <f>'FEC Transport'!G27-'FEC Transport RES'!G27</f>
        <v>15444.348</v>
      </c>
      <c r="H27" s="3">
        <f>'FEC Transport'!H27-'FEC Transport RES'!H27</f>
        <v>14717.22</v>
      </c>
      <c r="I27" s="3">
        <f>'FEC Transport'!I27-'FEC Transport RES'!I27</f>
        <v>14837.74</v>
      </c>
      <c r="J27" s="3">
        <f>'FEC Transport'!J27-'FEC Transport RES'!J27</f>
        <v>15014.063</v>
      </c>
      <c r="K27" s="3">
        <f>'FEC Transport'!K27-'FEC Transport RES'!K27</f>
        <v>14376.609</v>
      </c>
      <c r="L27" s="3">
        <f>'FEC Transport'!L27-'FEC Transport RES'!L27</f>
        <v>13947.25</v>
      </c>
      <c r="M27" s="3">
        <f>'FEC Transport'!M27-'FEC Transport RES'!M27</f>
        <v>13187.704000000002</v>
      </c>
      <c r="N27" s="3">
        <f>'FEC Transport'!N27-'FEC Transport RES'!N27</f>
        <v>13544.155999999999</v>
      </c>
      <c r="O27" s="3">
        <f>'FEC Transport'!O27-'FEC Transport RES'!O27</f>
        <v>13694.202000000001</v>
      </c>
      <c r="P27" s="3">
        <f>'FEC Transport'!P27-'FEC Transport RES'!P27</f>
        <v>14093.705</v>
      </c>
      <c r="Q27" s="3">
        <f>'FEC Transport'!Q27-'FEC Transport RES'!Q27</f>
        <v>14194.878000000001</v>
      </c>
      <c r="R27" s="3">
        <f>'FEC Transport'!R27-'FEC Transport RES'!R27</f>
        <v>13976.537</v>
      </c>
      <c r="S27" s="3">
        <f>'FEC Transport'!S27-'FEC Transport RES'!S27</f>
        <v>10749.386</v>
      </c>
      <c r="T27" s="3">
        <f>'FEC Transport'!T27-'FEC Transport RES'!T27</f>
        <v>11069.674999999999</v>
      </c>
      <c r="U27" s="3">
        <f>'FEC Transport'!U27-'FEC Transport RES'!U27</f>
        <v>11821.234</v>
      </c>
      <c r="V27" s="3">
        <f t="shared" ca="1" si="7"/>
        <v>12333.680652087414</v>
      </c>
      <c r="W27" s="16">
        <f t="shared" ca="1" si="4"/>
        <v>2</v>
      </c>
      <c r="X27" t="str">
        <f t="shared" ca="1" si="0"/>
        <v>GHG Proxy</v>
      </c>
      <c r="AA27" s="3">
        <f t="shared" ca="1" si="1"/>
        <v>11821.234</v>
      </c>
      <c r="AB27" s="3">
        <f t="shared" ca="1" si="5"/>
        <v>12333.680652087414</v>
      </c>
      <c r="AC27" s="3">
        <f t="shared" ca="1" si="2"/>
        <v>10066.096999999834</v>
      </c>
      <c r="AD27" s="3" t="str">
        <f t="shared" si="6"/>
        <v/>
      </c>
      <c r="AE27" s="16"/>
      <c r="AG27" s="7">
        <f t="shared" ca="1" si="3"/>
        <v>0.55641325347036186</v>
      </c>
      <c r="AN27" s="7" t="str">
        <f>IFERROR(INDEX('MS Stats list'!P:P, MATCH(B27,'MS Stats list'!B:B,0)),"")</f>
        <v>CBS - Energy balance sheet; supply, transformation and consumption</v>
      </c>
    </row>
    <row r="28" spans="2:40">
      <c r="B28" t="s">
        <v>185</v>
      </c>
      <c r="C28" t="s">
        <v>185</v>
      </c>
      <c r="D28" s="3">
        <f>'FEC Transport'!D28-'FEC Transport RES'!D28</f>
        <v>12502.725999999999</v>
      </c>
      <c r="E28" s="3">
        <f>'FEC Transport'!E28-'FEC Transport RES'!E28</f>
        <v>13844.712</v>
      </c>
      <c r="F28" s="3">
        <f>'FEC Transport'!F28-'FEC Transport RES'!F28</f>
        <v>15200.548999999999</v>
      </c>
      <c r="G28" s="3">
        <f>'FEC Transport'!G28-'FEC Transport RES'!G28</f>
        <v>15915.203000000001</v>
      </c>
      <c r="H28" s="3">
        <f>'FEC Transport'!H28-'FEC Transport RES'!H28</f>
        <v>16008.913999999999</v>
      </c>
      <c r="I28" s="3">
        <f>'FEC Transport'!I28-'FEC Transport RES'!I28</f>
        <v>16828.276000000002</v>
      </c>
      <c r="J28" s="3">
        <f>'FEC Transport'!J28-'FEC Transport RES'!J28</f>
        <v>16991.04</v>
      </c>
      <c r="K28" s="3">
        <f>'FEC Transport'!K28-'FEC Transport RES'!K28</f>
        <v>16411.186000000002</v>
      </c>
      <c r="L28" s="3">
        <f>'FEC Transport'!L28-'FEC Transport RES'!L28</f>
        <v>15522.346000000001</v>
      </c>
      <c r="M28" s="3">
        <f>'FEC Transport'!M28-'FEC Transport RES'!M28</f>
        <v>15683.977000000001</v>
      </c>
      <c r="N28" s="3">
        <f>'FEC Transport'!N28-'FEC Transport RES'!N28</f>
        <v>16556.733</v>
      </c>
      <c r="O28" s="3">
        <f>'FEC Transport'!O28-'FEC Transport RES'!O28</f>
        <v>18782.749</v>
      </c>
      <c r="P28" s="3">
        <f>'FEC Transport'!P28-'FEC Transport RES'!P28</f>
        <v>21677.482</v>
      </c>
      <c r="Q28" s="3">
        <f>'FEC Transport'!Q28-'FEC Transport RES'!Q28</f>
        <v>22443.383000000002</v>
      </c>
      <c r="R28" s="3">
        <f>'FEC Transport'!R28-'FEC Transport RES'!R28</f>
        <v>22833.304</v>
      </c>
      <c r="S28" s="3">
        <f>'FEC Transport'!S28-'FEC Transport RES'!S28</f>
        <v>21196.263000000003</v>
      </c>
      <c r="T28" s="3">
        <f>'FEC Transport'!T28-'FEC Transport RES'!T28</f>
        <v>22981.512000000002</v>
      </c>
      <c r="U28" s="3">
        <f>'FEC Transport'!U28-'FEC Transport RES'!U28</f>
        <v>23674.309000000001</v>
      </c>
      <c r="V28" s="3">
        <f t="shared" ca="1" si="7"/>
        <v>24152.654680216139</v>
      </c>
      <c r="W28" s="16">
        <f t="shared" ca="1" si="4"/>
        <v>2</v>
      </c>
      <c r="X28" t="str">
        <f t="shared" ca="1" si="0"/>
        <v>GHG Proxy</v>
      </c>
      <c r="AA28" s="3">
        <f t="shared" ca="1" si="1"/>
        <v>23674.309000000001</v>
      </c>
      <c r="AB28" s="3">
        <f t="shared" ca="1" si="5"/>
        <v>24152.654680216139</v>
      </c>
      <c r="AC28" s="3">
        <f t="shared" ca="1" si="2"/>
        <v>23408.772199999948</v>
      </c>
      <c r="AD28" s="3" t="str">
        <f t="shared" si="6"/>
        <v/>
      </c>
      <c r="AE28" s="16"/>
      <c r="AG28" s="7">
        <f t="shared" ca="1" si="3"/>
        <v>0.20361015832104654</v>
      </c>
      <c r="AN28" s="7" t="str">
        <f>IFERROR(INDEX('MS Stats list'!P:P, MATCH(B28,'MS Stats list'!B:B,0)),"")</f>
        <v/>
      </c>
    </row>
    <row r="29" spans="2:40">
      <c r="B29" t="s">
        <v>149</v>
      </c>
      <c r="C29" t="s">
        <v>149</v>
      </c>
      <c r="D29" s="3">
        <f>'FEC Transport'!D29-'FEC Transport RES'!D29</f>
        <v>7188.2039999999997</v>
      </c>
      <c r="E29" s="3">
        <f>'FEC Transport'!E29-'FEC Transport RES'!E29</f>
        <v>7174.0170000000007</v>
      </c>
      <c r="F29" s="3">
        <f>'FEC Transport'!F29-'FEC Transport RES'!F29</f>
        <v>7224.2339999999995</v>
      </c>
      <c r="G29" s="3">
        <f>'FEC Transport'!G29-'FEC Transport RES'!G29</f>
        <v>7268.5650000000005</v>
      </c>
      <c r="H29" s="3">
        <f>'FEC Transport'!H29-'FEC Transport RES'!H29</f>
        <v>7118.0429999999997</v>
      </c>
      <c r="I29" s="3">
        <f>'FEC Transport'!I29-'FEC Transport RES'!I29</f>
        <v>7034.6980000000003</v>
      </c>
      <c r="J29" s="3">
        <f>'FEC Transport'!J29-'FEC Transport RES'!J29</f>
        <v>6624.2709999999997</v>
      </c>
      <c r="K29" s="3">
        <f>'FEC Transport'!K29-'FEC Transport RES'!K29</f>
        <v>6181.3779999999997</v>
      </c>
      <c r="L29" s="3">
        <f>'FEC Transport'!L29-'FEC Transport RES'!L29</f>
        <v>6107.7440000000006</v>
      </c>
      <c r="M29" s="3">
        <f>'FEC Transport'!M29-'FEC Transport RES'!M29</f>
        <v>6169.5060000000003</v>
      </c>
      <c r="N29" s="3">
        <f>'FEC Transport'!N29-'FEC Transport RES'!N29</f>
        <v>6274.991</v>
      </c>
      <c r="O29" s="3">
        <f>'FEC Transport'!O29-'FEC Transport RES'!O29</f>
        <v>6575.1270000000004</v>
      </c>
      <c r="P29" s="3">
        <f>'FEC Transport'!P29-'FEC Transport RES'!P29</f>
        <v>6826.47</v>
      </c>
      <c r="Q29" s="3">
        <f>'FEC Transport'!Q29-'FEC Transport RES'!Q29</f>
        <v>6949.0529999999999</v>
      </c>
      <c r="R29" s="3">
        <f>'FEC Transport'!R29-'FEC Transport RES'!R29</f>
        <v>7168.7219999999998</v>
      </c>
      <c r="S29" s="3">
        <f>'FEC Transport'!S29-'FEC Transport RES'!S29</f>
        <v>5282.83</v>
      </c>
      <c r="T29" s="3">
        <f>'FEC Transport'!T29-'FEC Transport RES'!T29</f>
        <v>5793.701</v>
      </c>
      <c r="U29" s="3">
        <f>'FEC Transport'!U29-'FEC Transport RES'!U29</f>
        <v>6843.0239999999994</v>
      </c>
      <c r="V29" s="3">
        <f t="shared" ca="1" si="7"/>
        <v>7254.4725861451707</v>
      </c>
      <c r="W29" s="16">
        <f t="shared" ca="1" si="4"/>
        <v>2</v>
      </c>
      <c r="X29" t="str">
        <f t="shared" ca="1" si="0"/>
        <v>GHG Proxy</v>
      </c>
      <c r="AA29" s="3">
        <f t="shared" ca="1" si="1"/>
        <v>6843.0239999999994</v>
      </c>
      <c r="AB29" s="3">
        <f t="shared" ca="1" si="5"/>
        <v>7254.4725861451707</v>
      </c>
      <c r="AC29" s="3">
        <f t="shared" ca="1" si="2"/>
        <v>5931.3423000000184</v>
      </c>
      <c r="AD29" s="3" t="str">
        <f t="shared" si="6"/>
        <v/>
      </c>
      <c r="AE29" s="16"/>
      <c r="AG29" s="7">
        <f t="shared" ca="1" si="3"/>
        <v>9.3149842036351904E-2</v>
      </c>
      <c r="AN29" s="7" t="str">
        <f>IFERROR(INDEX('MS Stats list'!P:P, MATCH(B29,'MS Stats list'!B:B,0)),"")</f>
        <v>DGEG - Balanço Energético Sintético 2022</v>
      </c>
    </row>
    <row r="30" spans="2:40">
      <c r="B30" t="s">
        <v>186</v>
      </c>
      <c r="C30" t="s">
        <v>186</v>
      </c>
      <c r="D30" s="3">
        <f>'FEC Transport'!D30-'FEC Transport RES'!D30</f>
        <v>4280.4340000000002</v>
      </c>
      <c r="E30" s="3">
        <f>'FEC Transport'!E30-'FEC Transport RES'!E30</f>
        <v>4423.6000000000004</v>
      </c>
      <c r="F30" s="3">
        <f>'FEC Transport'!F30-'FEC Transport RES'!F30</f>
        <v>4660.3059999999996</v>
      </c>
      <c r="G30" s="3">
        <f>'FEC Transport'!G30-'FEC Transport RES'!G30</f>
        <v>5187.7079999999996</v>
      </c>
      <c r="H30" s="3">
        <f>'FEC Transport'!H30-'FEC Transport RES'!H30</f>
        <v>5254.1219999999994</v>
      </c>
      <c r="I30" s="3">
        <f>'FEC Transport'!I30-'FEC Transport RES'!I30</f>
        <v>5015.9229999999998</v>
      </c>
      <c r="J30" s="3">
        <f>'FEC Transport'!J30-'FEC Transport RES'!J30</f>
        <v>5161.8239999999996</v>
      </c>
      <c r="K30" s="3">
        <f>'FEC Transport'!K30-'FEC Transport RES'!K30</f>
        <v>5260.268</v>
      </c>
      <c r="L30" s="3">
        <f>'FEC Transport'!L30-'FEC Transport RES'!L30</f>
        <v>5150.3860000000004</v>
      </c>
      <c r="M30" s="3">
        <f>'FEC Transport'!M30-'FEC Transport RES'!M30</f>
        <v>5306.0739999999996</v>
      </c>
      <c r="N30" s="3">
        <f>'FEC Transport'!N30-'FEC Transport RES'!N30</f>
        <v>5374.4570000000003</v>
      </c>
      <c r="O30" s="3">
        <f>'FEC Transport'!O30-'FEC Transport RES'!O30</f>
        <v>5771.2910000000002</v>
      </c>
      <c r="P30" s="3">
        <f>'FEC Transport'!P30-'FEC Transport RES'!P30</f>
        <v>6187.7710000000006</v>
      </c>
      <c r="Q30" s="3">
        <f>'FEC Transport'!Q30-'FEC Transport RES'!Q30</f>
        <v>6144.0019999999995</v>
      </c>
      <c r="R30" s="3">
        <f>'FEC Transport'!R30-'FEC Transport RES'!R30</f>
        <v>6312.1449999999995</v>
      </c>
      <c r="S30" s="3">
        <f>'FEC Transport'!S30-'FEC Transport RES'!S30</f>
        <v>6024.8209999999999</v>
      </c>
      <c r="T30" s="3">
        <f>'FEC Transport'!T30-'FEC Transport RES'!T30</f>
        <v>6465.7089999999998</v>
      </c>
      <c r="U30" s="3">
        <f>'FEC Transport'!U30-'FEC Transport RES'!U30</f>
        <v>6974.05</v>
      </c>
      <c r="V30" s="3">
        <f t="shared" ca="1" si="7"/>
        <v>6677.8979015467394</v>
      </c>
      <c r="W30" s="16">
        <f t="shared" ca="1" si="4"/>
        <v>2</v>
      </c>
      <c r="X30" t="str">
        <f t="shared" ca="1" si="0"/>
        <v>GHG Proxy</v>
      </c>
      <c r="AA30" s="3">
        <f t="shared" ca="1" si="1"/>
        <v>6974.05</v>
      </c>
      <c r="AB30" s="3">
        <f t="shared" ca="1" si="5"/>
        <v>6677.8979015467394</v>
      </c>
      <c r="AC30" s="3">
        <f t="shared" ca="1" si="2"/>
        <v>6928.2433999999776</v>
      </c>
      <c r="AD30" s="3" t="str">
        <f t="shared" si="6"/>
        <v/>
      </c>
      <c r="AE30" s="16"/>
      <c r="AG30" s="7">
        <f t="shared" ca="1" si="3"/>
        <v>0.60177836003954854</v>
      </c>
      <c r="AN30" s="7" t="str">
        <f>IFERROR(INDEX('MS Stats list'!P:P, MATCH(B30,'MS Stats list'!B:B,0)),"")</f>
        <v/>
      </c>
    </row>
    <row r="31" spans="2:40">
      <c r="B31" t="s">
        <v>187</v>
      </c>
      <c r="C31" t="s">
        <v>187</v>
      </c>
      <c r="D31" s="3">
        <f>'FEC Transport'!D31-'FEC Transport RES'!D31</f>
        <v>7976.665</v>
      </c>
      <c r="E31" s="3">
        <f>'FEC Transport'!E31-'FEC Transport RES'!E31</f>
        <v>8045.5820000000003</v>
      </c>
      <c r="F31" s="3">
        <f>'FEC Transport'!F31-'FEC Transport RES'!F31</f>
        <v>8081.6350000000002</v>
      </c>
      <c r="G31" s="3">
        <f>'FEC Transport'!G31-'FEC Transport RES'!G31</f>
        <v>8009.393</v>
      </c>
      <c r="H31" s="3">
        <f>'FEC Transport'!H31-'FEC Transport RES'!H31</f>
        <v>7768.0540000000001</v>
      </c>
      <c r="I31" s="3">
        <f>'FEC Transport'!I31-'FEC Transport RES'!I31</f>
        <v>7850.081000000001</v>
      </c>
      <c r="J31" s="3">
        <f>'FEC Transport'!J31-'FEC Transport RES'!J31</f>
        <v>7816.4560000000001</v>
      </c>
      <c r="K31" s="3">
        <f>'FEC Transport'!K31-'FEC Transport RES'!K31</f>
        <v>7435.8249999999998</v>
      </c>
      <c r="L31" s="3">
        <f>'FEC Transport'!L31-'FEC Transport RES'!L31</f>
        <v>7361.8010000000004</v>
      </c>
      <c r="M31" s="3">
        <f>'FEC Transport'!M31-'FEC Transport RES'!M31</f>
        <v>7110.2280000000001</v>
      </c>
      <c r="N31" s="3">
        <f>'FEC Transport'!N31-'FEC Transport RES'!N31</f>
        <v>7136.366</v>
      </c>
      <c r="O31" s="3">
        <f>'FEC Transport'!O31-'FEC Transport RES'!O31</f>
        <v>6953.8029999999999</v>
      </c>
      <c r="P31" s="3">
        <f>'FEC Transport'!P31-'FEC Transport RES'!P31</f>
        <v>6826.73</v>
      </c>
      <c r="Q31" s="3">
        <f>'FEC Transport'!Q31-'FEC Transport RES'!Q31</f>
        <v>6586.9220000000005</v>
      </c>
      <c r="R31" s="3">
        <f>'FEC Transport'!R31-'FEC Transport RES'!R31</f>
        <v>6523.527</v>
      </c>
      <c r="S31" s="3">
        <f>'FEC Transport'!S31-'FEC Transport RES'!S31</f>
        <v>5548.0190000000002</v>
      </c>
      <c r="T31" s="3">
        <f>'FEC Transport'!T31-'FEC Transport RES'!T31</f>
        <v>5731.92</v>
      </c>
      <c r="U31" s="3">
        <f>'FEC Transport'!U31-'FEC Transport RES'!U31</f>
        <v>5542.8950000000004</v>
      </c>
      <c r="V31" s="3">
        <f t="shared" ca="1" si="7"/>
        <v>5578.1406506494977</v>
      </c>
      <c r="W31" s="16">
        <f t="shared" ca="1" si="4"/>
        <v>2</v>
      </c>
      <c r="X31" t="str">
        <f t="shared" ca="1" si="0"/>
        <v>GHG Proxy</v>
      </c>
      <c r="AA31" s="3">
        <f t="shared" ca="1" si="1"/>
        <v>5542.8950000000004</v>
      </c>
      <c r="AB31" s="3">
        <f t="shared" ca="1" si="5"/>
        <v>5578.1406506494977</v>
      </c>
      <c r="AC31" s="3">
        <f t="shared" ca="1" si="2"/>
        <v>5122.7582999999868</v>
      </c>
      <c r="AD31" s="3" t="str">
        <f t="shared" si="6"/>
        <v/>
      </c>
      <c r="AE31" s="16"/>
      <c r="AG31" s="7">
        <f t="shared" ca="1" si="3"/>
        <v>0.75196772134033896</v>
      </c>
      <c r="AN31" s="7" t="str">
        <f>IFERROR(INDEX('MS Stats list'!P:P, MATCH(B31,'MS Stats list'!B:B,0)),"")</f>
        <v/>
      </c>
    </row>
    <row r="32" spans="2:40">
      <c r="B32" t="s">
        <v>79</v>
      </c>
      <c r="C32" t="s">
        <v>79</v>
      </c>
      <c r="D32" s="3">
        <f>'FEC Transport'!D32-'FEC Transport RES'!D32</f>
        <v>1485.97</v>
      </c>
      <c r="E32" s="3">
        <f>'FEC Transport'!E32-'FEC Transport RES'!E32</f>
        <v>1549.9930000000002</v>
      </c>
      <c r="F32" s="3">
        <f>'FEC Transport'!F32-'FEC Transport RES'!F32</f>
        <v>1749.472</v>
      </c>
      <c r="G32" s="3">
        <f>'FEC Transport'!G32-'FEC Transport RES'!G32</f>
        <v>2046.549</v>
      </c>
      <c r="H32" s="3">
        <f>'FEC Transport'!H32-'FEC Transport RES'!H32</f>
        <v>1716.867</v>
      </c>
      <c r="I32" s="3">
        <f>'FEC Transport'!I32-'FEC Transport RES'!I32</f>
        <v>1760.7280000000001</v>
      </c>
      <c r="J32" s="3">
        <f>'FEC Transport'!J32-'FEC Transport RES'!J32</f>
        <v>1869.3280000000002</v>
      </c>
      <c r="K32" s="3">
        <f>'FEC Transport'!K32-'FEC Transport RES'!K32</f>
        <v>1871.191</v>
      </c>
      <c r="L32" s="3">
        <f>'FEC Transport'!L32-'FEC Transport RES'!L32</f>
        <v>1775.1890000000001</v>
      </c>
      <c r="M32" s="3">
        <f>'FEC Transport'!M32-'FEC Transport RES'!M32</f>
        <v>1777.174</v>
      </c>
      <c r="N32" s="3">
        <f>'FEC Transport'!N32-'FEC Transport RES'!N32</f>
        <v>1769.135</v>
      </c>
      <c r="O32" s="3">
        <f>'FEC Transport'!O32-'FEC Transport RES'!O32</f>
        <v>1885.9250000000002</v>
      </c>
      <c r="P32" s="3">
        <f>'FEC Transport'!P32-'FEC Transport RES'!P32</f>
        <v>1935.521</v>
      </c>
      <c r="Q32" s="3">
        <f>'FEC Transport'!Q32-'FEC Transport RES'!Q32</f>
        <v>1936.402</v>
      </c>
      <c r="R32" s="3">
        <f>'FEC Transport'!R32-'FEC Transport RES'!R32</f>
        <v>1859.008</v>
      </c>
      <c r="S32" s="3">
        <f>'FEC Transport'!S32-'FEC Transport RES'!S32</f>
        <v>1499.951</v>
      </c>
      <c r="T32" s="3">
        <f>'FEC Transport'!T32-'FEC Transport RES'!T32</f>
        <v>1707.0119999999999</v>
      </c>
      <c r="U32" s="3">
        <f>'FEC Transport'!U32-'FEC Transport RES'!U32</f>
        <v>1913.942</v>
      </c>
      <c r="V32" s="3">
        <f t="shared" ca="1" si="7"/>
        <v>1744.067701986276</v>
      </c>
      <c r="W32" s="16">
        <f t="shared" ca="1" si="4"/>
        <v>2</v>
      </c>
      <c r="X32" t="str">
        <f t="shared" ca="1" si="0"/>
        <v>GHG Proxy</v>
      </c>
      <c r="AA32" s="3">
        <f t="shared" ca="1" si="1"/>
        <v>1913.942</v>
      </c>
      <c r="AB32" s="3">
        <f t="shared" ca="1" si="5"/>
        <v>1744.067701986276</v>
      </c>
      <c r="AC32" s="3">
        <f t="shared" ca="1" si="2"/>
        <v>1724.1881999999969</v>
      </c>
      <c r="AD32" s="3" t="str">
        <f t="shared" si="6"/>
        <v/>
      </c>
      <c r="AE32" s="16"/>
      <c r="AG32" s="7">
        <f t="shared" ca="1" si="3"/>
        <v>2.9298943889523525E-2</v>
      </c>
      <c r="AN32" s="7" t="str">
        <f>IFERROR(INDEX('MS Stats list'!P:P, MATCH(B32,'MS Stats list'!B:B,0)),"")</f>
        <v>Statistical Office of Slovenia - Energy balance</v>
      </c>
    </row>
    <row r="33" spans="1:40">
      <c r="B33" t="s">
        <v>188</v>
      </c>
      <c r="C33" t="s">
        <v>188</v>
      </c>
      <c r="D33" s="3">
        <f>'FEC Transport'!D33-'FEC Transport RES'!D33</f>
        <v>2382.9589999999998</v>
      </c>
      <c r="E33" s="3">
        <f>'FEC Transport'!E33-'FEC Transport RES'!E33</f>
        <v>2210.9809999999998</v>
      </c>
      <c r="F33" s="3">
        <f>'FEC Transport'!F33-'FEC Transport RES'!F33</f>
        <v>2418.4659999999999</v>
      </c>
      <c r="G33" s="3">
        <f>'FEC Transport'!G33-'FEC Transport RES'!G33</f>
        <v>2657.886</v>
      </c>
      <c r="H33" s="3">
        <f>'FEC Transport'!H33-'FEC Transport RES'!H33</f>
        <v>2274.9940000000001</v>
      </c>
      <c r="I33" s="3">
        <f>'FEC Transport'!I33-'FEC Transport RES'!I33</f>
        <v>2539.0589999999997</v>
      </c>
      <c r="J33" s="3">
        <f>'FEC Transport'!J33-'FEC Transport RES'!J33</f>
        <v>2542.5439999999999</v>
      </c>
      <c r="K33" s="3">
        <f>'FEC Transport'!K33-'FEC Transport RES'!K33</f>
        <v>2246.1349999999998</v>
      </c>
      <c r="L33" s="3">
        <f>'FEC Transport'!L33-'FEC Transport RES'!L33</f>
        <v>2251.0229999999997</v>
      </c>
      <c r="M33" s="3">
        <f>'FEC Transport'!M33-'FEC Transport RES'!M33</f>
        <v>2077.7200000000003</v>
      </c>
      <c r="N33" s="3">
        <f>'FEC Transport'!N33-'FEC Transport RES'!N33</f>
        <v>2068.3269999999998</v>
      </c>
      <c r="O33" s="3">
        <f>'FEC Transport'!O33-'FEC Transport RES'!O33</f>
        <v>2334.7639999999997</v>
      </c>
      <c r="P33" s="3">
        <f>'FEC Transport'!P33-'FEC Transport RES'!P33</f>
        <v>2663.5250000000001</v>
      </c>
      <c r="Q33" s="3">
        <f>'FEC Transport'!Q33-'FEC Transport RES'!Q33</f>
        <v>2641.712</v>
      </c>
      <c r="R33" s="3">
        <f>'FEC Transport'!R33-'FEC Transport RES'!R33</f>
        <v>2678.2750000000001</v>
      </c>
      <c r="S33" s="3">
        <f>'FEC Transport'!S33-'FEC Transport RES'!S33</f>
        <v>2361.5929999999998</v>
      </c>
      <c r="T33" s="3">
        <f>'FEC Transport'!T33-'FEC Transport RES'!T33</f>
        <v>2480.518</v>
      </c>
      <c r="U33" s="3">
        <f>'FEC Transport'!U33-'FEC Transport RES'!U33</f>
        <v>2522.741</v>
      </c>
      <c r="V33" s="3">
        <f t="shared" ca="1" si="7"/>
        <v>2546.7207508804263</v>
      </c>
      <c r="W33" s="16">
        <f t="shared" ca="1" si="4"/>
        <v>2</v>
      </c>
      <c r="X33" t="str">
        <f t="shared" ca="1" si="0"/>
        <v>GHG Proxy</v>
      </c>
      <c r="AA33" s="3">
        <f t="shared" ca="1" si="1"/>
        <v>2522.741</v>
      </c>
      <c r="AB33" s="3">
        <f t="shared" ca="1" si="5"/>
        <v>2546.7207508804263</v>
      </c>
      <c r="AC33" s="3">
        <f t="shared" ca="1" si="2"/>
        <v>2406.2580999999918</v>
      </c>
      <c r="AD33" s="3" t="str">
        <f t="shared" si="6"/>
        <v/>
      </c>
      <c r="AE33" s="16"/>
      <c r="AG33" s="7">
        <f t="shared" ca="1" si="3"/>
        <v>0.2916731093105977</v>
      </c>
      <c r="AN33" s="7" t="str">
        <f>IFERROR(INDEX('MS Stats list'!P:P, MATCH(B33,'MS Stats list'!B:B,0)),"")</f>
        <v/>
      </c>
    </row>
    <row r="34" spans="1:40">
      <c r="B34" t="s">
        <v>163</v>
      </c>
      <c r="C34" t="s">
        <v>163</v>
      </c>
      <c r="D34" s="3">
        <f>'FEC Transport'!D34-'FEC Transport RES'!D34</f>
        <v>55477.006000000001</v>
      </c>
      <c r="E34" s="3">
        <f>'FEC Transport'!E34-'FEC Transport RES'!E34</f>
        <v>56098.988000000005</v>
      </c>
      <c r="F34" s="3">
        <f>'FEC Transport'!F34-'FEC Transport RES'!F34</f>
        <v>56252.067999999999</v>
      </c>
      <c r="G34" s="3">
        <f>'FEC Transport'!G34-'FEC Transport RES'!G34</f>
        <v>53617.389000000003</v>
      </c>
      <c r="H34" s="3">
        <f>'FEC Transport'!H34-'FEC Transport RES'!H34</f>
        <v>51446.305999999997</v>
      </c>
      <c r="I34" s="3">
        <f>'FEC Transport'!I34-'FEC Transport RES'!I34</f>
        <v>50237.765999999996</v>
      </c>
      <c r="J34" s="3">
        <f>'FEC Transport'!J34-'FEC Transport RES'!J34</f>
        <v>50256.18</v>
      </c>
      <c r="K34" s="3">
        <f>'FEC Transport'!K34-'FEC Transport RES'!K34</f>
        <v>49916.150999999998</v>
      </c>
      <c r="L34" s="3">
        <f>'FEC Transport'!L34-'FEC Transport RES'!L34</f>
        <v>49437.646000000001</v>
      </c>
      <c r="M34" s="3">
        <f>'FEC Transport'!M34-'FEC Transport RES'!M34</f>
        <v>49912.091</v>
      </c>
      <c r="N34" s="3">
        <f>'FEC Transport'!N34-'FEC Transport RES'!N34</f>
        <v>51026.371999999996</v>
      </c>
      <c r="O34" s="3">
        <f>'FEC Transport'!O34-'FEC Transport RES'!O34</f>
        <v>51944.478999999999</v>
      </c>
      <c r="P34" s="3">
        <f>'FEC Transport'!P34-'FEC Transport RES'!P34</f>
        <v>52907.262999999999</v>
      </c>
      <c r="Q34" s="3">
        <f>'FEC Transport'!Q34-'FEC Transport RES'!Q34</f>
        <v>52475.396000000001</v>
      </c>
      <c r="R34" s="3">
        <f>'FEC Transport'!R34-'FEC Transport RES'!R34</f>
        <v>51897.303999999996</v>
      </c>
      <c r="S34" s="3">
        <f>'FEC Transport'!S34-'FEC Transport RES'!S34</f>
        <v>0</v>
      </c>
      <c r="T34" s="3">
        <f>'FEC Transport'!T34-'FEC Transport RES'!T34</f>
        <v>0</v>
      </c>
      <c r="U34" s="3">
        <f>'FEC Transport'!U34-'FEC Transport RES'!U34</f>
        <v>0</v>
      </c>
      <c r="V34" s="3">
        <f t="shared" ca="1" si="7"/>
        <v>0</v>
      </c>
      <c r="W34" s="16">
        <f t="shared" ca="1" si="4"/>
        <v>2</v>
      </c>
      <c r="X34" t="str">
        <f t="shared" ca="1" si="0"/>
        <v>GHG Proxy</v>
      </c>
      <c r="AA34" s="3">
        <f t="shared" ca="1" si="1"/>
        <v>0</v>
      </c>
      <c r="AB34" s="3">
        <f t="shared" ca="1" si="5"/>
        <v>0</v>
      </c>
      <c r="AC34" s="3">
        <f t="shared" ca="1" si="2"/>
        <v>-26179.888800002635</v>
      </c>
      <c r="AD34" s="3" t="str">
        <f t="shared" si="6"/>
        <v/>
      </c>
      <c r="AE34" s="16"/>
      <c r="AG34" s="7">
        <f t="shared" ca="1" si="3"/>
        <v>0.75273343383494784</v>
      </c>
      <c r="AN34" s="7" t="str">
        <f>IFERROR(INDEX('MS Stats list'!P:P, MATCH(B34,'MS Stats list'!B:B,0)),"")</f>
        <v>BEIS - Digest of UK Energy Statistics (DUKES)</v>
      </c>
    </row>
    <row r="35" spans="1:40">
      <c r="B35" s="40" t="s">
        <v>189</v>
      </c>
      <c r="C35" s="40" t="s">
        <v>189</v>
      </c>
      <c r="D35" s="41">
        <f>SUM(D7:D34)</f>
        <v>365063.73799999995</v>
      </c>
      <c r="E35" s="41">
        <f t="shared" ref="E35:V35" si="8">SUM(E7:E34)</f>
        <v>370861.96399999992</v>
      </c>
      <c r="F35" s="41">
        <f t="shared" si="8"/>
        <v>374978.7790000001</v>
      </c>
      <c r="G35" s="41">
        <f t="shared" si="8"/>
        <v>367338.34699999995</v>
      </c>
      <c r="H35" s="41">
        <f t="shared" si="8"/>
        <v>353355.80599999998</v>
      </c>
      <c r="I35" s="41">
        <f t="shared" si="8"/>
        <v>350340.21500000003</v>
      </c>
      <c r="J35" s="41">
        <f t="shared" si="8"/>
        <v>349506.13999999996</v>
      </c>
      <c r="K35" s="41">
        <f t="shared" si="8"/>
        <v>338090.26000000007</v>
      </c>
      <c r="L35" s="41">
        <f t="shared" si="8"/>
        <v>335512.299</v>
      </c>
      <c r="M35" s="41">
        <f t="shared" si="8"/>
        <v>338794.92000000004</v>
      </c>
      <c r="N35" s="41">
        <f t="shared" si="8"/>
        <v>344999.25499999995</v>
      </c>
      <c r="O35" s="41">
        <f t="shared" si="8"/>
        <v>354156.962</v>
      </c>
      <c r="P35" s="41">
        <f t="shared" si="8"/>
        <v>362571.85799999995</v>
      </c>
      <c r="Q35" s="41">
        <f t="shared" si="8"/>
        <v>364173.08899999998</v>
      </c>
      <c r="R35" s="41">
        <f t="shared" ref="R35:S35" si="9">SUM(R7:R34)</f>
        <v>366553.97</v>
      </c>
      <c r="S35" s="41">
        <f t="shared" si="9"/>
        <v>253436.772</v>
      </c>
      <c r="T35" s="41">
        <f t="shared" ref="T35:U35" si="10">SUM(T7:T34)</f>
        <v>276871.29799999984</v>
      </c>
      <c r="U35" s="41">
        <f t="shared" si="10"/>
        <v>297345.97100000002</v>
      </c>
      <c r="V35" s="41">
        <f t="shared" ca="1" si="8"/>
        <v>295540.01577367983</v>
      </c>
    </row>
    <row r="36" spans="1:40">
      <c r="B36" s="40" t="s">
        <v>190</v>
      </c>
      <c r="C36" s="40" t="s">
        <v>190</v>
      </c>
      <c r="D36" s="41">
        <f>SUM(D7:D33)</f>
        <v>309586.73199999996</v>
      </c>
      <c r="E36" s="41">
        <f t="shared" ref="E36:V36" si="11">SUM(E7:E33)</f>
        <v>314762.97599999991</v>
      </c>
      <c r="F36" s="41">
        <f t="shared" si="11"/>
        <v>318726.71100000013</v>
      </c>
      <c r="G36" s="41">
        <f t="shared" si="11"/>
        <v>313720.95799999993</v>
      </c>
      <c r="H36" s="41">
        <f t="shared" si="11"/>
        <v>301909.5</v>
      </c>
      <c r="I36" s="41">
        <f t="shared" si="11"/>
        <v>300102.44900000002</v>
      </c>
      <c r="J36" s="41">
        <f t="shared" si="11"/>
        <v>299249.95999999996</v>
      </c>
      <c r="K36" s="41">
        <f t="shared" si="11"/>
        <v>288174.10900000005</v>
      </c>
      <c r="L36" s="41">
        <f t="shared" si="11"/>
        <v>286074.65299999999</v>
      </c>
      <c r="M36" s="41">
        <f t="shared" si="11"/>
        <v>288882.82900000003</v>
      </c>
      <c r="N36" s="41">
        <f t="shared" si="11"/>
        <v>293972.88299999997</v>
      </c>
      <c r="O36" s="41">
        <f t="shared" si="11"/>
        <v>302212.48300000001</v>
      </c>
      <c r="P36" s="41">
        <f t="shared" si="11"/>
        <v>309664.59499999997</v>
      </c>
      <c r="Q36" s="41">
        <f t="shared" si="11"/>
        <v>311697.69299999997</v>
      </c>
      <c r="R36" s="41">
        <f t="shared" ref="R36:S36" si="12">SUM(R7:R33)</f>
        <v>314656.66599999997</v>
      </c>
      <c r="S36" s="41">
        <f t="shared" si="12"/>
        <v>253436.772</v>
      </c>
      <c r="T36" s="41">
        <f t="shared" ref="T36:U36" si="13">SUM(T7:T33)</f>
        <v>276871.29799999984</v>
      </c>
      <c r="U36" s="41">
        <f t="shared" si="13"/>
        <v>297345.97100000002</v>
      </c>
      <c r="V36" s="41">
        <f t="shared" ca="1" si="11"/>
        <v>295540.01577367983</v>
      </c>
    </row>
    <row r="37" spans="1:40">
      <c r="W37" s="25"/>
    </row>
    <row r="38" spans="1:40">
      <c r="W38" s="25"/>
    </row>
    <row r="39" spans="1:40">
      <c r="AB39" s="42">
        <v>0.1</v>
      </c>
    </row>
    <row r="40" spans="1:40">
      <c r="A40" s="5"/>
      <c r="D40" t="s">
        <v>173</v>
      </c>
      <c r="AA40" t="str">
        <f>AA5</f>
        <v>No Change</v>
      </c>
      <c r="AB40" t="s">
        <v>226</v>
      </c>
      <c r="AC40" t="str">
        <f>AC5</f>
        <v>5yr lin trend</v>
      </c>
      <c r="AD40" t="str">
        <f>AD5</f>
        <v>Based on MS Stats</v>
      </c>
    </row>
    <row r="41" spans="1:40">
      <c r="B41" t="str">
        <f t="shared" ref="B41:M56" si="14">B6</f>
        <v>MS Code 1</v>
      </c>
      <c r="C41" t="str">
        <f t="shared" si="14"/>
        <v>MS Code 2</v>
      </c>
      <c r="D41" s="1">
        <f t="shared" si="14"/>
        <v>2005</v>
      </c>
      <c r="E41" s="1">
        <f t="shared" si="14"/>
        <v>2006</v>
      </c>
      <c r="F41" s="1">
        <f t="shared" si="14"/>
        <v>2007</v>
      </c>
      <c r="G41" s="1">
        <f t="shared" si="14"/>
        <v>2008</v>
      </c>
      <c r="H41" s="1">
        <f t="shared" si="14"/>
        <v>2009</v>
      </c>
      <c r="I41" s="1">
        <f t="shared" si="14"/>
        <v>2010</v>
      </c>
      <c r="J41" s="1">
        <f t="shared" si="14"/>
        <v>2011</v>
      </c>
      <c r="K41" s="1">
        <f t="shared" si="14"/>
        <v>2012</v>
      </c>
      <c r="L41" s="1">
        <f t="shared" si="14"/>
        <v>2013</v>
      </c>
      <c r="M41" s="1">
        <f t="shared" si="14"/>
        <v>2014</v>
      </c>
      <c r="N41" s="1">
        <f t="shared" ref="N41:S41" si="15">N6</f>
        <v>2015</v>
      </c>
      <c r="O41" s="1">
        <f t="shared" si="15"/>
        <v>2016</v>
      </c>
      <c r="P41" s="1">
        <f t="shared" si="15"/>
        <v>2017</v>
      </c>
      <c r="Q41" s="1">
        <f t="shared" si="15"/>
        <v>2018</v>
      </c>
      <c r="R41" s="1">
        <f t="shared" ref="R41" si="16">R6</f>
        <v>2019</v>
      </c>
      <c r="S41" s="1">
        <f t="shared" si="15"/>
        <v>2020</v>
      </c>
      <c r="T41" s="1">
        <f t="shared" ref="T41:U41" si="17">T6</f>
        <v>2021</v>
      </c>
      <c r="U41" s="1">
        <f t="shared" si="17"/>
        <v>2022</v>
      </c>
      <c r="V41" s="2">
        <f>YearProxy</f>
        <v>2023</v>
      </c>
      <c r="AA41" s="2">
        <f>AA6</f>
        <v>2022</v>
      </c>
      <c r="AB41" s="2">
        <f>AB6</f>
        <v>2023</v>
      </c>
      <c r="AC41" s="2">
        <f>YearProxy</f>
        <v>2023</v>
      </c>
      <c r="AD41" s="2">
        <f>YearProxy</f>
        <v>2023</v>
      </c>
    </row>
    <row r="42" spans="1:40">
      <c r="B42" t="str">
        <f t="shared" si="14"/>
        <v>AT</v>
      </c>
      <c r="C42" t="str">
        <f t="shared" si="14"/>
        <v>AT</v>
      </c>
      <c r="D42" s="3"/>
      <c r="E42" s="4">
        <f t="shared" ref="E42:R57" si="18">IFERROR(E7/D7-1,0)</f>
        <v>-3.2658101062260969E-2</v>
      </c>
      <c r="F42" s="4">
        <f t="shared" si="18"/>
        <v>1.1489054600045456E-2</v>
      </c>
      <c r="G42" s="4">
        <f t="shared" si="18"/>
        <v>-3.8889153650896846E-2</v>
      </c>
      <c r="H42" s="4">
        <f t="shared" si="18"/>
        <v>-5.069638041237845E-2</v>
      </c>
      <c r="I42" s="4">
        <f t="shared" si="18"/>
        <v>3.9063590796124092E-2</v>
      </c>
      <c r="J42" s="4">
        <f t="shared" si="18"/>
        <v>-3.0898789792800918E-2</v>
      </c>
      <c r="K42" s="4">
        <f t="shared" si="18"/>
        <v>-1.1840578438044314E-2</v>
      </c>
      <c r="L42" s="4">
        <f t="shared" si="18"/>
        <v>5.7511587247794482E-2</v>
      </c>
      <c r="M42" s="4">
        <f t="shared" si="18"/>
        <v>-1.9037937144727679E-2</v>
      </c>
      <c r="N42" s="4">
        <f t="shared" si="18"/>
        <v>2.7692373094034384E-2</v>
      </c>
      <c r="O42" s="4">
        <f t="shared" si="18"/>
        <v>3.6287159127392332E-2</v>
      </c>
      <c r="P42" s="4">
        <f t="shared" si="18"/>
        <v>1.8717165466374475E-2</v>
      </c>
      <c r="Q42" s="4">
        <f t="shared" si="18"/>
        <v>2.119271690361324E-2</v>
      </c>
      <c r="R42" s="4">
        <f t="shared" si="18"/>
        <v>1.4396367530101983E-2</v>
      </c>
      <c r="S42" s="4">
        <f t="shared" ref="S42:V71" si="19">IFERROR(S7/R7-1,0)</f>
        <v>-0.18088463599630811</v>
      </c>
      <c r="T42" s="4">
        <f t="shared" si="19"/>
        <v>4.429924565431298E-2</v>
      </c>
      <c r="U42" s="4">
        <f t="shared" si="19"/>
        <v>-2.8494237121288069E-2</v>
      </c>
      <c r="V42" s="4">
        <f t="shared" ca="1" si="19"/>
        <v>-8.0038149865946373E-4</v>
      </c>
      <c r="AA42" s="8">
        <v>0</v>
      </c>
      <c r="AB42" s="4">
        <v>-4.013453250109808E-2</v>
      </c>
      <c r="AC42" s="4">
        <f ca="1">AC7/AA7-1</f>
        <v>-8.3035558190044156E-2</v>
      </c>
      <c r="AD42" s="4">
        <v>-8.0038149865946373E-4</v>
      </c>
    </row>
    <row r="43" spans="1:40">
      <c r="B43" t="str">
        <f t="shared" si="14"/>
        <v>BE</v>
      </c>
      <c r="C43" t="str">
        <f t="shared" si="14"/>
        <v>BE</v>
      </c>
      <c r="D43" s="3"/>
      <c r="E43" s="4">
        <f t="shared" si="18"/>
        <v>1.8529626996495185E-2</v>
      </c>
      <c r="F43" s="4">
        <f t="shared" si="18"/>
        <v>3.5968251609491242E-2</v>
      </c>
      <c r="G43" s="4">
        <f t="shared" si="18"/>
        <v>1.2290716095321841E-2</v>
      </c>
      <c r="H43" s="4">
        <f t="shared" si="18"/>
        <v>-3.8008277956098624E-2</v>
      </c>
      <c r="I43" s="4">
        <f t="shared" si="18"/>
        <v>-1.8713752934547023E-2</v>
      </c>
      <c r="J43" s="4">
        <f t="shared" si="18"/>
        <v>-5.0317541242533848E-3</v>
      </c>
      <c r="K43" s="4">
        <f t="shared" si="18"/>
        <v>-3.7386395265813888E-2</v>
      </c>
      <c r="L43" s="4">
        <f t="shared" si="18"/>
        <v>-2.3475789707914974E-2</v>
      </c>
      <c r="M43" s="4">
        <f t="shared" si="18"/>
        <v>1.2634913523601465E-2</v>
      </c>
      <c r="N43" s="4">
        <f t="shared" si="18"/>
        <v>6.964869315668043E-2</v>
      </c>
      <c r="O43" s="4">
        <f t="shared" si="18"/>
        <v>-9.0590280415560054E-3</v>
      </c>
      <c r="P43" s="4">
        <f t="shared" si="18"/>
        <v>-4.2879100726305186E-3</v>
      </c>
      <c r="Q43" s="4">
        <f t="shared" si="18"/>
        <v>1.476203411091026E-2</v>
      </c>
      <c r="R43" s="4">
        <f t="shared" si="18"/>
        <v>-6.9006600334573509E-3</v>
      </c>
      <c r="S43" s="4">
        <f t="shared" si="19"/>
        <v>-0.18191365232187096</v>
      </c>
      <c r="T43" s="4">
        <f t="shared" si="19"/>
        <v>0.12846059895582518</v>
      </c>
      <c r="U43" s="4">
        <f t="shared" si="19"/>
        <v>3.6881372639886223E-2</v>
      </c>
      <c r="V43" s="4">
        <f t="shared" ca="1" si="19"/>
        <v>1.5610496709641097E-2</v>
      </c>
      <c r="AA43" s="8">
        <v>0</v>
      </c>
      <c r="AB43" s="4">
        <v>1.561049670964099E-2</v>
      </c>
      <c r="AC43" s="4">
        <f t="shared" ref="AC43:AC69" ca="1" si="20">AC8/AA8-1</f>
        <v>-7.2102415259665875E-2</v>
      </c>
      <c r="AD43" s="4"/>
    </row>
    <row r="44" spans="1:40">
      <c r="B44" t="str">
        <f t="shared" si="14"/>
        <v>BG</v>
      </c>
      <c r="C44" t="str">
        <f t="shared" si="14"/>
        <v>BG</v>
      </c>
      <c r="D44" s="3"/>
      <c r="E44" s="4">
        <f t="shared" si="18"/>
        <v>4.2965125723048558E-2</v>
      </c>
      <c r="F44" s="4">
        <f t="shared" si="18"/>
        <v>-2.7741719621012018E-2</v>
      </c>
      <c r="G44" s="4">
        <f t="shared" si="18"/>
        <v>4.9256683468385187E-2</v>
      </c>
      <c r="H44" s="4">
        <f t="shared" si="18"/>
        <v>-5.8837000187601518E-2</v>
      </c>
      <c r="I44" s="4">
        <f t="shared" si="18"/>
        <v>-2.0965675472445322E-2</v>
      </c>
      <c r="J44" s="4">
        <f t="shared" si="18"/>
        <v>2.2271514779635071E-2</v>
      </c>
      <c r="K44" s="4">
        <f t="shared" si="18"/>
        <v>2.7320953905247691E-2</v>
      </c>
      <c r="L44" s="4">
        <f t="shared" si="18"/>
        <v>-0.10578719356258737</v>
      </c>
      <c r="M44" s="4">
        <f t="shared" si="18"/>
        <v>0.11212583697128231</v>
      </c>
      <c r="N44" s="4">
        <f t="shared" si="18"/>
        <v>8.9668456775559013E-2</v>
      </c>
      <c r="O44" s="4">
        <f t="shared" si="18"/>
        <v>2.3291938397722589E-2</v>
      </c>
      <c r="P44" s="4">
        <f t="shared" si="18"/>
        <v>2.3843298158633397E-2</v>
      </c>
      <c r="Q44" s="4">
        <f t="shared" si="18"/>
        <v>2.076524515277911E-2</v>
      </c>
      <c r="R44" s="4">
        <f t="shared" si="18"/>
        <v>1.4769975158408499E-3</v>
      </c>
      <c r="S44" s="4">
        <f t="shared" si="19"/>
        <v>-8.5542682206843246E-2</v>
      </c>
      <c r="T44" s="4">
        <f t="shared" si="19"/>
        <v>8.0520309983966643E-2</v>
      </c>
      <c r="U44" s="4">
        <f t="shared" si="19"/>
        <v>1.9202351313082566E-2</v>
      </c>
      <c r="V44" s="4">
        <f t="shared" ca="1" si="19"/>
        <v>4.1797153460728653E-2</v>
      </c>
      <c r="AA44" s="8">
        <v>0</v>
      </c>
      <c r="AB44" s="4">
        <v>4.1797153460728743E-2</v>
      </c>
      <c r="AC44" s="4">
        <f t="shared" ca="1" si="20"/>
        <v>-2.3718891700335254E-2</v>
      </c>
      <c r="AD44" s="4"/>
    </row>
    <row r="45" spans="1:40">
      <c r="B45" t="str">
        <f t="shared" si="14"/>
        <v>CY</v>
      </c>
      <c r="C45" t="str">
        <f t="shared" si="14"/>
        <v>CY</v>
      </c>
      <c r="D45" s="3"/>
      <c r="E45" s="4">
        <f t="shared" si="18"/>
        <v>7.1452708892301153E-3</v>
      </c>
      <c r="F45" s="4">
        <f t="shared" si="18"/>
        <v>3.1703264718723201E-2</v>
      </c>
      <c r="G45" s="4">
        <f t="shared" si="18"/>
        <v>1.3553305160952878E-2</v>
      </c>
      <c r="H45" s="4">
        <f t="shared" si="18"/>
        <v>-2.0363508438243638E-2</v>
      </c>
      <c r="I45" s="4">
        <f t="shared" si="18"/>
        <v>2.0909133958943338E-2</v>
      </c>
      <c r="J45" s="4">
        <f t="shared" si="18"/>
        <v>3.1532114825989499E-3</v>
      </c>
      <c r="K45" s="4">
        <f t="shared" si="18"/>
        <v>-8.4745795366643062E-2</v>
      </c>
      <c r="L45" s="4">
        <f t="shared" si="18"/>
        <v>-0.10279568217507895</v>
      </c>
      <c r="M45" s="4">
        <f t="shared" si="18"/>
        <v>-2.264672862989936E-2</v>
      </c>
      <c r="N45" s="4">
        <f t="shared" si="18"/>
        <v>2.9422567263928112E-2</v>
      </c>
      <c r="O45" s="4">
        <f t="shared" si="18"/>
        <v>8.0081711749212081E-2</v>
      </c>
      <c r="P45" s="4">
        <f t="shared" si="18"/>
        <v>6.4702573917962303E-2</v>
      </c>
      <c r="Q45" s="4">
        <f t="shared" si="18"/>
        <v>1.4416988503113348E-2</v>
      </c>
      <c r="R45" s="4">
        <f t="shared" si="18"/>
        <v>-7.9931153459419368E-3</v>
      </c>
      <c r="S45" s="4">
        <f t="shared" si="19"/>
        <v>-0.30678526411879614</v>
      </c>
      <c r="T45" s="4">
        <f t="shared" si="19"/>
        <v>0.15538627457820242</v>
      </c>
      <c r="U45" s="4">
        <f t="shared" si="19"/>
        <v>0.12661479529257846</v>
      </c>
      <c r="V45" s="4">
        <f t="shared" ca="1" si="19"/>
        <v>3.3300568448850765E-3</v>
      </c>
      <c r="AA45" s="8">
        <v>0</v>
      </c>
      <c r="AB45" s="4">
        <v>3.3300568448850197E-3</v>
      </c>
      <c r="AC45" s="4">
        <f t="shared" ca="1" si="20"/>
        <v>-0.16023082686533374</v>
      </c>
      <c r="AD45" s="4"/>
    </row>
    <row r="46" spans="1:40">
      <c r="B46" t="str">
        <f t="shared" si="14"/>
        <v>CZ</v>
      </c>
      <c r="C46" t="str">
        <f t="shared" si="14"/>
        <v>CZ</v>
      </c>
      <c r="D46" s="3"/>
      <c r="E46" s="4">
        <f t="shared" si="18"/>
        <v>3.6580777330997849E-2</v>
      </c>
      <c r="F46" s="4">
        <f t="shared" si="18"/>
        <v>5.1669990010069666E-2</v>
      </c>
      <c r="G46" s="4">
        <f t="shared" si="18"/>
        <v>-5.3020936949970121E-3</v>
      </c>
      <c r="H46" s="4">
        <f t="shared" si="18"/>
        <v>-3.1128820963356896E-2</v>
      </c>
      <c r="I46" s="4">
        <f t="shared" si="18"/>
        <v>-5.7818552119570654E-2</v>
      </c>
      <c r="J46" s="4">
        <f t="shared" si="18"/>
        <v>-8.7490926477878928E-3</v>
      </c>
      <c r="K46" s="4">
        <f t="shared" si="18"/>
        <v>-2.3278840003679968E-2</v>
      </c>
      <c r="L46" s="4">
        <f t="shared" si="18"/>
        <v>-1.0743141473030904E-2</v>
      </c>
      <c r="M46" s="4">
        <f t="shared" si="18"/>
        <v>3.1287685310770863E-2</v>
      </c>
      <c r="N46" s="4">
        <f t="shared" si="18"/>
        <v>4.536524273843856E-2</v>
      </c>
      <c r="O46" s="4">
        <f t="shared" si="18"/>
        <v>3.8585993462463941E-2</v>
      </c>
      <c r="P46" s="4">
        <f t="shared" si="18"/>
        <v>3.5088673888595379E-2</v>
      </c>
      <c r="Q46" s="4">
        <f t="shared" si="18"/>
        <v>1.5405926449261198E-2</v>
      </c>
      <c r="R46" s="4">
        <f t="shared" si="18"/>
        <v>1.4273612882164777E-2</v>
      </c>
      <c r="S46" s="4">
        <f t="shared" si="19"/>
        <v>-0.10768142865913577</v>
      </c>
      <c r="T46" s="4">
        <f t="shared" si="19"/>
        <v>7.1940048679232982E-2</v>
      </c>
      <c r="U46" s="4">
        <f t="shared" si="19"/>
        <v>4.0996673283508756E-2</v>
      </c>
      <c r="V46" s="4">
        <f t="shared" ca="1" si="19"/>
        <v>8.00626650372811E-2</v>
      </c>
      <c r="AA46" s="8">
        <v>0</v>
      </c>
      <c r="AB46" s="4">
        <v>8.0062665037281044E-2</v>
      </c>
      <c r="AC46" s="4">
        <f t="shared" ca="1" si="20"/>
        <v>-3.6954295584686325E-2</v>
      </c>
      <c r="AD46" s="4"/>
    </row>
    <row r="47" spans="1:40">
      <c r="B47" t="str">
        <f t="shared" si="14"/>
        <v>DE</v>
      </c>
      <c r="C47" t="str">
        <f t="shared" si="14"/>
        <v>DE</v>
      </c>
      <c r="D47" s="3"/>
      <c r="E47" s="4">
        <f t="shared" si="18"/>
        <v>-6.7573576705034499E-3</v>
      </c>
      <c r="F47" s="4">
        <f t="shared" si="18"/>
        <v>-2.3977913905737114E-2</v>
      </c>
      <c r="G47" s="4">
        <f t="shared" si="18"/>
        <v>2.7159107964838114E-3</v>
      </c>
      <c r="H47" s="4">
        <f t="shared" si="18"/>
        <v>-1.3886789383646181E-2</v>
      </c>
      <c r="I47" s="4">
        <f t="shared" si="18"/>
        <v>4.2312630081962066E-3</v>
      </c>
      <c r="J47" s="4">
        <f t="shared" si="18"/>
        <v>5.1354523429536503E-3</v>
      </c>
      <c r="K47" s="4">
        <f t="shared" si="18"/>
        <v>-3.4166730087159536E-4</v>
      </c>
      <c r="L47" s="4">
        <f t="shared" si="18"/>
        <v>2.3879159158842755E-2</v>
      </c>
      <c r="M47" s="4">
        <f t="shared" si="18"/>
        <v>1.3297117352614407E-2</v>
      </c>
      <c r="N47" s="4">
        <f t="shared" si="18"/>
        <v>-1.3401950387517125E-3</v>
      </c>
      <c r="O47" s="4">
        <f t="shared" si="18"/>
        <v>3.3198624538698596E-2</v>
      </c>
      <c r="P47" s="4">
        <f t="shared" si="18"/>
        <v>2.5055620335992401E-2</v>
      </c>
      <c r="Q47" s="4">
        <f t="shared" si="18"/>
        <v>-2.4464375064399579E-2</v>
      </c>
      <c r="R47" s="4">
        <f t="shared" si="18"/>
        <v>1.0955841998584015E-2</v>
      </c>
      <c r="S47" s="4">
        <f t="shared" si="19"/>
        <v>-0.17507566245873196</v>
      </c>
      <c r="T47" s="4">
        <f t="shared" si="19"/>
        <v>1.5853190222039348E-2</v>
      </c>
      <c r="U47" s="4">
        <f t="shared" si="19"/>
        <v>6.5069857885745597E-2</v>
      </c>
      <c r="V47" s="4">
        <f t="shared" ca="1" si="19"/>
        <v>-1.9399999999999973E-2</v>
      </c>
      <c r="AA47" s="8">
        <v>0</v>
      </c>
      <c r="AB47" s="4">
        <v>-1.2249274851890554E-2</v>
      </c>
      <c r="AC47" s="4">
        <f t="shared" ca="1" si="20"/>
        <v>-0.10104461036241219</v>
      </c>
      <c r="AD47" s="4">
        <v>-1.9400000000000001E-2</v>
      </c>
    </row>
    <row r="48" spans="1:40">
      <c r="B48" t="str">
        <f t="shared" si="14"/>
        <v>DK</v>
      </c>
      <c r="C48" t="str">
        <f t="shared" si="14"/>
        <v>DK</v>
      </c>
      <c r="D48" s="3"/>
      <c r="E48" s="4">
        <f t="shared" si="18"/>
        <v>1.8272111362740873E-2</v>
      </c>
      <c r="F48" s="4">
        <f t="shared" si="18"/>
        <v>3.7005235094341726E-2</v>
      </c>
      <c r="G48" s="4">
        <f t="shared" si="18"/>
        <v>-9.6634934611535828E-3</v>
      </c>
      <c r="H48" s="4">
        <f t="shared" si="18"/>
        <v>-6.4021453621996849E-2</v>
      </c>
      <c r="I48" s="4">
        <f t="shared" si="18"/>
        <v>-4.2551110905875156E-3</v>
      </c>
      <c r="J48" s="4">
        <f t="shared" si="18"/>
        <v>-1.8063539607326984E-2</v>
      </c>
      <c r="K48" s="4">
        <f t="shared" si="18"/>
        <v>-6.8146776145264876E-2</v>
      </c>
      <c r="L48" s="4">
        <f t="shared" si="18"/>
        <v>-1.6599719377178412E-2</v>
      </c>
      <c r="M48" s="4">
        <f t="shared" si="18"/>
        <v>2.1143210169009441E-2</v>
      </c>
      <c r="N48" s="4">
        <f t="shared" si="18"/>
        <v>3.542104612471908E-2</v>
      </c>
      <c r="O48" s="4">
        <f t="shared" si="18"/>
        <v>2.4637572820803255E-2</v>
      </c>
      <c r="P48" s="4">
        <f t="shared" si="18"/>
        <v>4.3923619474142139E-3</v>
      </c>
      <c r="Q48" s="4">
        <f t="shared" si="18"/>
        <v>1.8395503423099813E-2</v>
      </c>
      <c r="R48" s="4">
        <f t="shared" si="18"/>
        <v>-1.2133078908003525E-2</v>
      </c>
      <c r="S48" s="4">
        <f t="shared" si="19"/>
        <v>-0.20503785612201009</v>
      </c>
      <c r="T48" s="4">
        <f t="shared" si="19"/>
        <v>4.3428721864680053E-2</v>
      </c>
      <c r="U48" s="4">
        <f t="shared" si="19"/>
        <v>6.9427993026055734E-2</v>
      </c>
      <c r="V48" s="4">
        <f t="shared" ca="1" si="19"/>
        <v>-3.4186618260584778E-2</v>
      </c>
      <c r="AA48" s="8">
        <v>0</v>
      </c>
      <c r="AB48" s="4">
        <v>-3.4186618260584785E-2</v>
      </c>
      <c r="AC48" s="4">
        <f t="shared" ca="1" si="20"/>
        <v>-0.1224161587456486</v>
      </c>
      <c r="AD48" s="4"/>
    </row>
    <row r="49" spans="2:30">
      <c r="B49" t="str">
        <f t="shared" si="14"/>
        <v>EE</v>
      </c>
      <c r="C49" t="str">
        <f t="shared" si="14"/>
        <v>EE</v>
      </c>
      <c r="D49" s="3"/>
      <c r="E49" s="4">
        <f t="shared" si="18"/>
        <v>6.528166356526599E-2</v>
      </c>
      <c r="F49" s="4">
        <f t="shared" si="18"/>
        <v>5.3206732654399902E-2</v>
      </c>
      <c r="G49" s="4">
        <f t="shared" si="18"/>
        <v>-2.4400540945541227E-2</v>
      </c>
      <c r="H49" s="4">
        <f t="shared" si="18"/>
        <v>-0.11055024276115255</v>
      </c>
      <c r="I49" s="4">
        <f t="shared" si="18"/>
        <v>4.3232384256969514E-2</v>
      </c>
      <c r="J49" s="4">
        <f t="shared" si="18"/>
        <v>1.2348320523349443E-2</v>
      </c>
      <c r="K49" s="4">
        <f t="shared" si="18"/>
        <v>2.9795646137627196E-2</v>
      </c>
      <c r="L49" s="4">
        <f t="shared" si="18"/>
        <v>-3.6929206628552258E-2</v>
      </c>
      <c r="M49" s="4">
        <f t="shared" si="18"/>
        <v>5.3085397304641901E-4</v>
      </c>
      <c r="N49" s="4">
        <f t="shared" si="18"/>
        <v>2.9803879554982426E-2</v>
      </c>
      <c r="O49" s="4">
        <f t="shared" si="18"/>
        <v>1.6574873022576764E-2</v>
      </c>
      <c r="P49" s="4">
        <f t="shared" si="18"/>
        <v>4.9017433998123749E-2</v>
      </c>
      <c r="Q49" s="4">
        <f t="shared" si="18"/>
        <v>2.8429441468728722E-2</v>
      </c>
      <c r="R49" s="4">
        <f t="shared" si="18"/>
        <v>-8.0122142507874639E-3</v>
      </c>
      <c r="S49" s="4">
        <f t="shared" si="19"/>
        <v>-0.11474474857358818</v>
      </c>
      <c r="T49" s="4">
        <f t="shared" si="19"/>
        <v>7.1047653584660253E-2</v>
      </c>
      <c r="U49" s="4">
        <f t="shared" si="19"/>
        <v>4.4554930950602811E-2</v>
      </c>
      <c r="V49" s="4">
        <f t="shared" ca="1" si="19"/>
        <v>3.6150851317613864E-2</v>
      </c>
      <c r="AA49" s="8">
        <v>0</v>
      </c>
      <c r="AB49" s="4">
        <v>3.615085131761394E-2</v>
      </c>
      <c r="AC49" s="4">
        <f t="shared" ca="1" si="20"/>
        <v>-5.0670179346682609E-2</v>
      </c>
      <c r="AD49" s="4"/>
    </row>
    <row r="50" spans="2:30">
      <c r="B50" t="str">
        <f t="shared" si="14"/>
        <v>ES</v>
      </c>
      <c r="C50" t="str">
        <f t="shared" si="14"/>
        <v>ES</v>
      </c>
      <c r="D50" s="3"/>
      <c r="E50" s="4">
        <f t="shared" si="18"/>
        <v>2.8533031275367993E-2</v>
      </c>
      <c r="F50" s="4">
        <f t="shared" si="18"/>
        <v>2.539140232424586E-2</v>
      </c>
      <c r="G50" s="4">
        <f t="shared" si="18"/>
        <v>-4.7865879113043519E-2</v>
      </c>
      <c r="H50" s="4">
        <f t="shared" si="18"/>
        <v>-7.7100078864345445E-2</v>
      </c>
      <c r="I50" s="4">
        <f t="shared" si="18"/>
        <v>-2.8546315901527342E-2</v>
      </c>
      <c r="J50" s="4">
        <f t="shared" si="18"/>
        <v>-4.0574152798001473E-2</v>
      </c>
      <c r="K50" s="4">
        <f t="shared" si="18"/>
        <v>-9.0880386647771205E-2</v>
      </c>
      <c r="L50" s="4">
        <f t="shared" si="18"/>
        <v>-1.1580434249292115E-2</v>
      </c>
      <c r="M50" s="4">
        <f t="shared" si="18"/>
        <v>7.0991359913468166E-3</v>
      </c>
      <c r="N50" s="4">
        <f t="shared" si="18"/>
        <v>3.9031883799846456E-2</v>
      </c>
      <c r="O50" s="4">
        <f t="shared" si="18"/>
        <v>3.9929157026619144E-2</v>
      </c>
      <c r="P50" s="4">
        <f t="shared" si="18"/>
        <v>3.9571854111648763E-2</v>
      </c>
      <c r="Q50" s="4">
        <f t="shared" si="18"/>
        <v>1.6086865931101979E-2</v>
      </c>
      <c r="R50" s="4">
        <f t="shared" si="18"/>
        <v>1.6019597202200586E-2</v>
      </c>
      <c r="S50" s="4">
        <f t="shared" si="19"/>
        <v>-0.27484119257937434</v>
      </c>
      <c r="T50" s="4">
        <f t="shared" si="19"/>
        <v>0.17397261313157841</v>
      </c>
      <c r="U50" s="4">
        <f t="shared" si="19"/>
        <v>0.12904067870491498</v>
      </c>
      <c r="V50" s="4">
        <f t="shared" ca="1" si="19"/>
        <v>-4.0869843529985905E-3</v>
      </c>
      <c r="AA50" s="8">
        <v>0</v>
      </c>
      <c r="AB50" s="4">
        <v>-4.0869843529987432E-3</v>
      </c>
      <c r="AC50" s="4">
        <f t="shared" ca="1" si="20"/>
        <v>-0.11989265806632443</v>
      </c>
      <c r="AD50" s="4"/>
    </row>
    <row r="51" spans="2:30">
      <c r="B51" t="str">
        <f t="shared" si="14"/>
        <v>FI</v>
      </c>
      <c r="C51" t="str">
        <f t="shared" si="14"/>
        <v>FI</v>
      </c>
      <c r="D51" s="3"/>
      <c r="E51" s="4">
        <f t="shared" si="18"/>
        <v>2.3004315058479552E-2</v>
      </c>
      <c r="F51" s="4">
        <f t="shared" si="18"/>
        <v>3.8760964162251055E-2</v>
      </c>
      <c r="G51" s="4">
        <f t="shared" si="18"/>
        <v>-3.3291060835722974E-2</v>
      </c>
      <c r="H51" s="4">
        <f t="shared" si="18"/>
        <v>-5.434663003525575E-2</v>
      </c>
      <c r="I51" s="4">
        <f t="shared" si="18"/>
        <v>4.2665095688275922E-2</v>
      </c>
      <c r="J51" s="4">
        <f t="shared" si="18"/>
        <v>7.8533931249809008E-3</v>
      </c>
      <c r="K51" s="4">
        <f t="shared" si="18"/>
        <v>-2.563568790797266E-2</v>
      </c>
      <c r="L51" s="4">
        <f t="shared" si="18"/>
        <v>8.5524386139024244E-4</v>
      </c>
      <c r="M51" s="4">
        <f t="shared" si="18"/>
        <v>-8.2082347287423807E-2</v>
      </c>
      <c r="N51" s="4">
        <f t="shared" si="18"/>
        <v>1.2963686832949683E-3</v>
      </c>
      <c r="O51" s="4">
        <f t="shared" si="18"/>
        <v>9.3276293543138156E-2</v>
      </c>
      <c r="P51" s="4">
        <f t="shared" si="18"/>
        <v>-3.4849112946932714E-2</v>
      </c>
      <c r="Q51" s="4">
        <f t="shared" si="18"/>
        <v>3.7764819039161956E-2</v>
      </c>
      <c r="R51" s="4">
        <f t="shared" si="18"/>
        <v>-1.395167927727381E-2</v>
      </c>
      <c r="S51" s="4">
        <f t="shared" si="19"/>
        <v>-0.17908623304099791</v>
      </c>
      <c r="T51" s="4">
        <f t="shared" si="19"/>
        <v>-3.7797694976952845E-2</v>
      </c>
      <c r="U51" s="4">
        <f t="shared" si="19"/>
        <v>5.5298749599938413E-2</v>
      </c>
      <c r="V51" s="4">
        <f t="shared" ca="1" si="19"/>
        <v>-2.1914901401236642E-2</v>
      </c>
      <c r="AA51" s="8">
        <v>0</v>
      </c>
      <c r="AB51" s="4">
        <v>-3.7395431210257811E-2</v>
      </c>
      <c r="AC51" s="4">
        <f t="shared" ca="1" si="20"/>
        <v>-0.13585899849587857</v>
      </c>
      <c r="AD51" s="4">
        <v>-2.1914901401236642E-2</v>
      </c>
    </row>
    <row r="52" spans="2:30">
      <c r="B52" t="str">
        <f t="shared" si="14"/>
        <v>FR</v>
      </c>
      <c r="C52" t="str">
        <f t="shared" si="14"/>
        <v>FR</v>
      </c>
      <c r="D52" s="3"/>
      <c r="E52" s="4">
        <f t="shared" si="18"/>
        <v>6.5402844468480659E-3</v>
      </c>
      <c r="F52" s="4">
        <f t="shared" si="18"/>
        <v>-2.1103809958891162E-3</v>
      </c>
      <c r="G52" s="4">
        <f t="shared" si="18"/>
        <v>-3.8919026090757258E-2</v>
      </c>
      <c r="H52" s="4">
        <f t="shared" si="18"/>
        <v>-2.16578144825047E-2</v>
      </c>
      <c r="I52" s="4">
        <f t="shared" si="18"/>
        <v>3.6950395829642435E-3</v>
      </c>
      <c r="J52" s="4">
        <f t="shared" si="18"/>
        <v>3.521590545872777E-2</v>
      </c>
      <c r="K52" s="4">
        <f t="shared" si="18"/>
        <v>-1.105703272606573E-2</v>
      </c>
      <c r="L52" s="4">
        <f t="shared" si="18"/>
        <v>-7.9615339805397811E-3</v>
      </c>
      <c r="M52" s="4">
        <f t="shared" si="18"/>
        <v>1.0748012271937224E-3</v>
      </c>
      <c r="N52" s="4">
        <f t="shared" si="18"/>
        <v>1.6036870898142652E-2</v>
      </c>
      <c r="O52" s="4">
        <f t="shared" si="18"/>
        <v>1.3592292393609373E-3</v>
      </c>
      <c r="P52" s="4">
        <f t="shared" si="18"/>
        <v>6.7412337388066401E-3</v>
      </c>
      <c r="Q52" s="4">
        <f t="shared" si="18"/>
        <v>-1.4198085705431462E-2</v>
      </c>
      <c r="R52" s="4">
        <f t="shared" si="18"/>
        <v>4.3362197622072163E-3</v>
      </c>
      <c r="S52" s="4">
        <f t="shared" si="19"/>
        <v>-0.20910384136289073</v>
      </c>
      <c r="T52" s="4">
        <f t="shared" si="19"/>
        <v>0.11602624003571171</v>
      </c>
      <c r="U52" s="4">
        <f t="shared" si="19"/>
        <v>8.874642826593937E-2</v>
      </c>
      <c r="V52" s="4">
        <f t="shared" ca="1" si="19"/>
        <v>-3.4432273573701488E-2</v>
      </c>
      <c r="AA52" s="8">
        <v>0</v>
      </c>
      <c r="AB52" s="4">
        <v>-3.1839007679185544E-2</v>
      </c>
      <c r="AC52" s="4">
        <f t="shared" ca="1" si="20"/>
        <v>-9.4654203614170762E-2</v>
      </c>
      <c r="AD52" s="4">
        <v>-3.4432273573701488E-2</v>
      </c>
    </row>
    <row r="53" spans="2:30">
      <c r="B53" t="str">
        <f t="shared" si="14"/>
        <v>EL</v>
      </c>
      <c r="C53" t="str">
        <f t="shared" si="14"/>
        <v>GR</v>
      </c>
      <c r="D53" s="3"/>
      <c r="E53" s="4">
        <f t="shared" si="18"/>
        <v>3.9656199128712766E-2</v>
      </c>
      <c r="F53" s="4">
        <f t="shared" si="18"/>
        <v>2.6865941498007695E-2</v>
      </c>
      <c r="G53" s="4">
        <f t="shared" si="18"/>
        <v>-2.129202947393527E-2</v>
      </c>
      <c r="H53" s="4">
        <f t="shared" si="18"/>
        <v>6.9408435052382922E-2</v>
      </c>
      <c r="I53" s="4">
        <f t="shared" si="18"/>
        <v>-0.12006617820846133</v>
      </c>
      <c r="J53" s="4">
        <f t="shared" si="18"/>
        <v>-8.6210832295897766E-2</v>
      </c>
      <c r="K53" s="4">
        <f t="shared" si="18"/>
        <v>-0.15951776698145737</v>
      </c>
      <c r="L53" s="4">
        <f t="shared" si="18"/>
        <v>-1.5023140011291014E-3</v>
      </c>
      <c r="M53" s="4">
        <f t="shared" si="18"/>
        <v>1.9034082747693803E-2</v>
      </c>
      <c r="N53" s="4">
        <f t="shared" si="18"/>
        <v>2.5020052611426369E-2</v>
      </c>
      <c r="O53" s="4">
        <f t="shared" si="18"/>
        <v>2.9709558062593455E-2</v>
      </c>
      <c r="P53" s="4">
        <f t="shared" si="18"/>
        <v>1.401587802202231E-3</v>
      </c>
      <c r="Q53" s="4">
        <f t="shared" si="18"/>
        <v>2.8890494929369126E-2</v>
      </c>
      <c r="R53" s="4">
        <f t="shared" si="18"/>
        <v>2.3714746395495867E-2</v>
      </c>
      <c r="S53" s="4">
        <f t="shared" si="19"/>
        <v>-0.24206388947387703</v>
      </c>
      <c r="T53" s="4">
        <f t="shared" si="19"/>
        <v>0.13451992669331081</v>
      </c>
      <c r="U53" s="4">
        <f t="shared" si="19"/>
        <v>0.13241259517885262</v>
      </c>
      <c r="V53" s="4">
        <f t="shared" ca="1" si="19"/>
        <v>0</v>
      </c>
      <c r="AA53" s="8">
        <v>0</v>
      </c>
      <c r="AB53" s="4">
        <v>-0.65711181593114099</v>
      </c>
      <c r="AC53" s="4">
        <f t="shared" ca="1" si="20"/>
        <v>-0.10675247313240099</v>
      </c>
      <c r="AD53" s="4"/>
    </row>
    <row r="54" spans="2:30">
      <c r="B54" t="str">
        <f t="shared" si="14"/>
        <v>HR</v>
      </c>
      <c r="C54" t="str">
        <f t="shared" si="14"/>
        <v>HR</v>
      </c>
      <c r="D54" s="3"/>
      <c r="E54" s="4">
        <f t="shared" si="18"/>
        <v>6.2044577182655658E-2</v>
      </c>
      <c r="F54" s="4">
        <f t="shared" si="18"/>
        <v>7.2382968055414665E-2</v>
      </c>
      <c r="G54" s="4">
        <f t="shared" si="18"/>
        <v>-2.8391701168882788E-3</v>
      </c>
      <c r="H54" s="4">
        <f t="shared" si="18"/>
        <v>-1.3012675464433521E-2</v>
      </c>
      <c r="I54" s="4">
        <f t="shared" si="18"/>
        <v>-3.4686310156599842E-2</v>
      </c>
      <c r="J54" s="4">
        <f t="shared" si="18"/>
        <v>-1.6530863727878597E-2</v>
      </c>
      <c r="K54" s="4">
        <f t="shared" si="18"/>
        <v>-3.2382100461629149E-2</v>
      </c>
      <c r="L54" s="4">
        <f t="shared" si="18"/>
        <v>1.8445023446549191E-2</v>
      </c>
      <c r="M54" s="4">
        <f t="shared" si="18"/>
        <v>-1.0336134286770493E-2</v>
      </c>
      <c r="N54" s="4">
        <f t="shared" si="18"/>
        <v>4.9309559729798114E-2</v>
      </c>
      <c r="O54" s="4">
        <f t="shared" si="18"/>
        <v>3.735774345450027E-2</v>
      </c>
      <c r="P54" s="4">
        <f t="shared" si="18"/>
        <v>8.1071258247845446E-2</v>
      </c>
      <c r="Q54" s="4">
        <f t="shared" si="18"/>
        <v>-1.6975011049884081E-2</v>
      </c>
      <c r="R54" s="4">
        <f t="shared" si="18"/>
        <v>2.9529175462474244E-2</v>
      </c>
      <c r="S54" s="4">
        <f t="shared" si="19"/>
        <v>-0.17501381648088021</v>
      </c>
      <c r="T54" s="4">
        <f t="shared" si="19"/>
        <v>0.10115303742197912</v>
      </c>
      <c r="U54" s="4">
        <f t="shared" si="19"/>
        <v>0.11362752568258738</v>
      </c>
      <c r="V54" s="4">
        <f t="shared" ca="1" si="19"/>
        <v>0</v>
      </c>
      <c r="AA54" s="8">
        <v>0</v>
      </c>
      <c r="AB54" s="4">
        <v>0</v>
      </c>
      <c r="AC54" s="4">
        <f t="shared" ca="1" si="20"/>
        <v>-7.081803881533022E-2</v>
      </c>
      <c r="AD54" s="4"/>
    </row>
    <row r="55" spans="2:30">
      <c r="B55" t="str">
        <f t="shared" si="14"/>
        <v>HU</v>
      </c>
      <c r="C55" t="str">
        <f t="shared" si="14"/>
        <v>HU</v>
      </c>
      <c r="D55" s="3"/>
      <c r="E55" s="4">
        <f t="shared" si="18"/>
        <v>6.4826822412431095E-2</v>
      </c>
      <c r="F55" s="4">
        <f t="shared" si="18"/>
        <v>8.7483691390146667E-3</v>
      </c>
      <c r="G55" s="4">
        <f t="shared" si="18"/>
        <v>-1.3959159215929384E-3</v>
      </c>
      <c r="H55" s="4">
        <f t="shared" si="18"/>
        <v>-1.3922227869074155E-2</v>
      </c>
      <c r="I55" s="4">
        <f t="shared" si="18"/>
        <v>-8.7590234894179608E-2</v>
      </c>
      <c r="J55" s="4">
        <f t="shared" si="18"/>
        <v>-6.2274344929195702E-2</v>
      </c>
      <c r="K55" s="4">
        <f t="shared" si="18"/>
        <v>-4.6654631033920313E-2</v>
      </c>
      <c r="L55" s="4">
        <f t="shared" si="18"/>
        <v>-5.917795411353588E-2</v>
      </c>
      <c r="M55" s="4">
        <f t="shared" si="18"/>
        <v>0.10612084825989343</v>
      </c>
      <c r="N55" s="4">
        <f t="shared" si="18"/>
        <v>8.4361367161360779E-2</v>
      </c>
      <c r="O55" s="4">
        <f t="shared" si="18"/>
        <v>2.0542034355758965E-2</v>
      </c>
      <c r="P55" s="4">
        <f t="shared" si="18"/>
        <v>6.780868230317183E-2</v>
      </c>
      <c r="Q55" s="4">
        <f t="shared" si="18"/>
        <v>6.9625284731541282E-2</v>
      </c>
      <c r="R55" s="4">
        <f t="shared" si="18"/>
        <v>5.6242204913259375E-2</v>
      </c>
      <c r="S55" s="4">
        <f t="shared" si="19"/>
        <v>-0.16815037655334941</v>
      </c>
      <c r="T55" s="4">
        <f t="shared" si="19"/>
        <v>0.10601807597101875</v>
      </c>
      <c r="U55" s="4">
        <f t="shared" si="19"/>
        <v>0.10478577176622084</v>
      </c>
      <c r="V55" s="4">
        <f t="shared" ca="1" si="19"/>
        <v>-5.9259887769016584E-2</v>
      </c>
      <c r="AA55" s="8">
        <v>0</v>
      </c>
      <c r="AB55" s="4">
        <v>-5.9259887769016487E-2</v>
      </c>
      <c r="AC55" s="4">
        <f t="shared" ca="1" si="20"/>
        <v>-5.4700604433326805E-2</v>
      </c>
      <c r="AD55" s="4"/>
    </row>
    <row r="56" spans="2:30">
      <c r="B56" t="str">
        <f t="shared" si="14"/>
        <v>IE</v>
      </c>
      <c r="C56" t="str">
        <f t="shared" si="14"/>
        <v>IE</v>
      </c>
      <c r="D56" s="3"/>
      <c r="E56" s="4">
        <f t="shared" si="18"/>
        <v>8.2973060794111264E-2</v>
      </c>
      <c r="F56" s="4">
        <f t="shared" si="18"/>
        <v>4.8482769323760166E-2</v>
      </c>
      <c r="G56" s="4">
        <f t="shared" si="18"/>
        <v>-5.8645500238300619E-2</v>
      </c>
      <c r="H56" s="4">
        <f t="shared" si="18"/>
        <v>-0.14418244794266244</v>
      </c>
      <c r="I56" s="4">
        <f t="shared" si="18"/>
        <v>-2.1012725523529285E-2</v>
      </c>
      <c r="J56" s="4">
        <f t="shared" si="18"/>
        <v>-5.4511886775845286E-2</v>
      </c>
      <c r="K56" s="4">
        <f t="shared" si="18"/>
        <v>-4.3026090016954455E-2</v>
      </c>
      <c r="L56" s="4">
        <f t="shared" si="18"/>
        <v>2.5484091728950942E-2</v>
      </c>
      <c r="M56" s="4">
        <f t="shared" si="18"/>
        <v>5.6243108534854258E-2</v>
      </c>
      <c r="N56" s="4">
        <f t="shared" si="18"/>
        <v>3.0766443212463468E-2</v>
      </c>
      <c r="O56" s="4">
        <f t="shared" si="18"/>
        <v>5.4163101393965629E-2</v>
      </c>
      <c r="P56" s="4">
        <f t="shared" si="18"/>
        <v>1.1537988254860965E-2</v>
      </c>
      <c r="Q56" s="4">
        <f t="shared" si="18"/>
        <v>2.7162214040667321E-2</v>
      </c>
      <c r="R56" s="4">
        <f t="shared" si="18"/>
        <v>1.1884982884711182E-3</v>
      </c>
      <c r="S56" s="4">
        <f t="shared" si="19"/>
        <v>-0.26561334039786733</v>
      </c>
      <c r="T56" s="4">
        <f t="shared" si="19"/>
        <v>7.2351265019330313E-2</v>
      </c>
      <c r="U56" s="4">
        <f t="shared" si="19"/>
        <v>0.19880673187799225</v>
      </c>
      <c r="V56" s="4">
        <f t="shared" ca="1" si="19"/>
        <v>6.0226649474552918E-3</v>
      </c>
      <c r="AA56" s="8">
        <v>0</v>
      </c>
      <c r="AB56" s="4">
        <v>6.0226649474553352E-3</v>
      </c>
      <c r="AC56" s="4">
        <f t="shared" ca="1" si="20"/>
        <v>-0.15645264368795309</v>
      </c>
      <c r="AD56" s="4"/>
    </row>
    <row r="57" spans="2:30">
      <c r="B57" t="str">
        <f t="shared" ref="B57:C69" si="21">B22</f>
        <v>IT</v>
      </c>
      <c r="C57" t="str">
        <f t="shared" si="21"/>
        <v>IT</v>
      </c>
      <c r="D57" s="3"/>
      <c r="E57" s="4">
        <f t="shared" si="18"/>
        <v>1.3661534760332161E-2</v>
      </c>
      <c r="F57" s="4">
        <f t="shared" si="18"/>
        <v>7.0209846445312696E-3</v>
      </c>
      <c r="G57" s="4">
        <f t="shared" si="18"/>
        <v>-5.0799106402807936E-2</v>
      </c>
      <c r="H57" s="4">
        <f t="shared" si="18"/>
        <v>-5.2863076034050827E-2</v>
      </c>
      <c r="I57" s="4">
        <f t="shared" si="18"/>
        <v>-1.633596003255533E-2</v>
      </c>
      <c r="J57" s="4">
        <f t="shared" si="18"/>
        <v>2.6391166378474384E-3</v>
      </c>
      <c r="K57" s="4">
        <f t="shared" si="18"/>
        <v>-5.7872338046296545E-2</v>
      </c>
      <c r="L57" s="4">
        <f t="shared" si="18"/>
        <v>-1.6582450584017305E-2</v>
      </c>
      <c r="M57" s="4">
        <f t="shared" si="18"/>
        <v>4.1928793387841834E-2</v>
      </c>
      <c r="N57" s="4">
        <f t="shared" si="18"/>
        <v>-1.6556189134173338E-2</v>
      </c>
      <c r="O57" s="4">
        <f t="shared" si="18"/>
        <v>-7.9419398372747585E-3</v>
      </c>
      <c r="P57" s="4">
        <f t="shared" si="18"/>
        <v>-3.1168056642716158E-2</v>
      </c>
      <c r="Q57" s="4">
        <f t="shared" si="18"/>
        <v>3.4753775423799871E-2</v>
      </c>
      <c r="R57" s="4">
        <f t="shared" si="18"/>
        <v>1.0191792767282104E-2</v>
      </c>
      <c r="S57" s="4">
        <f t="shared" si="19"/>
        <v>-0.24244026419740461</v>
      </c>
      <c r="T57" s="4">
        <f t="shared" si="19"/>
        <v>0.20126551992333797</v>
      </c>
      <c r="U57" s="4">
        <f t="shared" si="19"/>
        <v>8.1833649214318349E-2</v>
      </c>
      <c r="V57" s="4">
        <f t="shared" ca="1" si="19"/>
        <v>-7.6834252717212781E-3</v>
      </c>
      <c r="AA57" s="8">
        <v>0</v>
      </c>
      <c r="AB57" s="4">
        <v>-7.6834252717211757E-3</v>
      </c>
      <c r="AC57" s="4">
        <f t="shared" ca="1" si="20"/>
        <v>-8.7696738279536057E-2</v>
      </c>
      <c r="AD57" s="4"/>
    </row>
    <row r="58" spans="2:30">
      <c r="B58" t="str">
        <f t="shared" si="21"/>
        <v>LT</v>
      </c>
      <c r="C58" t="str">
        <f t="shared" si="21"/>
        <v>LT</v>
      </c>
      <c r="D58" s="3"/>
      <c r="E58" s="4">
        <f t="shared" ref="E58:R71" si="22">IFERROR(E23/D23-1,0)</f>
        <v>6.8155968141558443E-2</v>
      </c>
      <c r="F58" s="4">
        <f t="shared" si="22"/>
        <v>0.16833703556235458</v>
      </c>
      <c r="G58" s="4">
        <f t="shared" si="22"/>
        <v>-6.4179455847901412E-4</v>
      </c>
      <c r="H58" s="4">
        <f t="shared" si="22"/>
        <v>-0.18664714806931337</v>
      </c>
      <c r="I58" s="4">
        <f t="shared" si="22"/>
        <v>3.488010459686941E-2</v>
      </c>
      <c r="J58" s="4">
        <f t="shared" si="22"/>
        <v>-4.2872754411213965E-3</v>
      </c>
      <c r="K58" s="4">
        <f t="shared" si="22"/>
        <v>1.103938603453436E-2</v>
      </c>
      <c r="L58" s="4">
        <f t="shared" si="22"/>
        <v>2.4351627170564605E-3</v>
      </c>
      <c r="M58" s="4">
        <f t="shared" si="22"/>
        <v>0.10712061915097171</v>
      </c>
      <c r="N58" s="4">
        <f t="shared" si="22"/>
        <v>5.1938610036077248E-2</v>
      </c>
      <c r="O58" s="4">
        <f t="shared" si="22"/>
        <v>7.9304288072861828E-2</v>
      </c>
      <c r="P58" s="4">
        <f t="shared" si="22"/>
        <v>4.7554409920726126E-2</v>
      </c>
      <c r="Q58" s="4">
        <f t="shared" si="22"/>
        <v>6.7955819390244976E-2</v>
      </c>
      <c r="R58" s="4">
        <f t="shared" si="22"/>
        <v>3.2476966174483257E-2</v>
      </c>
      <c r="S58" s="4">
        <f t="shared" si="19"/>
        <v>-5.5077631136134286E-2</v>
      </c>
      <c r="T58" s="4">
        <f t="shared" si="19"/>
        <v>1.0771256627355452E-3</v>
      </c>
      <c r="U58" s="4">
        <f t="shared" si="19"/>
        <v>2.6053009870239396E-3</v>
      </c>
      <c r="V58" s="4">
        <f t="shared" ca="1" si="19"/>
        <v>2.4103861390864401E-2</v>
      </c>
      <c r="AA58" s="8">
        <v>0</v>
      </c>
      <c r="AB58" s="4">
        <v>2.1010350431951121E-2</v>
      </c>
      <c r="AC58" s="4">
        <f t="shared" ca="1" si="20"/>
        <v>-1.5968090671903412E-2</v>
      </c>
      <c r="AD58" s="4">
        <v>2.4103861390864401E-2</v>
      </c>
    </row>
    <row r="59" spans="2:30">
      <c r="B59" t="str">
        <f t="shared" si="21"/>
        <v>LU</v>
      </c>
      <c r="C59" t="str">
        <f t="shared" si="21"/>
        <v>LU</v>
      </c>
      <c r="D59" s="3"/>
      <c r="E59" s="4">
        <f t="shared" si="22"/>
        <v>-4.6153569663476612E-2</v>
      </c>
      <c r="F59" s="4">
        <f t="shared" si="22"/>
        <v>-2.2261956800265326E-2</v>
      </c>
      <c r="G59" s="4">
        <f t="shared" si="22"/>
        <v>1.2588244317233821E-2</v>
      </c>
      <c r="H59" s="4">
        <f t="shared" si="22"/>
        <v>-7.1963475881178685E-2</v>
      </c>
      <c r="I59" s="4">
        <f t="shared" si="22"/>
        <v>5.1952334373019937E-2</v>
      </c>
      <c r="J59" s="4">
        <f t="shared" si="22"/>
        <v>3.8779963562031616E-2</v>
      </c>
      <c r="K59" s="4">
        <f t="shared" si="22"/>
        <v>-5.0064668098397491E-2</v>
      </c>
      <c r="L59" s="4">
        <f t="shared" si="22"/>
        <v>-1.8003676832282323E-2</v>
      </c>
      <c r="M59" s="4">
        <f t="shared" si="22"/>
        <v>-2.5410233136022198E-2</v>
      </c>
      <c r="N59" s="4">
        <f t="shared" si="22"/>
        <v>-3.7025324686315808E-2</v>
      </c>
      <c r="O59" s="4">
        <f t="shared" si="22"/>
        <v>-2.9593891045778253E-3</v>
      </c>
      <c r="P59" s="4">
        <f t="shared" si="22"/>
        <v>4.3678109519265984E-2</v>
      </c>
      <c r="Q59" s="4">
        <f t="shared" si="22"/>
        <v>6.8078989673103552E-2</v>
      </c>
      <c r="R59" s="4">
        <f t="shared" si="22"/>
        <v>1.2322473412718971E-2</v>
      </c>
      <c r="S59" s="4">
        <f t="shared" si="19"/>
        <v>-0.21055766076256111</v>
      </c>
      <c r="T59" s="4">
        <f t="shared" si="19"/>
        <v>8.8901792023352799E-2</v>
      </c>
      <c r="U59" s="4">
        <f t="shared" si="19"/>
        <v>-8.2775164791034084E-2</v>
      </c>
      <c r="V59" s="4">
        <f t="shared" ca="1" si="19"/>
        <v>-3.4355844511819611E-2</v>
      </c>
      <c r="AA59" s="8">
        <v>0</v>
      </c>
      <c r="AB59" s="4">
        <v>-3.4355844511819646E-2</v>
      </c>
      <c r="AC59" s="4">
        <f t="shared" ca="1" si="20"/>
        <v>-8.2595280034990726E-2</v>
      </c>
      <c r="AD59" s="4"/>
    </row>
    <row r="60" spans="2:30">
      <c r="B60" t="str">
        <f t="shared" si="21"/>
        <v>LV</v>
      </c>
      <c r="C60" t="str">
        <f t="shared" si="21"/>
        <v>LV</v>
      </c>
      <c r="D60" s="3"/>
      <c r="E60" s="4">
        <f t="shared" si="22"/>
        <v>0.10463027965501959</v>
      </c>
      <c r="F60" s="4">
        <f t="shared" si="22"/>
        <v>0.13247217528760569</v>
      </c>
      <c r="G60" s="4">
        <f t="shared" si="22"/>
        <v>-3.9748298588912379E-2</v>
      </c>
      <c r="H60" s="4">
        <f t="shared" si="22"/>
        <v>-0.11063283137431623</v>
      </c>
      <c r="I60" s="4">
        <f t="shared" si="22"/>
        <v>3.285150538977577E-2</v>
      </c>
      <c r="J60" s="4">
        <f t="shared" si="22"/>
        <v>-9.9036134932592446E-2</v>
      </c>
      <c r="K60" s="4">
        <f t="shared" si="22"/>
        <v>-2.7653363533066355E-2</v>
      </c>
      <c r="L60" s="4">
        <f t="shared" si="22"/>
        <v>1.450622355003417E-2</v>
      </c>
      <c r="M60" s="4">
        <f t="shared" si="22"/>
        <v>2.4778776326910723E-2</v>
      </c>
      <c r="N60" s="4">
        <f t="shared" si="22"/>
        <v>4.9400067890376542E-2</v>
      </c>
      <c r="O60" s="4">
        <f t="shared" si="22"/>
        <v>2.0665693576356503E-2</v>
      </c>
      <c r="P60" s="4">
        <f t="shared" si="22"/>
        <v>5.769917469086927E-2</v>
      </c>
      <c r="Q60" s="4">
        <f t="shared" si="22"/>
        <v>1.0466562716419769E-2</v>
      </c>
      <c r="R60" s="4">
        <f t="shared" si="22"/>
        <v>-2.7226899817587302E-3</v>
      </c>
      <c r="S60" s="4">
        <f t="shared" si="19"/>
        <v>-0.13294954882931531</v>
      </c>
      <c r="T60" s="4">
        <f t="shared" si="19"/>
        <v>4.7252946578039356E-2</v>
      </c>
      <c r="U60" s="4">
        <f t="shared" si="19"/>
        <v>3.5907784515405217E-2</v>
      </c>
      <c r="V60" s="4">
        <f t="shared" ca="1" si="19"/>
        <v>0</v>
      </c>
      <c r="AA60" s="8">
        <v>0</v>
      </c>
      <c r="AB60" s="4">
        <v>-4.4805839464423089E-3</v>
      </c>
      <c r="AC60" s="4">
        <f t="shared" ca="1" si="20"/>
        <v>-6.5697324570529569E-2</v>
      </c>
      <c r="AD60" s="4">
        <v>0</v>
      </c>
    </row>
    <row r="61" spans="2:30">
      <c r="B61" t="str">
        <f t="shared" si="21"/>
        <v>MT</v>
      </c>
      <c r="C61" t="str">
        <f t="shared" si="21"/>
        <v>MT</v>
      </c>
      <c r="D61" s="3"/>
      <c r="E61" s="4">
        <f t="shared" si="22"/>
        <v>2.4311240693908109E-2</v>
      </c>
      <c r="F61" s="4">
        <f t="shared" si="22"/>
        <v>3.5601348098218466E-2</v>
      </c>
      <c r="G61" s="4">
        <f t="shared" si="22"/>
        <v>7.2314295490724101E-2</v>
      </c>
      <c r="H61" s="4">
        <f t="shared" si="22"/>
        <v>-9.899726337184489E-2</v>
      </c>
      <c r="I61" s="4">
        <f t="shared" si="22"/>
        <v>0.10224468662542496</v>
      </c>
      <c r="J61" s="4">
        <f t="shared" si="22"/>
        <v>4.9942548606685122E-4</v>
      </c>
      <c r="K61" s="4">
        <f t="shared" si="22"/>
        <v>-2.8931274260660778E-2</v>
      </c>
      <c r="L61" s="4">
        <f t="shared" si="22"/>
        <v>1.8973053806113915E-2</v>
      </c>
      <c r="M61" s="4">
        <f t="shared" si="22"/>
        <v>3.2611073089162002E-2</v>
      </c>
      <c r="N61" s="4">
        <f t="shared" si="22"/>
        <v>5.613824110199328E-2</v>
      </c>
      <c r="O61" s="4">
        <f t="shared" si="22"/>
        <v>2.681326786095517E-2</v>
      </c>
      <c r="P61" s="4">
        <f t="shared" si="22"/>
        <v>6.8888279824967702E-2</v>
      </c>
      <c r="Q61" s="4">
        <f t="shared" si="22"/>
        <v>0.10391283076034341</v>
      </c>
      <c r="R61" s="4">
        <f t="shared" si="22"/>
        <v>5.6892118830279559E-2</v>
      </c>
      <c r="S61" s="4">
        <f t="shared" si="19"/>
        <v>-0.36735714646592232</v>
      </c>
      <c r="T61" s="4">
        <f t="shared" si="19"/>
        <v>0.12472947396161893</v>
      </c>
      <c r="U61" s="4">
        <f t="shared" si="19"/>
        <v>0.29682080411822165</v>
      </c>
      <c r="V61" s="4">
        <f t="shared" ca="1" si="19"/>
        <v>-3.2422956481228171E-2</v>
      </c>
      <c r="AA61" s="8">
        <v>0</v>
      </c>
      <c r="AB61" s="4">
        <v>-3.2422956481228254E-2</v>
      </c>
      <c r="AC61" s="4">
        <f t="shared" ca="1" si="20"/>
        <v>-0.19584239026286965</v>
      </c>
      <c r="AD61" s="4"/>
    </row>
    <row r="62" spans="2:30">
      <c r="B62" t="str">
        <f t="shared" si="21"/>
        <v>NL</v>
      </c>
      <c r="C62" t="str">
        <f t="shared" si="21"/>
        <v>NL</v>
      </c>
      <c r="D62" s="3"/>
      <c r="E62" s="4">
        <f t="shared" si="22"/>
        <v>2.3664617839339819E-2</v>
      </c>
      <c r="F62" s="4">
        <f t="shared" si="22"/>
        <v>-9.3233743226669441E-3</v>
      </c>
      <c r="G62" s="4">
        <f t="shared" si="22"/>
        <v>1.3574265086618409E-2</v>
      </c>
      <c r="H62" s="4">
        <f t="shared" si="22"/>
        <v>-4.7080524215072139E-2</v>
      </c>
      <c r="I62" s="4">
        <f t="shared" si="22"/>
        <v>8.1890465726544015E-3</v>
      </c>
      <c r="J62" s="4">
        <f t="shared" si="22"/>
        <v>1.1883413511761143E-2</v>
      </c>
      <c r="K62" s="4">
        <f t="shared" si="22"/>
        <v>-4.2457128360257945E-2</v>
      </c>
      <c r="L62" s="4">
        <f t="shared" si="22"/>
        <v>-2.9865109359237696E-2</v>
      </c>
      <c r="M62" s="4">
        <f t="shared" si="22"/>
        <v>-5.4458477477638878E-2</v>
      </c>
      <c r="N62" s="4">
        <f t="shared" si="22"/>
        <v>2.7029117426353944E-2</v>
      </c>
      <c r="O62" s="4">
        <f t="shared" si="22"/>
        <v>1.1078283504708741E-2</v>
      </c>
      <c r="P62" s="4">
        <f t="shared" si="22"/>
        <v>2.917314933721582E-2</v>
      </c>
      <c r="Q62" s="4">
        <f t="shared" si="22"/>
        <v>7.1785949826537188E-3</v>
      </c>
      <c r="R62" s="4">
        <f t="shared" si="22"/>
        <v>-1.5381674995727401E-2</v>
      </c>
      <c r="S62" s="4">
        <f t="shared" si="19"/>
        <v>-0.23089775385705347</v>
      </c>
      <c r="T62" s="4">
        <f t="shared" si="19"/>
        <v>2.9796027419612514E-2</v>
      </c>
      <c r="U62" s="4">
        <f t="shared" si="19"/>
        <v>6.7893501841743475E-2</v>
      </c>
      <c r="V62" s="4">
        <f t="shared" ca="1" si="19"/>
        <v>4.3349675007483546E-2</v>
      </c>
      <c r="AA62" s="8">
        <v>0</v>
      </c>
      <c r="AB62" s="4">
        <v>4.3349675007483532E-2</v>
      </c>
      <c r="AC62" s="4">
        <f t="shared" ca="1" si="20"/>
        <v>-0.14847324737841805</v>
      </c>
      <c r="AD62" s="4"/>
    </row>
    <row r="63" spans="2:30">
      <c r="B63" t="str">
        <f t="shared" si="21"/>
        <v>PL</v>
      </c>
      <c r="C63" t="str">
        <f t="shared" si="21"/>
        <v>PL</v>
      </c>
      <c r="D63" s="3"/>
      <c r="E63" s="4">
        <f t="shared" si="22"/>
        <v>0.10733547228020512</v>
      </c>
      <c r="F63" s="4">
        <f t="shared" si="22"/>
        <v>9.7931759071622437E-2</v>
      </c>
      <c r="G63" s="4">
        <f t="shared" si="22"/>
        <v>4.7015012418301527E-2</v>
      </c>
      <c r="H63" s="4">
        <f t="shared" si="22"/>
        <v>5.8881435568240992E-3</v>
      </c>
      <c r="I63" s="4">
        <f t="shared" si="22"/>
        <v>5.1181610445280912E-2</v>
      </c>
      <c r="J63" s="4">
        <f t="shared" si="22"/>
        <v>9.6720543447230689E-3</v>
      </c>
      <c r="K63" s="4">
        <f t="shared" si="22"/>
        <v>-3.4127045784130838E-2</v>
      </c>
      <c r="L63" s="4">
        <f t="shared" si="22"/>
        <v>-5.4160619470158933E-2</v>
      </c>
      <c r="M63" s="4">
        <f t="shared" si="22"/>
        <v>1.0412794560822114E-2</v>
      </c>
      <c r="N63" s="4">
        <f t="shared" si="22"/>
        <v>5.5646345311523904E-2</v>
      </c>
      <c r="O63" s="4">
        <f t="shared" si="22"/>
        <v>0.13444778024746795</v>
      </c>
      <c r="P63" s="4">
        <f t="shared" si="22"/>
        <v>0.1541165779300997</v>
      </c>
      <c r="Q63" s="4">
        <f t="shared" si="22"/>
        <v>3.5331640455289026E-2</v>
      </c>
      <c r="R63" s="4">
        <f t="shared" si="22"/>
        <v>1.7373539452586018E-2</v>
      </c>
      <c r="S63" s="4">
        <f t="shared" si="19"/>
        <v>-7.1695318382306694E-2</v>
      </c>
      <c r="T63" s="4">
        <f t="shared" si="19"/>
        <v>8.4224705081268336E-2</v>
      </c>
      <c r="U63" s="4">
        <f t="shared" si="19"/>
        <v>3.0145840708827087E-2</v>
      </c>
      <c r="V63" s="4">
        <f t="shared" ca="1" si="19"/>
        <v>2.0205264711892434E-2</v>
      </c>
      <c r="AA63" s="8">
        <v>0</v>
      </c>
      <c r="AB63" s="4">
        <v>2.0205264711892362E-2</v>
      </c>
      <c r="AC63" s="4">
        <f t="shared" ca="1" si="20"/>
        <v>-1.1216242890132566E-2</v>
      </c>
      <c r="AD63" s="4"/>
    </row>
    <row r="64" spans="2:30">
      <c r="B64" t="str">
        <f t="shared" si="21"/>
        <v>PT</v>
      </c>
      <c r="C64" t="str">
        <f t="shared" si="21"/>
        <v>PT</v>
      </c>
      <c r="D64" s="3"/>
      <c r="E64" s="4">
        <f t="shared" si="22"/>
        <v>-1.9736501635178039E-3</v>
      </c>
      <c r="F64" s="4">
        <f t="shared" si="22"/>
        <v>6.9998440204419587E-3</v>
      </c>
      <c r="G64" s="4">
        <f t="shared" si="22"/>
        <v>6.1364291356011957E-3</v>
      </c>
      <c r="H64" s="4">
        <f t="shared" si="22"/>
        <v>-2.0708626805978958E-2</v>
      </c>
      <c r="I64" s="4">
        <f t="shared" si="22"/>
        <v>-1.1708976751053535E-2</v>
      </c>
      <c r="J64" s="4">
        <f t="shared" si="22"/>
        <v>-5.834322951745774E-2</v>
      </c>
      <c r="K64" s="4">
        <f t="shared" si="22"/>
        <v>-6.6859130612259121E-2</v>
      </c>
      <c r="L64" s="4">
        <f t="shared" si="22"/>
        <v>-1.1912230573829841E-2</v>
      </c>
      <c r="M64" s="4">
        <f t="shared" si="22"/>
        <v>1.0112080663498668E-2</v>
      </c>
      <c r="N64" s="4">
        <f t="shared" si="22"/>
        <v>1.7097803292516423E-2</v>
      </c>
      <c r="O64" s="4">
        <f t="shared" si="22"/>
        <v>4.7830506848535848E-2</v>
      </c>
      <c r="P64" s="4">
        <f t="shared" si="22"/>
        <v>3.8226333879178176E-2</v>
      </c>
      <c r="Q64" s="4">
        <f t="shared" si="22"/>
        <v>1.7957011456873007E-2</v>
      </c>
      <c r="R64" s="4">
        <f t="shared" si="22"/>
        <v>3.1611357691472497E-2</v>
      </c>
      <c r="S64" s="4">
        <f t="shared" si="19"/>
        <v>-0.2630722742491618</v>
      </c>
      <c r="T64" s="4">
        <f t="shared" si="19"/>
        <v>9.670403931226268E-2</v>
      </c>
      <c r="U64" s="4">
        <f t="shared" si="19"/>
        <v>0.18111445516432401</v>
      </c>
      <c r="V64" s="4">
        <f t="shared" ca="1" si="19"/>
        <v>6.0126719728758937E-2</v>
      </c>
      <c r="AA64" s="8">
        <v>0</v>
      </c>
      <c r="AB64" s="4">
        <v>6.0126719728758868E-2</v>
      </c>
      <c r="AC64" s="4">
        <f t="shared" ca="1" si="20"/>
        <v>-0.13322789749093111</v>
      </c>
      <c r="AD64" s="4"/>
    </row>
    <row r="65" spans="2:30">
      <c r="B65" t="str">
        <f t="shared" si="21"/>
        <v>RO</v>
      </c>
      <c r="C65" t="str">
        <f t="shared" si="21"/>
        <v>RO</v>
      </c>
      <c r="D65" s="3"/>
      <c r="E65" s="4">
        <f t="shared" si="22"/>
        <v>3.3446608451386028E-2</v>
      </c>
      <c r="F65" s="4">
        <f t="shared" si="22"/>
        <v>5.3509811013653819E-2</v>
      </c>
      <c r="G65" s="4">
        <f t="shared" si="22"/>
        <v>0.11316896358307793</v>
      </c>
      <c r="H65" s="4">
        <f t="shared" si="22"/>
        <v>1.2802185473816063E-2</v>
      </c>
      <c r="I65" s="4">
        <f t="shared" si="22"/>
        <v>-4.5335643138853632E-2</v>
      </c>
      <c r="J65" s="4">
        <f t="shared" si="22"/>
        <v>2.9087567731801212E-2</v>
      </c>
      <c r="K65" s="4">
        <f t="shared" si="22"/>
        <v>1.9071553001419828E-2</v>
      </c>
      <c r="L65" s="4">
        <f t="shared" si="22"/>
        <v>-2.0889049759441836E-2</v>
      </c>
      <c r="M65" s="4">
        <f t="shared" si="22"/>
        <v>3.0228413948002908E-2</v>
      </c>
      <c r="N65" s="4">
        <f t="shared" si="22"/>
        <v>1.2887683059075394E-2</v>
      </c>
      <c r="O65" s="4">
        <f t="shared" si="22"/>
        <v>7.3837040653595309E-2</v>
      </c>
      <c r="P65" s="4">
        <f t="shared" si="22"/>
        <v>7.216409638675314E-2</v>
      </c>
      <c r="Q65" s="4">
        <f t="shared" si="22"/>
        <v>-7.073467974170522E-3</v>
      </c>
      <c r="R65" s="4">
        <f t="shared" si="22"/>
        <v>2.7367015831049502E-2</v>
      </c>
      <c r="S65" s="4">
        <f t="shared" si="19"/>
        <v>-4.5519233160835171E-2</v>
      </c>
      <c r="T65" s="4">
        <f t="shared" si="19"/>
        <v>7.3178605638242189E-2</v>
      </c>
      <c r="U65" s="4">
        <f t="shared" si="19"/>
        <v>7.8621076203708062E-2</v>
      </c>
      <c r="V65" s="4">
        <f t="shared" ca="1" si="19"/>
        <v>-4.2464865960705866E-2</v>
      </c>
      <c r="AA65" s="8">
        <v>0</v>
      </c>
      <c r="AB65" s="4">
        <v>-4.246486596070586E-2</v>
      </c>
      <c r="AC65" s="4">
        <f t="shared" ca="1" si="20"/>
        <v>-6.5681490669012854E-3</v>
      </c>
      <c r="AD65" s="4"/>
    </row>
    <row r="66" spans="2:30">
      <c r="B66" t="str">
        <f t="shared" si="21"/>
        <v>SE</v>
      </c>
      <c r="C66" t="str">
        <f t="shared" si="21"/>
        <v>SE</v>
      </c>
      <c r="D66" s="3"/>
      <c r="E66" s="4">
        <f t="shared" si="22"/>
        <v>8.6398262933193859E-3</v>
      </c>
      <c r="F66" s="4">
        <f t="shared" si="22"/>
        <v>4.4810928531957561E-3</v>
      </c>
      <c r="G66" s="4">
        <f t="shared" si="22"/>
        <v>-8.939032757604104E-3</v>
      </c>
      <c r="H66" s="4">
        <f t="shared" si="22"/>
        <v>-3.0131996269879613E-2</v>
      </c>
      <c r="I66" s="4">
        <f t="shared" si="22"/>
        <v>1.0559530095954672E-2</v>
      </c>
      <c r="J66" s="4">
        <f t="shared" si="22"/>
        <v>-4.2833952923544416E-3</v>
      </c>
      <c r="K66" s="4">
        <f t="shared" si="22"/>
        <v>-4.8696109848248348E-2</v>
      </c>
      <c r="L66" s="4">
        <f t="shared" si="22"/>
        <v>-9.9550487000432675E-3</v>
      </c>
      <c r="M66" s="4">
        <f t="shared" si="22"/>
        <v>-3.4172752020871E-2</v>
      </c>
      <c r="N66" s="4">
        <f t="shared" si="22"/>
        <v>3.6761127772555469E-3</v>
      </c>
      <c r="O66" s="4">
        <f t="shared" si="22"/>
        <v>-2.5582067960079447E-2</v>
      </c>
      <c r="P66" s="4">
        <f t="shared" si="22"/>
        <v>-1.8273885527099409E-2</v>
      </c>
      <c r="Q66" s="4">
        <f t="shared" si="22"/>
        <v>-3.5127799107332325E-2</v>
      </c>
      <c r="R66" s="4">
        <f t="shared" si="22"/>
        <v>-9.6243738729562267E-3</v>
      </c>
      <c r="S66" s="4">
        <f t="shared" si="19"/>
        <v>-0.14953689928776259</v>
      </c>
      <c r="T66" s="4">
        <f t="shared" si="19"/>
        <v>3.3147146756346668E-2</v>
      </c>
      <c r="U66" s="4">
        <f t="shared" si="19"/>
        <v>-3.2977606107552071E-2</v>
      </c>
      <c r="V66" s="4">
        <f t="shared" ca="1" si="19"/>
        <v>6.3587079765172749E-3</v>
      </c>
      <c r="AA66" s="8">
        <v>0</v>
      </c>
      <c r="AB66" s="4">
        <v>6.3587079765173504E-3</v>
      </c>
      <c r="AC66" s="4">
        <f t="shared" ca="1" si="20"/>
        <v>-7.5797340559403237E-2</v>
      </c>
      <c r="AD66" s="4"/>
    </row>
    <row r="67" spans="2:30">
      <c r="B67" t="str">
        <f t="shared" si="21"/>
        <v>SI</v>
      </c>
      <c r="C67" t="str">
        <f t="shared" si="21"/>
        <v>SI</v>
      </c>
      <c r="D67" s="3"/>
      <c r="E67" s="4">
        <f t="shared" si="22"/>
        <v>4.3084988256828938E-2</v>
      </c>
      <c r="F67" s="4">
        <f t="shared" si="22"/>
        <v>0.1286967102432075</v>
      </c>
      <c r="G67" s="4">
        <f t="shared" si="22"/>
        <v>0.16980951967222113</v>
      </c>
      <c r="H67" s="4">
        <f t="shared" si="22"/>
        <v>-0.16109167188276463</v>
      </c>
      <c r="I67" s="4">
        <f t="shared" si="22"/>
        <v>2.554711576377211E-2</v>
      </c>
      <c r="J67" s="4">
        <f t="shared" si="22"/>
        <v>6.1679032763720443E-2</v>
      </c>
      <c r="K67" s="4">
        <f t="shared" si="22"/>
        <v>9.9661482629032072E-4</v>
      </c>
      <c r="L67" s="4">
        <f t="shared" si="22"/>
        <v>-5.1305291656490448E-2</v>
      </c>
      <c r="M67" s="4">
        <f t="shared" si="22"/>
        <v>1.1181907954589398E-3</v>
      </c>
      <c r="N67" s="4">
        <f t="shared" si="22"/>
        <v>-4.5234737847841267E-3</v>
      </c>
      <c r="O67" s="4">
        <f t="shared" si="22"/>
        <v>6.6015312568006523E-2</v>
      </c>
      <c r="P67" s="4">
        <f t="shared" si="22"/>
        <v>2.6297970491933498E-2</v>
      </c>
      <c r="Q67" s="4">
        <f t="shared" si="22"/>
        <v>4.5517460156729861E-4</v>
      </c>
      <c r="R67" s="4">
        <f t="shared" si="22"/>
        <v>-3.9967940541271951E-2</v>
      </c>
      <c r="S67" s="4">
        <f t="shared" si="19"/>
        <v>-0.1931444082005026</v>
      </c>
      <c r="T67" s="4">
        <f t="shared" si="19"/>
        <v>0.13804517614242062</v>
      </c>
      <c r="U67" s="4">
        <f t="shared" si="19"/>
        <v>0.12122351805376885</v>
      </c>
      <c r="V67" s="4">
        <f t="shared" ca="1" si="19"/>
        <v>-8.8756241314378426E-2</v>
      </c>
      <c r="AA67" s="8">
        <v>0</v>
      </c>
      <c r="AB67" s="4">
        <v>-8.8756241314378467E-2</v>
      </c>
      <c r="AC67" s="4">
        <f t="shared" ca="1" si="20"/>
        <v>-9.9142920736366658E-2</v>
      </c>
      <c r="AD67" s="4"/>
    </row>
    <row r="68" spans="2:30">
      <c r="B68" t="str">
        <f t="shared" si="21"/>
        <v>SK</v>
      </c>
      <c r="C68" t="str">
        <f t="shared" si="21"/>
        <v>SK</v>
      </c>
      <c r="D68" s="3"/>
      <c r="E68" s="4">
        <f t="shared" si="22"/>
        <v>-7.2169936620814723E-2</v>
      </c>
      <c r="F68" s="4">
        <f t="shared" si="22"/>
        <v>9.3842959301775997E-2</v>
      </c>
      <c r="G68" s="4">
        <f t="shared" si="22"/>
        <v>9.8996636711039088E-2</v>
      </c>
      <c r="H68" s="4">
        <f t="shared" si="22"/>
        <v>-0.14405884977760519</v>
      </c>
      <c r="I68" s="4">
        <f t="shared" si="22"/>
        <v>0.11607283359868181</v>
      </c>
      <c r="J68" s="4">
        <f t="shared" si="22"/>
        <v>1.37255573816919E-3</v>
      </c>
      <c r="K68" s="4">
        <f t="shared" si="22"/>
        <v>-0.11657969340943564</v>
      </c>
      <c r="L68" s="4">
        <f t="shared" si="22"/>
        <v>2.1761826426283104E-3</v>
      </c>
      <c r="M68" s="4">
        <f t="shared" si="22"/>
        <v>-7.6988551427506269E-2</v>
      </c>
      <c r="N68" s="4">
        <f t="shared" si="22"/>
        <v>-4.5208208998327448E-3</v>
      </c>
      <c r="O68" s="4">
        <f t="shared" si="22"/>
        <v>0.1288176386035671</v>
      </c>
      <c r="P68" s="4">
        <f t="shared" si="22"/>
        <v>0.14081123402622309</v>
      </c>
      <c r="Q68" s="4">
        <f t="shared" si="22"/>
        <v>-8.1895232821167507E-3</v>
      </c>
      <c r="R68" s="4">
        <f t="shared" si="22"/>
        <v>1.3840645763050663E-2</v>
      </c>
      <c r="S68" s="4">
        <f t="shared" si="19"/>
        <v>-0.11824103200754221</v>
      </c>
      <c r="T68" s="4">
        <f t="shared" si="19"/>
        <v>5.0357957531208974E-2</v>
      </c>
      <c r="U68" s="4">
        <f t="shared" si="19"/>
        <v>1.702184785597205E-2</v>
      </c>
      <c r="V68" s="4">
        <f t="shared" ca="1" si="19"/>
        <v>9.5054351122156877E-3</v>
      </c>
      <c r="AA68" s="8">
        <v>0</v>
      </c>
      <c r="AB68" s="4">
        <v>9.5054351122157744E-3</v>
      </c>
      <c r="AC68" s="4">
        <f t="shared" ca="1" si="20"/>
        <v>-4.6173150553310172E-2</v>
      </c>
      <c r="AD68" s="4"/>
    </row>
    <row r="69" spans="2:30">
      <c r="B69" t="str">
        <f t="shared" si="21"/>
        <v>UK</v>
      </c>
      <c r="C69" t="str">
        <f t="shared" si="21"/>
        <v>UK</v>
      </c>
      <c r="D69" s="3"/>
      <c r="E69" s="4">
        <f t="shared" si="22"/>
        <v>1.1211527889591011E-2</v>
      </c>
      <c r="F69" s="4">
        <f t="shared" si="22"/>
        <v>2.7287479767013068E-3</v>
      </c>
      <c r="G69" s="4">
        <f t="shared" si="22"/>
        <v>-4.6837015840910934E-2</v>
      </c>
      <c r="H69" s="4">
        <f t="shared" si="22"/>
        <v>-4.0492143323129892E-2</v>
      </c>
      <c r="I69" s="4">
        <f t="shared" si="22"/>
        <v>-2.3491288179174674E-2</v>
      </c>
      <c r="J69" s="4">
        <f t="shared" si="22"/>
        <v>3.6653699927668981E-4</v>
      </c>
      <c r="K69" s="4">
        <f t="shared" si="22"/>
        <v>-6.7659141621986274E-3</v>
      </c>
      <c r="L69" s="4">
        <f t="shared" si="22"/>
        <v>-9.5861758251352125E-3</v>
      </c>
      <c r="M69" s="4">
        <f t="shared" si="22"/>
        <v>9.5968363865868156E-3</v>
      </c>
      <c r="N69" s="4">
        <f t="shared" si="22"/>
        <v>2.2324871141944147E-2</v>
      </c>
      <c r="O69" s="4">
        <f t="shared" si="22"/>
        <v>1.7992794000718071E-2</v>
      </c>
      <c r="P69" s="4">
        <f t="shared" si="22"/>
        <v>1.8534866814238438E-2</v>
      </c>
      <c r="Q69" s="4">
        <f t="shared" si="22"/>
        <v>-8.162716714338436E-3</v>
      </c>
      <c r="R69" s="4">
        <f t="shared" si="22"/>
        <v>-1.1016439018392665E-2</v>
      </c>
      <c r="S69" s="4">
        <f t="shared" si="19"/>
        <v>-1</v>
      </c>
      <c r="T69" s="4">
        <f t="shared" si="19"/>
        <v>0</v>
      </c>
      <c r="U69" s="4">
        <f t="shared" si="19"/>
        <v>0</v>
      </c>
      <c r="V69" s="4">
        <f t="shared" ca="1" si="19"/>
        <v>0</v>
      </c>
      <c r="AA69" s="8">
        <v>0</v>
      </c>
      <c r="AB69" s="4">
        <v>0</v>
      </c>
      <c r="AC69" s="4" t="e">
        <f t="shared" ca="1" si="20"/>
        <v>#DIV/0!</v>
      </c>
      <c r="AD69" s="4"/>
    </row>
    <row r="70" spans="2:30">
      <c r="B70" s="40" t="s">
        <v>189</v>
      </c>
      <c r="C70" s="40" t="s">
        <v>189</v>
      </c>
      <c r="D70" s="41"/>
      <c r="E70" s="49">
        <f t="shared" si="22"/>
        <v>1.5882777160409089E-2</v>
      </c>
      <c r="F70" s="49">
        <f t="shared" ref="F70:F71" si="23">IFERROR(F35/E35-1,0)</f>
        <v>1.1100666554201277E-2</v>
      </c>
      <c r="G70" s="49">
        <f t="shared" ref="G70:G71" si="24">IFERROR(G35/F35-1,0)</f>
        <v>-2.0375638377125749E-2</v>
      </c>
      <c r="H70" s="49">
        <f t="shared" ref="H70:H71" si="25">IFERROR(H35/G35-1,0)</f>
        <v>-3.8064474112744828E-2</v>
      </c>
      <c r="I70" s="49">
        <f t="shared" ref="I70:I71" si="26">IFERROR(I35/H35-1,0)</f>
        <v>-8.5341487214729561E-3</v>
      </c>
      <c r="J70" s="49">
        <f t="shared" ref="J70:J71" si="27">IFERROR(J35/I35-1,0)</f>
        <v>-2.3807572305111213E-3</v>
      </c>
      <c r="K70" s="49">
        <f t="shared" ref="K70:K71" si="28">IFERROR(K35/J35-1,0)</f>
        <v>-3.2662888268571999E-2</v>
      </c>
      <c r="L70" s="49">
        <f t="shared" ref="L70:L71" si="29">IFERROR(L35/K35-1,0)</f>
        <v>-7.6250673414847148E-3</v>
      </c>
      <c r="M70" s="49">
        <f t="shared" ref="M70:M71" si="30">IFERROR(M35/L35-1,0)</f>
        <v>9.7839066102314298E-3</v>
      </c>
      <c r="N70" s="49">
        <f t="shared" ref="N70:N71" si="31">IFERROR(N35/M35-1,0)</f>
        <v>1.8312951681801692E-2</v>
      </c>
      <c r="O70" s="49">
        <f t="shared" ref="O70:O71" si="32">IFERROR(O35/N35-1,0)</f>
        <v>2.6544135580814698E-2</v>
      </c>
      <c r="P70" s="49">
        <f t="shared" ref="P70:R71" si="33">IFERROR(P35/O35-1,0)</f>
        <v>2.3760357420278488E-2</v>
      </c>
      <c r="Q70" s="49">
        <f t="shared" ref="Q70:Q71" si="34">IFERROR(Q35/P35-1,0)</f>
        <v>4.416313524256088E-3</v>
      </c>
      <c r="R70" s="49">
        <f t="shared" si="33"/>
        <v>6.5377730313289639E-3</v>
      </c>
      <c r="S70" s="49">
        <f t="shared" si="19"/>
        <v>-0.3085962975656763</v>
      </c>
      <c r="T70" s="49">
        <f t="shared" si="19"/>
        <v>9.24669526646269E-2</v>
      </c>
      <c r="U70" s="49">
        <f t="shared" si="19"/>
        <v>7.3950146323943589E-2</v>
      </c>
      <c r="V70" s="49">
        <f t="shared" ca="1" si="19"/>
        <v>-6.0735822995906519E-3</v>
      </c>
    </row>
    <row r="71" spans="2:30">
      <c r="B71" s="40" t="s">
        <v>190</v>
      </c>
      <c r="C71" s="40" t="s">
        <v>190</v>
      </c>
      <c r="D71" s="41"/>
      <c r="E71" s="49">
        <f t="shared" si="22"/>
        <v>1.6719850901103728E-2</v>
      </c>
      <c r="F71" s="49">
        <f t="shared" si="23"/>
        <v>1.2592761227420368E-2</v>
      </c>
      <c r="G71" s="49">
        <f t="shared" si="24"/>
        <v>-1.570547063437111E-2</v>
      </c>
      <c r="H71" s="49">
        <f t="shared" si="25"/>
        <v>-3.7649566274752799E-2</v>
      </c>
      <c r="I71" s="49">
        <f t="shared" si="26"/>
        <v>-5.9854062227255866E-3</v>
      </c>
      <c r="J71" s="49">
        <f t="shared" si="27"/>
        <v>-2.8406599241049824E-3</v>
      </c>
      <c r="K71" s="49">
        <f t="shared" si="28"/>
        <v>-3.7012038364181987E-2</v>
      </c>
      <c r="L71" s="49">
        <f t="shared" si="29"/>
        <v>-7.2853734406794768E-3</v>
      </c>
      <c r="M71" s="49">
        <f t="shared" si="30"/>
        <v>9.8162349252244319E-3</v>
      </c>
      <c r="N71" s="49">
        <f t="shared" si="31"/>
        <v>1.7619787294453459E-2</v>
      </c>
      <c r="O71" s="49">
        <f t="shared" si="32"/>
        <v>2.802843553430745E-2</v>
      </c>
      <c r="P71" s="49">
        <f t="shared" si="33"/>
        <v>2.4658518159224929E-2</v>
      </c>
      <c r="Q71" s="49">
        <f t="shared" si="34"/>
        <v>6.5654841813607145E-3</v>
      </c>
      <c r="R71" s="49">
        <f t="shared" si="33"/>
        <v>9.4930859818715962E-3</v>
      </c>
      <c r="S71" s="49">
        <f t="shared" si="19"/>
        <v>-0.19456093137400743</v>
      </c>
      <c r="T71" s="49">
        <f t="shared" si="19"/>
        <v>9.24669526646269E-2</v>
      </c>
      <c r="U71" s="49">
        <f t="shared" si="19"/>
        <v>7.3950146323943589E-2</v>
      </c>
      <c r="V71" s="49">
        <f t="shared" ca="1" si="19"/>
        <v>-6.0735822995906519E-3</v>
      </c>
    </row>
  </sheetData>
  <conditionalFormatting sqref="AG7:AG34">
    <cfRule type="cellIs" dxfId="1" priority="8" operator="greaterThan">
      <formula>$AG$5</formula>
    </cfRule>
  </conditionalFormatting>
  <dataValidations count="1">
    <dataValidation type="list" allowBlank="1" showInputMessage="1" showErrorMessage="1" sqref="W7:W34" xr:uid="{00000000-0002-0000-1200-000000000000}">
      <formula1>"1,2,3,4,5,6,7,8,9"</formula1>
    </dataValidation>
  </dataValidations>
  <pageMargins left="0.7" right="0.7" top="0.78740157499999996" bottom="0.78740157499999996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AN71"/>
  <sheetViews>
    <sheetView zoomScale="125" zoomScaleNormal="80" workbookViewId="0">
      <pane xSplit="3" ySplit="6" topLeftCell="H7" activePane="bottomRight" state="frozen"/>
      <selection pane="topRight" activeCell="AL5" sqref="AL5:AL34"/>
      <selection pane="bottomLeft" activeCell="AL5" sqref="AL5:AL34"/>
      <selection pane="bottomRight" activeCell="D6" sqref="D6:V36"/>
    </sheetView>
  </sheetViews>
  <sheetFormatPr baseColWidth="10" defaultColWidth="11.5" defaultRowHeight="13"/>
  <cols>
    <col min="1" max="1" width="13.5" customWidth="1"/>
  </cols>
  <sheetData>
    <row r="1" spans="1:40">
      <c r="A1" t="s">
        <v>72</v>
      </c>
      <c r="E1" s="5"/>
    </row>
    <row r="2" spans="1:40">
      <c r="A2" t="s">
        <v>242</v>
      </c>
    </row>
    <row r="3" spans="1:40">
      <c r="AH3" t="s">
        <v>193</v>
      </c>
    </row>
    <row r="4" spans="1:40">
      <c r="AA4">
        <v>1</v>
      </c>
      <c r="AB4">
        <v>2</v>
      </c>
      <c r="AC4">
        <v>3</v>
      </c>
      <c r="AD4">
        <v>4</v>
      </c>
      <c r="AG4" t="s">
        <v>243</v>
      </c>
      <c r="AH4">
        <v>5</v>
      </c>
    </row>
    <row r="5" spans="1:40">
      <c r="D5" t="s">
        <v>173</v>
      </c>
      <c r="AA5" t="s">
        <v>196</v>
      </c>
      <c r="AB5" t="s">
        <v>220</v>
      </c>
      <c r="AC5" t="s">
        <v>199</v>
      </c>
      <c r="AD5" t="s">
        <v>200</v>
      </c>
      <c r="AE5" t="s">
        <v>201</v>
      </c>
      <c r="AG5" t="s">
        <v>203</v>
      </c>
      <c r="AH5" s="21">
        <v>0.8</v>
      </c>
      <c r="AN5" t="s">
        <v>204</v>
      </c>
    </row>
    <row r="6" spans="1:40">
      <c r="B6" t="s">
        <v>175</v>
      </c>
      <c r="C6" t="s">
        <v>176</v>
      </c>
      <c r="D6" s="1">
        <f>'FEC Total'!D6</f>
        <v>2005</v>
      </c>
      <c r="E6" s="1">
        <f>'FEC Total'!E6</f>
        <v>2006</v>
      </c>
      <c r="F6" s="1">
        <f>'FEC Total'!F6</f>
        <v>2007</v>
      </c>
      <c r="G6" s="1">
        <f>'FEC Total'!G6</f>
        <v>2008</v>
      </c>
      <c r="H6" s="1">
        <f>'FEC Total'!H6</f>
        <v>2009</v>
      </c>
      <c r="I6" s="1">
        <f>'FEC Total'!I6</f>
        <v>2010</v>
      </c>
      <c r="J6" s="1">
        <f>'FEC Total'!J6</f>
        <v>2011</v>
      </c>
      <c r="K6" s="1">
        <f>'FEC Total'!K6</f>
        <v>2012</v>
      </c>
      <c r="L6" s="1">
        <f>'FEC Total'!L6</f>
        <v>2013</v>
      </c>
      <c r="M6" s="1">
        <f>'FEC Total'!M6</f>
        <v>2014</v>
      </c>
      <c r="N6" s="1">
        <f>'FEC Total'!N6</f>
        <v>2015</v>
      </c>
      <c r="O6" s="1">
        <f>'FEC Total'!O6</f>
        <v>2016</v>
      </c>
      <c r="P6" s="1">
        <f>'FEC Total'!P6</f>
        <v>2017</v>
      </c>
      <c r="Q6" s="1">
        <f>'FEC Total'!Q6</f>
        <v>2018</v>
      </c>
      <c r="R6" s="1">
        <f>'FEC Total'!R6</f>
        <v>2019</v>
      </c>
      <c r="S6" s="1">
        <f>'FEC Total'!S6</f>
        <v>2020</v>
      </c>
      <c r="T6" s="1">
        <f>'FEC Total'!T6</f>
        <v>2021</v>
      </c>
      <c r="U6" s="1">
        <f>'FEC Total'!U6</f>
        <v>2022</v>
      </c>
      <c r="V6" s="2">
        <f>YearProxy</f>
        <v>2023</v>
      </c>
      <c r="W6" s="21" t="s">
        <v>205</v>
      </c>
      <c r="AA6" s="2">
        <f>YearProxy</f>
        <v>2023</v>
      </c>
      <c r="AB6" s="2">
        <f>YearProxy</f>
        <v>2023</v>
      </c>
      <c r="AC6" s="2">
        <f>YearProxy</f>
        <v>2023</v>
      </c>
      <c r="AD6" s="2">
        <f>YearProxy</f>
        <v>2023</v>
      </c>
      <c r="AE6" s="6"/>
      <c r="AH6" s="6" t="s">
        <v>211</v>
      </c>
    </row>
    <row r="7" spans="1:40">
      <c r="A7">
        <v>2</v>
      </c>
      <c r="B7" t="s">
        <v>106</v>
      </c>
      <c r="C7" t="s">
        <v>106</v>
      </c>
      <c r="D7" s="3">
        <v>73.775999999999996</v>
      </c>
      <c r="E7" s="3">
        <v>256.08100000000002</v>
      </c>
      <c r="F7" s="3">
        <v>322.10399999999998</v>
      </c>
      <c r="G7" s="3">
        <v>395.21600000000001</v>
      </c>
      <c r="H7" s="3">
        <v>511.12299999999999</v>
      </c>
      <c r="I7" s="3">
        <v>495.43</v>
      </c>
      <c r="J7" s="3">
        <v>497.78699999999998</v>
      </c>
      <c r="K7" s="3">
        <v>490.97</v>
      </c>
      <c r="L7" s="3">
        <v>502.298</v>
      </c>
      <c r="M7" s="3">
        <v>597.00099999999998</v>
      </c>
      <c r="N7" s="3">
        <v>653.56899999999996</v>
      </c>
      <c r="O7" s="3">
        <v>543.51599999999996</v>
      </c>
      <c r="P7" s="3">
        <v>478.43400000000003</v>
      </c>
      <c r="Q7" s="3">
        <v>493.52300000000002</v>
      </c>
      <c r="R7" s="3">
        <v>484.45299999999997</v>
      </c>
      <c r="S7" s="3">
        <v>409.476</v>
      </c>
      <c r="T7" s="3">
        <v>422.01900000000001</v>
      </c>
      <c r="U7" s="3">
        <v>403.12799999999999</v>
      </c>
      <c r="V7" s="3">
        <f ca="1">INDEX($AA7:$AI7,1,W7)</f>
        <v>405.21432333689279</v>
      </c>
      <c r="W7" s="16">
        <f ca="1">IF(ISNUMBER(AD7),$AD$4,IF(ISNUMBER(AE7),AE7,IF(AH7&gt;$AH$5,$AC$4, IF(ISNUMBER(AB7),2,1))))</f>
        <v>2</v>
      </c>
      <c r="X7" t="str">
        <f t="shared" ref="X7:X34" ca="1" si="0">INDEX($AA$5:$AJ$5,W7)</f>
        <v>RES Proxy</v>
      </c>
      <c r="Y7" s="3"/>
      <c r="Z7" s="3"/>
      <c r="AA7" s="3">
        <f t="shared" ref="AA7:AA34" ca="1" si="1">OFFSET($A7,0,OffsetLast)</f>
        <v>403.12799999999999</v>
      </c>
      <c r="AB7" s="3">
        <f ca="1">$AA7*(1+AB42)</f>
        <v>405.21432333689279</v>
      </c>
      <c r="AC7" s="3">
        <f t="shared" ref="AC7:AC34" ca="1" si="2">FORECAST(AC$6,OFFSET($A7,0,OffsetLast-AH$4+1,1,AH$4),OFFSET($A$6,0,OffsetLast-AH$4+1,1,AH$4))</f>
        <v>369.55260000000271</v>
      </c>
      <c r="AD7" s="3" t="str">
        <f>IF(ISNUMBER(AD42),$AA7*(1+AD42),"")</f>
        <v/>
      </c>
      <c r="AH7" s="7">
        <f t="shared" ref="AH7:AH34" ca="1" si="3">IFERROR(RSQ(OFFSET($A7,0,ColYearProxy-AH$4+1,1,AH$4),OFFSET($A$6,0,ColYearProxy-AH$4+1,1,AH$4)),0)</f>
        <v>0.79688886347157839</v>
      </c>
      <c r="AN7" s="7" t="str">
        <f>IFERROR(INDEX('MS Stats list'!P:P, MATCH(B7,'MS Stats list'!B:B,0)),"")</f>
        <v>Statistics Austria - Preliminary energy balance 2022</v>
      </c>
    </row>
    <row r="8" spans="1:40">
      <c r="A8">
        <v>3</v>
      </c>
      <c r="B8" t="s">
        <v>177</v>
      </c>
      <c r="C8" t="s">
        <v>177</v>
      </c>
      <c r="D8" s="3">
        <v>0</v>
      </c>
      <c r="E8" s="3">
        <v>0</v>
      </c>
      <c r="F8" s="3">
        <v>0</v>
      </c>
      <c r="G8" s="3">
        <v>0</v>
      </c>
      <c r="H8" s="3">
        <v>134.54</v>
      </c>
      <c r="I8" s="3">
        <v>364.91</v>
      </c>
      <c r="J8" s="3">
        <v>353.19200000000001</v>
      </c>
      <c r="K8" s="3">
        <v>351.52</v>
      </c>
      <c r="L8" s="3">
        <v>348.899</v>
      </c>
      <c r="M8" s="3">
        <v>418.85899999999998</v>
      </c>
      <c r="N8" s="3">
        <v>260.91899999999998</v>
      </c>
      <c r="O8" s="3">
        <v>440.67099999999999</v>
      </c>
      <c r="P8" s="3">
        <v>477.55399999999997</v>
      </c>
      <c r="Q8" s="3">
        <v>477.69400000000002</v>
      </c>
      <c r="R8" s="3">
        <v>484.27699999999999</v>
      </c>
      <c r="S8" s="3">
        <v>700.60500000000002</v>
      </c>
      <c r="T8" s="3">
        <v>772.07799999999997</v>
      </c>
      <c r="U8" s="3">
        <v>802.17100000000005</v>
      </c>
      <c r="V8" s="3">
        <f t="shared" ref="V8:V34" ca="1" si="4">INDEX($AA8:$AI8,1,W8)</f>
        <v>928.3914999999688</v>
      </c>
      <c r="W8" s="16">
        <f t="shared" ref="W8:W34" ca="1" si="5">IF(ISNUMBER(AD8),$AD$4,IF(ISNUMBER(AE8),AE8,IF(AH8&gt;$AH$5,$AC$4, IF(ISNUMBER(AB8),2,1))))</f>
        <v>3</v>
      </c>
      <c r="X8" t="str">
        <f t="shared" ca="1" si="0"/>
        <v>5yr lin trend</v>
      </c>
      <c r="Y8" s="3"/>
      <c r="Z8" s="3"/>
      <c r="AA8" s="3">
        <f t="shared" ca="1" si="1"/>
        <v>802.17100000000005</v>
      </c>
      <c r="AB8" s="3">
        <f t="shared" ref="AB8:AB34" ca="1" si="6">$AA8*(1+AB43)</f>
        <v>877.7441809317146</v>
      </c>
      <c r="AC8" s="3">
        <f t="shared" ca="1" si="2"/>
        <v>928.3914999999688</v>
      </c>
      <c r="AD8" s="3" t="str">
        <f t="shared" ref="AD8:AD34" si="7">IF(ISNUMBER(AD43),$AA8*(1+AD43),"")</f>
        <v/>
      </c>
      <c r="AH8" s="7">
        <f t="shared" ca="1" si="3"/>
        <v>0.89781241728558658</v>
      </c>
      <c r="AN8" s="7" t="str">
        <f>IFERROR(INDEX('MS Stats list'!P:P, MATCH(B8,'MS Stats list'!B:B,0)),"")</f>
        <v/>
      </c>
    </row>
    <row r="9" spans="1:40">
      <c r="A9">
        <v>4</v>
      </c>
      <c r="B9" t="s">
        <v>178</v>
      </c>
      <c r="C9" t="s">
        <v>178</v>
      </c>
      <c r="D9" s="3">
        <v>0</v>
      </c>
      <c r="E9" s="3">
        <v>5.4279999999999999</v>
      </c>
      <c r="F9" s="3">
        <v>2.323</v>
      </c>
      <c r="G9" s="3">
        <v>4.18</v>
      </c>
      <c r="H9" s="3">
        <v>3.7469999999999999</v>
      </c>
      <c r="I9" s="3">
        <v>13.409000000000001</v>
      </c>
      <c r="J9" s="3">
        <v>17.186</v>
      </c>
      <c r="K9" s="3">
        <v>85.927999999999997</v>
      </c>
      <c r="L9" s="3">
        <v>104.261</v>
      </c>
      <c r="M9" s="3">
        <v>110.71</v>
      </c>
      <c r="N9" s="3">
        <v>146.21199999999999</v>
      </c>
      <c r="O9" s="3">
        <v>163.13800000000001</v>
      </c>
      <c r="P9" s="3">
        <v>166.244</v>
      </c>
      <c r="Q9" s="3">
        <v>163.62700000000001</v>
      </c>
      <c r="R9" s="3">
        <v>179.43299999999999</v>
      </c>
      <c r="S9" s="3">
        <v>172.05699999999999</v>
      </c>
      <c r="T9" s="3">
        <v>167.518</v>
      </c>
      <c r="U9" s="3">
        <v>190.148</v>
      </c>
      <c r="V9" s="3">
        <f t="shared" ca="1" si="4"/>
        <v>188.00080642999279</v>
      </c>
      <c r="W9" s="16">
        <f t="shared" ca="1" si="5"/>
        <v>2</v>
      </c>
      <c r="X9" t="str">
        <f t="shared" ca="1" si="0"/>
        <v>RES Proxy</v>
      </c>
      <c r="Y9" s="3"/>
      <c r="Z9" s="3"/>
      <c r="AA9" s="3">
        <f t="shared" ca="1" si="1"/>
        <v>190.148</v>
      </c>
      <c r="AB9" s="3">
        <f t="shared" ca="1" si="6"/>
        <v>188.00080642999279</v>
      </c>
      <c r="AC9" s="3">
        <f t="shared" ca="1" si="2"/>
        <v>186.89470000000074</v>
      </c>
      <c r="AD9" s="3" t="str">
        <f t="shared" si="7"/>
        <v/>
      </c>
      <c r="AH9" s="7">
        <f t="shared" ca="1" si="3"/>
        <v>0.38257516305683192</v>
      </c>
      <c r="AN9" s="7" t="str">
        <f>IFERROR(INDEX('MS Stats list'!P:P, MATCH(B9,'MS Stats list'!B:B,0)),"")</f>
        <v/>
      </c>
    </row>
    <row r="10" spans="1:40">
      <c r="A10">
        <v>5</v>
      </c>
      <c r="B10" t="s">
        <v>179</v>
      </c>
      <c r="C10" t="s">
        <v>179</v>
      </c>
      <c r="D10" s="3">
        <v>0</v>
      </c>
      <c r="E10" s="3">
        <v>0</v>
      </c>
      <c r="F10" s="3">
        <v>0.88400000000000001</v>
      </c>
      <c r="G10" s="3">
        <v>14.14</v>
      </c>
      <c r="H10" s="3">
        <v>15.023</v>
      </c>
      <c r="I10" s="3">
        <v>15.023</v>
      </c>
      <c r="J10" s="3">
        <v>15.907</v>
      </c>
      <c r="K10" s="3">
        <v>15.907</v>
      </c>
      <c r="L10" s="3">
        <v>15.023</v>
      </c>
      <c r="M10" s="3">
        <v>9.7210000000000001</v>
      </c>
      <c r="N10" s="3">
        <v>9.7210000000000001</v>
      </c>
      <c r="O10" s="3">
        <v>8.8369999999999997</v>
      </c>
      <c r="P10" s="3">
        <v>8.57</v>
      </c>
      <c r="Q10" s="3">
        <v>8.9499999999999993</v>
      </c>
      <c r="R10" s="3">
        <v>10.739000000000001</v>
      </c>
      <c r="S10" s="3">
        <v>24.738</v>
      </c>
      <c r="T10" s="3">
        <v>24.369</v>
      </c>
      <c r="U10" s="3">
        <v>23.273</v>
      </c>
      <c r="V10" s="3">
        <f t="shared" ca="1" si="4"/>
        <v>21.44751577941879</v>
      </c>
      <c r="W10" s="16">
        <f t="shared" ca="1" si="5"/>
        <v>2</v>
      </c>
      <c r="X10" t="str">
        <f t="shared" ca="1" si="0"/>
        <v>RES Proxy</v>
      </c>
      <c r="Y10" s="3"/>
      <c r="Z10" s="3"/>
      <c r="AA10" s="3">
        <f t="shared" ca="1" si="1"/>
        <v>23.273</v>
      </c>
      <c r="AB10" s="3">
        <f t="shared" ca="1" si="6"/>
        <v>21.44751577941879</v>
      </c>
      <c r="AC10" s="3">
        <f t="shared" ca="1" si="2"/>
        <v>31.096599999998944</v>
      </c>
      <c r="AD10" s="3" t="str">
        <f t="shared" si="7"/>
        <v/>
      </c>
      <c r="AH10" s="7">
        <f t="shared" ca="1" si="3"/>
        <v>0.72201504407956207</v>
      </c>
      <c r="AN10" s="7" t="str">
        <f>IFERROR(INDEX('MS Stats list'!P:P, MATCH(B10,'MS Stats list'!B:B,0)),"")</f>
        <v/>
      </c>
    </row>
    <row r="11" spans="1:40">
      <c r="A11">
        <v>6</v>
      </c>
      <c r="B11" t="s">
        <v>180</v>
      </c>
      <c r="C11" t="s">
        <v>180</v>
      </c>
      <c r="D11" s="3">
        <v>2.6509999999999998</v>
      </c>
      <c r="E11" s="3">
        <v>18.081</v>
      </c>
      <c r="F11" s="3">
        <v>30.047000000000001</v>
      </c>
      <c r="G11" s="3">
        <v>109.941</v>
      </c>
      <c r="H11" s="3">
        <v>194.779</v>
      </c>
      <c r="I11" s="3">
        <v>231.251</v>
      </c>
      <c r="J11" s="3">
        <v>300.11</v>
      </c>
      <c r="K11" s="3">
        <v>275.27</v>
      </c>
      <c r="L11" s="3">
        <v>277.10899999999998</v>
      </c>
      <c r="M11" s="3">
        <v>316.75700000000001</v>
      </c>
      <c r="N11" s="3">
        <v>296.50299999999999</v>
      </c>
      <c r="O11" s="3">
        <v>301.113</v>
      </c>
      <c r="P11" s="3">
        <v>313.84399999999999</v>
      </c>
      <c r="Q11" s="3">
        <v>308.70800000000003</v>
      </c>
      <c r="R11" s="3">
        <v>340.40300000000002</v>
      </c>
      <c r="S11" s="3">
        <v>373.61</v>
      </c>
      <c r="T11" s="3">
        <v>361.613</v>
      </c>
      <c r="U11" s="3">
        <v>362.12200000000001</v>
      </c>
      <c r="V11" s="3">
        <f t="shared" ca="1" si="4"/>
        <v>340.12321226289458</v>
      </c>
      <c r="W11" s="16">
        <f t="shared" ca="1" si="5"/>
        <v>2</v>
      </c>
      <c r="X11" t="str">
        <f t="shared" ca="1" si="0"/>
        <v>RES Proxy</v>
      </c>
      <c r="Y11" s="3"/>
      <c r="Z11" s="3"/>
      <c r="AA11" s="3">
        <f t="shared" ca="1" si="1"/>
        <v>362.12200000000001</v>
      </c>
      <c r="AB11" s="3">
        <f t="shared" ca="1" si="6"/>
        <v>340.12321226289458</v>
      </c>
      <c r="AC11" s="3">
        <f t="shared" ca="1" si="2"/>
        <v>387.70259999999689</v>
      </c>
      <c r="AD11" s="3" t="str">
        <f t="shared" si="7"/>
        <v/>
      </c>
      <c r="AH11" s="7">
        <f t="shared" ca="1" si="3"/>
        <v>0.62242304487442279</v>
      </c>
      <c r="AN11" s="7" t="str">
        <f>IFERROR(INDEX('MS Stats list'!P:P, MATCH(B11,'MS Stats list'!B:B,0)),"")</f>
        <v/>
      </c>
    </row>
    <row r="12" spans="1:40">
      <c r="A12">
        <v>7</v>
      </c>
      <c r="B12" t="s">
        <v>91</v>
      </c>
      <c r="C12" t="s">
        <v>91</v>
      </c>
      <c r="D12" s="3">
        <v>1824.2570000000001</v>
      </c>
      <c r="E12" s="3">
        <v>3341.6239999999998</v>
      </c>
      <c r="F12" s="3">
        <v>3788.027</v>
      </c>
      <c r="G12" s="3">
        <v>2918.174</v>
      </c>
      <c r="H12" s="3">
        <v>2628.6019999999999</v>
      </c>
      <c r="I12" s="3">
        <v>2889.8589999999999</v>
      </c>
      <c r="J12" s="3">
        <v>2795.9540000000002</v>
      </c>
      <c r="K12" s="3">
        <v>2948.518</v>
      </c>
      <c r="L12" s="3">
        <v>2696.6080000000002</v>
      </c>
      <c r="M12" s="3">
        <v>2774.9650000000001</v>
      </c>
      <c r="N12" s="3">
        <v>2565.48</v>
      </c>
      <c r="O12" s="3">
        <v>2572.018</v>
      </c>
      <c r="P12" s="3">
        <v>2603.9540000000002</v>
      </c>
      <c r="Q12" s="3">
        <v>2695.4989999999998</v>
      </c>
      <c r="R12" s="3">
        <v>2678.97</v>
      </c>
      <c r="S12" s="3">
        <v>3348.248</v>
      </c>
      <c r="T12" s="3">
        <v>2887.2979999999998</v>
      </c>
      <c r="U12" s="3">
        <v>2940.9679999999998</v>
      </c>
      <c r="V12" s="3">
        <f t="shared" ca="1" si="4"/>
        <v>3080.6639800000003</v>
      </c>
      <c r="W12" s="16">
        <f t="shared" ca="1" si="5"/>
        <v>4</v>
      </c>
      <c r="X12" t="str">
        <f t="shared" ca="1" si="0"/>
        <v>Based on MS Stats</v>
      </c>
      <c r="Y12" s="3"/>
      <c r="Z12" s="3"/>
      <c r="AA12" s="3">
        <f t="shared" ca="1" si="1"/>
        <v>2940.9679999999998</v>
      </c>
      <c r="AB12" s="3">
        <f t="shared" ca="1" si="6"/>
        <v>3089.973291351494</v>
      </c>
      <c r="AC12" s="3">
        <f t="shared" ca="1" si="2"/>
        <v>3119.976399999985</v>
      </c>
      <c r="AD12" s="3">
        <f t="shared" ca="1" si="7"/>
        <v>3080.6639800000003</v>
      </c>
      <c r="AH12" s="7">
        <f t="shared" ca="1" si="3"/>
        <v>0.16692993969542327</v>
      </c>
      <c r="AN12" s="7" t="str">
        <f>IFERROR(INDEX('MS Stats list'!P:P, MATCH(B12,'MS Stats list'!B:B,0)),"")</f>
        <v>BMWi - Gesamtausgabe der Energiedaten - Datensammlung des BMWi, AGEB - Primärenergieverbrauch Jahr 2021</v>
      </c>
    </row>
    <row r="13" spans="1:40">
      <c r="A13">
        <v>8</v>
      </c>
      <c r="B13" t="s">
        <v>115</v>
      </c>
      <c r="C13" t="s">
        <v>115</v>
      </c>
      <c r="D13" s="3">
        <v>0</v>
      </c>
      <c r="E13" s="3">
        <v>3.8260000000000001</v>
      </c>
      <c r="F13" s="3">
        <v>5.7389999999999999</v>
      </c>
      <c r="G13" s="3">
        <v>5.1020000000000003</v>
      </c>
      <c r="H13" s="3">
        <v>8.6839999999999993</v>
      </c>
      <c r="I13" s="3">
        <v>26.783999999999999</v>
      </c>
      <c r="J13" s="3">
        <v>130.489</v>
      </c>
      <c r="K13" s="3">
        <v>206.227</v>
      </c>
      <c r="L13" s="3">
        <v>208.03200000000001</v>
      </c>
      <c r="M13" s="3">
        <v>213.34700000000001</v>
      </c>
      <c r="N13" s="3">
        <v>214.28299999999999</v>
      </c>
      <c r="O13" s="3">
        <v>217.46600000000001</v>
      </c>
      <c r="P13" s="3">
        <v>215.77</v>
      </c>
      <c r="Q13" s="3">
        <v>213.91300000000001</v>
      </c>
      <c r="R13" s="3">
        <v>227.15799999999999</v>
      </c>
      <c r="S13" s="3">
        <v>251.47399999999999</v>
      </c>
      <c r="T13" s="3">
        <v>256.63200000000001</v>
      </c>
      <c r="U13" s="3">
        <v>233.63499999999999</v>
      </c>
      <c r="V13" s="3">
        <f t="shared" ca="1" si="4"/>
        <v>238.65501783786087</v>
      </c>
      <c r="W13" s="16">
        <f t="shared" ca="1" si="5"/>
        <v>2</v>
      </c>
      <c r="X13" t="str">
        <f t="shared" ca="1" si="0"/>
        <v>RES Proxy</v>
      </c>
      <c r="Y13" s="3"/>
      <c r="Z13" s="3"/>
      <c r="AA13" s="3">
        <f t="shared" ca="1" si="1"/>
        <v>233.63499999999999</v>
      </c>
      <c r="AB13" s="3">
        <f t="shared" ca="1" si="6"/>
        <v>238.65501783786087</v>
      </c>
      <c r="AC13" s="3">
        <f t="shared" ca="1" si="2"/>
        <v>257.23780000000079</v>
      </c>
      <c r="AD13" s="3" t="str">
        <f t="shared" si="7"/>
        <v/>
      </c>
      <c r="AH13" s="7">
        <f t="shared" ca="1" si="3"/>
        <v>0.38454289248279239</v>
      </c>
      <c r="AN13" s="7" t="str">
        <f>IFERROR(INDEX('MS Stats list'!P:P, MATCH(B13,'MS Stats list'!B:B,0)),"")</f>
        <v>Danish Energy Agency - Preliminary Energy Statsticis 2022</v>
      </c>
    </row>
    <row r="14" spans="1:40">
      <c r="A14">
        <v>9</v>
      </c>
      <c r="B14" t="s">
        <v>120</v>
      </c>
      <c r="C14" t="s">
        <v>120</v>
      </c>
      <c r="D14" s="3">
        <v>0.155</v>
      </c>
      <c r="E14" s="3">
        <v>1.121</v>
      </c>
      <c r="F14" s="3">
        <v>0.51600000000000001</v>
      </c>
      <c r="G14" s="3">
        <v>4.1559999999999997</v>
      </c>
      <c r="H14" s="3">
        <v>1.7609999999999999</v>
      </c>
      <c r="I14" s="3">
        <v>7.7389999999999999</v>
      </c>
      <c r="J14" s="3">
        <v>4.4969999999999999</v>
      </c>
      <c r="K14" s="3">
        <v>3.8410000000000002</v>
      </c>
      <c r="L14" s="3">
        <v>3.2010000000000001</v>
      </c>
      <c r="M14" s="3">
        <v>5.1210000000000004</v>
      </c>
      <c r="N14" s="3">
        <v>2.56</v>
      </c>
      <c r="O14" s="3">
        <v>1.92</v>
      </c>
      <c r="P14" s="3">
        <v>2.4710000000000001</v>
      </c>
      <c r="Q14" s="3">
        <v>18.678999999999998</v>
      </c>
      <c r="R14" s="3">
        <v>29.893000000000001</v>
      </c>
      <c r="S14" s="3">
        <v>41.997</v>
      </c>
      <c r="T14" s="3">
        <v>50.405999999999999</v>
      </c>
      <c r="U14" s="3">
        <v>33.097000000000001</v>
      </c>
      <c r="V14" s="3">
        <f t="shared" ca="1" si="4"/>
        <v>48.613035716935549</v>
      </c>
      <c r="W14" s="16">
        <f t="shared" ca="1" si="5"/>
        <v>2</v>
      </c>
      <c r="X14" t="str">
        <f t="shared" ca="1" si="0"/>
        <v>RES Proxy</v>
      </c>
      <c r="Y14" s="3"/>
      <c r="Z14" s="3"/>
      <c r="AA14" s="3">
        <f t="shared" ca="1" si="1"/>
        <v>33.097000000000001</v>
      </c>
      <c r="AB14" s="3">
        <f t="shared" ca="1" si="6"/>
        <v>48.613035716935549</v>
      </c>
      <c r="AC14" s="3">
        <f t="shared" ca="1" si="2"/>
        <v>49.619099999999889</v>
      </c>
      <c r="AD14" s="3" t="str">
        <f t="shared" si="7"/>
        <v/>
      </c>
      <c r="AH14" s="7">
        <f t="shared" ca="1" si="3"/>
        <v>0.41829065891052314</v>
      </c>
      <c r="AN14" s="7">
        <f>IFERROR(INDEX('MS Stats list'!P:P, MATCH(B14,'MS Stats list'!B:B,0)),"")</f>
        <v>0</v>
      </c>
    </row>
    <row r="15" spans="1:40">
      <c r="A15">
        <v>11</v>
      </c>
      <c r="B15" t="s">
        <v>85</v>
      </c>
      <c r="C15" t="s">
        <v>85</v>
      </c>
      <c r="D15" s="3">
        <v>261.30200000000002</v>
      </c>
      <c r="E15" s="3">
        <v>172.66200000000001</v>
      </c>
      <c r="F15" s="3">
        <v>389.38299999999998</v>
      </c>
      <c r="G15" s="3">
        <v>626.99</v>
      </c>
      <c r="H15" s="3">
        <v>1085.742</v>
      </c>
      <c r="I15" s="3">
        <v>1453.019</v>
      </c>
      <c r="J15" s="3">
        <v>1742.175</v>
      </c>
      <c r="K15" s="3">
        <v>2152.02</v>
      </c>
      <c r="L15" s="3">
        <v>908.64300000000003</v>
      </c>
      <c r="M15" s="3">
        <v>977.76900000000001</v>
      </c>
      <c r="N15" s="3">
        <v>985.22</v>
      </c>
      <c r="O15" s="3">
        <v>1121.617</v>
      </c>
      <c r="P15" s="3">
        <v>1289.829</v>
      </c>
      <c r="Q15" s="3">
        <v>1681.883</v>
      </c>
      <c r="R15" s="3">
        <v>1630.9939999999999</v>
      </c>
      <c r="S15" s="3">
        <v>1402.4659999999999</v>
      </c>
      <c r="T15" s="3">
        <v>1401.3</v>
      </c>
      <c r="U15" s="3">
        <v>1373.3530000000001</v>
      </c>
      <c r="V15" s="3">
        <f t="shared" ca="1" si="4"/>
        <v>1243.9729999999981</v>
      </c>
      <c r="W15" s="16">
        <f t="shared" ca="1" si="5"/>
        <v>3</v>
      </c>
      <c r="X15" t="str">
        <f t="shared" ca="1" si="0"/>
        <v>5yr lin trend</v>
      </c>
      <c r="Y15" s="3"/>
      <c r="Z15" s="3"/>
      <c r="AA15" s="3">
        <f t="shared" ca="1" si="1"/>
        <v>1373.3530000000001</v>
      </c>
      <c r="AB15" s="3">
        <f t="shared" ca="1" si="6"/>
        <v>1864.8802359329632</v>
      </c>
      <c r="AC15" s="3">
        <f t="shared" ca="1" si="2"/>
        <v>1243.9729999999981</v>
      </c>
      <c r="AD15" s="3" t="str">
        <f t="shared" si="7"/>
        <v/>
      </c>
      <c r="AH15" s="7">
        <f t="shared" ca="1" si="3"/>
        <v>0.83844169329854379</v>
      </c>
      <c r="AN15" s="7" t="str">
        <f>IFERROR(INDEX('MS Stats list'!P:P, MATCH(B15,'MS Stats list'!B:B,0)),"")</f>
        <v>Ministry of Ecological Transition</v>
      </c>
    </row>
    <row r="16" spans="1:40">
      <c r="A16">
        <v>12</v>
      </c>
      <c r="B16" t="s">
        <v>2</v>
      </c>
      <c r="C16" t="s">
        <v>2</v>
      </c>
      <c r="D16" s="3">
        <v>0</v>
      </c>
      <c r="E16" s="3">
        <v>0.69299999999999995</v>
      </c>
      <c r="F16" s="3">
        <v>1.385</v>
      </c>
      <c r="G16" s="3">
        <v>72.260000000000005</v>
      </c>
      <c r="H16" s="3">
        <v>132.215</v>
      </c>
      <c r="I16" s="3">
        <v>140.256</v>
      </c>
      <c r="J16" s="3">
        <v>197.33199999999999</v>
      </c>
      <c r="K16" s="3">
        <v>194.34399999999999</v>
      </c>
      <c r="L16" s="3">
        <v>222.32599999999999</v>
      </c>
      <c r="M16" s="3">
        <v>496.35500000000002</v>
      </c>
      <c r="N16" s="3">
        <v>496.02499999999998</v>
      </c>
      <c r="O16" s="3">
        <v>176.67699999999999</v>
      </c>
      <c r="P16" s="3">
        <v>391.17599999999999</v>
      </c>
      <c r="Q16" s="3">
        <v>366.83300000000003</v>
      </c>
      <c r="R16" s="3">
        <v>429.22800000000001</v>
      </c>
      <c r="S16" s="3">
        <v>399.048</v>
      </c>
      <c r="T16" s="3">
        <v>676.21500000000003</v>
      </c>
      <c r="U16" s="3">
        <v>563.61599999999999</v>
      </c>
      <c r="V16" s="3">
        <f t="shared" ca="1" si="4"/>
        <v>574.9584483133716</v>
      </c>
      <c r="W16" s="16">
        <f t="shared" ca="1" si="5"/>
        <v>2</v>
      </c>
      <c r="X16" t="str">
        <f t="shared" ca="1" si="0"/>
        <v>RES Proxy</v>
      </c>
      <c r="Y16" s="3"/>
      <c r="Z16" s="3"/>
      <c r="AA16" s="3">
        <f t="shared" ca="1" si="1"/>
        <v>563.61599999999999</v>
      </c>
      <c r="AB16" s="3">
        <f t="shared" ca="1" si="6"/>
        <v>574.9584483133716</v>
      </c>
      <c r="AC16" s="3">
        <f t="shared" ca="1" si="2"/>
        <v>679.15389999999024</v>
      </c>
      <c r="AD16" s="3" t="str">
        <f t="shared" si="7"/>
        <v/>
      </c>
      <c r="AH16" s="7">
        <f t="shared" ca="1" si="3"/>
        <v>0.61070852640419793</v>
      </c>
      <c r="AN16" s="7" t="str">
        <f>IFERROR(INDEX('MS Stats list'!P:P, MATCH(B16,'MS Stats list'!B:B,0)),"")</f>
        <v>Statistics Finland - Energy supply and consumption</v>
      </c>
    </row>
    <row r="17" spans="1:40">
      <c r="A17">
        <v>13</v>
      </c>
      <c r="B17" t="s">
        <v>82</v>
      </c>
      <c r="C17" t="s">
        <v>82</v>
      </c>
      <c r="D17" s="3">
        <v>584.88599999999997</v>
      </c>
      <c r="E17" s="3">
        <v>707.86800000000005</v>
      </c>
      <c r="F17" s="3">
        <v>1426.6980000000001</v>
      </c>
      <c r="G17" s="3">
        <v>2295.0700000000002</v>
      </c>
      <c r="H17" s="3">
        <v>2462.3820000000001</v>
      </c>
      <c r="I17" s="3">
        <v>2419.556</v>
      </c>
      <c r="J17" s="3">
        <v>2432.8020000000001</v>
      </c>
      <c r="K17" s="3">
        <v>2678.5360000000001</v>
      </c>
      <c r="L17" s="3">
        <v>2688.3470000000002</v>
      </c>
      <c r="M17" s="3">
        <v>2954.5320000000002</v>
      </c>
      <c r="N17" s="3">
        <v>2994.433</v>
      </c>
      <c r="O17" s="3">
        <v>2991.125</v>
      </c>
      <c r="P17" s="3">
        <v>3132.0709999999999</v>
      </c>
      <c r="Q17" s="3">
        <v>3133.1640000000002</v>
      </c>
      <c r="R17" s="3">
        <v>3158.893</v>
      </c>
      <c r="S17" s="3">
        <v>2629.6990000000001</v>
      </c>
      <c r="T17" s="3">
        <v>2884.788</v>
      </c>
      <c r="U17" s="3">
        <v>3077.0239999999999</v>
      </c>
      <c r="V17" s="3">
        <f t="shared" ca="1" si="4"/>
        <v>3226.5544087334342</v>
      </c>
      <c r="W17" s="16">
        <f t="shared" ca="1" si="5"/>
        <v>4</v>
      </c>
      <c r="X17" t="str">
        <f t="shared" ca="1" si="0"/>
        <v>Based on MS Stats</v>
      </c>
      <c r="Y17" s="3"/>
      <c r="Z17" s="3"/>
      <c r="AA17" s="3">
        <f t="shared" ca="1" si="1"/>
        <v>3077.0239999999999</v>
      </c>
      <c r="AB17" s="3">
        <f t="shared" ca="1" si="6"/>
        <v>2979.0094281807501</v>
      </c>
      <c r="AC17" s="3">
        <f t="shared" ca="1" si="2"/>
        <v>2860.7981000000145</v>
      </c>
      <c r="AD17" s="3">
        <f t="shared" ca="1" si="7"/>
        <v>3226.5544087334342</v>
      </c>
      <c r="AH17" s="7">
        <f t="shared" ca="1" si="3"/>
        <v>7.5938517387177329E-2</v>
      </c>
      <c r="AN17" s="7" t="str">
        <f>IFERROR(INDEX('MS Stats list'!P:P, MATCH(B17,'MS Stats list'!B:B,0)),"")</f>
        <v>Ministère de la Transition écologique et solidaire - Données et études statistiques</v>
      </c>
    </row>
    <row r="18" spans="1:40">
      <c r="A18">
        <v>10</v>
      </c>
      <c r="B18" t="s">
        <v>181</v>
      </c>
      <c r="C18" t="s">
        <v>182</v>
      </c>
      <c r="D18" s="3">
        <v>0</v>
      </c>
      <c r="E18" s="3">
        <v>45.07</v>
      </c>
      <c r="F18" s="3">
        <v>83.070999999999998</v>
      </c>
      <c r="G18" s="3">
        <v>67.162999999999997</v>
      </c>
      <c r="H18" s="3">
        <v>76.001000000000005</v>
      </c>
      <c r="I18" s="3">
        <v>124.60599999999999</v>
      </c>
      <c r="J18" s="3">
        <v>103.396</v>
      </c>
      <c r="K18" s="3">
        <v>103.396</v>
      </c>
      <c r="L18" s="3">
        <v>121.29600000000001</v>
      </c>
      <c r="M18" s="3">
        <v>134.47999999999999</v>
      </c>
      <c r="N18" s="3">
        <v>141.511</v>
      </c>
      <c r="O18" s="3">
        <v>149.422</v>
      </c>
      <c r="P18" s="3">
        <v>165.81200000000001</v>
      </c>
      <c r="Q18" s="3">
        <v>158.785</v>
      </c>
      <c r="R18" s="3">
        <v>186.11199999999999</v>
      </c>
      <c r="S18" s="3">
        <v>199.53200000000001</v>
      </c>
      <c r="T18" s="3">
        <v>216.524</v>
      </c>
      <c r="U18" s="3">
        <v>216.524</v>
      </c>
      <c r="V18" s="3">
        <f t="shared" ca="1" si="4"/>
        <v>239.26239999999962</v>
      </c>
      <c r="W18" s="16">
        <f t="shared" ca="1" si="5"/>
        <v>3</v>
      </c>
      <c r="X18" t="str">
        <f t="shared" ca="1" si="0"/>
        <v>5yr lin trend</v>
      </c>
      <c r="Y18" s="3"/>
      <c r="Z18" s="3"/>
      <c r="AA18" s="3">
        <f t="shared" ca="1" si="1"/>
        <v>216.524</v>
      </c>
      <c r="AB18" s="3">
        <f t="shared" ca="1" si="6"/>
        <v>237.47414613869952</v>
      </c>
      <c r="AC18" s="3">
        <f t="shared" ca="1" si="2"/>
        <v>239.26239999999962</v>
      </c>
      <c r="AD18" s="3" t="str">
        <f t="shared" si="7"/>
        <v/>
      </c>
      <c r="AH18" s="7">
        <f t="shared" ca="1" si="3"/>
        <v>0.91096959274264255</v>
      </c>
      <c r="AN18" s="7" t="str">
        <f>IFERROR(INDEX('MS Stats list'!P:P, MATCH(B18,'MS Stats list'!B:B,0)),"")</f>
        <v/>
      </c>
    </row>
    <row r="19" spans="1:40">
      <c r="A19">
        <v>14</v>
      </c>
      <c r="B19" t="s">
        <v>183</v>
      </c>
      <c r="C19" t="s">
        <v>183</v>
      </c>
      <c r="D19" s="3">
        <v>0</v>
      </c>
      <c r="E19" s="3">
        <v>0</v>
      </c>
      <c r="F19" s="3">
        <v>2.6509999999999998</v>
      </c>
      <c r="G19" s="3">
        <v>3.5350000000000001</v>
      </c>
      <c r="H19" s="3">
        <v>7.8360000000000003</v>
      </c>
      <c r="I19" s="3">
        <v>2.6440000000000001</v>
      </c>
      <c r="J19" s="3">
        <v>3.94</v>
      </c>
      <c r="K19" s="3">
        <v>36.94</v>
      </c>
      <c r="L19" s="3">
        <v>32.734000000000002</v>
      </c>
      <c r="M19" s="3">
        <v>29.824999999999999</v>
      </c>
      <c r="N19" s="3">
        <v>24.286000000000001</v>
      </c>
      <c r="O19" s="3">
        <v>0.85299999999999998</v>
      </c>
      <c r="P19" s="3">
        <v>0.59299999999999997</v>
      </c>
      <c r="Q19" s="3">
        <v>27.004000000000001</v>
      </c>
      <c r="R19" s="3">
        <v>62.582000000000001</v>
      </c>
      <c r="S19" s="3">
        <v>65.554000000000002</v>
      </c>
      <c r="T19" s="3">
        <v>91.192999999999998</v>
      </c>
      <c r="U19" s="3">
        <v>21.001000000000001</v>
      </c>
      <c r="V19" s="3">
        <f t="shared" ca="1" si="4"/>
        <v>8.2200874372604336</v>
      </c>
      <c r="W19" s="16">
        <f t="shared" ca="1" si="5"/>
        <v>2</v>
      </c>
      <c r="X19" t="str">
        <f t="shared" ca="1" si="0"/>
        <v>RES Proxy</v>
      </c>
      <c r="Y19" s="3"/>
      <c r="Z19" s="3"/>
      <c r="AA19" s="3">
        <f t="shared" ca="1" si="1"/>
        <v>21.001000000000001</v>
      </c>
      <c r="AB19" s="3">
        <f t="shared" ca="1" si="6"/>
        <v>8.2200874372604336</v>
      </c>
      <c r="AC19" s="3">
        <f t="shared" ca="1" si="2"/>
        <v>58.448300000000472</v>
      </c>
      <c r="AD19" s="3" t="str">
        <f t="shared" si="7"/>
        <v/>
      </c>
      <c r="AH19" s="7">
        <f t="shared" ca="1" si="3"/>
        <v>8.0934938801661242E-3</v>
      </c>
      <c r="AN19" s="7" t="str">
        <f>IFERROR(INDEX('MS Stats list'!P:P, MATCH(B19,'MS Stats list'!B:B,0)),"")</f>
        <v/>
      </c>
    </row>
    <row r="20" spans="1:40">
      <c r="A20">
        <v>15</v>
      </c>
      <c r="B20" t="s">
        <v>88</v>
      </c>
      <c r="C20" t="s">
        <v>88</v>
      </c>
      <c r="D20" s="3">
        <v>2.56</v>
      </c>
      <c r="E20" s="3">
        <v>10.882</v>
      </c>
      <c r="F20" s="3">
        <v>28.652000000000001</v>
      </c>
      <c r="G20" s="3">
        <v>164.608</v>
      </c>
      <c r="H20" s="3">
        <v>169.08600000000001</v>
      </c>
      <c r="I20" s="3">
        <v>174.773</v>
      </c>
      <c r="J20" s="3">
        <v>159.43199999999999</v>
      </c>
      <c r="K20" s="3">
        <v>153.82900000000001</v>
      </c>
      <c r="L20" s="3">
        <v>136.82</v>
      </c>
      <c r="M20" s="3">
        <v>188.43700000000001</v>
      </c>
      <c r="N20" s="3">
        <v>175.12700000000001</v>
      </c>
      <c r="O20" s="3">
        <v>187.14500000000001</v>
      </c>
      <c r="P20" s="3">
        <v>164.233</v>
      </c>
      <c r="Q20" s="3">
        <v>193.238</v>
      </c>
      <c r="R20" s="3">
        <v>202.48599999999999</v>
      </c>
      <c r="S20" s="3">
        <v>279.12</v>
      </c>
      <c r="T20" s="3">
        <v>284.98399999999998</v>
      </c>
      <c r="U20" s="3">
        <v>304.28300000000002</v>
      </c>
      <c r="V20" s="3">
        <f t="shared" ca="1" si="4"/>
        <v>344.19860000000335</v>
      </c>
      <c r="W20" s="16">
        <f t="shared" ca="1" si="5"/>
        <v>3</v>
      </c>
      <c r="X20" t="str">
        <f t="shared" ca="1" si="0"/>
        <v>5yr lin trend</v>
      </c>
      <c r="Y20" s="3"/>
      <c r="Z20" s="3"/>
      <c r="AA20" s="3">
        <f t="shared" ca="1" si="1"/>
        <v>304.28300000000002</v>
      </c>
      <c r="AB20" s="3">
        <f t="shared" ca="1" si="6"/>
        <v>314.36517905556917</v>
      </c>
      <c r="AC20" s="3">
        <f t="shared" ca="1" si="2"/>
        <v>344.19860000000335</v>
      </c>
      <c r="AD20" s="3" t="str">
        <f t="shared" si="7"/>
        <v/>
      </c>
      <c r="AH20" s="7">
        <f t="shared" ca="1" si="3"/>
        <v>0.88709368164396596</v>
      </c>
      <c r="AN20" s="7" t="str">
        <f>IFERROR(INDEX('MS Stats list'!P:P, MATCH(B20,'MS Stats list'!B:B,0)),"")</f>
        <v>MEKH - Official Statistics - 7.2 National simplified Energy Balance - IEA format</v>
      </c>
    </row>
    <row r="21" spans="1:40">
      <c r="A21">
        <v>16</v>
      </c>
      <c r="B21" t="s">
        <v>133</v>
      </c>
      <c r="C21" t="s">
        <v>133</v>
      </c>
      <c r="D21" s="3">
        <v>1.0880000000000001</v>
      </c>
      <c r="E21" s="3">
        <v>2.6739999999999999</v>
      </c>
      <c r="F21" s="3">
        <v>21.565000000000001</v>
      </c>
      <c r="G21" s="3">
        <v>55.853999999999999</v>
      </c>
      <c r="H21" s="3">
        <v>77.459000000000003</v>
      </c>
      <c r="I21" s="3">
        <v>92.652000000000001</v>
      </c>
      <c r="J21" s="3">
        <v>91.988</v>
      </c>
      <c r="K21" s="3">
        <v>84.947999999999993</v>
      </c>
      <c r="L21" s="3">
        <v>101.44199999999999</v>
      </c>
      <c r="M21" s="3">
        <v>114.413</v>
      </c>
      <c r="N21" s="3">
        <v>122.46599999999999</v>
      </c>
      <c r="O21" s="3">
        <v>112.536</v>
      </c>
      <c r="P21" s="3">
        <v>160.714</v>
      </c>
      <c r="Q21" s="3">
        <v>154.31</v>
      </c>
      <c r="R21" s="3">
        <v>188.17400000000001</v>
      </c>
      <c r="S21" s="3">
        <v>174.57499999999999</v>
      </c>
      <c r="T21" s="3">
        <v>178.42400000000001</v>
      </c>
      <c r="U21" s="3">
        <v>223.84700000000001</v>
      </c>
      <c r="V21" s="3">
        <f t="shared" ca="1" si="4"/>
        <v>301.04431136750065</v>
      </c>
      <c r="W21" s="16">
        <f t="shared" ca="1" si="5"/>
        <v>2</v>
      </c>
      <c r="X21" t="str">
        <f t="shared" ca="1" si="0"/>
        <v>RES Proxy</v>
      </c>
      <c r="Y21" s="3"/>
      <c r="Z21" s="3"/>
      <c r="AA21" s="3">
        <f t="shared" ca="1" si="1"/>
        <v>223.84700000000001</v>
      </c>
      <c r="AB21" s="3">
        <f t="shared" ca="1" si="6"/>
        <v>301.04431136750065</v>
      </c>
      <c r="AC21" s="3">
        <f t="shared" ca="1" si="2"/>
        <v>222.66319999999905</v>
      </c>
      <c r="AD21" s="3" t="str">
        <f t="shared" si="7"/>
        <v/>
      </c>
      <c r="AH21" s="7">
        <f t="shared" ca="1" si="3"/>
        <v>0.64164497263114206</v>
      </c>
      <c r="AN21" s="7" t="str">
        <f>IFERROR(INDEX('MS Stats list'!P:P, MATCH(B21,'MS Stats list'!B:B,0)),"")</f>
        <v>SEAI - 2022 Provisional Energy Balance</v>
      </c>
    </row>
    <row r="22" spans="1:40">
      <c r="A22">
        <v>17</v>
      </c>
      <c r="B22" t="s">
        <v>157</v>
      </c>
      <c r="C22" t="s">
        <v>157</v>
      </c>
      <c r="D22" s="3">
        <v>176.74600000000001</v>
      </c>
      <c r="E22" s="3">
        <v>159.071</v>
      </c>
      <c r="F22" s="3">
        <v>139.62899999999999</v>
      </c>
      <c r="G22" s="3">
        <v>728.88599999999997</v>
      </c>
      <c r="H22" s="3">
        <v>1144.502</v>
      </c>
      <c r="I22" s="3">
        <v>1419.424</v>
      </c>
      <c r="J22" s="3">
        <v>1401.002</v>
      </c>
      <c r="K22" s="3">
        <v>1367.9559999999999</v>
      </c>
      <c r="L22" s="3">
        <v>1252.354</v>
      </c>
      <c r="M22" s="3">
        <v>1065.1980000000001</v>
      </c>
      <c r="N22" s="3">
        <v>1166.604</v>
      </c>
      <c r="O22" s="3">
        <v>1040.903</v>
      </c>
      <c r="P22" s="3">
        <v>1061.7660000000001</v>
      </c>
      <c r="Q22" s="3">
        <v>1249.712</v>
      </c>
      <c r="R22" s="3">
        <v>1276.1189999999999</v>
      </c>
      <c r="S22" s="3">
        <v>1264.7380000000001</v>
      </c>
      <c r="T22" s="3">
        <v>1415.5060000000001</v>
      </c>
      <c r="U22" s="3">
        <v>1389.097</v>
      </c>
      <c r="V22" s="3">
        <f t="shared" ca="1" si="4"/>
        <v>1720.2058079163376</v>
      </c>
      <c r="W22" s="16">
        <f t="shared" ca="1" si="5"/>
        <v>2</v>
      </c>
      <c r="X22" t="str">
        <f t="shared" ca="1" si="0"/>
        <v>RES Proxy</v>
      </c>
      <c r="Y22" s="3"/>
      <c r="Z22" s="3"/>
      <c r="AA22" s="3">
        <f t="shared" ca="1" si="1"/>
        <v>1389.097</v>
      </c>
      <c r="AB22" s="3">
        <f t="shared" ca="1" si="6"/>
        <v>1720.2058079163376</v>
      </c>
      <c r="AC22" s="3">
        <f t="shared" ca="1" si="2"/>
        <v>1444.481500000009</v>
      </c>
      <c r="AD22" s="3" t="str">
        <f t="shared" si="7"/>
        <v/>
      </c>
      <c r="AH22" s="7">
        <f t="shared" ca="1" si="3"/>
        <v>0.734347764991227</v>
      </c>
      <c r="AN22" s="7" t="str">
        <f>IFERROR(INDEX('MS Stats list'!P:P, MATCH(B22,'MS Stats list'!B:B,0)),"")</f>
        <v>Ministry of Ecological Transition</v>
      </c>
    </row>
    <row r="23" spans="1:40">
      <c r="A23">
        <v>18</v>
      </c>
      <c r="B23" t="s">
        <v>137</v>
      </c>
      <c r="C23" t="s">
        <v>137</v>
      </c>
      <c r="D23" s="3">
        <v>3.2959999999999998</v>
      </c>
      <c r="E23" s="3">
        <v>19.298999999999999</v>
      </c>
      <c r="F23" s="3">
        <v>53.143000000000001</v>
      </c>
      <c r="G23" s="3">
        <v>61.430999999999997</v>
      </c>
      <c r="H23" s="3">
        <v>51.542999999999999</v>
      </c>
      <c r="I23" s="3">
        <v>44.783999999999999</v>
      </c>
      <c r="J23" s="3">
        <v>45.021999999999998</v>
      </c>
      <c r="K23" s="3">
        <v>60.524000000000001</v>
      </c>
      <c r="L23" s="3">
        <v>57.704999999999998</v>
      </c>
      <c r="M23" s="3">
        <v>63.246000000000002</v>
      </c>
      <c r="N23" s="3">
        <v>67.998999999999995</v>
      </c>
      <c r="O23" s="3">
        <v>56.820999999999998</v>
      </c>
      <c r="P23" s="3">
        <v>71.706000000000003</v>
      </c>
      <c r="Q23" s="3">
        <v>77.811000000000007</v>
      </c>
      <c r="R23" s="3">
        <v>75.134</v>
      </c>
      <c r="S23" s="3">
        <v>102.871</v>
      </c>
      <c r="T23" s="3">
        <v>126.79900000000001</v>
      </c>
      <c r="U23" s="3">
        <v>119.70699999999999</v>
      </c>
      <c r="V23" s="3">
        <f t="shared" ca="1" si="4"/>
        <v>141.10150000000067</v>
      </c>
      <c r="W23" s="16">
        <f t="shared" ca="1" si="5"/>
        <v>3</v>
      </c>
      <c r="X23" t="str">
        <f t="shared" ca="1" si="0"/>
        <v>5yr lin trend</v>
      </c>
      <c r="Y23" s="3"/>
      <c r="Z23" s="3"/>
      <c r="AA23" s="3">
        <f t="shared" ca="1" si="1"/>
        <v>119.70699999999999</v>
      </c>
      <c r="AB23" s="3">
        <f t="shared" ca="1" si="6"/>
        <v>140.85794608907403</v>
      </c>
      <c r="AC23" s="3">
        <f t="shared" ca="1" si="2"/>
        <v>141.10150000000067</v>
      </c>
      <c r="AD23" s="3" t="str">
        <f t="shared" si="7"/>
        <v/>
      </c>
      <c r="AH23" s="7">
        <f t="shared" ca="1" si="3"/>
        <v>0.82488367315155486</v>
      </c>
      <c r="AN23" s="7" t="str">
        <f>IFERROR(INDEX('MS Stats list'!P:P, MATCH(B23,'MS Stats list'!B:B,0)),"")</f>
        <v>Statistics Lithuania - Energy balances</v>
      </c>
    </row>
    <row r="24" spans="1:40">
      <c r="A24">
        <v>19</v>
      </c>
      <c r="B24" t="s">
        <v>184</v>
      </c>
      <c r="C24" t="s">
        <v>184</v>
      </c>
      <c r="D24" s="3">
        <v>0.54100000000000004</v>
      </c>
      <c r="E24" s="3">
        <v>0.51100000000000001</v>
      </c>
      <c r="F24" s="3">
        <v>45.768999999999998</v>
      </c>
      <c r="G24" s="3">
        <v>45.35</v>
      </c>
      <c r="H24" s="3">
        <v>42.432000000000002</v>
      </c>
      <c r="I24" s="3">
        <v>42.347999999999999</v>
      </c>
      <c r="J24" s="3">
        <v>46.841999999999999</v>
      </c>
      <c r="K24" s="3">
        <v>48.475000000000001</v>
      </c>
      <c r="L24" s="3">
        <v>55.146000000000001</v>
      </c>
      <c r="M24" s="3">
        <v>70.674000000000007</v>
      </c>
      <c r="N24" s="3">
        <v>83.304000000000002</v>
      </c>
      <c r="O24" s="3">
        <v>89.399000000000001</v>
      </c>
      <c r="P24" s="3">
        <v>113.383</v>
      </c>
      <c r="Q24" s="3">
        <v>122.83799999999999</v>
      </c>
      <c r="R24" s="3">
        <v>129.59399999999999</v>
      </c>
      <c r="S24" s="3">
        <v>142.47900000000001</v>
      </c>
      <c r="T24" s="3">
        <v>138.62799999999999</v>
      </c>
      <c r="U24" s="3">
        <v>129.64699999999999</v>
      </c>
      <c r="V24" s="3">
        <f t="shared" ca="1" si="4"/>
        <v>129.49652063426669</v>
      </c>
      <c r="W24" s="16">
        <f t="shared" ca="1" si="5"/>
        <v>2</v>
      </c>
      <c r="X24" t="str">
        <f t="shared" ca="1" si="0"/>
        <v>RES Proxy</v>
      </c>
      <c r="Y24" s="3"/>
      <c r="Z24" s="3"/>
      <c r="AA24" s="3">
        <f t="shared" ca="1" si="1"/>
        <v>129.64699999999999</v>
      </c>
      <c r="AB24" s="3">
        <f t="shared" ca="1" si="6"/>
        <v>129.49652063426669</v>
      </c>
      <c r="AC24" s="3">
        <f t="shared" ca="1" si="2"/>
        <v>139.43279999999959</v>
      </c>
      <c r="AD24" s="3" t="str">
        <f t="shared" si="7"/>
        <v/>
      </c>
      <c r="AH24" s="7">
        <f t="shared" ca="1" si="3"/>
        <v>0.20775711251449264</v>
      </c>
      <c r="AN24" s="7" t="str">
        <f>IFERROR(INDEX('MS Stats list'!P:P, MATCH(B24,'MS Stats list'!B:B,0)),"")</f>
        <v/>
      </c>
    </row>
    <row r="25" spans="1:40">
      <c r="A25">
        <v>20</v>
      </c>
      <c r="B25" t="s">
        <v>93</v>
      </c>
      <c r="C25" t="s">
        <v>93</v>
      </c>
      <c r="D25" s="3">
        <v>2.6659999999999999</v>
      </c>
      <c r="E25" s="3">
        <v>3.0569999999999999</v>
      </c>
      <c r="F25" s="3">
        <v>1.7769999999999999</v>
      </c>
      <c r="G25" s="3">
        <v>1.7769999999999999</v>
      </c>
      <c r="H25" s="3">
        <v>4.3369999999999997</v>
      </c>
      <c r="I25" s="3">
        <v>26.98</v>
      </c>
      <c r="J25" s="3">
        <v>24.562999999999999</v>
      </c>
      <c r="K25" s="3">
        <v>19.728999999999999</v>
      </c>
      <c r="L25" s="3">
        <v>18.84</v>
      </c>
      <c r="M25" s="3">
        <v>22.393999999999998</v>
      </c>
      <c r="N25" s="3">
        <v>22.786000000000001</v>
      </c>
      <c r="O25" s="3">
        <v>10.987</v>
      </c>
      <c r="P25" s="3">
        <v>9.2759999999999998</v>
      </c>
      <c r="Q25" s="3">
        <v>37.834000000000003</v>
      </c>
      <c r="R25" s="3">
        <v>34.927</v>
      </c>
      <c r="S25" s="3">
        <v>45.109000000000002</v>
      </c>
      <c r="T25" s="3">
        <v>46.758000000000003</v>
      </c>
      <c r="U25" s="3">
        <v>16.032</v>
      </c>
      <c r="V25" s="3">
        <f t="shared" ca="1" si="4"/>
        <v>14.696</v>
      </c>
      <c r="W25" s="16">
        <f t="shared" ca="1" si="5"/>
        <v>4</v>
      </c>
      <c r="X25" t="str">
        <f t="shared" ca="1" si="0"/>
        <v>Based on MS Stats</v>
      </c>
      <c r="Y25" s="3"/>
      <c r="Z25" s="3"/>
      <c r="AA25" s="3">
        <f t="shared" ca="1" si="1"/>
        <v>16.032</v>
      </c>
      <c r="AB25" s="3">
        <f t="shared" ca="1" si="6"/>
        <v>15.815493379756616</v>
      </c>
      <c r="AC25" s="3">
        <f t="shared" ca="1" si="2"/>
        <v>26.600099999999657</v>
      </c>
      <c r="AD25" s="3">
        <f t="shared" ca="1" si="7"/>
        <v>14.696</v>
      </c>
      <c r="AH25" s="7">
        <f t="shared" ca="1" si="3"/>
        <v>0.16773471713393079</v>
      </c>
      <c r="AN25" s="7" t="str">
        <f>IFERROR(INDEX('MS Stats list'!P:P, MATCH(B25,'MS Stats list'!B:B,0)),"")</f>
        <v/>
      </c>
    </row>
    <row r="26" spans="1:40">
      <c r="A26">
        <v>21</v>
      </c>
      <c r="B26" t="s">
        <v>141</v>
      </c>
      <c r="C26" t="s">
        <v>141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0.53600000000000003</v>
      </c>
      <c r="J26" s="3">
        <v>1.5249999999999999</v>
      </c>
      <c r="K26" s="3">
        <v>2.633</v>
      </c>
      <c r="L26" s="3">
        <v>5.0049999999999999</v>
      </c>
      <c r="M26" s="3">
        <v>7.1829999999999998</v>
      </c>
      <c r="N26" s="3">
        <v>6.681</v>
      </c>
      <c r="O26" s="3">
        <v>6.5869999999999997</v>
      </c>
      <c r="P26" s="3">
        <v>7.4169999999999998</v>
      </c>
      <c r="Q26" s="3">
        <v>10.021000000000001</v>
      </c>
      <c r="R26" s="3">
        <v>10.673</v>
      </c>
      <c r="S26" s="3">
        <v>14.013</v>
      </c>
      <c r="T26" s="3">
        <v>10.629</v>
      </c>
      <c r="U26" s="3">
        <v>12.609</v>
      </c>
      <c r="V26" s="3">
        <f t="shared" ca="1" si="4"/>
        <v>13.052155960286775</v>
      </c>
      <c r="W26" s="16">
        <f t="shared" ca="1" si="5"/>
        <v>2</v>
      </c>
      <c r="X26" t="str">
        <f t="shared" ca="1" si="0"/>
        <v>RES Proxy</v>
      </c>
      <c r="Y26" s="3"/>
      <c r="Z26" s="3"/>
      <c r="AA26" s="3">
        <f t="shared" ca="1" si="1"/>
        <v>12.609</v>
      </c>
      <c r="AB26" s="3">
        <f t="shared" ca="1" si="6"/>
        <v>13.052155960286775</v>
      </c>
      <c r="AC26" s="3">
        <f t="shared" ca="1" si="2"/>
        <v>13.128600000000006</v>
      </c>
      <c r="AD26" s="3" t="str">
        <f t="shared" si="7"/>
        <v/>
      </c>
      <c r="AH26" s="7">
        <f t="shared" ca="1" si="3"/>
        <v>0.23651859429914662</v>
      </c>
      <c r="AN26" s="7" t="str">
        <f>IFERROR(INDEX('MS Stats list'!P:P, MATCH(B26,'MS Stats list'!B:B,0)),"")</f>
        <v>Msdata from consultations</v>
      </c>
    </row>
    <row r="27" spans="1:40">
      <c r="A27">
        <v>22</v>
      </c>
      <c r="B27" t="s">
        <v>145</v>
      </c>
      <c r="C27" t="s">
        <v>145</v>
      </c>
      <c r="D27" s="3">
        <v>0</v>
      </c>
      <c r="E27" s="3">
        <v>40.819000000000003</v>
      </c>
      <c r="F27" s="3">
        <v>330.41899999999998</v>
      </c>
      <c r="G27" s="3">
        <v>287.238</v>
      </c>
      <c r="H27" s="3">
        <v>373.45</v>
      </c>
      <c r="I27" s="3">
        <v>228.69499999999999</v>
      </c>
      <c r="J27" s="3">
        <v>321.29599999999999</v>
      </c>
      <c r="K27" s="3">
        <v>312.697</v>
      </c>
      <c r="L27" s="3">
        <v>299.202</v>
      </c>
      <c r="M27" s="3">
        <v>349.26400000000001</v>
      </c>
      <c r="N27" s="3">
        <v>294.37</v>
      </c>
      <c r="O27" s="3">
        <v>235.92500000000001</v>
      </c>
      <c r="P27" s="3">
        <v>303.173</v>
      </c>
      <c r="Q27" s="3">
        <v>493.79599999999999</v>
      </c>
      <c r="R27" s="3">
        <v>610.37599999999998</v>
      </c>
      <c r="S27" s="3">
        <v>520.91</v>
      </c>
      <c r="T27" s="3">
        <v>594.04899999999998</v>
      </c>
      <c r="U27" s="3">
        <v>552.24099999999999</v>
      </c>
      <c r="V27" s="3">
        <f t="shared" ca="1" si="4"/>
        <v>574.23072784905457</v>
      </c>
      <c r="W27" s="16">
        <f t="shared" ca="1" si="5"/>
        <v>2</v>
      </c>
      <c r="X27" t="str">
        <f t="shared" ca="1" si="0"/>
        <v>RES Proxy</v>
      </c>
      <c r="Y27" s="3"/>
      <c r="Z27" s="3"/>
      <c r="AA27" s="3">
        <f t="shared" ca="1" si="1"/>
        <v>552.24099999999999</v>
      </c>
      <c r="AB27" s="3">
        <f t="shared" ca="1" si="6"/>
        <v>574.23072784905457</v>
      </c>
      <c r="AC27" s="3">
        <f t="shared" ca="1" si="2"/>
        <v>584.443299999999</v>
      </c>
      <c r="AD27" s="3" t="str">
        <f t="shared" si="7"/>
        <v/>
      </c>
      <c r="AH27" s="7">
        <f t="shared" ca="1" si="3"/>
        <v>0.10640288955268638</v>
      </c>
      <c r="AN27" s="7" t="str">
        <f>IFERROR(INDEX('MS Stats list'!P:P, MATCH(B27,'MS Stats list'!B:B,0)),"")</f>
        <v>CBS - Energy balance sheet; supply, transformation and consumption</v>
      </c>
    </row>
    <row r="28" spans="1:40">
      <c r="A28">
        <v>23</v>
      </c>
      <c r="B28" t="s">
        <v>185</v>
      </c>
      <c r="C28" t="s">
        <v>185</v>
      </c>
      <c r="D28" s="3">
        <v>49.664000000000001</v>
      </c>
      <c r="E28" s="3">
        <v>90.591999999999999</v>
      </c>
      <c r="F28" s="3">
        <v>96.698999999999998</v>
      </c>
      <c r="G28" s="3">
        <v>437.06</v>
      </c>
      <c r="H28" s="3">
        <v>635.88800000000003</v>
      </c>
      <c r="I28" s="3">
        <v>867.42499999999995</v>
      </c>
      <c r="J28" s="3">
        <v>915.53499999999997</v>
      </c>
      <c r="K28" s="3">
        <v>807.34900000000005</v>
      </c>
      <c r="L28" s="3">
        <v>747.53099999999995</v>
      </c>
      <c r="M28" s="3">
        <v>705.37</v>
      </c>
      <c r="N28" s="3">
        <v>653.428</v>
      </c>
      <c r="O28" s="3">
        <v>457.41699999999997</v>
      </c>
      <c r="P28" s="3">
        <v>604.88699999999994</v>
      </c>
      <c r="Q28" s="3">
        <v>912.404</v>
      </c>
      <c r="R28" s="3">
        <v>1025.104</v>
      </c>
      <c r="S28" s="3">
        <v>1039.5309999999999</v>
      </c>
      <c r="T28" s="3">
        <v>1119.6869999999999</v>
      </c>
      <c r="U28" s="3">
        <v>1203.421</v>
      </c>
      <c r="V28" s="3">
        <f t="shared" ca="1" si="4"/>
        <v>1263.0144999999902</v>
      </c>
      <c r="W28" s="16">
        <f t="shared" ca="1" si="5"/>
        <v>3</v>
      </c>
      <c r="X28" t="str">
        <f t="shared" ca="1" si="0"/>
        <v>5yr lin trend</v>
      </c>
      <c r="Y28" s="3"/>
      <c r="Z28" s="3"/>
      <c r="AA28" s="3">
        <f ca="1">OFFSET($A28,0,OffsetLast)</f>
        <v>1203.421</v>
      </c>
      <c r="AB28" s="3">
        <f t="shared" ca="1" si="6"/>
        <v>1240.7610587671659</v>
      </c>
      <c r="AC28" s="3">
        <f t="shared" ca="1" si="2"/>
        <v>1263.0144999999902</v>
      </c>
      <c r="AD28" s="3" t="str">
        <f t="shared" si="7"/>
        <v/>
      </c>
      <c r="AH28" s="7">
        <f t="shared" ca="1" si="3"/>
        <v>0.96272926529264713</v>
      </c>
      <c r="AN28" s="7" t="str">
        <f>IFERROR(INDEX('MS Stats list'!P:P, MATCH(B28,'MS Stats list'!B:B,0)),"")</f>
        <v/>
      </c>
    </row>
    <row r="29" spans="1:40">
      <c r="A29">
        <v>24</v>
      </c>
      <c r="B29" t="s">
        <v>149</v>
      </c>
      <c r="C29" t="s">
        <v>149</v>
      </c>
      <c r="D29" s="3">
        <v>0</v>
      </c>
      <c r="E29" s="3">
        <v>71.628</v>
      </c>
      <c r="F29" s="3">
        <v>121.876</v>
      </c>
      <c r="G29" s="3">
        <v>125.566</v>
      </c>
      <c r="H29" s="3">
        <v>208.095</v>
      </c>
      <c r="I29" s="3">
        <v>309.13</v>
      </c>
      <c r="J29" s="3">
        <v>293.07600000000002</v>
      </c>
      <c r="K29" s="3">
        <v>273.238</v>
      </c>
      <c r="L29" s="3">
        <v>261.30200000000002</v>
      </c>
      <c r="M29" s="3">
        <v>261.16399999999999</v>
      </c>
      <c r="N29" s="3">
        <v>326.74299999999999</v>
      </c>
      <c r="O29" s="3">
        <v>265.101</v>
      </c>
      <c r="P29" s="3">
        <v>242.86199999999999</v>
      </c>
      <c r="Q29" s="3">
        <v>262.399</v>
      </c>
      <c r="R29" s="3">
        <v>272.09300000000002</v>
      </c>
      <c r="S29" s="3">
        <v>243.22900000000001</v>
      </c>
      <c r="T29" s="3">
        <v>340.233</v>
      </c>
      <c r="U29" s="3">
        <v>341.113</v>
      </c>
      <c r="V29" s="3">
        <f t="shared" ca="1" si="4"/>
        <v>342.08266267308755</v>
      </c>
      <c r="W29" s="16">
        <f t="shared" ca="1" si="5"/>
        <v>2</v>
      </c>
      <c r="X29" t="str">
        <f t="shared" ca="1" si="0"/>
        <v>RES Proxy</v>
      </c>
      <c r="Y29" s="3"/>
      <c r="Z29" s="3"/>
      <c r="AA29" s="3">
        <f t="shared" ca="1" si="1"/>
        <v>341.113</v>
      </c>
      <c r="AB29" s="3">
        <f t="shared" ca="1" si="6"/>
        <v>342.08266267308755</v>
      </c>
      <c r="AC29" s="3">
        <f t="shared" ca="1" si="2"/>
        <v>359.48380000000179</v>
      </c>
      <c r="AD29" s="3" t="str">
        <f t="shared" si="7"/>
        <v/>
      </c>
      <c r="AH29" s="7">
        <f t="shared" ca="1" si="3"/>
        <v>0.60648675307562072</v>
      </c>
      <c r="AN29" s="7" t="str">
        <f>IFERROR(INDEX('MS Stats list'!P:P, MATCH(B29,'MS Stats list'!B:B,0)),"")</f>
        <v>DGEG - Balanço Energético Sintético 2022</v>
      </c>
    </row>
    <row r="30" spans="1:40">
      <c r="A30">
        <v>25</v>
      </c>
      <c r="B30" t="s">
        <v>186</v>
      </c>
      <c r="C30" t="s">
        <v>186</v>
      </c>
      <c r="D30" s="3">
        <v>0.66900000000000004</v>
      </c>
      <c r="E30" s="3">
        <v>0.59699999999999998</v>
      </c>
      <c r="F30" s="3">
        <v>41.817</v>
      </c>
      <c r="G30" s="3">
        <v>107.265</v>
      </c>
      <c r="H30" s="3">
        <v>163.01499999999999</v>
      </c>
      <c r="I30" s="3">
        <v>116.08499999999999</v>
      </c>
      <c r="J30" s="3">
        <v>196.01400000000001</v>
      </c>
      <c r="K30" s="3">
        <v>187.61199999999999</v>
      </c>
      <c r="L30" s="3">
        <v>203.75299999999999</v>
      </c>
      <c r="M30" s="3">
        <v>166.96100000000001</v>
      </c>
      <c r="N30" s="3">
        <v>202.52600000000001</v>
      </c>
      <c r="O30" s="3">
        <v>257.30200000000002</v>
      </c>
      <c r="P30" s="3">
        <v>297.36</v>
      </c>
      <c r="Q30" s="3">
        <v>297.11200000000002</v>
      </c>
      <c r="R30" s="3">
        <v>412.38</v>
      </c>
      <c r="S30" s="3">
        <v>483.28899999999999</v>
      </c>
      <c r="T30" s="3">
        <v>495.79199999999997</v>
      </c>
      <c r="U30" s="3">
        <v>558.71799999999996</v>
      </c>
      <c r="V30" s="3">
        <f t="shared" ca="1" si="4"/>
        <v>631.44539999999688</v>
      </c>
      <c r="W30" s="16">
        <f t="shared" ca="1" si="5"/>
        <v>3</v>
      </c>
      <c r="X30" t="str">
        <f t="shared" ca="1" si="0"/>
        <v>5yr lin trend</v>
      </c>
      <c r="Y30" s="3"/>
      <c r="Z30" s="3"/>
      <c r="AA30" s="3">
        <f t="shared" ca="1" si="1"/>
        <v>558.71799999999996</v>
      </c>
      <c r="AB30" s="3">
        <f t="shared" ca="1" si="6"/>
        <v>536.25006484570338</v>
      </c>
      <c r="AC30" s="3">
        <f t="shared" ca="1" si="2"/>
        <v>631.44539999999688</v>
      </c>
      <c r="AD30" s="3" t="str">
        <f t="shared" si="7"/>
        <v/>
      </c>
      <c r="AH30" s="7">
        <f t="shared" ca="1" si="3"/>
        <v>0.92429803779732811</v>
      </c>
      <c r="AN30" s="7" t="str">
        <f>IFERROR(INDEX('MS Stats list'!P:P, MATCH(B30,'MS Stats list'!B:B,0)),"")</f>
        <v/>
      </c>
    </row>
    <row r="31" spans="1:40">
      <c r="A31">
        <v>26</v>
      </c>
      <c r="B31" t="s">
        <v>187</v>
      </c>
      <c r="C31" t="s">
        <v>187</v>
      </c>
      <c r="D31" s="3">
        <v>144.816</v>
      </c>
      <c r="E31" s="3">
        <v>194.91900000000001</v>
      </c>
      <c r="F31" s="3">
        <v>255.43700000000001</v>
      </c>
      <c r="G31" s="3">
        <v>326.42700000000002</v>
      </c>
      <c r="H31" s="3">
        <v>338.13</v>
      </c>
      <c r="I31" s="3">
        <v>359.28</v>
      </c>
      <c r="J31" s="3">
        <v>453.911</v>
      </c>
      <c r="K31" s="3">
        <v>519.21900000000005</v>
      </c>
      <c r="L31" s="3">
        <v>601.96299999999997</v>
      </c>
      <c r="M31" s="3">
        <v>776.16899999999998</v>
      </c>
      <c r="N31" s="3">
        <v>917.51700000000005</v>
      </c>
      <c r="O31" s="3">
        <v>1113.6769999999999</v>
      </c>
      <c r="P31" s="3">
        <v>1375.7139999999999</v>
      </c>
      <c r="Q31" s="3">
        <v>1482.348</v>
      </c>
      <c r="R31" s="3">
        <v>1397.93</v>
      </c>
      <c r="S31" s="3">
        <v>1406.15</v>
      </c>
      <c r="T31" s="3">
        <v>1451.444</v>
      </c>
      <c r="U31" s="3">
        <v>1675.864</v>
      </c>
      <c r="V31" s="3">
        <f t="shared" ca="1" si="4"/>
        <v>1676.5329676805043</v>
      </c>
      <c r="W31" s="16">
        <f t="shared" ca="1" si="5"/>
        <v>2</v>
      </c>
      <c r="X31" t="str">
        <f t="shared" ca="1" si="0"/>
        <v>RES Proxy</v>
      </c>
      <c r="Y31" s="3"/>
      <c r="Z31" s="3"/>
      <c r="AA31" s="3">
        <f t="shared" ca="1" si="1"/>
        <v>1675.864</v>
      </c>
      <c r="AB31" s="3">
        <f t="shared" ca="1" si="6"/>
        <v>1676.5329676805043</v>
      </c>
      <c r="AC31" s="3">
        <f t="shared" ca="1" si="2"/>
        <v>1614.9109999999928</v>
      </c>
      <c r="AD31" s="3" t="str">
        <f t="shared" si="7"/>
        <v/>
      </c>
      <c r="AH31" s="7">
        <f t="shared" ca="1" si="3"/>
        <v>0.37806542052267106</v>
      </c>
      <c r="AN31" s="7" t="str">
        <f>IFERROR(INDEX('MS Stats list'!P:P, MATCH(B31,'MS Stats list'!B:B,0)),"")</f>
        <v/>
      </c>
    </row>
    <row r="32" spans="1:40">
      <c r="A32">
        <v>27</v>
      </c>
      <c r="B32" t="s">
        <v>79</v>
      </c>
      <c r="C32" t="s">
        <v>79</v>
      </c>
      <c r="D32" s="3">
        <v>0</v>
      </c>
      <c r="E32" s="3">
        <v>4.407</v>
      </c>
      <c r="F32" s="3">
        <v>13.856999999999999</v>
      </c>
      <c r="G32" s="3">
        <v>24.591999999999999</v>
      </c>
      <c r="H32" s="3">
        <v>30.797999999999998</v>
      </c>
      <c r="I32" s="3">
        <v>45.741999999999997</v>
      </c>
      <c r="J32" s="3">
        <v>36.792999999999999</v>
      </c>
      <c r="K32" s="3">
        <v>51.831000000000003</v>
      </c>
      <c r="L32" s="3">
        <v>60.475000000000001</v>
      </c>
      <c r="M32" s="3">
        <v>43.723999999999997</v>
      </c>
      <c r="N32" s="3">
        <v>29.433</v>
      </c>
      <c r="O32" s="3">
        <v>18.446999999999999</v>
      </c>
      <c r="P32" s="3">
        <v>25.045000000000002</v>
      </c>
      <c r="Q32" s="3">
        <v>73.775999999999996</v>
      </c>
      <c r="R32" s="3">
        <v>95.075999999999993</v>
      </c>
      <c r="S32" s="3">
        <v>93.287999999999997</v>
      </c>
      <c r="T32" s="3">
        <v>103.28400000000001</v>
      </c>
      <c r="U32" s="3">
        <v>79.367999999999995</v>
      </c>
      <c r="V32" s="3">
        <f t="shared" ca="1" si="4"/>
        <v>92.732362965129397</v>
      </c>
      <c r="W32" s="16">
        <f t="shared" ca="1" si="5"/>
        <v>2</v>
      </c>
      <c r="X32" t="str">
        <f t="shared" ca="1" si="0"/>
        <v>RES Proxy</v>
      </c>
      <c r="Y32" s="3"/>
      <c r="Z32" s="3"/>
      <c r="AA32" s="3">
        <f t="shared" ca="1" si="1"/>
        <v>79.367999999999995</v>
      </c>
      <c r="AB32" s="3">
        <f t="shared" ca="1" si="6"/>
        <v>92.732362965129397</v>
      </c>
      <c r="AC32" s="3">
        <f t="shared" ca="1" si="2"/>
        <v>94.77599999999984</v>
      </c>
      <c r="AD32" s="3" t="str">
        <f t="shared" si="7"/>
        <v/>
      </c>
      <c r="AH32" s="7">
        <f t="shared" ca="1" si="3"/>
        <v>6.4405925908680245E-2</v>
      </c>
      <c r="AN32" s="7" t="str">
        <f>IFERROR(INDEX('MS Stats list'!P:P, MATCH(B32,'MS Stats list'!B:B,0)),"")</f>
        <v>Statistical Office of Slovenia - Energy balance</v>
      </c>
    </row>
    <row r="33" spans="1:40">
      <c r="A33">
        <v>28</v>
      </c>
      <c r="B33" t="s">
        <v>188</v>
      </c>
      <c r="C33" t="s">
        <v>188</v>
      </c>
      <c r="D33" s="3">
        <v>11.166</v>
      </c>
      <c r="E33" s="3">
        <v>44.372999999999998</v>
      </c>
      <c r="F33" s="3">
        <v>61.069000000000003</v>
      </c>
      <c r="G33" s="3">
        <v>74.143000000000001</v>
      </c>
      <c r="H33" s="3">
        <v>84.710999999999999</v>
      </c>
      <c r="I33" s="3">
        <v>97.688000000000002</v>
      </c>
      <c r="J33" s="3">
        <v>97.659000000000006</v>
      </c>
      <c r="K33" s="3">
        <v>90.936000000000007</v>
      </c>
      <c r="L33" s="3">
        <v>99.061000000000007</v>
      </c>
      <c r="M33" s="3">
        <v>133.86500000000001</v>
      </c>
      <c r="N33" s="3">
        <v>143.90899999999999</v>
      </c>
      <c r="O33" s="3">
        <v>144.755</v>
      </c>
      <c r="P33" s="3">
        <v>149.464</v>
      </c>
      <c r="Q33" s="3">
        <v>149.91200000000001</v>
      </c>
      <c r="R33" s="3">
        <v>156.959</v>
      </c>
      <c r="S33" s="3">
        <v>155.251</v>
      </c>
      <c r="T33" s="3">
        <v>161.49299999999999</v>
      </c>
      <c r="U33" s="3">
        <v>171.34899999999999</v>
      </c>
      <c r="V33" s="3">
        <f t="shared" ca="1" si="4"/>
        <v>173.21519999999873</v>
      </c>
      <c r="W33" s="16">
        <f t="shared" ca="1" si="5"/>
        <v>3</v>
      </c>
      <c r="X33" t="str">
        <f t="shared" ca="1" si="0"/>
        <v>5yr lin trend</v>
      </c>
      <c r="Y33" s="3"/>
      <c r="Z33" s="3"/>
      <c r="AA33" s="3">
        <f t="shared" ca="1" si="1"/>
        <v>171.34899999999999</v>
      </c>
      <c r="AB33" s="3">
        <f t="shared" ca="1" si="6"/>
        <v>173.67520291933454</v>
      </c>
      <c r="AC33" s="3">
        <f t="shared" ca="1" si="2"/>
        <v>173.21519999999873</v>
      </c>
      <c r="AD33" s="3" t="str">
        <f t="shared" si="7"/>
        <v/>
      </c>
      <c r="AH33" s="7">
        <f t="shared" ca="1" si="3"/>
        <v>0.8660122602870397</v>
      </c>
      <c r="AN33" s="7" t="str">
        <f>IFERROR(INDEX('MS Stats list'!P:P, MATCH(B33,'MS Stats list'!B:B,0)),"")</f>
        <v/>
      </c>
    </row>
    <row r="34" spans="1:40">
      <c r="A34">
        <v>29</v>
      </c>
      <c r="B34" t="s">
        <v>163</v>
      </c>
      <c r="C34" t="s">
        <v>163</v>
      </c>
      <c r="D34" s="3">
        <v>68.558000000000007</v>
      </c>
      <c r="E34" s="3">
        <v>180.494</v>
      </c>
      <c r="F34" s="3">
        <v>348.721</v>
      </c>
      <c r="G34" s="3">
        <v>797.947</v>
      </c>
      <c r="H34" s="3">
        <v>987.96799999999996</v>
      </c>
      <c r="I34" s="3">
        <v>1150.6690000000001</v>
      </c>
      <c r="J34" s="3">
        <v>1062.961</v>
      </c>
      <c r="K34" s="3">
        <v>895.04399999999998</v>
      </c>
      <c r="L34" s="3">
        <v>1023.57</v>
      </c>
      <c r="M34" s="3">
        <v>1168.07</v>
      </c>
      <c r="N34" s="3">
        <v>932.83600000000001</v>
      </c>
      <c r="O34" s="3">
        <v>951.11199999999997</v>
      </c>
      <c r="P34" s="3">
        <v>921.42</v>
      </c>
      <c r="Q34" s="3">
        <v>1270.1110000000001</v>
      </c>
      <c r="R34" s="3">
        <v>1653.067</v>
      </c>
      <c r="S34" s="3">
        <v>0</v>
      </c>
      <c r="T34" s="3">
        <v>0</v>
      </c>
      <c r="U34" s="3">
        <v>0</v>
      </c>
      <c r="V34" s="3">
        <f t="shared" ca="1" si="4"/>
        <v>0</v>
      </c>
      <c r="W34" s="16">
        <f t="shared" ca="1" si="5"/>
        <v>2</v>
      </c>
      <c r="X34" t="str">
        <f t="shared" ca="1" si="0"/>
        <v>RES Proxy</v>
      </c>
      <c r="Y34" s="3"/>
      <c r="Z34" s="3"/>
      <c r="AA34" s="3">
        <f t="shared" ca="1" si="1"/>
        <v>0</v>
      </c>
      <c r="AB34" s="3">
        <f t="shared" ca="1" si="6"/>
        <v>0</v>
      </c>
      <c r="AC34" s="3">
        <f t="shared" ca="1" si="2"/>
        <v>-673.35109999997076</v>
      </c>
      <c r="AD34" s="3" t="str">
        <f t="shared" si="7"/>
        <v/>
      </c>
      <c r="AH34" s="7">
        <f t="shared" ca="1" si="3"/>
        <v>0.66685182939092791</v>
      </c>
      <c r="AN34" s="7" t="str">
        <f>IFERROR(INDEX('MS Stats list'!P:P, MATCH(B34,'MS Stats list'!B:B,0)),"")</f>
        <v>BEIS - Digest of UK Energy Statistics (DUKES)</v>
      </c>
    </row>
    <row r="35" spans="1:40">
      <c r="B35" s="40" t="s">
        <v>189</v>
      </c>
      <c r="C35" s="40" t="s">
        <v>189</v>
      </c>
      <c r="D35" s="41">
        <f>SUM(D7:D34)</f>
        <v>3208.7970000000005</v>
      </c>
      <c r="E35" s="41">
        <f t="shared" ref="E35:V35" si="8">SUM(E7:E34)</f>
        <v>5375.7769999999982</v>
      </c>
      <c r="F35" s="41">
        <f t="shared" si="8"/>
        <v>7613.2579999999998</v>
      </c>
      <c r="G35" s="41">
        <f t="shared" si="8"/>
        <v>9754.0709999999999</v>
      </c>
      <c r="H35" s="41">
        <f t="shared" si="8"/>
        <v>11573.849</v>
      </c>
      <c r="I35" s="41">
        <f t="shared" si="8"/>
        <v>13160.696999999996</v>
      </c>
      <c r="J35" s="41">
        <f t="shared" si="8"/>
        <v>13742.386</v>
      </c>
      <c r="K35" s="41">
        <f t="shared" si="8"/>
        <v>14419.437</v>
      </c>
      <c r="L35" s="41">
        <f t="shared" si="8"/>
        <v>13052.946</v>
      </c>
      <c r="M35" s="41">
        <f t="shared" si="8"/>
        <v>14175.574000000001</v>
      </c>
      <c r="N35" s="41">
        <f t="shared" si="8"/>
        <v>13936.451000000001</v>
      </c>
      <c r="O35" s="41">
        <f t="shared" si="8"/>
        <v>13636.486999999996</v>
      </c>
      <c r="P35" s="41">
        <f t="shared" si="8"/>
        <v>14754.742000000002</v>
      </c>
      <c r="Q35" s="41">
        <f t="shared" si="8"/>
        <v>16535.883999999998</v>
      </c>
      <c r="R35" s="41">
        <f t="shared" ref="R35:S35" si="9">SUM(R7:R34)</f>
        <v>17443.226999999999</v>
      </c>
      <c r="S35" s="41">
        <f t="shared" si="9"/>
        <v>15983.056999999999</v>
      </c>
      <c r="T35" s="41">
        <f t="shared" ref="T35:U35" si="10">SUM(T7:T34)</f>
        <v>16679.662999999997</v>
      </c>
      <c r="U35" s="41">
        <f t="shared" si="10"/>
        <v>17017.355999999996</v>
      </c>
      <c r="V35" s="41">
        <f t="shared" ca="1" si="8"/>
        <v>17961.126452894187</v>
      </c>
      <c r="Z35" s="3"/>
    </row>
    <row r="36" spans="1:40">
      <c r="B36" s="40" t="s">
        <v>190</v>
      </c>
      <c r="C36" s="40" t="s">
        <v>190</v>
      </c>
      <c r="D36" s="41">
        <f>SUM(D7:D33)</f>
        <v>3140.2390000000005</v>
      </c>
      <c r="E36" s="41">
        <f t="shared" ref="E36:V36" si="11">SUM(E7:E33)</f>
        <v>5195.2829999999985</v>
      </c>
      <c r="F36" s="41">
        <f t="shared" si="11"/>
        <v>7264.5369999999994</v>
      </c>
      <c r="G36" s="41">
        <f t="shared" si="11"/>
        <v>8956.1239999999998</v>
      </c>
      <c r="H36" s="41">
        <f t="shared" si="11"/>
        <v>10585.880999999999</v>
      </c>
      <c r="I36" s="41">
        <f t="shared" si="11"/>
        <v>12010.027999999997</v>
      </c>
      <c r="J36" s="41">
        <f t="shared" si="11"/>
        <v>12679.425000000001</v>
      </c>
      <c r="K36" s="41">
        <f t="shared" si="11"/>
        <v>13524.393</v>
      </c>
      <c r="L36" s="41">
        <f t="shared" si="11"/>
        <v>12029.376</v>
      </c>
      <c r="M36" s="41">
        <f t="shared" si="11"/>
        <v>13007.504000000001</v>
      </c>
      <c r="N36" s="41">
        <f t="shared" si="11"/>
        <v>13003.615000000002</v>
      </c>
      <c r="O36" s="41">
        <f t="shared" si="11"/>
        <v>12685.374999999996</v>
      </c>
      <c r="P36" s="41">
        <f t="shared" si="11"/>
        <v>13833.322000000002</v>
      </c>
      <c r="Q36" s="41">
        <f t="shared" si="11"/>
        <v>15265.772999999999</v>
      </c>
      <c r="R36" s="41">
        <f t="shared" ref="R36:S36" si="12">SUM(R7:R33)</f>
        <v>15790.16</v>
      </c>
      <c r="S36" s="41">
        <f t="shared" si="12"/>
        <v>15983.056999999999</v>
      </c>
      <c r="T36" s="41">
        <f t="shared" ref="T36:U36" si="13">SUM(T7:T33)</f>
        <v>16679.662999999997</v>
      </c>
      <c r="U36" s="41">
        <f t="shared" si="13"/>
        <v>17017.355999999996</v>
      </c>
      <c r="V36" s="41">
        <f t="shared" ca="1" si="11"/>
        <v>17961.126452894187</v>
      </c>
    </row>
    <row r="40" spans="1:40">
      <c r="A40" s="5"/>
      <c r="D40" t="s">
        <v>173</v>
      </c>
      <c r="AA40" t="str">
        <f>AA5</f>
        <v>No Change</v>
      </c>
      <c r="AB40" t="s">
        <v>220</v>
      </c>
      <c r="AC40" t="str">
        <f>AC5</f>
        <v>5yr lin trend</v>
      </c>
      <c r="AD40" t="str">
        <f>AD5</f>
        <v>Based on MS Stats</v>
      </c>
    </row>
    <row r="41" spans="1:40">
      <c r="B41" t="str">
        <f t="shared" ref="B41:M41" si="14">B6</f>
        <v>MS Code 1</v>
      </c>
      <c r="C41" t="str">
        <f t="shared" si="14"/>
        <v>MS Code 2</v>
      </c>
      <c r="D41" s="1">
        <f t="shared" si="14"/>
        <v>2005</v>
      </c>
      <c r="E41" s="1">
        <f t="shared" si="14"/>
        <v>2006</v>
      </c>
      <c r="F41" s="1">
        <f t="shared" si="14"/>
        <v>2007</v>
      </c>
      <c r="G41" s="1">
        <f t="shared" si="14"/>
        <v>2008</v>
      </c>
      <c r="H41" s="1">
        <f t="shared" si="14"/>
        <v>2009</v>
      </c>
      <c r="I41" s="1">
        <f t="shared" si="14"/>
        <v>2010</v>
      </c>
      <c r="J41" s="1">
        <f t="shared" si="14"/>
        <v>2011</v>
      </c>
      <c r="K41" s="1">
        <f t="shared" si="14"/>
        <v>2012</v>
      </c>
      <c r="L41" s="1">
        <f t="shared" si="14"/>
        <v>2013</v>
      </c>
      <c r="M41" s="1">
        <f t="shared" si="14"/>
        <v>2014</v>
      </c>
      <c r="N41" s="1">
        <f t="shared" ref="N41:S41" si="15">N6</f>
        <v>2015</v>
      </c>
      <c r="O41" s="1">
        <f t="shared" si="15"/>
        <v>2016</v>
      </c>
      <c r="P41" s="1">
        <f t="shared" si="15"/>
        <v>2017</v>
      </c>
      <c r="Q41" s="1">
        <f t="shared" si="15"/>
        <v>2018</v>
      </c>
      <c r="R41" s="1">
        <f t="shared" ref="R41" si="16">R6</f>
        <v>2019</v>
      </c>
      <c r="S41" s="1">
        <f t="shared" si="15"/>
        <v>2020</v>
      </c>
      <c r="T41" s="1">
        <f t="shared" ref="T41:U41" si="17">T6</f>
        <v>2021</v>
      </c>
      <c r="U41" s="1">
        <f t="shared" si="17"/>
        <v>2022</v>
      </c>
      <c r="V41" s="2">
        <f>YearProxy</f>
        <v>2023</v>
      </c>
      <c r="AA41" s="2">
        <f>AA6</f>
        <v>2023</v>
      </c>
      <c r="AB41" s="2">
        <f>AB6</f>
        <v>2023</v>
      </c>
      <c r="AC41" s="2">
        <f>YearProxy</f>
        <v>2023</v>
      </c>
      <c r="AD41" s="2">
        <f>YearProxy</f>
        <v>2023</v>
      </c>
    </row>
    <row r="42" spans="1:40">
      <c r="B42" t="str">
        <f t="shared" ref="B42:C69" si="18">B7</f>
        <v>AT</v>
      </c>
      <c r="C42" t="str">
        <f t="shared" si="18"/>
        <v>AT</v>
      </c>
      <c r="D42" s="3"/>
      <c r="E42" s="4">
        <f t="shared" ref="E42:M42" si="19">IFERROR(E7/D7-1,0)</f>
        <v>2.4710610496638479</v>
      </c>
      <c r="F42" s="4">
        <f t="shared" si="19"/>
        <v>0.2578207676477362</v>
      </c>
      <c r="G42" s="4">
        <f t="shared" si="19"/>
        <v>0.22698258947420724</v>
      </c>
      <c r="H42" s="4">
        <f t="shared" si="19"/>
        <v>0.29327506983522933</v>
      </c>
      <c r="I42" s="4">
        <f t="shared" si="19"/>
        <v>-3.0702981474126534E-2</v>
      </c>
      <c r="J42" s="4">
        <f t="shared" si="19"/>
        <v>4.7574833982599873E-3</v>
      </c>
      <c r="K42" s="4">
        <f t="shared" si="19"/>
        <v>-1.3694612354279934E-2</v>
      </c>
      <c r="L42" s="4">
        <f t="shared" si="19"/>
        <v>2.3072692832555974E-2</v>
      </c>
      <c r="M42" s="4">
        <f t="shared" si="19"/>
        <v>0.18853947258400394</v>
      </c>
      <c r="N42" s="4">
        <f t="shared" ref="N42:R69" si="20">IFERROR(N7/M7-1,0)</f>
        <v>9.4753610127956245E-2</v>
      </c>
      <c r="O42" s="4">
        <f t="shared" si="20"/>
        <v>-0.16838772952817527</v>
      </c>
      <c r="P42" s="4">
        <f t="shared" si="20"/>
        <v>-0.119742565076281</v>
      </c>
      <c r="Q42" s="4">
        <f t="shared" si="20"/>
        <v>3.1538310404360947E-2</v>
      </c>
      <c r="R42" s="4">
        <f t="shared" si="20"/>
        <v>-1.8378069512464568E-2</v>
      </c>
      <c r="S42" s="4">
        <f t="shared" ref="S42:S71" si="21">IFERROR(S7/R7-1,0)</f>
        <v>-0.15476630343913644</v>
      </c>
      <c r="T42" s="4">
        <f t="shared" ref="T42:T71" si="22">IFERROR(T7/S7-1,0)</f>
        <v>3.0631831902236062E-2</v>
      </c>
      <c r="U42" s="4">
        <f t="shared" ref="U42:V71" si="23">IFERROR(U7/T7-1,0)</f>
        <v>-4.476338743042374E-2</v>
      </c>
      <c r="V42" s="4">
        <f t="shared" ca="1" si="23"/>
        <v>5.1753372052867341E-3</v>
      </c>
      <c r="AA42" s="8">
        <v>0</v>
      </c>
      <c r="AB42" s="46">
        <v>5.1753372052868243E-3</v>
      </c>
      <c r="AC42" s="4">
        <f ca="1">AC7/AA7-1</f>
        <v>-8.3287194141804299E-2</v>
      </c>
      <c r="AD42" s="4"/>
    </row>
    <row r="43" spans="1:40">
      <c r="B43" t="str">
        <f t="shared" si="18"/>
        <v>BE</v>
      </c>
      <c r="C43" t="str">
        <f t="shared" si="18"/>
        <v>BE</v>
      </c>
      <c r="D43" s="3"/>
      <c r="E43" s="4">
        <f t="shared" ref="E43:M43" si="24">IFERROR(E8/D8-1,0)</f>
        <v>0</v>
      </c>
      <c r="F43" s="4">
        <f t="shared" si="24"/>
        <v>0</v>
      </c>
      <c r="G43" s="4">
        <f t="shared" si="24"/>
        <v>0</v>
      </c>
      <c r="H43" s="4">
        <f t="shared" si="24"/>
        <v>0</v>
      </c>
      <c r="I43" s="4">
        <f t="shared" si="24"/>
        <v>1.712278876170656</v>
      </c>
      <c r="J43" s="4">
        <f t="shared" si="24"/>
        <v>-3.2112027623249606E-2</v>
      </c>
      <c r="K43" s="4">
        <f t="shared" si="24"/>
        <v>-4.7339690593218853E-3</v>
      </c>
      <c r="L43" s="4">
        <f t="shared" si="24"/>
        <v>-7.4561902594446616E-3</v>
      </c>
      <c r="M43" s="4">
        <f t="shared" si="24"/>
        <v>0.20051648184718207</v>
      </c>
      <c r="N43" s="4">
        <f t="shared" si="20"/>
        <v>-0.37707199797545232</v>
      </c>
      <c r="O43" s="4">
        <f t="shared" si="20"/>
        <v>0.68891878322391253</v>
      </c>
      <c r="P43" s="4">
        <f t="shared" si="20"/>
        <v>8.3697361523676461E-2</v>
      </c>
      <c r="Q43" s="4">
        <f t="shared" si="20"/>
        <v>2.9316056404105062E-4</v>
      </c>
      <c r="R43" s="4">
        <f t="shared" si="20"/>
        <v>1.3780788538269251E-2</v>
      </c>
      <c r="S43" s="4">
        <f t="shared" si="21"/>
        <v>0.44670302326974043</v>
      </c>
      <c r="T43" s="4">
        <f t="shared" si="22"/>
        <v>0.10201611464377214</v>
      </c>
      <c r="U43" s="4">
        <f t="shared" si="23"/>
        <v>3.8976631894705127E-2</v>
      </c>
      <c r="V43" s="4">
        <f t="shared" ca="1" si="23"/>
        <v>0.15734862018194229</v>
      </c>
      <c r="AA43" s="8">
        <v>0</v>
      </c>
      <c r="AB43" s="46">
        <v>9.4210811574732239E-2</v>
      </c>
      <c r="AC43" s="4">
        <f t="shared" ref="AC43:AC69" ca="1" si="25">AC8/AA8-1</f>
        <v>0.15734862018194229</v>
      </c>
      <c r="AD43" s="4"/>
    </row>
    <row r="44" spans="1:40">
      <c r="B44" t="str">
        <f t="shared" si="18"/>
        <v>BG</v>
      </c>
      <c r="C44" t="str">
        <f t="shared" si="18"/>
        <v>BG</v>
      </c>
      <c r="D44" s="3"/>
      <c r="E44" s="4">
        <f t="shared" ref="E44:M44" si="26">IFERROR(E9/D9-1,0)</f>
        <v>0</v>
      </c>
      <c r="F44" s="4">
        <f t="shared" si="26"/>
        <v>-0.57203389830508478</v>
      </c>
      <c r="G44" s="4">
        <f t="shared" si="26"/>
        <v>0.79939733103745159</v>
      </c>
      <c r="H44" s="4">
        <f t="shared" si="26"/>
        <v>-0.10358851674641145</v>
      </c>
      <c r="I44" s="4">
        <f t="shared" si="26"/>
        <v>2.5785962103015749</v>
      </c>
      <c r="J44" s="4">
        <f t="shared" si="26"/>
        <v>0.28167648594227757</v>
      </c>
      <c r="K44" s="4">
        <f t="shared" si="26"/>
        <v>3.999883626207378</v>
      </c>
      <c r="L44" s="4">
        <f t="shared" si="26"/>
        <v>0.21335303975421271</v>
      </c>
      <c r="M44" s="4">
        <f t="shared" si="26"/>
        <v>6.1854384669243423E-2</v>
      </c>
      <c r="N44" s="4">
        <f t="shared" si="20"/>
        <v>0.32067563905699581</v>
      </c>
      <c r="O44" s="4">
        <f t="shared" si="20"/>
        <v>0.11576341203184426</v>
      </c>
      <c r="P44" s="4">
        <f t="shared" si="20"/>
        <v>1.9039095734899147E-2</v>
      </c>
      <c r="Q44" s="4">
        <f t="shared" si="20"/>
        <v>-1.5741921512956836E-2</v>
      </c>
      <c r="R44" s="4">
        <f t="shared" si="20"/>
        <v>9.659774976012514E-2</v>
      </c>
      <c r="S44" s="4">
        <f t="shared" si="21"/>
        <v>-4.1107265664621417E-2</v>
      </c>
      <c r="T44" s="4">
        <f t="shared" si="22"/>
        <v>-2.63807924118169E-2</v>
      </c>
      <c r="U44" s="4">
        <f t="shared" si="23"/>
        <v>0.13508996048185873</v>
      </c>
      <c r="V44" s="4">
        <f t="shared" ca="1" si="23"/>
        <v>-1.1292222742322888E-2</v>
      </c>
      <c r="AA44" s="8">
        <v>0</v>
      </c>
      <c r="AB44" s="46">
        <v>-1.1292222742322843E-2</v>
      </c>
      <c r="AC44" s="4">
        <f t="shared" ca="1" si="25"/>
        <v>-1.7109304331359043E-2</v>
      </c>
      <c r="AD44" s="4"/>
    </row>
    <row r="45" spans="1:40">
      <c r="B45" t="str">
        <f t="shared" si="18"/>
        <v>CY</v>
      </c>
      <c r="C45" t="str">
        <f t="shared" si="18"/>
        <v>CY</v>
      </c>
      <c r="D45" s="3"/>
      <c r="E45" s="4">
        <f t="shared" ref="E45:M45" si="27">IFERROR(E10/D10-1,0)</f>
        <v>0</v>
      </c>
      <c r="F45" s="4">
        <f t="shared" si="27"/>
        <v>0</v>
      </c>
      <c r="G45" s="4">
        <f t="shared" si="27"/>
        <v>14.995475113122172</v>
      </c>
      <c r="H45" s="4">
        <f t="shared" si="27"/>
        <v>6.2446958981612344E-2</v>
      </c>
      <c r="I45" s="4">
        <f t="shared" si="27"/>
        <v>0</v>
      </c>
      <c r="J45" s="4">
        <f t="shared" si="27"/>
        <v>5.8843107235572178E-2</v>
      </c>
      <c r="K45" s="4">
        <f t="shared" si="27"/>
        <v>0</v>
      </c>
      <c r="L45" s="4">
        <f t="shared" si="27"/>
        <v>-5.5573018168102117E-2</v>
      </c>
      <c r="M45" s="4">
        <f t="shared" si="27"/>
        <v>-0.35292551421154228</v>
      </c>
      <c r="N45" s="4">
        <f t="shared" si="20"/>
        <v>0</v>
      </c>
      <c r="O45" s="4">
        <f t="shared" si="20"/>
        <v>-9.0937146384116874E-2</v>
      </c>
      <c r="P45" s="4">
        <f t="shared" si="20"/>
        <v>-3.0213873486477305E-2</v>
      </c>
      <c r="Q45" s="4">
        <f t="shared" si="20"/>
        <v>4.4340723453908826E-2</v>
      </c>
      <c r="R45" s="4">
        <f t="shared" si="20"/>
        <v>0.19988826815642469</v>
      </c>
      <c r="S45" s="4">
        <f t="shared" si="21"/>
        <v>1.3035664400782192</v>
      </c>
      <c r="T45" s="4">
        <f t="shared" si="22"/>
        <v>-1.4916323065728876E-2</v>
      </c>
      <c r="U45" s="4">
        <f t="shared" si="23"/>
        <v>-4.4975173376010535E-2</v>
      </c>
      <c r="V45" s="4">
        <f t="shared" ca="1" si="23"/>
        <v>-7.8437855909474941E-2</v>
      </c>
      <c r="AA45" s="8">
        <v>0</v>
      </c>
      <c r="AB45" s="46">
        <v>-7.8437855909474968E-2</v>
      </c>
      <c r="AC45" s="4">
        <f t="shared" ca="1" si="25"/>
        <v>0.33616637305027042</v>
      </c>
      <c r="AD45" s="4"/>
    </row>
    <row r="46" spans="1:40">
      <c r="B46" t="str">
        <f t="shared" si="18"/>
        <v>CZ</v>
      </c>
      <c r="C46" t="str">
        <f t="shared" si="18"/>
        <v>CZ</v>
      </c>
      <c r="D46" s="3"/>
      <c r="E46" s="4">
        <f t="shared" ref="E46:M46" si="28">IFERROR(E11/D11-1,0)</f>
        <v>5.8204451150509247</v>
      </c>
      <c r="F46" s="4">
        <f t="shared" si="28"/>
        <v>0.66179967922128213</v>
      </c>
      <c r="G46" s="4">
        <f t="shared" si="28"/>
        <v>2.6589676173994077</v>
      </c>
      <c r="H46" s="4">
        <f t="shared" si="28"/>
        <v>0.77166844034527604</v>
      </c>
      <c r="I46" s="4">
        <f t="shared" si="28"/>
        <v>0.18724811196278868</v>
      </c>
      <c r="J46" s="4">
        <f t="shared" si="28"/>
        <v>0.29776736100600654</v>
      </c>
      <c r="K46" s="4">
        <f t="shared" si="28"/>
        <v>-8.2769651127919897E-2</v>
      </c>
      <c r="L46" s="4">
        <f t="shared" si="28"/>
        <v>6.680713481309164E-3</v>
      </c>
      <c r="M46" s="4">
        <f t="shared" si="28"/>
        <v>0.14307727284209482</v>
      </c>
      <c r="N46" s="4">
        <f t="shared" si="20"/>
        <v>-6.3941759771686257E-2</v>
      </c>
      <c r="O46" s="4">
        <f t="shared" si="20"/>
        <v>1.554790339389478E-2</v>
      </c>
      <c r="P46" s="4">
        <f t="shared" si="20"/>
        <v>4.2279808576846545E-2</v>
      </c>
      <c r="Q46" s="4">
        <f t="shared" si="20"/>
        <v>-1.6364818189928632E-2</v>
      </c>
      <c r="R46" s="4">
        <f t="shared" si="20"/>
        <v>0.10266983686849707</v>
      </c>
      <c r="S46" s="4">
        <f t="shared" si="21"/>
        <v>9.7552019224272479E-2</v>
      </c>
      <c r="T46" s="4">
        <f t="shared" si="22"/>
        <v>-3.2111024865501547E-2</v>
      </c>
      <c r="U46" s="4">
        <f t="shared" si="23"/>
        <v>1.4075821389165633E-3</v>
      </c>
      <c r="V46" s="4">
        <f t="shared" ca="1" si="23"/>
        <v>-6.0749658228733461E-2</v>
      </c>
      <c r="AA46" s="8">
        <v>0</v>
      </c>
      <c r="AB46" s="46">
        <v>-6.0749658228733551E-2</v>
      </c>
      <c r="AC46" s="4">
        <f t="shared" ca="1" si="25"/>
        <v>7.0640833752152243E-2</v>
      </c>
      <c r="AD46" s="4"/>
    </row>
    <row r="47" spans="1:40">
      <c r="B47" t="str">
        <f t="shared" si="18"/>
        <v>DE</v>
      </c>
      <c r="C47" t="str">
        <f t="shared" si="18"/>
        <v>DE</v>
      </c>
      <c r="D47" s="3"/>
      <c r="E47" s="4">
        <f t="shared" ref="E47:M47" si="29">IFERROR(E12/D12-1,0)</f>
        <v>0.83177260660093388</v>
      </c>
      <c r="F47" s="4">
        <f t="shared" si="29"/>
        <v>0.13358863833872392</v>
      </c>
      <c r="G47" s="4">
        <f t="shared" si="29"/>
        <v>-0.22963220695100639</v>
      </c>
      <c r="H47" s="4">
        <f t="shared" si="29"/>
        <v>-9.9230546225139493E-2</v>
      </c>
      <c r="I47" s="4">
        <f t="shared" si="29"/>
        <v>9.9390094049993216E-2</v>
      </c>
      <c r="J47" s="4">
        <f t="shared" si="29"/>
        <v>-3.2494664964622721E-2</v>
      </c>
      <c r="K47" s="4">
        <f t="shared" si="29"/>
        <v>5.4565990713724144E-2</v>
      </c>
      <c r="L47" s="4">
        <f t="shared" si="29"/>
        <v>-8.543614113937914E-2</v>
      </c>
      <c r="M47" s="4">
        <f t="shared" si="29"/>
        <v>2.9057616086579863E-2</v>
      </c>
      <c r="N47" s="4">
        <f t="shared" si="20"/>
        <v>-7.5491042229361538E-2</v>
      </c>
      <c r="O47" s="4">
        <f t="shared" si="20"/>
        <v>2.5484509721378501E-3</v>
      </c>
      <c r="P47" s="4">
        <f t="shared" si="20"/>
        <v>1.2416709369841072E-2</v>
      </c>
      <c r="Q47" s="4">
        <f t="shared" si="20"/>
        <v>3.5156150991914492E-2</v>
      </c>
      <c r="R47" s="4">
        <f t="shared" si="20"/>
        <v>-6.1320742467350087E-3</v>
      </c>
      <c r="S47" s="4">
        <f t="shared" si="21"/>
        <v>0.24982661246673166</v>
      </c>
      <c r="T47" s="4">
        <f t="shared" si="22"/>
        <v>-0.13766901376481078</v>
      </c>
      <c r="U47" s="4">
        <f t="shared" si="23"/>
        <v>1.8588313364259701E-2</v>
      </c>
      <c r="V47" s="4">
        <f t="shared" ca="1" si="23"/>
        <v>4.7500000000000098E-2</v>
      </c>
      <c r="AA47" s="8">
        <v>0</v>
      </c>
      <c r="AB47" s="46">
        <v>5.0665390222367046E-2</v>
      </c>
      <c r="AC47" s="4">
        <f t="shared" ca="1" si="25"/>
        <v>6.0867170265023418E-2</v>
      </c>
      <c r="AD47" s="4">
        <v>4.7500000000000001E-2</v>
      </c>
      <c r="AE47" s="4"/>
    </row>
    <row r="48" spans="1:40">
      <c r="B48" t="str">
        <f t="shared" si="18"/>
        <v>DK</v>
      </c>
      <c r="C48" t="str">
        <f t="shared" si="18"/>
        <v>DK</v>
      </c>
      <c r="D48" s="3"/>
      <c r="E48" s="4">
        <f t="shared" ref="E48:M48" si="30">IFERROR(E13/D13-1,0)</f>
        <v>0</v>
      </c>
      <c r="F48" s="4">
        <f t="shared" si="30"/>
        <v>0.5</v>
      </c>
      <c r="G48" s="4">
        <f t="shared" si="30"/>
        <v>-0.11099494685485267</v>
      </c>
      <c r="H48" s="4">
        <f t="shared" si="30"/>
        <v>0.70207761662093282</v>
      </c>
      <c r="I48" s="4">
        <f t="shared" si="30"/>
        <v>2.0842929525564258</v>
      </c>
      <c r="J48" s="4">
        <f t="shared" si="30"/>
        <v>3.8719011350059738</v>
      </c>
      <c r="K48" s="4">
        <f t="shared" si="30"/>
        <v>0.58041674010836153</v>
      </c>
      <c r="L48" s="4">
        <f t="shared" si="30"/>
        <v>8.7524911868959165E-3</v>
      </c>
      <c r="M48" s="4">
        <f t="shared" si="30"/>
        <v>2.5548954007075908E-2</v>
      </c>
      <c r="N48" s="4">
        <f t="shared" si="20"/>
        <v>4.3872189437863529E-3</v>
      </c>
      <c r="O48" s="4">
        <f t="shared" si="20"/>
        <v>1.4854188153049952E-2</v>
      </c>
      <c r="P48" s="4">
        <f t="shared" si="20"/>
        <v>-7.7989202909880539E-3</v>
      </c>
      <c r="Q48" s="4">
        <f t="shared" si="20"/>
        <v>-8.6063864299948944E-3</v>
      </c>
      <c r="R48" s="4">
        <f t="shared" si="20"/>
        <v>6.1917695511726656E-2</v>
      </c>
      <c r="S48" s="4">
        <f t="shared" si="21"/>
        <v>0.10704443603130853</v>
      </c>
      <c r="T48" s="4">
        <f t="shared" si="22"/>
        <v>2.0511066750439566E-2</v>
      </c>
      <c r="U48" s="4">
        <f t="shared" si="23"/>
        <v>-8.9610804576202518E-2</v>
      </c>
      <c r="V48" s="4">
        <f t="shared" ca="1" si="23"/>
        <v>2.1486583079850519E-2</v>
      </c>
      <c r="AA48" s="8">
        <v>0</v>
      </c>
      <c r="AB48" s="46">
        <v>2.1486583079850581E-2</v>
      </c>
      <c r="AC48" s="4">
        <f t="shared" ca="1" si="25"/>
        <v>0.10102424722323633</v>
      </c>
      <c r="AD48" s="4"/>
    </row>
    <row r="49" spans="2:30">
      <c r="B49" t="str">
        <f t="shared" si="18"/>
        <v>EE</v>
      </c>
      <c r="C49" t="str">
        <f t="shared" si="18"/>
        <v>EE</v>
      </c>
      <c r="D49" s="3"/>
      <c r="E49" s="4">
        <f t="shared" ref="E49:M49" si="31">IFERROR(E14/D14-1,0)</f>
        <v>6.2322580645161292</v>
      </c>
      <c r="F49" s="4">
        <f t="shared" si="31"/>
        <v>-0.53969669937555753</v>
      </c>
      <c r="G49" s="4">
        <f t="shared" si="31"/>
        <v>7.0542635658914712</v>
      </c>
      <c r="H49" s="4">
        <f t="shared" si="31"/>
        <v>-0.57627526467757462</v>
      </c>
      <c r="I49" s="4">
        <f t="shared" si="31"/>
        <v>3.3946621237932995</v>
      </c>
      <c r="J49" s="4">
        <f t="shared" si="31"/>
        <v>-0.41891717276133866</v>
      </c>
      <c r="K49" s="4">
        <f t="shared" si="31"/>
        <v>-0.14587502779630857</v>
      </c>
      <c r="L49" s="4">
        <f t="shared" si="31"/>
        <v>-0.16662327518875297</v>
      </c>
      <c r="M49" s="4">
        <f t="shared" si="31"/>
        <v>0.59981255857544524</v>
      </c>
      <c r="N49" s="4">
        <f t="shared" si="20"/>
        <v>-0.50009763718023825</v>
      </c>
      <c r="O49" s="4">
        <f t="shared" si="20"/>
        <v>-0.25</v>
      </c>
      <c r="P49" s="4">
        <f t="shared" si="20"/>
        <v>0.28697916666666679</v>
      </c>
      <c r="Q49" s="4">
        <f t="shared" si="20"/>
        <v>6.5592877377579919</v>
      </c>
      <c r="R49" s="4">
        <f t="shared" si="20"/>
        <v>0.60035333797312496</v>
      </c>
      <c r="S49" s="4">
        <f t="shared" si="21"/>
        <v>0.40491084869367411</v>
      </c>
      <c r="T49" s="4">
        <f t="shared" si="22"/>
        <v>0.20022858775626817</v>
      </c>
      <c r="U49" s="4">
        <f t="shared" si="23"/>
        <v>-0.34339165972304875</v>
      </c>
      <c r="V49" s="4">
        <f t="shared" ca="1" si="23"/>
        <v>0.46880489823656357</v>
      </c>
      <c r="AA49" s="8">
        <v>0</v>
      </c>
      <c r="AB49" s="46">
        <v>0.46880489823656363</v>
      </c>
      <c r="AC49" s="4">
        <f t="shared" ca="1" si="25"/>
        <v>0.49920234462337643</v>
      </c>
      <c r="AD49" s="4"/>
    </row>
    <row r="50" spans="2:30">
      <c r="B50" t="str">
        <f t="shared" si="18"/>
        <v>ES</v>
      </c>
      <c r="C50" t="str">
        <f t="shared" si="18"/>
        <v>ES</v>
      </c>
      <c r="D50" s="3"/>
      <c r="E50" s="4">
        <f t="shared" ref="E50:M50" si="32">IFERROR(E15/D15-1,0)</f>
        <v>-0.33922434577615179</v>
      </c>
      <c r="F50" s="4">
        <f t="shared" si="32"/>
        <v>1.2551748502855289</v>
      </c>
      <c r="G50" s="4">
        <f t="shared" si="32"/>
        <v>0.61021410796054276</v>
      </c>
      <c r="H50" s="4">
        <f t="shared" si="32"/>
        <v>0.73167355141230317</v>
      </c>
      <c r="I50" s="4">
        <f t="shared" si="32"/>
        <v>0.33827281250978603</v>
      </c>
      <c r="J50" s="4">
        <f t="shared" si="32"/>
        <v>0.19900359183190308</v>
      </c>
      <c r="K50" s="4">
        <f t="shared" si="32"/>
        <v>0.23524904214559395</v>
      </c>
      <c r="L50" s="4">
        <f t="shared" si="32"/>
        <v>-0.57777204672819016</v>
      </c>
      <c r="M50" s="4">
        <f t="shared" si="32"/>
        <v>7.6076082685939239E-2</v>
      </c>
      <c r="N50" s="4">
        <f t="shared" si="20"/>
        <v>7.620409319583743E-3</v>
      </c>
      <c r="O50" s="4">
        <f t="shared" si="20"/>
        <v>0.13844319035342356</v>
      </c>
      <c r="P50" s="4">
        <f t="shared" si="20"/>
        <v>0.14997276253837089</v>
      </c>
      <c r="Q50" s="4">
        <f t="shared" si="20"/>
        <v>0.30395812158045765</v>
      </c>
      <c r="R50" s="4">
        <f t="shared" si="20"/>
        <v>-3.0257158197092293E-2</v>
      </c>
      <c r="S50" s="4">
        <f t="shared" si="21"/>
        <v>-0.14011578215493126</v>
      </c>
      <c r="T50" s="4">
        <f t="shared" si="22"/>
        <v>-8.3139270399423815E-4</v>
      </c>
      <c r="U50" s="4">
        <f t="shared" si="23"/>
        <v>-1.9943623777920472E-2</v>
      </c>
      <c r="V50" s="4">
        <f t="shared" ca="1" si="23"/>
        <v>-9.4207388777686418E-2</v>
      </c>
      <c r="AA50" s="8">
        <v>0</v>
      </c>
      <c r="AB50" s="46">
        <v>0.35790305619382862</v>
      </c>
      <c r="AC50" s="4">
        <f t="shared" ca="1" si="25"/>
        <v>-9.4207388777686418E-2</v>
      </c>
      <c r="AD50" s="4"/>
    </row>
    <row r="51" spans="2:30">
      <c r="B51" t="str">
        <f t="shared" si="18"/>
        <v>FI</v>
      </c>
      <c r="C51" t="str">
        <f t="shared" si="18"/>
        <v>FI</v>
      </c>
      <c r="D51" s="3"/>
      <c r="E51" s="4">
        <f t="shared" ref="E51:M51" si="33">IFERROR(E16/D16-1,0)</f>
        <v>0</v>
      </c>
      <c r="F51" s="4">
        <f t="shared" si="33"/>
        <v>0.99855699855699864</v>
      </c>
      <c r="G51" s="4">
        <f t="shared" si="33"/>
        <v>51.173285198555959</v>
      </c>
      <c r="H51" s="4">
        <f t="shared" si="33"/>
        <v>0.82971215056739545</v>
      </c>
      <c r="I51" s="4">
        <f t="shared" si="33"/>
        <v>6.0817607684453323E-2</v>
      </c>
      <c r="J51" s="4">
        <f t="shared" si="33"/>
        <v>0.40694159251654116</v>
      </c>
      <c r="K51" s="4">
        <f t="shared" si="33"/>
        <v>-1.5141994202663489E-2</v>
      </c>
      <c r="L51" s="4">
        <f t="shared" si="33"/>
        <v>0.14398180545836259</v>
      </c>
      <c r="M51" s="4">
        <f t="shared" si="33"/>
        <v>1.232554896863165</v>
      </c>
      <c r="N51" s="4">
        <f t="shared" si="20"/>
        <v>-6.6484673268130123E-4</v>
      </c>
      <c r="O51" s="4">
        <f t="shared" si="20"/>
        <v>-0.64381432387480464</v>
      </c>
      <c r="P51" s="4">
        <f t="shared" si="20"/>
        <v>1.2140742711275379</v>
      </c>
      <c r="Q51" s="4">
        <f t="shared" si="20"/>
        <v>-6.2230300427428942E-2</v>
      </c>
      <c r="R51" s="4">
        <f t="shared" si="20"/>
        <v>0.17009102234531781</v>
      </c>
      <c r="S51" s="4">
        <f t="shared" si="21"/>
        <v>-7.0312281584612335E-2</v>
      </c>
      <c r="T51" s="4">
        <f t="shared" si="22"/>
        <v>0.69457057797558197</v>
      </c>
      <c r="U51" s="4">
        <f t="shared" si="23"/>
        <v>-0.16651360883742605</v>
      </c>
      <c r="V51" s="4">
        <f t="shared" ca="1" si="23"/>
        <v>2.0124425696523174E-2</v>
      </c>
      <c r="AA51" s="8">
        <v>0</v>
      </c>
      <c r="AB51" s="46">
        <v>2.0124425696523091E-2</v>
      </c>
      <c r="AC51" s="4">
        <f t="shared" ca="1" si="25"/>
        <v>0.20499400300912374</v>
      </c>
      <c r="AD51" s="4"/>
    </row>
    <row r="52" spans="2:30">
      <c r="B52" t="str">
        <f t="shared" si="18"/>
        <v>FR</v>
      </c>
      <c r="C52" t="str">
        <f t="shared" si="18"/>
        <v>FR</v>
      </c>
      <c r="D52" s="3"/>
      <c r="E52" s="4">
        <f t="shared" ref="E52:M52" si="34">IFERROR(E17/D17-1,0)</f>
        <v>0.21026661605851404</v>
      </c>
      <c r="F52" s="4">
        <f t="shared" si="34"/>
        <v>1.0154859380562478</v>
      </c>
      <c r="G52" s="4">
        <f t="shared" si="34"/>
        <v>0.60865859488132745</v>
      </c>
      <c r="H52" s="4">
        <f t="shared" si="34"/>
        <v>7.2900608696031099E-2</v>
      </c>
      <c r="I52" s="4">
        <f t="shared" si="34"/>
        <v>-1.7392102443893775E-2</v>
      </c>
      <c r="J52" s="4">
        <f t="shared" si="34"/>
        <v>5.4745581420723166E-3</v>
      </c>
      <c r="K52" s="4">
        <f t="shared" si="34"/>
        <v>0.10100863119974424</v>
      </c>
      <c r="L52" s="4">
        <f t="shared" si="34"/>
        <v>3.6628217802561203E-3</v>
      </c>
      <c r="M52" s="4">
        <f t="shared" si="34"/>
        <v>9.9014375748368799E-2</v>
      </c>
      <c r="N52" s="4">
        <f t="shared" si="20"/>
        <v>1.3505015345915972E-2</v>
      </c>
      <c r="O52" s="4">
        <f t="shared" si="20"/>
        <v>-1.1047166525348651E-3</v>
      </c>
      <c r="P52" s="4">
        <f t="shared" si="20"/>
        <v>4.7121400810731684E-2</v>
      </c>
      <c r="Q52" s="4">
        <f t="shared" si="20"/>
        <v>3.4897037774705986E-4</v>
      </c>
      <c r="R52" s="4">
        <f t="shared" si="20"/>
        <v>8.2118267668080946E-3</v>
      </c>
      <c r="S52" s="4">
        <f t="shared" si="21"/>
        <v>-0.16752514251036676</v>
      </c>
      <c r="T52" s="4">
        <f t="shared" si="22"/>
        <v>9.7003117086784441E-2</v>
      </c>
      <c r="U52" s="4">
        <f t="shared" si="23"/>
        <v>6.6637825725841759E-2</v>
      </c>
      <c r="V52" s="4">
        <f t="shared" ca="1" si="23"/>
        <v>4.85957888964903E-2</v>
      </c>
      <c r="AA52" s="8">
        <v>0</v>
      </c>
      <c r="AB52" s="46">
        <v>-3.1853691040190146E-2</v>
      </c>
      <c r="AC52" s="4">
        <f t="shared" ca="1" si="25"/>
        <v>-7.027111260750174E-2</v>
      </c>
      <c r="AD52" s="4">
        <v>4.85957888964903E-2</v>
      </c>
    </row>
    <row r="53" spans="2:30">
      <c r="B53" t="str">
        <f t="shared" si="18"/>
        <v>EL</v>
      </c>
      <c r="C53" t="str">
        <f t="shared" si="18"/>
        <v>GR</v>
      </c>
      <c r="D53" s="3"/>
      <c r="E53" s="4">
        <f t="shared" ref="E53:M53" si="35">IFERROR(E18/D18-1,0)</f>
        <v>0</v>
      </c>
      <c r="F53" s="4">
        <f t="shared" si="35"/>
        <v>0.84315509207898809</v>
      </c>
      <c r="G53" s="4">
        <f t="shared" si="35"/>
        <v>-0.19149883834310411</v>
      </c>
      <c r="H53" s="4">
        <f t="shared" si="35"/>
        <v>0.13159031014100031</v>
      </c>
      <c r="I53" s="4">
        <f t="shared" si="35"/>
        <v>0.63953105880185768</v>
      </c>
      <c r="J53" s="4">
        <f t="shared" si="35"/>
        <v>-0.17021652247885333</v>
      </c>
      <c r="K53" s="4">
        <f t="shared" si="35"/>
        <v>0</v>
      </c>
      <c r="L53" s="4">
        <f t="shared" si="35"/>
        <v>0.17312081705288418</v>
      </c>
      <c r="M53" s="4">
        <f t="shared" si="35"/>
        <v>0.10869278459306142</v>
      </c>
      <c r="N53" s="4">
        <f t="shared" si="20"/>
        <v>5.2282867340868622E-2</v>
      </c>
      <c r="O53" s="4">
        <f t="shared" si="20"/>
        <v>5.5903781331486657E-2</v>
      </c>
      <c r="P53" s="4">
        <f t="shared" si="20"/>
        <v>0.10968933624232058</v>
      </c>
      <c r="Q53" s="4">
        <f t="shared" si="20"/>
        <v>-4.2379321158902972E-2</v>
      </c>
      <c r="R53" s="4">
        <f t="shared" si="20"/>
        <v>0.17210063922914642</v>
      </c>
      <c r="S53" s="4">
        <f t="shared" si="21"/>
        <v>7.2107118294360451E-2</v>
      </c>
      <c r="T53" s="4">
        <f t="shared" si="22"/>
        <v>8.5159272698113631E-2</v>
      </c>
      <c r="U53" s="4">
        <f t="shared" si="23"/>
        <v>0</v>
      </c>
      <c r="V53" s="4">
        <f t="shared" ca="1" si="23"/>
        <v>0.10501561027876649</v>
      </c>
      <c r="AA53" s="8">
        <v>0</v>
      </c>
      <c r="AB53" s="46">
        <v>9.6756692739370806E-2</v>
      </c>
      <c r="AC53" s="4">
        <f t="shared" ca="1" si="25"/>
        <v>0.10501561027876649</v>
      </c>
      <c r="AD53" s="4"/>
    </row>
    <row r="54" spans="2:30">
      <c r="B54" t="str">
        <f t="shared" si="18"/>
        <v>HR</v>
      </c>
      <c r="C54" t="str">
        <f t="shared" si="18"/>
        <v>HR</v>
      </c>
      <c r="D54" s="3"/>
      <c r="E54" s="4">
        <f t="shared" ref="E54:M54" si="36">IFERROR(E19/D19-1,0)</f>
        <v>0</v>
      </c>
      <c r="F54" s="4">
        <f t="shared" si="36"/>
        <v>0</v>
      </c>
      <c r="G54" s="4">
        <f t="shared" si="36"/>
        <v>0.33345907204828373</v>
      </c>
      <c r="H54" s="4">
        <f t="shared" si="36"/>
        <v>1.2166902404526168</v>
      </c>
      <c r="I54" s="4">
        <f t="shared" si="36"/>
        <v>-0.66258295048494131</v>
      </c>
      <c r="J54" s="4">
        <f t="shared" si="36"/>
        <v>0.49016641452344922</v>
      </c>
      <c r="K54" s="4">
        <f t="shared" si="36"/>
        <v>8.3756345177664961</v>
      </c>
      <c r="L54" s="4">
        <f t="shared" si="36"/>
        <v>-0.11386031402273944</v>
      </c>
      <c r="M54" s="4">
        <f t="shared" si="36"/>
        <v>-8.8867843832101223E-2</v>
      </c>
      <c r="N54" s="4">
        <f t="shared" si="20"/>
        <v>-0.18571668063704938</v>
      </c>
      <c r="O54" s="4">
        <f t="shared" si="20"/>
        <v>-0.96487688380136705</v>
      </c>
      <c r="P54" s="4">
        <f t="shared" si="20"/>
        <v>-0.30480656506447834</v>
      </c>
      <c r="Q54" s="4">
        <f t="shared" si="20"/>
        <v>44.537942664418217</v>
      </c>
      <c r="R54" s="4">
        <f t="shared" si="20"/>
        <v>1.3175085172567025</v>
      </c>
      <c r="S54" s="4">
        <f t="shared" si="21"/>
        <v>4.7489693522098975E-2</v>
      </c>
      <c r="T54" s="4">
        <f t="shared" si="22"/>
        <v>0.39111267047014664</v>
      </c>
      <c r="U54" s="4">
        <f t="shared" si="23"/>
        <v>-0.76970820128737949</v>
      </c>
      <c r="V54" s="4">
        <f t="shared" ca="1" si="23"/>
        <v>-0.60858590365885279</v>
      </c>
      <c r="AA54" s="8">
        <v>0</v>
      </c>
      <c r="AB54" s="46">
        <v>-0.60858590365885279</v>
      </c>
      <c r="AC54" s="4">
        <f t="shared" ca="1" si="25"/>
        <v>1.7831198514356683</v>
      </c>
      <c r="AD54" s="4"/>
    </row>
    <row r="55" spans="2:30">
      <c r="B55" t="str">
        <f t="shared" si="18"/>
        <v>HU</v>
      </c>
      <c r="C55" t="str">
        <f t="shared" si="18"/>
        <v>HU</v>
      </c>
      <c r="D55" s="3"/>
      <c r="E55" s="4">
        <f t="shared" ref="E55:M55" si="37">IFERROR(E20/D20-1,0)</f>
        <v>3.2507812500000002</v>
      </c>
      <c r="F55" s="4">
        <f t="shared" si="37"/>
        <v>1.6329718801690869</v>
      </c>
      <c r="G55" s="4">
        <f t="shared" si="37"/>
        <v>4.7450788775652661</v>
      </c>
      <c r="H55" s="4">
        <f t="shared" si="37"/>
        <v>2.7204024105754288E-2</v>
      </c>
      <c r="I55" s="4">
        <f t="shared" si="37"/>
        <v>3.3633772163277786E-2</v>
      </c>
      <c r="J55" s="4">
        <f t="shared" si="37"/>
        <v>-8.7776716083147854E-2</v>
      </c>
      <c r="K55" s="4">
        <f t="shared" si="37"/>
        <v>-3.5143509458577804E-2</v>
      </c>
      <c r="L55" s="4">
        <f t="shared" si="37"/>
        <v>-0.11057082864739431</v>
      </c>
      <c r="M55" s="4">
        <f t="shared" si="37"/>
        <v>0.37726209618476836</v>
      </c>
      <c r="N55" s="4">
        <f t="shared" si="20"/>
        <v>-7.0633686590213185E-2</v>
      </c>
      <c r="O55" s="4">
        <f t="shared" si="20"/>
        <v>6.8624483945936454E-2</v>
      </c>
      <c r="P55" s="4">
        <f t="shared" si="20"/>
        <v>-0.12242913249084941</v>
      </c>
      <c r="Q55" s="4">
        <f t="shared" si="20"/>
        <v>0.17660884231549079</v>
      </c>
      <c r="R55" s="4">
        <f t="shared" si="20"/>
        <v>4.7858081743756387E-2</v>
      </c>
      <c r="S55" s="4">
        <f t="shared" si="21"/>
        <v>0.37846567170075973</v>
      </c>
      <c r="T55" s="4">
        <f t="shared" si="22"/>
        <v>2.1008885067354433E-2</v>
      </c>
      <c r="U55" s="4">
        <f t="shared" si="23"/>
        <v>6.7719591275299695E-2</v>
      </c>
      <c r="V55" s="4">
        <f t="shared" ca="1" si="23"/>
        <v>0.13117919831210867</v>
      </c>
      <c r="AA55" s="8">
        <v>0</v>
      </c>
      <c r="AB55" s="46">
        <v>3.3134217342306836E-2</v>
      </c>
      <c r="AC55" s="4">
        <f t="shared" ca="1" si="25"/>
        <v>0.13117919831210867</v>
      </c>
      <c r="AD55" s="4"/>
    </row>
    <row r="56" spans="2:30">
      <c r="B56" t="str">
        <f t="shared" si="18"/>
        <v>IE</v>
      </c>
      <c r="C56" t="str">
        <f t="shared" si="18"/>
        <v>IE</v>
      </c>
      <c r="D56" s="3"/>
      <c r="E56" s="4">
        <f t="shared" ref="E56:M56" si="38">IFERROR(E21/D21-1,0)</f>
        <v>1.4577205882352939</v>
      </c>
      <c r="F56" s="4">
        <f t="shared" si="38"/>
        <v>7.0646970830216915</v>
      </c>
      <c r="G56" s="4">
        <f t="shared" si="38"/>
        <v>1.590030141432877</v>
      </c>
      <c r="H56" s="4">
        <f t="shared" si="38"/>
        <v>0.38681204569055039</v>
      </c>
      <c r="I56" s="4">
        <f t="shared" si="38"/>
        <v>0.19614247537406881</v>
      </c>
      <c r="J56" s="4">
        <f t="shared" si="38"/>
        <v>-7.1666019082157195E-3</v>
      </c>
      <c r="K56" s="4">
        <f t="shared" si="38"/>
        <v>-7.6531721528895091E-2</v>
      </c>
      <c r="L56" s="4">
        <f t="shared" si="38"/>
        <v>0.1941658426331403</v>
      </c>
      <c r="M56" s="4">
        <f t="shared" si="38"/>
        <v>0.1278661698310366</v>
      </c>
      <c r="N56" s="4">
        <f t="shared" si="20"/>
        <v>7.0385358307185397E-2</v>
      </c>
      <c r="O56" s="4">
        <f t="shared" si="20"/>
        <v>-8.1083729361618673E-2</v>
      </c>
      <c r="P56" s="4">
        <f t="shared" si="20"/>
        <v>0.42811189308310227</v>
      </c>
      <c r="Q56" s="4">
        <f t="shared" si="20"/>
        <v>-3.9847181950545707E-2</v>
      </c>
      <c r="R56" s="4">
        <f t="shared" si="20"/>
        <v>0.21945434514937467</v>
      </c>
      <c r="S56" s="4">
        <f t="shared" si="21"/>
        <v>-7.2268219839085157E-2</v>
      </c>
      <c r="T56" s="4">
        <f t="shared" si="22"/>
        <v>2.2047830445367511E-2</v>
      </c>
      <c r="U56" s="4">
        <f t="shared" si="23"/>
        <v>0.25457898040622329</v>
      </c>
      <c r="V56" s="4">
        <f t="shared" ca="1" si="23"/>
        <v>0.34486641039415611</v>
      </c>
      <c r="AA56" s="8">
        <v>0</v>
      </c>
      <c r="AB56" s="46">
        <v>0.344866410394156</v>
      </c>
      <c r="AC56" s="4">
        <f t="shared" ca="1" si="25"/>
        <v>-5.2884336176091118E-3</v>
      </c>
      <c r="AD56" s="4"/>
    </row>
    <row r="57" spans="2:30">
      <c r="B57" t="str">
        <f t="shared" si="18"/>
        <v>IT</v>
      </c>
      <c r="C57" t="str">
        <f t="shared" si="18"/>
        <v>IT</v>
      </c>
      <c r="D57" s="3"/>
      <c r="E57" s="4">
        <f t="shared" ref="E57:M57" si="39">IFERROR(E22/D22-1,0)</f>
        <v>-0.10000226313466787</v>
      </c>
      <c r="F57" s="4">
        <f t="shared" si="39"/>
        <v>-0.12222215237221123</v>
      </c>
      <c r="G57" s="4">
        <f t="shared" si="39"/>
        <v>4.2201620007305074</v>
      </c>
      <c r="H57" s="4">
        <f t="shared" si="39"/>
        <v>0.57020713801609579</v>
      </c>
      <c r="I57" s="4">
        <f t="shared" si="39"/>
        <v>0.24021102628042601</v>
      </c>
      <c r="J57" s="4">
        <f t="shared" si="39"/>
        <v>-1.2978503956534548E-2</v>
      </c>
      <c r="K57" s="4">
        <f t="shared" si="39"/>
        <v>-2.3587403872371349E-2</v>
      </c>
      <c r="L57" s="4">
        <f t="shared" si="39"/>
        <v>-8.4507104029661662E-2</v>
      </c>
      <c r="M57" s="4">
        <f t="shared" si="39"/>
        <v>-0.14944336824891358</v>
      </c>
      <c r="N57" s="4">
        <f t="shared" si="20"/>
        <v>9.5199202401806904E-2</v>
      </c>
      <c r="O57" s="4">
        <f t="shared" si="20"/>
        <v>-0.10774950197324884</v>
      </c>
      <c r="P57" s="4">
        <f t="shared" si="20"/>
        <v>2.0043174051760815E-2</v>
      </c>
      <c r="Q57" s="4">
        <f t="shared" si="20"/>
        <v>0.1770126374361205</v>
      </c>
      <c r="R57" s="4">
        <f t="shared" si="20"/>
        <v>2.113046845993316E-2</v>
      </c>
      <c r="S57" s="4">
        <f t="shared" si="21"/>
        <v>-8.9184472607960474E-3</v>
      </c>
      <c r="T57" s="4">
        <f t="shared" si="22"/>
        <v>0.11920887962566162</v>
      </c>
      <c r="U57" s="4">
        <f t="shared" si="23"/>
        <v>-1.8656932573934748E-2</v>
      </c>
      <c r="V57" s="4">
        <f t="shared" ca="1" si="23"/>
        <v>0.23836262544396658</v>
      </c>
      <c r="AA57" s="8">
        <v>0</v>
      </c>
      <c r="AB57" s="46">
        <v>0.23836262544396655</v>
      </c>
      <c r="AC57" s="4">
        <f t="shared" ca="1" si="25"/>
        <v>3.987086574948262E-2</v>
      </c>
      <c r="AD57" s="4"/>
    </row>
    <row r="58" spans="2:30">
      <c r="B58" t="str">
        <f t="shared" si="18"/>
        <v>LT</v>
      </c>
      <c r="C58" t="str">
        <f t="shared" si="18"/>
        <v>LT</v>
      </c>
      <c r="D58" s="3"/>
      <c r="E58" s="4">
        <f t="shared" ref="E58:M58" si="40">IFERROR(E23/D23-1,0)</f>
        <v>4.8552791262135928</v>
      </c>
      <c r="F58" s="4">
        <f t="shared" si="40"/>
        <v>1.753665993056635</v>
      </c>
      <c r="G58" s="4">
        <f t="shared" si="40"/>
        <v>0.15595657000922025</v>
      </c>
      <c r="H58" s="4">
        <f t="shared" si="40"/>
        <v>-0.16096107828295159</v>
      </c>
      <c r="I58" s="4">
        <f t="shared" si="40"/>
        <v>-0.13113322856643972</v>
      </c>
      <c r="J58" s="4">
        <f t="shared" si="40"/>
        <v>5.3143979992853474E-3</v>
      </c>
      <c r="K58" s="4">
        <f t="shared" si="40"/>
        <v>0.34432055439562892</v>
      </c>
      <c r="L58" s="4">
        <f t="shared" si="40"/>
        <v>-4.6576564668561304E-2</v>
      </c>
      <c r="M58" s="4">
        <f t="shared" si="40"/>
        <v>9.6022874967507166E-2</v>
      </c>
      <c r="N58" s="4">
        <f t="shared" si="20"/>
        <v>7.5150997691553423E-2</v>
      </c>
      <c r="O58" s="4">
        <f t="shared" si="20"/>
        <v>-0.16438477036427002</v>
      </c>
      <c r="P58" s="4">
        <f t="shared" si="20"/>
        <v>0.26196300663487104</v>
      </c>
      <c r="Q58" s="4">
        <f t="shared" si="20"/>
        <v>8.5139318885449011E-2</v>
      </c>
      <c r="R58" s="4">
        <f t="shared" si="20"/>
        <v>-3.4403876058655025E-2</v>
      </c>
      <c r="S58" s="4">
        <f t="shared" si="21"/>
        <v>0.36916708813586374</v>
      </c>
      <c r="T58" s="4">
        <f t="shared" si="22"/>
        <v>0.23260199667544801</v>
      </c>
      <c r="U58" s="4">
        <f t="shared" si="23"/>
        <v>-5.593104046561892E-2</v>
      </c>
      <c r="V58" s="4">
        <f t="shared" ca="1" si="23"/>
        <v>0.17872388415047302</v>
      </c>
      <c r="AA58" s="8">
        <v>0</v>
      </c>
      <c r="AB58" s="46">
        <v>0.17668930045088455</v>
      </c>
      <c r="AC58" s="4">
        <f t="shared" ca="1" si="25"/>
        <v>0.17872388415047302</v>
      </c>
      <c r="AD58" s="4"/>
    </row>
    <row r="59" spans="2:30">
      <c r="B59" t="str">
        <f t="shared" si="18"/>
        <v>LU</v>
      </c>
      <c r="C59" t="str">
        <f t="shared" si="18"/>
        <v>LU</v>
      </c>
      <c r="D59" s="3"/>
      <c r="E59" s="4">
        <f t="shared" ref="E59:M59" si="41">IFERROR(E24/D24-1,0)</f>
        <v>-5.5452865064695045E-2</v>
      </c>
      <c r="F59" s="4">
        <f t="shared" si="41"/>
        <v>88.567514677103716</v>
      </c>
      <c r="G59" s="4">
        <f t="shared" si="41"/>
        <v>-9.1546680067293718E-3</v>
      </c>
      <c r="H59" s="4">
        <f t="shared" si="41"/>
        <v>-6.4343991179713345E-2</v>
      </c>
      <c r="I59" s="4">
        <f t="shared" si="41"/>
        <v>-1.9796380090498777E-3</v>
      </c>
      <c r="J59" s="4">
        <f t="shared" si="41"/>
        <v>0.10612071408330981</v>
      </c>
      <c r="K59" s="4">
        <f t="shared" si="41"/>
        <v>3.4861876094103739E-2</v>
      </c>
      <c r="L59" s="4">
        <f t="shared" si="41"/>
        <v>0.13761732851985564</v>
      </c>
      <c r="M59" s="4">
        <f t="shared" si="41"/>
        <v>0.28157980633228163</v>
      </c>
      <c r="N59" s="4">
        <f t="shared" si="20"/>
        <v>0.17870786993802512</v>
      </c>
      <c r="O59" s="4">
        <f t="shared" si="20"/>
        <v>7.3165754345529521E-2</v>
      </c>
      <c r="P59" s="4">
        <f t="shared" si="20"/>
        <v>0.26828040582109414</v>
      </c>
      <c r="Q59" s="4">
        <f t="shared" si="20"/>
        <v>8.3389926179409546E-2</v>
      </c>
      <c r="R59" s="4">
        <f t="shared" si="20"/>
        <v>5.4999267327699997E-2</v>
      </c>
      <c r="S59" s="4">
        <f t="shared" si="21"/>
        <v>9.9425899347192148E-2</v>
      </c>
      <c r="T59" s="4">
        <f t="shared" si="22"/>
        <v>-2.7028544557443746E-2</v>
      </c>
      <c r="U59" s="4">
        <f t="shared" si="23"/>
        <v>-6.4784891941021994E-2</v>
      </c>
      <c r="V59" s="4">
        <f t="shared" ca="1" si="23"/>
        <v>-1.1606852895423847E-3</v>
      </c>
      <c r="AA59" s="8">
        <v>0</v>
      </c>
      <c r="AB59" s="46">
        <v>-1.1606852895425495E-3</v>
      </c>
      <c r="AC59" s="4">
        <f t="shared" ca="1" si="25"/>
        <v>7.5480342776921949E-2</v>
      </c>
      <c r="AD59" s="4"/>
    </row>
    <row r="60" spans="2:30">
      <c r="B60" t="str">
        <f t="shared" si="18"/>
        <v>LV</v>
      </c>
      <c r="C60" t="str">
        <f t="shared" si="18"/>
        <v>LV</v>
      </c>
      <c r="D60" s="3"/>
      <c r="E60" s="4">
        <f t="shared" ref="E60:M60" si="42">IFERROR(E25/D25-1,0)</f>
        <v>0.14666166541635417</v>
      </c>
      <c r="F60" s="4">
        <f t="shared" si="42"/>
        <v>-0.41871115472685638</v>
      </c>
      <c r="G60" s="4">
        <f t="shared" si="42"/>
        <v>0</v>
      </c>
      <c r="H60" s="4">
        <f t="shared" si="42"/>
        <v>1.4406302757456388</v>
      </c>
      <c r="I60" s="4">
        <f t="shared" si="42"/>
        <v>5.2208900161401894</v>
      </c>
      <c r="J60" s="4">
        <f t="shared" si="42"/>
        <v>-8.9584877687175712E-2</v>
      </c>
      <c r="K60" s="4">
        <f t="shared" si="42"/>
        <v>-0.19680006513862314</v>
      </c>
      <c r="L60" s="4">
        <f t="shared" si="42"/>
        <v>-4.5060570733438055E-2</v>
      </c>
      <c r="M60" s="4">
        <f t="shared" si="42"/>
        <v>0.1886411889596602</v>
      </c>
      <c r="N60" s="4">
        <f t="shared" si="20"/>
        <v>1.7504688755916931E-2</v>
      </c>
      <c r="O60" s="4">
        <f t="shared" si="20"/>
        <v>-0.51781795839550604</v>
      </c>
      <c r="P60" s="4">
        <f t="shared" si="20"/>
        <v>-0.15572949849822515</v>
      </c>
      <c r="Q60" s="4">
        <f t="shared" si="20"/>
        <v>3.0786977145321259</v>
      </c>
      <c r="R60" s="4">
        <f t="shared" si="20"/>
        <v>-7.6835650473119466E-2</v>
      </c>
      <c r="S60" s="4">
        <f t="shared" si="21"/>
        <v>0.29152231797749595</v>
      </c>
      <c r="T60" s="4">
        <f t="shared" si="22"/>
        <v>3.6555897936110249E-2</v>
      </c>
      <c r="U60" s="4">
        <f t="shared" si="23"/>
        <v>-0.65712819196715</v>
      </c>
      <c r="V60" s="4">
        <f t="shared" ca="1" si="23"/>
        <v>-8.333333333333337E-2</v>
      </c>
      <c r="AA60" s="8">
        <v>0</v>
      </c>
      <c r="AB60" s="46">
        <v>-1.3504654456298844E-2</v>
      </c>
      <c r="AC60" s="4">
        <f t="shared" ca="1" si="25"/>
        <v>0.65918787425147563</v>
      </c>
      <c r="AD60" s="4">
        <v>-8.333333333333337E-2</v>
      </c>
    </row>
    <row r="61" spans="2:30">
      <c r="B61" t="str">
        <f t="shared" si="18"/>
        <v>MT</v>
      </c>
      <c r="C61" t="str">
        <f t="shared" si="18"/>
        <v>MT</v>
      </c>
      <c r="D61" s="3"/>
      <c r="E61" s="4">
        <f t="shared" ref="E61:M61" si="43">IFERROR(E26/D26-1,0)</f>
        <v>0</v>
      </c>
      <c r="F61" s="4">
        <f t="shared" si="43"/>
        <v>0</v>
      </c>
      <c r="G61" s="4">
        <f t="shared" si="43"/>
        <v>0</v>
      </c>
      <c r="H61" s="4">
        <f t="shared" si="43"/>
        <v>0</v>
      </c>
      <c r="I61" s="4">
        <f t="shared" si="43"/>
        <v>0</v>
      </c>
      <c r="J61" s="4">
        <f t="shared" si="43"/>
        <v>1.8451492537313428</v>
      </c>
      <c r="K61" s="4">
        <f t="shared" si="43"/>
        <v>0.72655737704918044</v>
      </c>
      <c r="L61" s="4">
        <f t="shared" si="43"/>
        <v>0.90087352829472089</v>
      </c>
      <c r="M61" s="4">
        <f t="shared" si="43"/>
        <v>0.43516483516483517</v>
      </c>
      <c r="N61" s="4">
        <f t="shared" si="20"/>
        <v>-6.9887233746345534E-2</v>
      </c>
      <c r="O61" s="4">
        <f t="shared" si="20"/>
        <v>-1.4069750037419615E-2</v>
      </c>
      <c r="P61" s="4">
        <f t="shared" si="20"/>
        <v>0.12600576893881898</v>
      </c>
      <c r="Q61" s="4">
        <f t="shared" si="20"/>
        <v>0.35108534447889994</v>
      </c>
      <c r="R61" s="4">
        <f t="shared" si="20"/>
        <v>6.506336692944803E-2</v>
      </c>
      <c r="S61" s="4">
        <f t="shared" si="21"/>
        <v>0.31293919235453949</v>
      </c>
      <c r="T61" s="4">
        <f t="shared" si="22"/>
        <v>-0.2414900449582531</v>
      </c>
      <c r="U61" s="4">
        <f t="shared" si="23"/>
        <v>0.18628281117696877</v>
      </c>
      <c r="V61" s="4">
        <f t="shared" ca="1" si="23"/>
        <v>3.5146003670931458E-2</v>
      </c>
      <c r="AA61" s="8">
        <v>0</v>
      </c>
      <c r="AB61" s="46">
        <v>3.5146003670931451E-2</v>
      </c>
      <c r="AC61" s="4">
        <f t="shared" ca="1" si="25"/>
        <v>4.1208660480609449E-2</v>
      </c>
      <c r="AD61" s="4"/>
    </row>
    <row r="62" spans="2:30">
      <c r="B62" t="str">
        <f t="shared" si="18"/>
        <v>NL</v>
      </c>
      <c r="C62" t="str">
        <f t="shared" si="18"/>
        <v>NL</v>
      </c>
      <c r="D62" s="3"/>
      <c r="E62" s="4">
        <f t="shared" ref="E62:M62" si="44">IFERROR(E27/D27-1,0)</f>
        <v>0</v>
      </c>
      <c r="F62" s="4">
        <f t="shared" si="44"/>
        <v>7.0947352948381877</v>
      </c>
      <c r="G62" s="4">
        <f t="shared" si="44"/>
        <v>-0.13068558406144926</v>
      </c>
      <c r="H62" s="4">
        <f t="shared" si="44"/>
        <v>0.30014134620071165</v>
      </c>
      <c r="I62" s="4">
        <f t="shared" si="44"/>
        <v>-0.38761547730619894</v>
      </c>
      <c r="J62" s="4">
        <f t="shared" si="44"/>
        <v>0.40491047027700655</v>
      </c>
      <c r="K62" s="4">
        <f t="shared" si="44"/>
        <v>-2.6763482894278101E-2</v>
      </c>
      <c r="L62" s="4">
        <f t="shared" si="44"/>
        <v>-4.315679395708949E-2</v>
      </c>
      <c r="M62" s="4">
        <f t="shared" si="44"/>
        <v>0.16731840027807299</v>
      </c>
      <c r="N62" s="4">
        <f t="shared" si="20"/>
        <v>-0.1571705071235513</v>
      </c>
      <c r="O62" s="4">
        <f t="shared" si="20"/>
        <v>-0.19854265040595165</v>
      </c>
      <c r="P62" s="4">
        <f t="shared" si="20"/>
        <v>0.28503973720462006</v>
      </c>
      <c r="Q62" s="4">
        <f t="shared" si="20"/>
        <v>0.62875981700217354</v>
      </c>
      <c r="R62" s="4">
        <f t="shared" si="20"/>
        <v>0.23608939724096589</v>
      </c>
      <c r="S62" s="4">
        <f t="shared" si="21"/>
        <v>-0.14657522576248083</v>
      </c>
      <c r="T62" s="4">
        <f t="shared" si="22"/>
        <v>0.14040621220556337</v>
      </c>
      <c r="U62" s="4">
        <f t="shared" si="23"/>
        <v>-7.0378032788541045E-2</v>
      </c>
      <c r="V62" s="4">
        <f t="shared" ca="1" si="23"/>
        <v>3.9819078715731981E-2</v>
      </c>
      <c r="AA62" s="8">
        <v>0</v>
      </c>
      <c r="AB62" s="46">
        <v>3.9819078715731974E-2</v>
      </c>
      <c r="AC62" s="4">
        <f t="shared" ca="1" si="25"/>
        <v>5.8312041300807138E-2</v>
      </c>
      <c r="AD62" s="4"/>
    </row>
    <row r="63" spans="2:30">
      <c r="B63" t="str">
        <f t="shared" si="18"/>
        <v>PL</v>
      </c>
      <c r="C63" t="str">
        <f t="shared" si="18"/>
        <v>PL</v>
      </c>
      <c r="D63" s="3"/>
      <c r="E63" s="4">
        <f t="shared" ref="E63:M63" si="45">IFERROR(E28/D28-1,0)</f>
        <v>0.82409793814432986</v>
      </c>
      <c r="F63" s="4">
        <f t="shared" si="45"/>
        <v>6.7412133521723705E-2</v>
      </c>
      <c r="G63" s="4">
        <f t="shared" si="45"/>
        <v>3.5197985501401252</v>
      </c>
      <c r="H63" s="4">
        <f t="shared" si="45"/>
        <v>0.45492152107262163</v>
      </c>
      <c r="I63" s="4">
        <f t="shared" si="45"/>
        <v>0.36411600785043885</v>
      </c>
      <c r="J63" s="4">
        <f t="shared" si="45"/>
        <v>5.5463008329250441E-2</v>
      </c>
      <c r="K63" s="4">
        <f t="shared" si="45"/>
        <v>-0.11816697340899029</v>
      </c>
      <c r="L63" s="4">
        <f t="shared" si="45"/>
        <v>-7.4091873526814456E-2</v>
      </c>
      <c r="M63" s="4">
        <f t="shared" si="45"/>
        <v>-5.6400336574670362E-2</v>
      </c>
      <c r="N63" s="4">
        <f t="shared" si="20"/>
        <v>-7.3637948877893877E-2</v>
      </c>
      <c r="O63" s="4">
        <f t="shared" si="20"/>
        <v>-0.2999733712053968</v>
      </c>
      <c r="P63" s="4">
        <f t="shared" si="20"/>
        <v>0.32239728737672624</v>
      </c>
      <c r="Q63" s="4">
        <f t="shared" si="20"/>
        <v>0.50838751700730889</v>
      </c>
      <c r="R63" s="4">
        <f t="shared" si="20"/>
        <v>0.1235198442795078</v>
      </c>
      <c r="S63" s="4">
        <f t="shared" si="21"/>
        <v>1.4073693986170976E-2</v>
      </c>
      <c r="T63" s="4">
        <f t="shared" si="22"/>
        <v>7.7107849597558786E-2</v>
      </c>
      <c r="U63" s="4">
        <f t="shared" si="23"/>
        <v>7.4783399289265695E-2</v>
      </c>
      <c r="V63" s="4">
        <f t="shared" ca="1" si="23"/>
        <v>4.9520076515193079E-2</v>
      </c>
      <c r="AA63" s="8">
        <v>0</v>
      </c>
      <c r="AB63" s="46">
        <v>3.1028259243577942E-2</v>
      </c>
      <c r="AC63" s="4">
        <f t="shared" ca="1" si="25"/>
        <v>4.9520076515193079E-2</v>
      </c>
      <c r="AD63" s="4"/>
    </row>
    <row r="64" spans="2:30">
      <c r="B64" t="str">
        <f t="shared" si="18"/>
        <v>PT</v>
      </c>
      <c r="C64" t="str">
        <f t="shared" si="18"/>
        <v>PT</v>
      </c>
      <c r="D64" s="3"/>
      <c r="E64" s="4">
        <f t="shared" ref="E64:M64" si="46">IFERROR(E29/D29-1,0)</f>
        <v>0</v>
      </c>
      <c r="F64" s="4">
        <f t="shared" si="46"/>
        <v>0.70151337465795516</v>
      </c>
      <c r="G64" s="4">
        <f t="shared" si="46"/>
        <v>3.0276674652925939E-2</v>
      </c>
      <c r="H64" s="4">
        <f t="shared" si="46"/>
        <v>0.65725594508067475</v>
      </c>
      <c r="I64" s="4">
        <f t="shared" si="46"/>
        <v>0.48552343881400328</v>
      </c>
      <c r="J64" s="4">
        <f t="shared" si="46"/>
        <v>-5.193284378740326E-2</v>
      </c>
      <c r="K64" s="4">
        <f t="shared" si="46"/>
        <v>-6.7688927104232466E-2</v>
      </c>
      <c r="L64" s="4">
        <f t="shared" si="46"/>
        <v>-4.368352864535674E-2</v>
      </c>
      <c r="M64" s="4">
        <f t="shared" si="46"/>
        <v>-5.2812454554518329E-4</v>
      </c>
      <c r="N64" s="4">
        <f t="shared" si="20"/>
        <v>0.25110275535678728</v>
      </c>
      <c r="O64" s="4">
        <f t="shared" si="20"/>
        <v>-0.18865591611756027</v>
      </c>
      <c r="P64" s="4">
        <f t="shared" si="20"/>
        <v>-8.3888782011384389E-2</v>
      </c>
      <c r="Q64" s="4">
        <f t="shared" si="20"/>
        <v>8.0444861691001401E-2</v>
      </c>
      <c r="R64" s="4">
        <f t="shared" si="20"/>
        <v>3.6943738352661404E-2</v>
      </c>
      <c r="S64" s="4">
        <f t="shared" si="21"/>
        <v>-0.10608137658815187</v>
      </c>
      <c r="T64" s="4">
        <f t="shared" si="22"/>
        <v>0.39881757520690364</v>
      </c>
      <c r="U64" s="4">
        <f t="shared" si="23"/>
        <v>2.5864628063709816E-3</v>
      </c>
      <c r="V64" s="4">
        <f t="shared" ca="1" si="23"/>
        <v>2.8426435611881296E-3</v>
      </c>
      <c r="AA64" s="8">
        <v>0</v>
      </c>
      <c r="AB64" s="46">
        <v>2.8426435611880814E-3</v>
      </c>
      <c r="AC64" s="4">
        <f t="shared" ca="1" si="25"/>
        <v>5.3855467249860789E-2</v>
      </c>
      <c r="AD64" s="4"/>
    </row>
    <row r="65" spans="2:30">
      <c r="B65" t="str">
        <f t="shared" si="18"/>
        <v>RO</v>
      </c>
      <c r="C65" t="str">
        <f t="shared" si="18"/>
        <v>RO</v>
      </c>
      <c r="D65" s="3"/>
      <c r="E65" s="4">
        <f t="shared" ref="E65:M65" si="47">IFERROR(E30/D30-1,0)</f>
        <v>-0.10762331838565031</v>
      </c>
      <c r="F65" s="4">
        <f t="shared" si="47"/>
        <v>69.045226130653276</v>
      </c>
      <c r="G65" s="4">
        <f t="shared" si="47"/>
        <v>1.5651051007963268</v>
      </c>
      <c r="H65" s="4">
        <f t="shared" si="47"/>
        <v>0.51974082878851435</v>
      </c>
      <c r="I65" s="4">
        <f t="shared" si="47"/>
        <v>-0.28788761770389226</v>
      </c>
      <c r="J65" s="4">
        <f t="shared" si="47"/>
        <v>0.6885385708747902</v>
      </c>
      <c r="K65" s="4">
        <f t="shared" si="47"/>
        <v>-4.2864285204118113E-2</v>
      </c>
      <c r="L65" s="4">
        <f t="shared" si="47"/>
        <v>8.6033942391744667E-2</v>
      </c>
      <c r="M65" s="4">
        <f t="shared" si="47"/>
        <v>-0.18057157440626626</v>
      </c>
      <c r="N65" s="4">
        <f t="shared" si="20"/>
        <v>0.21301381759812177</v>
      </c>
      <c r="O65" s="4">
        <f t="shared" si="20"/>
        <v>0.27046403918509232</v>
      </c>
      <c r="P65" s="4">
        <f t="shared" si="20"/>
        <v>0.15568475954326044</v>
      </c>
      <c r="Q65" s="4">
        <f t="shared" si="20"/>
        <v>-8.3400591875160135E-4</v>
      </c>
      <c r="R65" s="4">
        <f t="shared" si="20"/>
        <v>0.38796144214976169</v>
      </c>
      <c r="S65" s="4">
        <f t="shared" si="21"/>
        <v>0.17195062806149664</v>
      </c>
      <c r="T65" s="4">
        <f t="shared" si="22"/>
        <v>2.5870648825030207E-2</v>
      </c>
      <c r="U65" s="4">
        <f t="shared" si="23"/>
        <v>0.12692016006712481</v>
      </c>
      <c r="V65" s="4">
        <f t="shared" ca="1" si="23"/>
        <v>0.13016834968624047</v>
      </c>
      <c r="AA65" s="8">
        <v>0</v>
      </c>
      <c r="AB65" s="46">
        <v>-4.0213372675118084E-2</v>
      </c>
      <c r="AC65" s="4">
        <f t="shared" ca="1" si="25"/>
        <v>0.13016834968624047</v>
      </c>
      <c r="AD65" s="4"/>
    </row>
    <row r="66" spans="2:30">
      <c r="B66" t="str">
        <f t="shared" si="18"/>
        <v>SE</v>
      </c>
      <c r="C66" t="str">
        <f t="shared" si="18"/>
        <v>SE</v>
      </c>
      <c r="D66" s="3"/>
      <c r="E66" s="4">
        <f t="shared" ref="E66:M66" si="48">IFERROR(E31/D31-1,0)</f>
        <v>0.34597696387139543</v>
      </c>
      <c r="F66" s="4">
        <f t="shared" si="48"/>
        <v>0.31047768560273759</v>
      </c>
      <c r="G66" s="4">
        <f t="shared" si="48"/>
        <v>0.27791588532593159</v>
      </c>
      <c r="H66" s="4">
        <f t="shared" si="48"/>
        <v>3.5851813728643656E-2</v>
      </c>
      <c r="I66" s="4">
        <f t="shared" si="48"/>
        <v>6.2549906840564162E-2</v>
      </c>
      <c r="J66" s="4">
        <f t="shared" si="48"/>
        <v>0.26339067022934759</v>
      </c>
      <c r="K66" s="4">
        <f t="shared" si="48"/>
        <v>0.14387842550632191</v>
      </c>
      <c r="L66" s="4">
        <f t="shared" si="48"/>
        <v>0.15936242702982728</v>
      </c>
      <c r="M66" s="4">
        <f t="shared" si="48"/>
        <v>0.2893965243710992</v>
      </c>
      <c r="N66" s="4">
        <f t="shared" si="20"/>
        <v>0.18210982402028431</v>
      </c>
      <c r="O66" s="4">
        <f t="shared" si="20"/>
        <v>0.2137944038094115</v>
      </c>
      <c r="P66" s="4">
        <f t="shared" si="20"/>
        <v>0.23528994493017286</v>
      </c>
      <c r="Q66" s="4">
        <f t="shared" si="20"/>
        <v>7.7511750262045709E-2</v>
      </c>
      <c r="R66" s="4">
        <f t="shared" si="20"/>
        <v>-5.6948840623119446E-2</v>
      </c>
      <c r="S66" s="4">
        <f t="shared" si="21"/>
        <v>5.8801227529274858E-3</v>
      </c>
      <c r="T66" s="4">
        <f t="shared" si="22"/>
        <v>3.2211357252071249E-2</v>
      </c>
      <c r="U66" s="4">
        <f t="shared" si="23"/>
        <v>0.15461843515836637</v>
      </c>
      <c r="V66" s="4">
        <f t="shared" ca="1" si="23"/>
        <v>3.9917778561049388E-4</v>
      </c>
      <c r="AA66" s="8">
        <v>0</v>
      </c>
      <c r="AB66" s="46">
        <v>3.9917778561045469E-4</v>
      </c>
      <c r="AC66" s="4">
        <f t="shared" ca="1" si="25"/>
        <v>-3.6371089778172494E-2</v>
      </c>
      <c r="AD66" s="4"/>
    </row>
    <row r="67" spans="2:30">
      <c r="B67" t="str">
        <f t="shared" si="18"/>
        <v>SI</v>
      </c>
      <c r="C67" t="str">
        <f t="shared" si="18"/>
        <v>SI</v>
      </c>
      <c r="D67" s="3"/>
      <c r="E67" s="4">
        <f t="shared" ref="E67:M67" si="49">IFERROR(E32/D32-1,0)</f>
        <v>0</v>
      </c>
      <c r="F67" s="4">
        <f t="shared" si="49"/>
        <v>2.1443158611300204</v>
      </c>
      <c r="G67" s="4">
        <f t="shared" si="49"/>
        <v>0.77469870823410547</v>
      </c>
      <c r="H67" s="4">
        <f t="shared" si="49"/>
        <v>0.25235849056603765</v>
      </c>
      <c r="I67" s="4">
        <f t="shared" si="49"/>
        <v>0.48522631339697386</v>
      </c>
      <c r="J67" s="4">
        <f t="shared" si="49"/>
        <v>-0.19564076778453054</v>
      </c>
      <c r="K67" s="4">
        <f t="shared" si="49"/>
        <v>0.40871904981925922</v>
      </c>
      <c r="L67" s="4">
        <f t="shared" si="49"/>
        <v>0.16677278076826596</v>
      </c>
      <c r="M67" s="4">
        <f t="shared" si="49"/>
        <v>-0.27699049193881775</v>
      </c>
      <c r="N67" s="4">
        <f t="shared" si="20"/>
        <v>-0.32684566828286521</v>
      </c>
      <c r="O67" s="4">
        <f t="shared" si="20"/>
        <v>-0.37325451024360412</v>
      </c>
      <c r="P67" s="4">
        <f t="shared" si="20"/>
        <v>0.35767333441752069</v>
      </c>
      <c r="Q67" s="4">
        <f t="shared" si="20"/>
        <v>1.9457376721900577</v>
      </c>
      <c r="R67" s="4">
        <f t="shared" si="20"/>
        <v>0.28871177618737809</v>
      </c>
      <c r="S67" s="4">
        <f t="shared" si="21"/>
        <v>-1.8806007825318605E-2</v>
      </c>
      <c r="T67" s="4">
        <f t="shared" si="22"/>
        <v>0.10715204527913569</v>
      </c>
      <c r="U67" s="4">
        <f t="shared" si="23"/>
        <v>-0.23155571046822365</v>
      </c>
      <c r="V67" s="4">
        <f t="shared" ca="1" si="23"/>
        <v>0.16838477680084418</v>
      </c>
      <c r="AA67" s="8">
        <v>0</v>
      </c>
      <c r="AB67" s="46">
        <v>0.16838477680084429</v>
      </c>
      <c r="AC67" s="4">
        <f t="shared" ca="1" si="25"/>
        <v>0.1941336558814617</v>
      </c>
      <c r="AD67" s="4"/>
    </row>
    <row r="68" spans="2:30">
      <c r="B68" t="str">
        <f t="shared" si="18"/>
        <v>SK</v>
      </c>
      <c r="C68" t="str">
        <f t="shared" si="18"/>
        <v>SK</v>
      </c>
      <c r="D68" s="3"/>
      <c r="E68" s="4">
        <f t="shared" ref="E68:M68" si="50">IFERROR(E33/D33-1,0)</f>
        <v>2.9739387426114989</v>
      </c>
      <c r="F68" s="4">
        <f t="shared" si="50"/>
        <v>0.37626484573952634</v>
      </c>
      <c r="G68" s="4">
        <f t="shared" si="50"/>
        <v>0.21408570633218149</v>
      </c>
      <c r="H68" s="4">
        <f t="shared" si="50"/>
        <v>0.14253537083743573</v>
      </c>
      <c r="I68" s="4">
        <f t="shared" si="50"/>
        <v>0.15319143912833044</v>
      </c>
      <c r="J68" s="4">
        <f t="shared" si="50"/>
        <v>-2.968634837441364E-4</v>
      </c>
      <c r="K68" s="4">
        <f t="shared" si="50"/>
        <v>-6.8841581421067222E-2</v>
      </c>
      <c r="L68" s="4">
        <f t="shared" si="50"/>
        <v>8.9348552828362848E-2</v>
      </c>
      <c r="M68" s="4">
        <f t="shared" si="50"/>
        <v>0.35133907390395813</v>
      </c>
      <c r="N68" s="4">
        <f t="shared" si="20"/>
        <v>7.5030814626676046E-2</v>
      </c>
      <c r="O68" s="4">
        <f t="shared" si="20"/>
        <v>5.8787150212982198E-3</v>
      </c>
      <c r="P68" s="4">
        <f t="shared" si="20"/>
        <v>3.2530827950675301E-2</v>
      </c>
      <c r="Q68" s="4">
        <f t="shared" si="20"/>
        <v>2.997377294867043E-3</v>
      </c>
      <c r="R68" s="4">
        <f t="shared" si="20"/>
        <v>4.7007577778963583E-2</v>
      </c>
      <c r="S68" s="4">
        <f t="shared" si="21"/>
        <v>-1.0881822641581551E-2</v>
      </c>
      <c r="T68" s="4">
        <f t="shared" si="22"/>
        <v>4.0205860187696008E-2</v>
      </c>
      <c r="U68" s="4">
        <f t="shared" si="23"/>
        <v>6.1030509062312222E-2</v>
      </c>
      <c r="V68" s="4">
        <f t="shared" ca="1" si="23"/>
        <v>1.0891222008875046E-2</v>
      </c>
      <c r="AA68" s="8">
        <v>0</v>
      </c>
      <c r="AB68" s="46">
        <v>1.3575818471858885E-2</v>
      </c>
      <c r="AC68" s="4">
        <f t="shared" ca="1" si="25"/>
        <v>1.0891222008875046E-2</v>
      </c>
      <c r="AD68" s="4"/>
    </row>
    <row r="69" spans="2:30">
      <c r="B69" t="str">
        <f t="shared" si="18"/>
        <v>UK</v>
      </c>
      <c r="C69" t="str">
        <f t="shared" si="18"/>
        <v>UK</v>
      </c>
      <c r="D69" s="3"/>
      <c r="E69" s="4">
        <f t="shared" ref="E69:M71" si="51">IFERROR(E34/D34-1,0)</f>
        <v>1.6327197409492689</v>
      </c>
      <c r="F69" s="4">
        <f t="shared" si="51"/>
        <v>0.9320365219896507</v>
      </c>
      <c r="G69" s="4">
        <f t="shared" si="51"/>
        <v>1.288210345806533</v>
      </c>
      <c r="H69" s="4">
        <f t="shared" si="51"/>
        <v>0.23813737002582869</v>
      </c>
      <c r="I69" s="4">
        <f t="shared" si="51"/>
        <v>0.16468245935091019</v>
      </c>
      <c r="J69" s="4">
        <f t="shared" si="51"/>
        <v>-7.6223483903711697E-2</v>
      </c>
      <c r="K69" s="4">
        <f t="shared" si="51"/>
        <v>-0.15797098858753988</v>
      </c>
      <c r="L69" s="4">
        <f t="shared" si="51"/>
        <v>0.1435974097362811</v>
      </c>
      <c r="M69" s="4">
        <f t="shared" si="51"/>
        <v>0.14117256269722622</v>
      </c>
      <c r="N69" s="4">
        <f t="shared" si="20"/>
        <v>-0.20138690318217223</v>
      </c>
      <c r="O69" s="4">
        <f t="shared" si="20"/>
        <v>1.9591868238361343E-2</v>
      </c>
      <c r="P69" s="4">
        <f t="shared" si="20"/>
        <v>-3.1218195123182135E-2</v>
      </c>
      <c r="Q69" s="4">
        <f t="shared" si="20"/>
        <v>0.37842786134444673</v>
      </c>
      <c r="R69" s="4">
        <f t="shared" si="20"/>
        <v>0.30151380469895939</v>
      </c>
      <c r="S69" s="4">
        <f t="shared" si="21"/>
        <v>-1</v>
      </c>
      <c r="T69" s="4">
        <f t="shared" si="22"/>
        <v>0</v>
      </c>
      <c r="U69" s="4">
        <f t="shared" si="23"/>
        <v>0</v>
      </c>
      <c r="V69" s="4">
        <f t="shared" ca="1" si="23"/>
        <v>0</v>
      </c>
      <c r="AA69" s="8">
        <v>0</v>
      </c>
      <c r="AB69" s="46">
        <v>0</v>
      </c>
      <c r="AC69" s="4" t="e">
        <f t="shared" ca="1" si="25"/>
        <v>#DIV/0!</v>
      </c>
      <c r="AD69" s="4"/>
    </row>
    <row r="70" spans="2:30">
      <c r="B70" s="40" t="s">
        <v>189</v>
      </c>
      <c r="C70" s="40" t="s">
        <v>189</v>
      </c>
      <c r="D70" s="41"/>
      <c r="E70" s="49">
        <f t="shared" si="51"/>
        <v>0.67532474008171839</v>
      </c>
      <c r="F70" s="49">
        <f t="shared" ref="F70:F71" si="52">IFERROR(F35/E35-1,0)</f>
        <v>0.41621536756454036</v>
      </c>
      <c r="G70" s="49">
        <f t="shared" ref="G70:G71" si="53">IFERROR(G35/F35-1,0)</f>
        <v>0.28119538310668046</v>
      </c>
      <c r="H70" s="49">
        <f t="shared" ref="H70:H71" si="54">IFERROR(H35/G35-1,0)</f>
        <v>0.18656599895571802</v>
      </c>
      <c r="I70" s="49">
        <f t="shared" ref="I70:I71" si="55">IFERROR(I35/H35-1,0)</f>
        <v>0.13710633342460188</v>
      </c>
      <c r="J70" s="49">
        <f t="shared" ref="J70:J71" si="56">IFERROR(J35/I35-1,0)</f>
        <v>4.4198950861037645E-2</v>
      </c>
      <c r="K70" s="49">
        <f t="shared" ref="K70:K71" si="57">IFERROR(K35/J35-1,0)</f>
        <v>4.9267354300774224E-2</v>
      </c>
      <c r="L70" s="49">
        <f t="shared" ref="L70:L71" si="58">IFERROR(L35/K35-1,0)</f>
        <v>-9.4767292232005973E-2</v>
      </c>
      <c r="M70" s="49">
        <f t="shared" ref="M70:M71" si="59">IFERROR(M35/L35-1,0)</f>
        <v>8.6005718555795863E-2</v>
      </c>
      <c r="N70" s="49">
        <f t="shared" ref="N70:N71" si="60">IFERROR(N35/M35-1,0)</f>
        <v>-1.6868664365901509E-2</v>
      </c>
      <c r="O70" s="49">
        <f t="shared" ref="O70:O71" si="61">IFERROR(O35/N35-1,0)</f>
        <v>-2.1523700689652259E-2</v>
      </c>
      <c r="P70" s="49">
        <f t="shared" ref="P70:R71" si="62">IFERROR(P35/O35-1,0)</f>
        <v>8.2004624798161396E-2</v>
      </c>
      <c r="Q70" s="49">
        <f t="shared" ref="Q70:Q71" si="63">IFERROR(Q35/P35-1,0)</f>
        <v>0.12071658047290801</v>
      </c>
      <c r="R70" s="49">
        <f t="shared" si="62"/>
        <v>5.4871151732801327E-2</v>
      </c>
      <c r="S70" s="49">
        <f t="shared" si="21"/>
        <v>-8.3709854833626807E-2</v>
      </c>
      <c r="T70" s="49">
        <f t="shared" si="22"/>
        <v>4.358402776139747E-2</v>
      </c>
      <c r="U70" s="49">
        <f t="shared" si="23"/>
        <v>2.0245792735740453E-2</v>
      </c>
      <c r="V70" s="49">
        <f t="shared" ca="1" si="23"/>
        <v>5.545928832270941E-2</v>
      </c>
    </row>
    <row r="71" spans="2:30">
      <c r="B71" s="40" t="s">
        <v>190</v>
      </c>
      <c r="C71" s="40" t="s">
        <v>190</v>
      </c>
      <c r="D71" s="41"/>
      <c r="E71" s="49">
        <f t="shared" si="51"/>
        <v>0.65442280030277877</v>
      </c>
      <c r="F71" s="49">
        <f t="shared" si="52"/>
        <v>0.39829476084363469</v>
      </c>
      <c r="G71" s="49">
        <f t="shared" si="53"/>
        <v>0.23285544557072257</v>
      </c>
      <c r="H71" s="49">
        <f t="shared" si="54"/>
        <v>0.18197124113064977</v>
      </c>
      <c r="I71" s="49">
        <f t="shared" si="55"/>
        <v>0.1345326855648572</v>
      </c>
      <c r="J71" s="49">
        <f t="shared" si="56"/>
        <v>5.5736506192991753E-2</v>
      </c>
      <c r="K71" s="49">
        <f t="shared" si="57"/>
        <v>6.6640876853642617E-2</v>
      </c>
      <c r="L71" s="49">
        <f t="shared" si="58"/>
        <v>-0.11054226241429099</v>
      </c>
      <c r="M71" s="49">
        <f t="shared" si="59"/>
        <v>8.1311615831112238E-2</v>
      </c>
      <c r="N71" s="49">
        <f t="shared" si="60"/>
        <v>-2.9898126496819E-4</v>
      </c>
      <c r="O71" s="49">
        <f t="shared" si="61"/>
        <v>-2.4473194569356704E-2</v>
      </c>
      <c r="P71" s="49">
        <f t="shared" si="62"/>
        <v>9.0493737867426427E-2</v>
      </c>
      <c r="Q71" s="49">
        <f t="shared" si="63"/>
        <v>0.10355075953556181</v>
      </c>
      <c r="R71" s="49">
        <f t="shared" si="62"/>
        <v>3.4350504229297751E-2</v>
      </c>
      <c r="S71" s="49">
        <f t="shared" si="21"/>
        <v>1.2216278999072738E-2</v>
      </c>
      <c r="T71" s="49">
        <f t="shared" si="22"/>
        <v>4.358402776139747E-2</v>
      </c>
      <c r="U71" s="49">
        <f t="shared" si="23"/>
        <v>2.0245792735740453E-2</v>
      </c>
      <c r="V71" s="49">
        <f t="shared" ca="1" si="23"/>
        <v>5.545928832270941E-2</v>
      </c>
    </row>
  </sheetData>
  <conditionalFormatting sqref="AH7:AH34">
    <cfRule type="cellIs" dxfId="0" priority="1" operator="greaterThan">
      <formula>$AH$5</formula>
    </cfRule>
  </conditionalFormatting>
  <pageMargins left="0.7" right="0.7" top="0.78740157499999996" bottom="0.78740157499999996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3CB5D-3BCD-D64A-8E1A-B3D87C7ECCA0}">
  <dimension ref="A1:FR66"/>
  <sheetViews>
    <sheetView topLeftCell="DE27" workbookViewId="0">
      <selection activeCell="DL73" sqref="DL73"/>
    </sheetView>
  </sheetViews>
  <sheetFormatPr baseColWidth="10" defaultRowHeight="13"/>
  <cols>
    <col min="1" max="1" width="18" customWidth="1"/>
    <col min="20" max="20" width="11.33203125" customWidth="1"/>
    <col min="105" max="105" width="13.6640625" customWidth="1"/>
  </cols>
  <sheetData>
    <row r="1" spans="1:174" ht="26" customHeight="1">
      <c r="A1" s="150" t="s">
        <v>245</v>
      </c>
      <c r="AC1" t="s">
        <v>246</v>
      </c>
      <c r="AV1" t="s">
        <v>49</v>
      </c>
      <c r="BO1" t="s">
        <v>51</v>
      </c>
      <c r="CH1" t="s">
        <v>53</v>
      </c>
      <c r="DA1" t="s">
        <v>55</v>
      </c>
      <c r="DL1" t="s">
        <v>57</v>
      </c>
      <c r="EM1" t="s">
        <v>43</v>
      </c>
    </row>
    <row r="2" spans="1:174" ht="14" customHeight="1">
      <c r="A2" t="s">
        <v>175</v>
      </c>
      <c r="B2" s="149">
        <v>2005</v>
      </c>
      <c r="C2" s="149">
        <v>2006</v>
      </c>
      <c r="D2" s="149">
        <v>2007</v>
      </c>
      <c r="E2" s="149">
        <v>2008</v>
      </c>
      <c r="F2" s="149">
        <v>2009</v>
      </c>
      <c r="G2" s="149">
        <v>2010</v>
      </c>
      <c r="H2" s="149">
        <v>2011</v>
      </c>
      <c r="I2" s="149">
        <v>2012</v>
      </c>
      <c r="J2" s="148">
        <v>2013</v>
      </c>
      <c r="K2" s="148">
        <v>2014</v>
      </c>
      <c r="L2" s="148">
        <v>2015</v>
      </c>
      <c r="M2" s="148">
        <v>2016</v>
      </c>
      <c r="N2" s="148">
        <v>2017</v>
      </c>
      <c r="O2" s="148">
        <v>2018</v>
      </c>
      <c r="P2" s="148">
        <v>2019</v>
      </c>
      <c r="Q2" s="148">
        <v>2020</v>
      </c>
      <c r="R2" s="148">
        <v>2021</v>
      </c>
      <c r="S2" s="148">
        <v>2022</v>
      </c>
      <c r="T2" s="148">
        <v>2023</v>
      </c>
      <c r="U2" s="149">
        <v>2005</v>
      </c>
      <c r="V2" s="149">
        <v>2006</v>
      </c>
      <c r="W2" s="149">
        <v>2007</v>
      </c>
      <c r="X2" s="149">
        <v>2008</v>
      </c>
      <c r="Y2" s="149">
        <v>2009</v>
      </c>
      <c r="Z2" s="149">
        <v>2010</v>
      </c>
      <c r="AA2" s="149">
        <v>2011</v>
      </c>
      <c r="AB2" s="149">
        <v>2012</v>
      </c>
      <c r="AC2" s="148">
        <v>2013</v>
      </c>
      <c r="AD2" s="148">
        <v>2014</v>
      </c>
      <c r="AE2" s="148">
        <v>2015</v>
      </c>
      <c r="AF2" s="148">
        <v>2016</v>
      </c>
      <c r="AG2" s="148">
        <v>2017</v>
      </c>
      <c r="AH2" s="148">
        <v>2018</v>
      </c>
      <c r="AI2" s="148">
        <v>2019</v>
      </c>
      <c r="AJ2" s="148">
        <v>2020</v>
      </c>
      <c r="AK2" s="148">
        <v>2021</v>
      </c>
      <c r="AL2" s="148">
        <v>2022</v>
      </c>
      <c r="AM2" s="148">
        <v>2023</v>
      </c>
      <c r="AN2" s="149">
        <v>2005</v>
      </c>
      <c r="AO2" s="149">
        <v>2006</v>
      </c>
      <c r="AP2" s="149">
        <v>2007</v>
      </c>
      <c r="AQ2" s="149">
        <v>2008</v>
      </c>
      <c r="AR2" s="149">
        <v>2009</v>
      </c>
      <c r="AS2" s="149">
        <v>2010</v>
      </c>
      <c r="AT2" s="149">
        <v>2011</v>
      </c>
      <c r="AU2" s="149">
        <v>2012</v>
      </c>
      <c r="AV2" s="148">
        <v>2013</v>
      </c>
      <c r="AW2" s="148">
        <v>2014</v>
      </c>
      <c r="AX2" s="148">
        <v>2015</v>
      </c>
      <c r="AY2" s="148">
        <v>2016</v>
      </c>
      <c r="AZ2" s="148">
        <v>2017</v>
      </c>
      <c r="BA2" s="148">
        <v>2018</v>
      </c>
      <c r="BB2" s="148">
        <v>2019</v>
      </c>
      <c r="BC2" s="148">
        <v>2020</v>
      </c>
      <c r="BD2" s="148">
        <v>2021</v>
      </c>
      <c r="BE2" s="148">
        <v>2022</v>
      </c>
      <c r="BF2" s="148">
        <v>2023</v>
      </c>
      <c r="BG2" s="149">
        <v>2005</v>
      </c>
      <c r="BH2" s="149">
        <v>2006</v>
      </c>
      <c r="BI2" s="149">
        <v>2007</v>
      </c>
      <c r="BJ2" s="149">
        <v>2008</v>
      </c>
      <c r="BK2" s="149">
        <v>2009</v>
      </c>
      <c r="BL2" s="149">
        <v>2010</v>
      </c>
      <c r="BM2" s="149">
        <v>2011</v>
      </c>
      <c r="BN2" s="149">
        <v>2012</v>
      </c>
      <c r="BO2" s="148">
        <v>2013</v>
      </c>
      <c r="BP2" s="148">
        <v>2014</v>
      </c>
      <c r="BQ2" s="148">
        <v>2015</v>
      </c>
      <c r="BR2" s="148">
        <v>2016</v>
      </c>
      <c r="BS2" s="148">
        <v>2017</v>
      </c>
      <c r="BT2" s="148">
        <v>2018</v>
      </c>
      <c r="BU2" s="148">
        <v>2019</v>
      </c>
      <c r="BV2" s="148">
        <v>2020</v>
      </c>
      <c r="BW2" s="148">
        <v>2021</v>
      </c>
      <c r="BX2" s="148">
        <v>2022</v>
      </c>
      <c r="BY2" s="148">
        <v>2023</v>
      </c>
      <c r="BZ2" s="149">
        <v>2005</v>
      </c>
      <c r="CA2" s="149">
        <v>2006</v>
      </c>
      <c r="CB2" s="149">
        <v>2007</v>
      </c>
      <c r="CC2" s="149">
        <v>2008</v>
      </c>
      <c r="CD2" s="149">
        <v>2009</v>
      </c>
      <c r="CE2" s="149">
        <v>2010</v>
      </c>
      <c r="CF2" s="149">
        <v>2011</v>
      </c>
      <c r="CG2" s="149">
        <v>2012</v>
      </c>
      <c r="CH2" s="148">
        <v>2013</v>
      </c>
      <c r="CI2" s="148">
        <v>2014</v>
      </c>
      <c r="CJ2" s="148">
        <v>2015</v>
      </c>
      <c r="CK2" s="148">
        <v>2016</v>
      </c>
      <c r="CL2" s="148">
        <v>2017</v>
      </c>
      <c r="CM2" s="148">
        <v>2018</v>
      </c>
      <c r="CN2" s="148">
        <v>2019</v>
      </c>
      <c r="CO2" s="148">
        <v>2020</v>
      </c>
      <c r="CP2" s="148">
        <v>2021</v>
      </c>
      <c r="CQ2" s="148">
        <v>2022</v>
      </c>
      <c r="CR2" s="148">
        <v>2023</v>
      </c>
      <c r="CS2" s="155">
        <v>2005</v>
      </c>
      <c r="CT2" s="155">
        <v>2006</v>
      </c>
      <c r="CU2" s="155">
        <v>2007</v>
      </c>
      <c r="CV2" s="155">
        <v>2008</v>
      </c>
      <c r="CW2" s="155">
        <v>2009</v>
      </c>
      <c r="CX2" s="155">
        <v>2010</v>
      </c>
      <c r="CY2" s="155">
        <v>2011</v>
      </c>
      <c r="CZ2" s="155">
        <v>2012</v>
      </c>
      <c r="DA2" s="148">
        <v>2013</v>
      </c>
      <c r="DB2" s="148">
        <v>2014</v>
      </c>
      <c r="DC2" s="148">
        <v>2015</v>
      </c>
      <c r="DD2" s="148">
        <v>2016</v>
      </c>
      <c r="DE2" s="148">
        <v>2017</v>
      </c>
      <c r="DF2" s="148">
        <v>2018</v>
      </c>
      <c r="DG2" s="148">
        <v>2019</v>
      </c>
      <c r="DH2" s="148">
        <v>2020</v>
      </c>
      <c r="DI2" s="148">
        <v>2021</v>
      </c>
      <c r="DJ2" s="148">
        <v>2022</v>
      </c>
      <c r="DK2" s="1">
        <v>2023</v>
      </c>
      <c r="DL2" s="155">
        <v>2005</v>
      </c>
      <c r="DM2" s="155">
        <v>2006</v>
      </c>
      <c r="DN2" s="155">
        <v>2007</v>
      </c>
      <c r="DO2" s="155">
        <v>2008</v>
      </c>
      <c r="DP2" s="155">
        <v>2009</v>
      </c>
      <c r="DQ2" s="155">
        <v>2010</v>
      </c>
      <c r="DR2" s="155">
        <v>2011</v>
      </c>
      <c r="DS2" s="155">
        <v>2012</v>
      </c>
      <c r="DT2" s="148">
        <v>2013</v>
      </c>
      <c r="DU2" s="148">
        <v>2014</v>
      </c>
      <c r="DV2" s="148">
        <v>2015</v>
      </c>
      <c r="DW2" s="148">
        <v>2016</v>
      </c>
      <c r="DX2" s="148">
        <v>2017</v>
      </c>
      <c r="DY2" s="148">
        <v>2018</v>
      </c>
      <c r="DZ2" s="148">
        <v>2019</v>
      </c>
      <c r="EA2" s="148">
        <v>2020</v>
      </c>
      <c r="EB2" s="148">
        <v>2021</v>
      </c>
      <c r="EC2" s="148">
        <v>2022</v>
      </c>
      <c r="ED2" s="1">
        <f>YearProxy</f>
        <v>2023</v>
      </c>
      <c r="EE2" s="155">
        <v>2005</v>
      </c>
      <c r="EF2" s="155">
        <v>2006</v>
      </c>
      <c r="EG2" s="155">
        <v>2007</v>
      </c>
      <c r="EH2" s="155">
        <v>2008</v>
      </c>
      <c r="EI2" s="155">
        <v>2009</v>
      </c>
      <c r="EJ2" s="155">
        <v>2010</v>
      </c>
      <c r="EK2" s="155">
        <v>2011</v>
      </c>
      <c r="EL2" s="155">
        <v>2012</v>
      </c>
      <c r="EM2" s="148">
        <v>2013</v>
      </c>
      <c r="EN2" s="148">
        <v>2014</v>
      </c>
      <c r="EO2" s="148">
        <v>2015</v>
      </c>
      <c r="EP2" s="148">
        <v>2016</v>
      </c>
      <c r="EQ2" s="148">
        <v>2017</v>
      </c>
      <c r="ER2" s="148">
        <v>2018</v>
      </c>
      <c r="ES2" s="148">
        <v>2019</v>
      </c>
      <c r="ET2" s="148">
        <v>2020</v>
      </c>
      <c r="EU2" s="148">
        <v>2021</v>
      </c>
      <c r="EV2" s="148">
        <v>2022</v>
      </c>
      <c r="EW2" s="1">
        <f>YearProxy</f>
        <v>2023</v>
      </c>
      <c r="EX2" s="2">
        <v>2005</v>
      </c>
      <c r="EY2" s="2">
        <v>2006</v>
      </c>
      <c r="EZ2" s="2">
        <v>2007</v>
      </c>
      <c r="FA2" s="2">
        <v>2008</v>
      </c>
      <c r="FB2" s="2">
        <v>2009</v>
      </c>
      <c r="FC2" s="2">
        <v>2010</v>
      </c>
      <c r="FD2" s="2">
        <v>2011</v>
      </c>
      <c r="FE2" s="2">
        <v>2012</v>
      </c>
      <c r="FF2" s="1">
        <v>2013</v>
      </c>
      <c r="FG2" s="1">
        <v>2014</v>
      </c>
      <c r="FH2" s="1">
        <v>2015</v>
      </c>
      <c r="FI2" s="1">
        <v>2016</v>
      </c>
      <c r="FJ2" s="1">
        <v>2017</v>
      </c>
      <c r="FK2" s="1">
        <v>2018</v>
      </c>
      <c r="FL2" s="1">
        <v>2019</v>
      </c>
      <c r="FM2" s="1">
        <v>2020</v>
      </c>
      <c r="FN2" s="1">
        <v>2021</v>
      </c>
      <c r="FO2" s="1">
        <v>2022</v>
      </c>
      <c r="FP2" s="1">
        <v>2023</v>
      </c>
    </row>
    <row r="3" spans="1:174">
      <c r="A3" t="s">
        <v>106</v>
      </c>
      <c r="B3" s="151">
        <v>4042.2109999999998</v>
      </c>
      <c r="C3" s="151">
        <v>3986.951</v>
      </c>
      <c r="D3" s="151">
        <v>3855.0239999999999</v>
      </c>
      <c r="E3" s="151">
        <v>3816.5619999999999</v>
      </c>
      <c r="F3" s="151">
        <v>2854.6030000000001</v>
      </c>
      <c r="G3" s="151">
        <v>3367.7640000000001</v>
      </c>
      <c r="H3" s="151">
        <v>3456.11</v>
      </c>
      <c r="I3" s="151">
        <v>3217.3539999999998</v>
      </c>
      <c r="J3" s="3">
        <v>3280.1759999999999</v>
      </c>
      <c r="K3" s="3">
        <v>3013.0970000000002</v>
      </c>
      <c r="L3" s="3">
        <v>3204.6350000000002</v>
      </c>
      <c r="M3" s="3">
        <v>2998.0650000000001</v>
      </c>
      <c r="N3" s="3">
        <v>3071.127</v>
      </c>
      <c r="O3" s="3">
        <v>2714.2489999999998</v>
      </c>
      <c r="P3" s="3">
        <v>2858.35</v>
      </c>
      <c r="Q3" s="3">
        <v>2449.069</v>
      </c>
      <c r="R3" s="3">
        <v>2516.1289999999999</v>
      </c>
      <c r="S3" s="3">
        <v>2398.2689999999998</v>
      </c>
      <c r="T3" s="3">
        <v>2422.3573988443741</v>
      </c>
      <c r="U3" s="151">
        <v>13181</v>
      </c>
      <c r="V3" s="151">
        <v>12742.922</v>
      </c>
      <c r="W3" s="151">
        <v>12300.249</v>
      </c>
      <c r="X3" s="151">
        <v>11971.199000000001</v>
      </c>
      <c r="Y3" s="151">
        <v>11143.874</v>
      </c>
      <c r="Z3" s="151">
        <v>11601.279</v>
      </c>
      <c r="AA3" s="151">
        <v>10914.888000000001</v>
      </c>
      <c r="AB3" s="151">
        <v>10460.945</v>
      </c>
      <c r="AC3" s="3">
        <v>10752.21</v>
      </c>
      <c r="AD3" s="3">
        <v>10392.584999999999</v>
      </c>
      <c r="AE3" s="3">
        <v>10561.612999999999</v>
      </c>
      <c r="AF3" s="3">
        <v>10753.028</v>
      </c>
      <c r="AG3" s="3">
        <v>10974.093999999999</v>
      </c>
      <c r="AH3" s="3">
        <v>10931.789000000001</v>
      </c>
      <c r="AI3" s="3">
        <v>11140.467000000001</v>
      </c>
      <c r="AJ3" s="3">
        <v>9471.268</v>
      </c>
      <c r="AK3" s="3">
        <v>9989.8439999999991</v>
      </c>
      <c r="AL3" s="3">
        <v>9920.2099999999991</v>
      </c>
      <c r="AM3" s="3">
        <v>10033.69644860114</v>
      </c>
      <c r="AN3" s="151">
        <v>7769.665</v>
      </c>
      <c r="AO3" s="151">
        <v>7249.2730000000001</v>
      </c>
      <c r="AP3" s="151">
        <v>6845.7110000000002</v>
      </c>
      <c r="AQ3" s="151">
        <v>7221.0919999999996</v>
      </c>
      <c r="AR3" s="151">
        <v>7030.259</v>
      </c>
      <c r="AS3" s="151">
        <v>7746.0709999999999</v>
      </c>
      <c r="AT3" s="151">
        <v>7335.2470000000003</v>
      </c>
      <c r="AU3" s="151">
        <v>7011.1790000000001</v>
      </c>
      <c r="AV3" s="3">
        <v>6763.8459999999995</v>
      </c>
      <c r="AW3" s="3">
        <v>6122.7619999999997</v>
      </c>
      <c r="AX3" s="3">
        <v>6576.1149999999998</v>
      </c>
      <c r="AY3" s="3">
        <v>6902.2120000000004</v>
      </c>
      <c r="AZ3" s="3">
        <v>7445.643</v>
      </c>
      <c r="BA3" s="3">
        <v>7086.232</v>
      </c>
      <c r="BB3" s="3">
        <v>7321.5110000000004</v>
      </c>
      <c r="BC3" s="3">
        <v>6980.2820000000002</v>
      </c>
      <c r="BD3" s="3">
        <v>7402.5519999999997</v>
      </c>
      <c r="BE3" s="3">
        <v>6596.2740000000003</v>
      </c>
      <c r="BF3" s="3">
        <v>5596.183481278722</v>
      </c>
      <c r="BG3" s="151">
        <v>0</v>
      </c>
      <c r="BH3" s="151">
        <v>0</v>
      </c>
      <c r="BI3" s="151">
        <v>0</v>
      </c>
      <c r="BJ3" s="151">
        <v>0</v>
      </c>
      <c r="BK3" s="151">
        <v>0</v>
      </c>
      <c r="BL3" s="151">
        <v>0</v>
      </c>
      <c r="BM3" s="151">
        <v>0</v>
      </c>
      <c r="BN3" s="151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153">
        <v>0</v>
      </c>
      <c r="BZ3" s="151">
        <v>397.77699999999999</v>
      </c>
      <c r="CA3" s="151">
        <v>485.03199999999998</v>
      </c>
      <c r="CB3" s="151">
        <v>476.12099999999998</v>
      </c>
      <c r="CC3" s="151">
        <v>507.42700000000002</v>
      </c>
      <c r="CD3" s="151">
        <v>540.81899999999996</v>
      </c>
      <c r="CE3" s="151">
        <v>612.61</v>
      </c>
      <c r="CF3" s="151">
        <v>678.20299999999997</v>
      </c>
      <c r="CG3" s="151">
        <v>653.01800000000003</v>
      </c>
      <c r="CH3" s="3">
        <v>633.26599999999996</v>
      </c>
      <c r="CI3" s="3">
        <v>641.14300000000003</v>
      </c>
      <c r="CJ3" s="3">
        <v>666.351</v>
      </c>
      <c r="CK3" s="3">
        <v>712.30600000000004</v>
      </c>
      <c r="CL3" s="3">
        <v>683.21299999999997</v>
      </c>
      <c r="CM3" s="3">
        <v>648.26499999999999</v>
      </c>
      <c r="CN3" s="3">
        <v>629.875</v>
      </c>
      <c r="CO3" s="3">
        <v>668.30399999999997</v>
      </c>
      <c r="CP3" s="3">
        <v>659.65099999999995</v>
      </c>
      <c r="CQ3" s="3">
        <v>691.11800000000005</v>
      </c>
      <c r="CR3" s="3">
        <v>664.73561890938822</v>
      </c>
      <c r="CS3" s="151">
        <v>225.57300000000001</v>
      </c>
      <c r="CT3" s="151">
        <v>545.52200000000005</v>
      </c>
      <c r="CU3" s="151">
        <v>517.31700000000001</v>
      </c>
      <c r="CV3" s="151">
        <v>418.03399999999999</v>
      </c>
      <c r="CW3" s="151">
        <v>67.084000000000003</v>
      </c>
      <c r="CX3" s="151">
        <v>209.512</v>
      </c>
      <c r="CY3" s="151">
        <v>705.01800000000003</v>
      </c>
      <c r="CZ3" s="151">
        <v>241.012</v>
      </c>
      <c r="DA3" s="3">
        <v>625.14700000000005</v>
      </c>
      <c r="DB3" s="3">
        <v>797.48299999999995</v>
      </c>
      <c r="DC3" s="3">
        <v>865.13499999999999</v>
      </c>
      <c r="DD3" s="3">
        <v>615.58699999999999</v>
      </c>
      <c r="DE3" s="3">
        <v>562.84699999999998</v>
      </c>
      <c r="DF3" s="3">
        <v>769.28700000000003</v>
      </c>
      <c r="DG3" s="3">
        <v>269.01</v>
      </c>
      <c r="DH3" s="3">
        <v>188.80600000000001</v>
      </c>
      <c r="DI3" s="3">
        <v>648.59500000000003</v>
      </c>
      <c r="DJ3" s="3">
        <v>748.48099999999999</v>
      </c>
      <c r="DK3" s="3">
        <v>748.48099999999999</v>
      </c>
      <c r="DL3" s="151">
        <v>7096.7710278016602</v>
      </c>
      <c r="DM3" s="151">
        <v>7615.3157527467301</v>
      </c>
      <c r="DN3" s="151">
        <v>8190.4980287570397</v>
      </c>
      <c r="DO3" s="151">
        <v>8525.9143727906703</v>
      </c>
      <c r="DP3" s="151">
        <v>9010.2125657781598</v>
      </c>
      <c r="DQ3" s="151">
        <v>9322.7596571128306</v>
      </c>
      <c r="DR3" s="151">
        <v>8884.3080121333696</v>
      </c>
      <c r="DS3" s="151">
        <v>10090.2630358269</v>
      </c>
      <c r="DT3" s="3">
        <v>10020.183213623801</v>
      </c>
      <c r="DU3" s="3">
        <v>9834.3937516957994</v>
      </c>
      <c r="DV3" s="3">
        <v>9790.2164500811996</v>
      </c>
      <c r="DW3" s="3">
        <v>10063.774793541599</v>
      </c>
      <c r="DX3" s="3">
        <v>10081.396752937801</v>
      </c>
      <c r="DY3" s="3">
        <v>9676.87732053119</v>
      </c>
      <c r="DZ3" s="3">
        <v>10054.064829941701</v>
      </c>
      <c r="EA3" s="3">
        <v>10094.3249914971</v>
      </c>
      <c r="EB3" s="3">
        <v>10395.863697238899</v>
      </c>
      <c r="EC3" s="3">
        <v>9801.8576942772397</v>
      </c>
      <c r="ED3" s="3">
        <v>10925.272169771273</v>
      </c>
      <c r="EE3" s="151">
        <v>24992.876</v>
      </c>
      <c r="EF3" s="151">
        <v>23979.146000000001</v>
      </c>
      <c r="EG3" s="151">
        <v>23000.984</v>
      </c>
      <c r="EH3" s="151">
        <v>23008.852999999999</v>
      </c>
      <c r="EI3" s="151">
        <v>21028.735999999997</v>
      </c>
      <c r="EJ3" s="151">
        <v>22715.114000000001</v>
      </c>
      <c r="EK3" s="151">
        <v>21706.245000000003</v>
      </c>
      <c r="EL3" s="151">
        <v>20689.477999999999</v>
      </c>
      <c r="EM3" s="3">
        <v>20796.231999999996</v>
      </c>
      <c r="EN3" s="3">
        <v>19528.444</v>
      </c>
      <c r="EO3" s="3">
        <v>20342.362999999998</v>
      </c>
      <c r="EP3" s="3">
        <v>20653.305</v>
      </c>
      <c r="EQ3" s="3">
        <v>21490.864000000001</v>
      </c>
      <c r="ER3" s="3">
        <v>20732.27</v>
      </c>
      <c r="ES3" s="3">
        <v>21320.328000000001</v>
      </c>
      <c r="ET3" s="3">
        <v>18900.618999999999</v>
      </c>
      <c r="EU3" s="3">
        <v>19908.524999999998</v>
      </c>
      <c r="EV3" s="3">
        <v>18914.753000000001</v>
      </c>
      <c r="EW3" s="3">
        <v>18052.237328724237</v>
      </c>
      <c r="EX3" s="151">
        <v>32712.997027801659</v>
      </c>
      <c r="EY3" s="151">
        <v>32625.015752746731</v>
      </c>
      <c r="EZ3" s="151">
        <v>32184.920028757038</v>
      </c>
      <c r="FA3" s="151">
        <v>32460.228372790669</v>
      </c>
      <c r="FB3" s="151">
        <v>30646.851565778154</v>
      </c>
      <c r="FC3" s="151">
        <v>32859.995657112828</v>
      </c>
      <c r="FD3" s="151">
        <v>31973.774012133374</v>
      </c>
      <c r="FE3" s="151">
        <v>31673.771035826896</v>
      </c>
      <c r="FF3" s="3">
        <v>32074.828213623798</v>
      </c>
      <c r="FG3" s="3">
        <v>30801.463751695799</v>
      </c>
      <c r="FH3" s="3">
        <v>31664.065450081194</v>
      </c>
      <c r="FI3" s="3">
        <v>32044.972793541601</v>
      </c>
      <c r="FJ3" s="3">
        <v>32818.320752937805</v>
      </c>
      <c r="FK3" s="3">
        <v>31826.699320531188</v>
      </c>
      <c r="FL3" s="3">
        <v>32273.2778299417</v>
      </c>
      <c r="FM3" s="3">
        <v>29852.053991497101</v>
      </c>
      <c r="FN3" s="3">
        <v>31612.6346972389</v>
      </c>
      <c r="FO3" s="3">
        <v>30156.20969427724</v>
      </c>
      <c r="FP3" s="3">
        <v>30390.726117404898</v>
      </c>
    </row>
    <row r="4" spans="1:174">
      <c r="A4" t="s">
        <v>177</v>
      </c>
      <c r="B4" s="151">
        <v>5006.2809999999999</v>
      </c>
      <c r="C4" s="151">
        <v>4784.6360000000004</v>
      </c>
      <c r="D4" s="151">
        <v>4237.7150000000001</v>
      </c>
      <c r="E4" s="151">
        <v>4360.3620000000001</v>
      </c>
      <c r="F4" s="151">
        <v>2968.2649999999999</v>
      </c>
      <c r="G4" s="151">
        <v>3616.3020000000001</v>
      </c>
      <c r="H4" s="151">
        <v>3348.6370000000002</v>
      </c>
      <c r="I4" s="151">
        <v>3070.1860000000001</v>
      </c>
      <c r="J4" s="3">
        <v>3391.3090000000002</v>
      </c>
      <c r="K4" s="3">
        <v>3262.373</v>
      </c>
      <c r="L4" s="3">
        <v>3162.84</v>
      </c>
      <c r="M4" s="3">
        <v>2911.5949999999998</v>
      </c>
      <c r="N4" s="3">
        <v>2821.9059999999999</v>
      </c>
      <c r="O4" s="3">
        <v>2817.7950000000001</v>
      </c>
      <c r="P4" s="3">
        <v>2792.4409999999998</v>
      </c>
      <c r="Q4" s="3">
        <v>2121.2460000000001</v>
      </c>
      <c r="R4" s="3">
        <v>2378.3359999999998</v>
      </c>
      <c r="S4" s="3">
        <v>2518.145</v>
      </c>
      <c r="T4" s="3">
        <v>2236.921809214849</v>
      </c>
      <c r="U4" s="151">
        <v>18268.008999999998</v>
      </c>
      <c r="V4" s="151">
        <v>17580.722000000002</v>
      </c>
      <c r="W4" s="151">
        <v>16875.655999999999</v>
      </c>
      <c r="X4" s="151">
        <v>17644.487000000001</v>
      </c>
      <c r="Y4" s="151">
        <v>18106.984</v>
      </c>
      <c r="Z4" s="151">
        <v>18618.644</v>
      </c>
      <c r="AA4" s="151">
        <v>17073.782999999999</v>
      </c>
      <c r="AB4" s="151">
        <v>15790.16</v>
      </c>
      <c r="AC4" s="3">
        <v>16242.447</v>
      </c>
      <c r="AD4" s="3">
        <v>16371.261</v>
      </c>
      <c r="AE4" s="3">
        <v>17042.802</v>
      </c>
      <c r="AF4" s="3">
        <v>16505.440999999999</v>
      </c>
      <c r="AG4" s="3">
        <v>16647.311000000002</v>
      </c>
      <c r="AH4" s="3">
        <v>16401.298999999999</v>
      </c>
      <c r="AI4" s="3">
        <v>16034.904</v>
      </c>
      <c r="AJ4" s="3">
        <v>13954.281000000001</v>
      </c>
      <c r="AK4" s="3">
        <v>15017.28</v>
      </c>
      <c r="AL4" s="3">
        <v>14837.376</v>
      </c>
      <c r="AM4" s="3">
        <v>14680.683208781613</v>
      </c>
      <c r="AN4" s="151">
        <v>13858.376</v>
      </c>
      <c r="AO4" s="151">
        <v>14221.838</v>
      </c>
      <c r="AP4" s="151">
        <v>14022.933999999999</v>
      </c>
      <c r="AQ4" s="151">
        <v>13944.130999999999</v>
      </c>
      <c r="AR4" s="151">
        <v>14313.339</v>
      </c>
      <c r="AS4" s="151">
        <v>15818.228999999999</v>
      </c>
      <c r="AT4" s="151">
        <v>13460.516</v>
      </c>
      <c r="AU4" s="151">
        <v>13529.237999999999</v>
      </c>
      <c r="AV4" s="3">
        <v>13592.322</v>
      </c>
      <c r="AW4" s="3">
        <v>11819.824000000001</v>
      </c>
      <c r="AX4" s="3">
        <v>13002.466</v>
      </c>
      <c r="AY4" s="3">
        <v>13335.358</v>
      </c>
      <c r="AZ4" s="3">
        <v>13503.15</v>
      </c>
      <c r="BA4" s="3">
        <v>14006.696</v>
      </c>
      <c r="BB4" s="3">
        <v>14227.029</v>
      </c>
      <c r="BC4" s="3">
        <v>14029.834000000001</v>
      </c>
      <c r="BD4" s="3">
        <v>14208.162</v>
      </c>
      <c r="BE4" s="3">
        <v>12143.852000000001</v>
      </c>
      <c r="BF4" s="3">
        <v>11436.832080282495</v>
      </c>
      <c r="BG4" s="151">
        <v>12277.3</v>
      </c>
      <c r="BH4" s="151">
        <v>12032.244000000001</v>
      </c>
      <c r="BI4" s="151">
        <v>12440.326999999999</v>
      </c>
      <c r="BJ4" s="151">
        <v>11754.428</v>
      </c>
      <c r="BK4" s="151">
        <v>11853.287</v>
      </c>
      <c r="BL4" s="151">
        <v>11608.852999999999</v>
      </c>
      <c r="BM4" s="151">
        <v>11700.611000000001</v>
      </c>
      <c r="BN4" s="151">
        <v>9765.3130000000001</v>
      </c>
      <c r="BO4" s="3">
        <v>10336.494000000001</v>
      </c>
      <c r="BP4" s="3">
        <v>8176.2370000000001</v>
      </c>
      <c r="BQ4" s="3">
        <v>6283.1779999999999</v>
      </c>
      <c r="BR4" s="3">
        <v>10588.967000000001</v>
      </c>
      <c r="BS4" s="3">
        <v>10299.709999999999</v>
      </c>
      <c r="BT4" s="3">
        <v>6960.8620000000001</v>
      </c>
      <c r="BU4" s="3">
        <v>10593.545</v>
      </c>
      <c r="BV4" s="3">
        <v>8371.0149999999994</v>
      </c>
      <c r="BW4" s="3">
        <v>12223.218000000001</v>
      </c>
      <c r="BX4" s="3">
        <v>10697.550999999999</v>
      </c>
      <c r="BY4" s="153">
        <v>8027.6917615197217</v>
      </c>
      <c r="BZ4" s="151">
        <v>502.15</v>
      </c>
      <c r="CA4" s="151">
        <v>601.08000000000004</v>
      </c>
      <c r="CB4" s="151">
        <v>623.60299999999995</v>
      </c>
      <c r="CC4" s="151">
        <v>650.21</v>
      </c>
      <c r="CD4" s="151">
        <v>712.26199999999994</v>
      </c>
      <c r="CE4" s="151">
        <v>702.553</v>
      </c>
      <c r="CF4" s="151">
        <v>726.99199999999996</v>
      </c>
      <c r="CG4" s="151">
        <v>697.87199999999996</v>
      </c>
      <c r="CH4" s="3">
        <v>656.96500000000003</v>
      </c>
      <c r="CI4" s="3">
        <v>672.36800000000005</v>
      </c>
      <c r="CJ4" s="3">
        <v>669.30399999999997</v>
      </c>
      <c r="CK4" s="3">
        <v>670.36599999999999</v>
      </c>
      <c r="CL4" s="3">
        <v>633.04200000000003</v>
      </c>
      <c r="CM4" s="3">
        <v>638.65</v>
      </c>
      <c r="CN4" s="3">
        <v>647.18200000000002</v>
      </c>
      <c r="CO4" s="3">
        <v>636.62</v>
      </c>
      <c r="CP4" s="3">
        <v>661.197</v>
      </c>
      <c r="CQ4" s="3">
        <v>614.69100000000003</v>
      </c>
      <c r="CR4" s="3">
        <v>602.01067982856625</v>
      </c>
      <c r="CS4" s="151">
        <v>542.04600000000005</v>
      </c>
      <c r="CT4" s="151">
        <v>873.34500000000003</v>
      </c>
      <c r="CU4" s="151">
        <v>582.88900000000001</v>
      </c>
      <c r="CV4" s="151">
        <v>911.178</v>
      </c>
      <c r="CW4" s="151">
        <v>-157.78200000000001</v>
      </c>
      <c r="CX4" s="151">
        <v>47.377000000000002</v>
      </c>
      <c r="CY4" s="151">
        <v>218.143</v>
      </c>
      <c r="CZ4" s="151">
        <v>854.34199999999998</v>
      </c>
      <c r="DA4" s="3">
        <v>828.89099999999996</v>
      </c>
      <c r="DB4" s="3">
        <v>1513.586</v>
      </c>
      <c r="DC4" s="3">
        <v>1805.5889999999999</v>
      </c>
      <c r="DD4" s="3">
        <v>531.64200000000005</v>
      </c>
      <c r="DE4" s="3">
        <v>517.76400000000001</v>
      </c>
      <c r="DF4" s="3">
        <v>1489.8969999999999</v>
      </c>
      <c r="DG4" s="3">
        <v>-159.46700000000001</v>
      </c>
      <c r="DH4" s="3">
        <v>-28.623999999999999</v>
      </c>
      <c r="DI4" s="3">
        <v>-677.25699999999995</v>
      </c>
      <c r="DJ4" s="3">
        <v>-647.24800000000005</v>
      </c>
      <c r="DK4" s="3">
        <v>-838.63077639799837</v>
      </c>
      <c r="DL4" s="151">
        <v>1167.3510000000001</v>
      </c>
      <c r="DM4" s="151">
        <v>1368.9169999999999</v>
      </c>
      <c r="DN4" s="151">
        <v>1599.086</v>
      </c>
      <c r="DO4" s="151">
        <v>1920.325</v>
      </c>
      <c r="DP4" s="151">
        <v>2287.268</v>
      </c>
      <c r="DQ4" s="151">
        <v>2954.9127152001502</v>
      </c>
      <c r="DR4" s="151">
        <v>2970.4780247444301</v>
      </c>
      <c r="DS4" s="151">
        <v>3367.3941461736899</v>
      </c>
      <c r="DT4" s="3">
        <v>3586.4648833476599</v>
      </c>
      <c r="DU4" s="3">
        <v>3422.8435099837602</v>
      </c>
      <c r="DV4" s="3">
        <v>3689.2244742524099</v>
      </c>
      <c r="DW4" s="3">
        <v>3910.8106550109901</v>
      </c>
      <c r="DX4" s="3">
        <v>4063.5848465653899</v>
      </c>
      <c r="DY4" s="3">
        <v>4154.6880390751903</v>
      </c>
      <c r="DZ4" s="3">
        <v>4273.3142912964504</v>
      </c>
      <c r="EA4" s="3">
        <v>4799.3108455144702</v>
      </c>
      <c r="EB4" s="3">
        <v>4933.1227662176298</v>
      </c>
      <c r="EC4" s="3">
        <v>5068.0637862806898</v>
      </c>
      <c r="ED4" s="3">
        <v>5391.6679364765296</v>
      </c>
      <c r="EE4" s="151">
        <v>37132.665999999997</v>
      </c>
      <c r="EF4" s="151">
        <v>36587.195999999996</v>
      </c>
      <c r="EG4" s="151">
        <v>35136.305</v>
      </c>
      <c r="EH4" s="151">
        <v>35948.980000000003</v>
      </c>
      <c r="EI4" s="151">
        <v>35388.588000000003</v>
      </c>
      <c r="EJ4" s="151">
        <v>38053.175000000003</v>
      </c>
      <c r="EK4" s="151">
        <v>33882.936000000002</v>
      </c>
      <c r="EL4" s="151">
        <v>32389.584000000003</v>
      </c>
      <c r="EM4" s="3">
        <v>33226.078000000001</v>
      </c>
      <c r="EN4" s="3">
        <v>31453.458000000002</v>
      </c>
      <c r="EO4" s="3">
        <v>33208.108</v>
      </c>
      <c r="EP4" s="3">
        <v>32752.394</v>
      </c>
      <c r="EQ4" s="3">
        <v>32972.366999999998</v>
      </c>
      <c r="ER4" s="3">
        <v>33225.789999999994</v>
      </c>
      <c r="ES4" s="3">
        <v>33054.374000000003</v>
      </c>
      <c r="ET4" s="3">
        <v>30105.361000000004</v>
      </c>
      <c r="EU4" s="3">
        <v>31603.778000000002</v>
      </c>
      <c r="EV4" s="3">
        <v>29499.373</v>
      </c>
      <c r="EW4" s="3">
        <v>28354.437098278955</v>
      </c>
      <c r="EX4" s="151">
        <v>51621.513000000006</v>
      </c>
      <c r="EY4" s="151">
        <v>51462.781999999999</v>
      </c>
      <c r="EZ4" s="151">
        <v>50382.210000000006</v>
      </c>
      <c r="FA4" s="151">
        <v>51185.120999999999</v>
      </c>
      <c r="FB4" s="151">
        <v>50083.623000000007</v>
      </c>
      <c r="FC4" s="151">
        <v>53366.870715200159</v>
      </c>
      <c r="FD4" s="151">
        <v>49499.160024744429</v>
      </c>
      <c r="FE4" s="151">
        <v>47074.505146173695</v>
      </c>
      <c r="FF4" s="3">
        <v>48634.89288334766</v>
      </c>
      <c r="FG4" s="3">
        <v>45238.492509983764</v>
      </c>
      <c r="FH4" s="3">
        <v>45655.403474252409</v>
      </c>
      <c r="FI4" s="3">
        <v>48454.179655010994</v>
      </c>
      <c r="FJ4" s="3">
        <v>48486.467846565392</v>
      </c>
      <c r="FK4" s="3">
        <v>46469.887039075184</v>
      </c>
      <c r="FL4" s="3">
        <v>48408.94829129646</v>
      </c>
      <c r="FM4" s="3">
        <v>43883.682845514471</v>
      </c>
      <c r="FN4" s="3">
        <v>48744.058766217633</v>
      </c>
      <c r="FO4" s="3">
        <v>45232.430786280689</v>
      </c>
      <c r="FP4" s="3">
        <v>41537.176699705771</v>
      </c>
    </row>
    <row r="5" spans="1:174">
      <c r="A5" t="s">
        <v>178</v>
      </c>
      <c r="B5" s="151">
        <v>6915.8429999999998</v>
      </c>
      <c r="C5" s="151">
        <v>6980.29</v>
      </c>
      <c r="D5" s="151">
        <v>7884.0420000000004</v>
      </c>
      <c r="E5" s="151">
        <v>7426.7120000000004</v>
      </c>
      <c r="F5" s="151">
        <v>6364.4960000000001</v>
      </c>
      <c r="G5" s="151">
        <v>6881.674</v>
      </c>
      <c r="H5" s="151">
        <v>8037.857</v>
      </c>
      <c r="I5" s="151">
        <v>6862.77</v>
      </c>
      <c r="J5" s="3">
        <v>5894.06</v>
      </c>
      <c r="K5" s="3">
        <v>6300.143</v>
      </c>
      <c r="L5" s="3">
        <v>6554.4660000000003</v>
      </c>
      <c r="M5" s="3">
        <v>5641.3239999999996</v>
      </c>
      <c r="N5" s="3">
        <v>6074.74</v>
      </c>
      <c r="O5" s="3">
        <v>5443.1469999999999</v>
      </c>
      <c r="P5" s="3">
        <v>5034.3900000000003</v>
      </c>
      <c r="Q5" s="3">
        <v>4117.6329999999998</v>
      </c>
      <c r="R5" s="3">
        <v>5225.4470000000001</v>
      </c>
      <c r="S5" s="3">
        <v>6212.3389999999999</v>
      </c>
      <c r="T5" s="3">
        <v>3808.3399162672658</v>
      </c>
      <c r="U5" s="151">
        <v>4449.9319999999998</v>
      </c>
      <c r="V5" s="151">
        <v>4613.5190000000002</v>
      </c>
      <c r="W5" s="151">
        <v>4383.2849999999999</v>
      </c>
      <c r="X5" s="151">
        <v>4216.2839999999997</v>
      </c>
      <c r="Y5" s="151">
        <v>3995.0520000000001</v>
      </c>
      <c r="Z5" s="151">
        <v>3834.9409999999998</v>
      </c>
      <c r="AA5" s="151">
        <v>3606.2840000000001</v>
      </c>
      <c r="AB5" s="151">
        <v>3780.6489999999999</v>
      </c>
      <c r="AC5" s="3">
        <v>3455.8879999999999</v>
      </c>
      <c r="AD5" s="3">
        <v>3773.2429999999999</v>
      </c>
      <c r="AE5" s="3">
        <v>4058.596</v>
      </c>
      <c r="AF5" s="3">
        <v>4189.5879999999997</v>
      </c>
      <c r="AG5" s="3">
        <v>4389.8289999999997</v>
      </c>
      <c r="AH5" s="3">
        <v>4383.8509999999997</v>
      </c>
      <c r="AI5" s="3">
        <v>4486.4579999999996</v>
      </c>
      <c r="AJ5" s="3">
        <v>4039.36</v>
      </c>
      <c r="AK5" s="3">
        <v>4252.6940000000004</v>
      </c>
      <c r="AL5" s="3">
        <v>4606.8590000000004</v>
      </c>
      <c r="AM5" s="3">
        <v>4553.1278214938884</v>
      </c>
      <c r="AN5" s="151">
        <v>2493.5859999999998</v>
      </c>
      <c r="AO5" s="151">
        <v>2655.9340000000002</v>
      </c>
      <c r="AP5" s="151">
        <v>2766.279</v>
      </c>
      <c r="AQ5" s="151">
        <v>2643.2049999999999</v>
      </c>
      <c r="AR5" s="151">
        <v>2004.481</v>
      </c>
      <c r="AS5" s="151">
        <v>2108.1060000000002</v>
      </c>
      <c r="AT5" s="151">
        <v>2380.9789999999998</v>
      </c>
      <c r="AU5" s="151">
        <v>2266.991</v>
      </c>
      <c r="AV5" s="3">
        <v>2190.5650000000001</v>
      </c>
      <c r="AW5" s="3">
        <v>2142.3290000000002</v>
      </c>
      <c r="AX5" s="3">
        <v>2322.54</v>
      </c>
      <c r="AY5" s="3">
        <v>2398.5770000000002</v>
      </c>
      <c r="AZ5" s="3">
        <v>2484.2640000000001</v>
      </c>
      <c r="BA5" s="3">
        <v>2404.2350000000001</v>
      </c>
      <c r="BB5" s="3">
        <v>2290.9499999999998</v>
      </c>
      <c r="BC5" s="3">
        <v>2365.6089999999999</v>
      </c>
      <c r="BD5" s="3">
        <v>2680.0050000000001</v>
      </c>
      <c r="BE5" s="3">
        <v>2196.9589999999998</v>
      </c>
      <c r="BF5" s="3">
        <v>2052.7541818603486</v>
      </c>
      <c r="BG5" s="151">
        <v>4854.7430000000004</v>
      </c>
      <c r="BH5" s="151">
        <v>5070.2060000000001</v>
      </c>
      <c r="BI5" s="151">
        <v>3838.4059999999999</v>
      </c>
      <c r="BJ5" s="151">
        <v>4131.5559999999996</v>
      </c>
      <c r="BK5" s="151">
        <v>3877.91</v>
      </c>
      <c r="BL5" s="151">
        <v>3849.12</v>
      </c>
      <c r="BM5" s="151">
        <v>4105.07</v>
      </c>
      <c r="BN5" s="151">
        <v>4020.24</v>
      </c>
      <c r="BO5" s="3">
        <v>3667.58</v>
      </c>
      <c r="BP5" s="3">
        <v>4046.7</v>
      </c>
      <c r="BQ5" s="3">
        <v>3912</v>
      </c>
      <c r="BR5" s="3">
        <v>4010.9</v>
      </c>
      <c r="BS5" s="3">
        <v>3940.7</v>
      </c>
      <c r="BT5" s="3">
        <v>4168.3</v>
      </c>
      <c r="BU5" s="3">
        <v>4301.7619999999997</v>
      </c>
      <c r="BV5" s="3">
        <v>4334.6769999999997</v>
      </c>
      <c r="BW5" s="3">
        <v>4294.9440000000004</v>
      </c>
      <c r="BX5" s="3">
        <v>4289.7290000000003</v>
      </c>
      <c r="BY5" s="153">
        <v>4211.8817870448211</v>
      </c>
      <c r="BZ5" s="151">
        <v>58.326000000000001</v>
      </c>
      <c r="CA5" s="151">
        <v>59.21</v>
      </c>
      <c r="CB5" s="151">
        <v>67.569999999999993</v>
      </c>
      <c r="CC5" s="151">
        <v>1.887</v>
      </c>
      <c r="CD5" s="151">
        <v>4.49</v>
      </c>
      <c r="CE5" s="151">
        <v>3.3919999999999999</v>
      </c>
      <c r="CF5" s="151">
        <v>9.0760000000000005</v>
      </c>
      <c r="CG5" s="151">
        <v>7.3090000000000002</v>
      </c>
      <c r="CH5" s="3">
        <v>13.446999999999999</v>
      </c>
      <c r="CI5" s="3">
        <v>13.089</v>
      </c>
      <c r="CJ5" s="3">
        <v>18.271999999999998</v>
      </c>
      <c r="CK5" s="3">
        <v>31.504000000000001</v>
      </c>
      <c r="CL5" s="3">
        <v>38.719000000000001</v>
      </c>
      <c r="CM5" s="3">
        <v>50.040999999999997</v>
      </c>
      <c r="CN5" s="3">
        <v>66.527000000000001</v>
      </c>
      <c r="CO5" s="3">
        <v>66.158000000000001</v>
      </c>
      <c r="CP5" s="3">
        <v>74.215999999999994</v>
      </c>
      <c r="CQ5" s="3">
        <v>77.534000000000006</v>
      </c>
      <c r="CR5" s="3">
        <v>113.09941366547338</v>
      </c>
      <c r="CS5" s="151">
        <v>-651.84900000000005</v>
      </c>
      <c r="CT5" s="151">
        <v>-665.77800000000002</v>
      </c>
      <c r="CU5" s="151">
        <v>-384.78100000000001</v>
      </c>
      <c r="CV5" s="151">
        <v>-459.50099999999998</v>
      </c>
      <c r="CW5" s="151">
        <v>-436.19900000000001</v>
      </c>
      <c r="CX5" s="151">
        <v>-726.22500000000002</v>
      </c>
      <c r="CY5" s="151">
        <v>-916.68100000000004</v>
      </c>
      <c r="CZ5" s="151">
        <v>-714.35900000000004</v>
      </c>
      <c r="DA5" s="3">
        <v>-531.47</v>
      </c>
      <c r="DB5" s="3">
        <v>-812.98400000000004</v>
      </c>
      <c r="DC5" s="3">
        <v>-909.28599999999994</v>
      </c>
      <c r="DD5" s="3">
        <v>-547.89300000000003</v>
      </c>
      <c r="DE5" s="3">
        <v>-471.22699999999998</v>
      </c>
      <c r="DF5" s="3">
        <v>-671.30899999999997</v>
      </c>
      <c r="DG5" s="3">
        <v>-499.58600000000001</v>
      </c>
      <c r="DH5" s="3">
        <v>-293.04399999999998</v>
      </c>
      <c r="DI5" s="3">
        <v>-754.79899999999998</v>
      </c>
      <c r="DJ5" s="3">
        <v>-1048.549</v>
      </c>
      <c r="DK5" s="3">
        <v>-1454.3023333332967</v>
      </c>
      <c r="DL5" s="151">
        <v>1094.7802149613101</v>
      </c>
      <c r="DM5" s="151">
        <v>1138.3430627687001</v>
      </c>
      <c r="DN5" s="151">
        <v>957.80564660361097</v>
      </c>
      <c r="DO5" s="151">
        <v>1056.3607635425601</v>
      </c>
      <c r="DP5" s="151">
        <v>1104.56781169389</v>
      </c>
      <c r="DQ5" s="151">
        <v>1447.7808022356</v>
      </c>
      <c r="DR5" s="151">
        <v>1352.2088426483199</v>
      </c>
      <c r="DS5" s="151">
        <v>1603.9862536543401</v>
      </c>
      <c r="DT5" s="3">
        <v>1816.7796079105799</v>
      </c>
      <c r="DU5" s="3">
        <v>1795.1207007738601</v>
      </c>
      <c r="DV5" s="3">
        <v>2001.3707789242401</v>
      </c>
      <c r="DW5" s="3">
        <v>1941.37234823732</v>
      </c>
      <c r="DX5" s="3">
        <v>1864.79195251743</v>
      </c>
      <c r="DY5" s="3">
        <v>2449.0660173879801</v>
      </c>
      <c r="DZ5" s="3">
        <v>2363.88254896341</v>
      </c>
      <c r="EA5" s="3">
        <v>2437.3965477214101</v>
      </c>
      <c r="EB5" s="3">
        <v>2793.1766397248498</v>
      </c>
      <c r="EC5" s="3">
        <v>2594.8567280022899</v>
      </c>
      <c r="ED5" s="3">
        <v>2998.710015200631</v>
      </c>
      <c r="EE5" s="151">
        <v>13859.360999999999</v>
      </c>
      <c r="EF5" s="151">
        <v>14249.743000000002</v>
      </c>
      <c r="EG5" s="151">
        <v>15033.606000000002</v>
      </c>
      <c r="EH5" s="151">
        <v>14286.200999999999</v>
      </c>
      <c r="EI5" s="151">
        <v>12364.029</v>
      </c>
      <c r="EJ5" s="151">
        <v>12824.721</v>
      </c>
      <c r="EK5" s="151">
        <v>14025.119999999999</v>
      </c>
      <c r="EL5" s="151">
        <v>12910.41</v>
      </c>
      <c r="EM5" s="3">
        <v>11540.513000000001</v>
      </c>
      <c r="EN5" s="3">
        <v>12215.715</v>
      </c>
      <c r="EO5" s="3">
        <v>12935.601999999999</v>
      </c>
      <c r="EP5" s="3">
        <v>12229.489000000001</v>
      </c>
      <c r="EQ5" s="3">
        <v>12948.832999999999</v>
      </c>
      <c r="ER5" s="3">
        <v>12231.233</v>
      </c>
      <c r="ES5" s="3">
        <v>11811.797999999999</v>
      </c>
      <c r="ET5" s="3">
        <v>10522.602000000001</v>
      </c>
      <c r="EU5" s="3">
        <v>12158.146000000001</v>
      </c>
      <c r="EV5" s="3">
        <v>13016.156999999999</v>
      </c>
      <c r="EW5" s="3">
        <v>10414.221919621505</v>
      </c>
      <c r="EX5" s="151">
        <v>19215.361214961311</v>
      </c>
      <c r="EY5" s="151">
        <v>19851.724062768702</v>
      </c>
      <c r="EZ5" s="151">
        <v>19512.606646603614</v>
      </c>
      <c r="FA5" s="151">
        <v>19016.503763542558</v>
      </c>
      <c r="FB5" s="151">
        <v>16914.79781169389</v>
      </c>
      <c r="FC5" s="151">
        <v>17398.788802235598</v>
      </c>
      <c r="FD5" s="151">
        <v>18574.79384264832</v>
      </c>
      <c r="FE5" s="151">
        <v>17827.586253654343</v>
      </c>
      <c r="FF5" s="3">
        <v>16506.849607910583</v>
      </c>
      <c r="FG5" s="3">
        <v>17257.64070077386</v>
      </c>
      <c r="FH5" s="3">
        <v>17957.95877892424</v>
      </c>
      <c r="FI5" s="3">
        <v>17665.372348237321</v>
      </c>
      <c r="FJ5" s="3">
        <v>18321.816952517431</v>
      </c>
      <c r="FK5" s="3">
        <v>18227.33101738798</v>
      </c>
      <c r="FL5" s="3">
        <v>18044.383548963408</v>
      </c>
      <c r="FM5" s="3">
        <v>17067.789547721412</v>
      </c>
      <c r="FN5" s="3">
        <v>18565.683639724852</v>
      </c>
      <c r="FO5" s="3">
        <v>18929.72772800229</v>
      </c>
      <c r="FP5" s="3">
        <v>16283.610802199135</v>
      </c>
    </row>
    <row r="6" spans="1:174">
      <c r="A6" t="s">
        <v>179</v>
      </c>
      <c r="B6" s="151">
        <v>35.670999999999999</v>
      </c>
      <c r="C6" s="151">
        <v>38.81</v>
      </c>
      <c r="D6" s="151">
        <v>33.314999999999998</v>
      </c>
      <c r="E6" s="151">
        <v>28.068999999999999</v>
      </c>
      <c r="F6" s="151">
        <v>14.558999999999999</v>
      </c>
      <c r="G6" s="151">
        <v>16.779</v>
      </c>
      <c r="H6" s="151">
        <v>7.46</v>
      </c>
      <c r="I6" s="151">
        <v>0.124</v>
      </c>
      <c r="J6" s="3">
        <v>0.124</v>
      </c>
      <c r="K6" s="3">
        <v>2.218</v>
      </c>
      <c r="L6" s="3">
        <v>3.6789999999999998</v>
      </c>
      <c r="M6" s="3">
        <v>0</v>
      </c>
      <c r="N6" s="3">
        <v>2.98</v>
      </c>
      <c r="O6" s="3">
        <v>13.614000000000001</v>
      </c>
      <c r="P6" s="3">
        <v>17.199000000000002</v>
      </c>
      <c r="Q6" s="3">
        <v>14.004</v>
      </c>
      <c r="R6" s="3">
        <v>40.104999999999997</v>
      </c>
      <c r="S6" s="3">
        <v>30.593</v>
      </c>
      <c r="T6" s="3">
        <v>27.849758979223981</v>
      </c>
      <c r="U6" s="151">
        <v>2382.8130000000001</v>
      </c>
      <c r="V6" s="151">
        <v>2478.3040000000001</v>
      </c>
      <c r="W6" s="151">
        <v>2590.6179999999999</v>
      </c>
      <c r="X6" s="151">
        <v>2720.2919999999999</v>
      </c>
      <c r="Y6" s="151">
        <v>2642.2179999999998</v>
      </c>
      <c r="Z6" s="151">
        <v>2541.8780000000002</v>
      </c>
      <c r="AA6" s="151">
        <v>2512.9929999999999</v>
      </c>
      <c r="AB6" s="151">
        <v>2364.7420000000002</v>
      </c>
      <c r="AC6" s="3">
        <v>2035.6389999999999</v>
      </c>
      <c r="AD6" s="3">
        <v>2076.4670000000001</v>
      </c>
      <c r="AE6" s="3">
        <v>2103.9989999999998</v>
      </c>
      <c r="AF6" s="3">
        <v>2248.2330000000002</v>
      </c>
      <c r="AG6" s="3">
        <v>2331.5529999999999</v>
      </c>
      <c r="AH6" s="3">
        <v>2319.4589999999998</v>
      </c>
      <c r="AI6" s="3">
        <v>2291.9949999999999</v>
      </c>
      <c r="AJ6" s="3">
        <v>1919.356</v>
      </c>
      <c r="AK6" s="3">
        <v>1983.5050000000001</v>
      </c>
      <c r="AL6" s="3">
        <v>2149.279</v>
      </c>
      <c r="AM6" s="3">
        <v>2144.9961325888007</v>
      </c>
      <c r="AN6" s="151">
        <v>0</v>
      </c>
      <c r="AO6" s="151">
        <v>0</v>
      </c>
      <c r="AP6" s="151">
        <v>0</v>
      </c>
      <c r="AQ6" s="151">
        <v>0</v>
      </c>
      <c r="AR6" s="151">
        <v>0</v>
      </c>
      <c r="AS6" s="151">
        <v>0</v>
      </c>
      <c r="AT6" s="151">
        <v>0</v>
      </c>
      <c r="AU6" s="151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151">
        <v>0</v>
      </c>
      <c r="BH6" s="151">
        <v>0</v>
      </c>
      <c r="BI6" s="151">
        <v>0</v>
      </c>
      <c r="BJ6" s="151">
        <v>0</v>
      </c>
      <c r="BK6" s="151">
        <v>0</v>
      </c>
      <c r="BL6" s="151">
        <v>0</v>
      </c>
      <c r="BM6" s="151">
        <v>0</v>
      </c>
      <c r="BN6" s="151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153">
        <v>0</v>
      </c>
      <c r="BZ6" s="151">
        <v>3.2959999999999998</v>
      </c>
      <c r="CA6" s="151">
        <v>1.744</v>
      </c>
      <c r="CB6" s="151">
        <v>6.8789999999999996</v>
      </c>
      <c r="CC6" s="151">
        <v>5.7080000000000002</v>
      </c>
      <c r="CD6" s="151">
        <v>6.5919999999999996</v>
      </c>
      <c r="CE6" s="151">
        <v>7.141</v>
      </c>
      <c r="CF6" s="151">
        <v>9.6000000000000002E-2</v>
      </c>
      <c r="CG6" s="151">
        <v>0.57299999999999995</v>
      </c>
      <c r="CH6" s="3">
        <v>1.075</v>
      </c>
      <c r="CI6" s="3">
        <v>7.548</v>
      </c>
      <c r="CJ6" s="3">
        <v>12.324</v>
      </c>
      <c r="CK6" s="3">
        <v>15.835000000000001</v>
      </c>
      <c r="CL6" s="3">
        <v>21.553000000000001</v>
      </c>
      <c r="CM6" s="3">
        <v>22.969000000000001</v>
      </c>
      <c r="CN6" s="3">
        <v>30.786000000000001</v>
      </c>
      <c r="CO6" s="3">
        <v>34.802</v>
      </c>
      <c r="CP6" s="3">
        <v>40.420999999999999</v>
      </c>
      <c r="CQ6" s="3">
        <v>46.52</v>
      </c>
      <c r="CR6" s="3">
        <v>52.120699999999488</v>
      </c>
      <c r="CS6" s="151">
        <v>0</v>
      </c>
      <c r="CT6" s="151">
        <v>0</v>
      </c>
      <c r="CU6" s="151">
        <v>0</v>
      </c>
      <c r="CV6" s="151">
        <v>0</v>
      </c>
      <c r="CW6" s="151">
        <v>0</v>
      </c>
      <c r="CX6" s="151">
        <v>0</v>
      </c>
      <c r="CY6" s="151">
        <v>0</v>
      </c>
      <c r="CZ6" s="151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151">
        <v>53.71</v>
      </c>
      <c r="DM6" s="151">
        <v>55.848999999999997</v>
      </c>
      <c r="DN6" s="151">
        <v>72.985038693035193</v>
      </c>
      <c r="DO6" s="151">
        <v>98.392269513709707</v>
      </c>
      <c r="DP6" s="151">
        <v>106.02573115505901</v>
      </c>
      <c r="DQ6" s="151">
        <v>108.68069313079199</v>
      </c>
      <c r="DR6" s="151">
        <v>124.73207805483899</v>
      </c>
      <c r="DS6" s="151">
        <v>134.226155440909</v>
      </c>
      <c r="DT6" s="3">
        <v>138.287155440909</v>
      </c>
      <c r="DU6" s="3">
        <v>134.868501671921</v>
      </c>
      <c r="DV6" s="3">
        <v>154.405501671921</v>
      </c>
      <c r="DW6" s="3">
        <v>160.602501671921</v>
      </c>
      <c r="DX6" s="3">
        <v>177.13950797745301</v>
      </c>
      <c r="DY6" s="3">
        <v>190.678596923664</v>
      </c>
      <c r="DZ6" s="3">
        <v>195.462803668672</v>
      </c>
      <c r="EA6" s="3">
        <v>229.67961536256701</v>
      </c>
      <c r="EB6" s="3">
        <v>247.67363905607999</v>
      </c>
      <c r="EC6" s="3">
        <v>255.84669122002401</v>
      </c>
      <c r="ED6" s="3">
        <v>278.63237644024048</v>
      </c>
      <c r="EE6" s="151">
        <v>2418.4839999999999</v>
      </c>
      <c r="EF6" s="151">
        <v>2517.114</v>
      </c>
      <c r="EG6" s="151">
        <v>2623.933</v>
      </c>
      <c r="EH6" s="151">
        <v>2748.3609999999999</v>
      </c>
      <c r="EI6" s="151">
        <v>2656.777</v>
      </c>
      <c r="EJ6" s="151">
        <v>2558.6570000000002</v>
      </c>
      <c r="EK6" s="151">
        <v>2520.453</v>
      </c>
      <c r="EL6" s="151">
        <v>2364.866</v>
      </c>
      <c r="EM6" s="3">
        <v>2035.7629999999999</v>
      </c>
      <c r="EN6" s="3">
        <v>2078.6849999999999</v>
      </c>
      <c r="EO6" s="3">
        <v>2107.6779999999999</v>
      </c>
      <c r="EP6" s="3">
        <v>2248.2330000000002</v>
      </c>
      <c r="EQ6" s="3">
        <v>2334.5329999999999</v>
      </c>
      <c r="ER6" s="3">
        <v>2333.0729999999999</v>
      </c>
      <c r="ES6" s="3">
        <v>2309.194</v>
      </c>
      <c r="ET6" s="3">
        <v>1933.36</v>
      </c>
      <c r="EU6" s="3">
        <v>2023.6100000000001</v>
      </c>
      <c r="EV6" s="3">
        <v>2179.8719999999998</v>
      </c>
      <c r="EW6" s="3">
        <v>2172.8458915680249</v>
      </c>
      <c r="EX6" s="151">
        <v>2475.4899999999998</v>
      </c>
      <c r="EY6" s="151">
        <v>2574.7070000000003</v>
      </c>
      <c r="EZ6" s="151">
        <v>2703.7970386930351</v>
      </c>
      <c r="FA6" s="151">
        <v>2852.4612695137098</v>
      </c>
      <c r="FB6" s="151">
        <v>2769.3947311550592</v>
      </c>
      <c r="FC6" s="151">
        <v>2674.4786931307922</v>
      </c>
      <c r="FD6" s="151">
        <v>2645.2810780548389</v>
      </c>
      <c r="FE6" s="151">
        <v>2499.6651554409091</v>
      </c>
      <c r="FF6" s="3">
        <v>2175.1251554409091</v>
      </c>
      <c r="FG6" s="3">
        <v>2221.1015016719207</v>
      </c>
      <c r="FH6" s="3">
        <v>2274.4075016719207</v>
      </c>
      <c r="FI6" s="3">
        <v>2424.6705016719211</v>
      </c>
      <c r="FJ6" s="3">
        <v>2533.2255079774527</v>
      </c>
      <c r="FK6" s="3">
        <v>2546.7205969236638</v>
      </c>
      <c r="FL6" s="3">
        <v>2535.4428036686722</v>
      </c>
      <c r="FM6" s="3">
        <v>2197.8416153625667</v>
      </c>
      <c r="FN6" s="3">
        <v>2311.7046390560799</v>
      </c>
      <c r="FO6" s="3">
        <v>2482.2386912200236</v>
      </c>
      <c r="FP6" s="3">
        <v>2503.5989680082648</v>
      </c>
    </row>
    <row r="7" spans="1:174">
      <c r="A7" t="s">
        <v>180</v>
      </c>
      <c r="B7" s="151">
        <v>19943.041000000001</v>
      </c>
      <c r="C7" s="151">
        <v>20570.131000000001</v>
      </c>
      <c r="D7" s="151">
        <v>20928.385999999999</v>
      </c>
      <c r="E7" s="151">
        <v>19340.726999999999</v>
      </c>
      <c r="F7" s="151">
        <v>17369.66</v>
      </c>
      <c r="G7" s="151">
        <v>18508.439999999999</v>
      </c>
      <c r="H7" s="151">
        <v>17974.857</v>
      </c>
      <c r="I7" s="151">
        <v>16921.309000000001</v>
      </c>
      <c r="J7" s="3">
        <v>16896.043000000001</v>
      </c>
      <c r="K7" s="3">
        <v>15610.630999999999</v>
      </c>
      <c r="L7" s="3">
        <v>16000.541999999999</v>
      </c>
      <c r="M7" s="3">
        <v>16172.17</v>
      </c>
      <c r="N7" s="3">
        <v>15477.130999999999</v>
      </c>
      <c r="O7" s="3">
        <v>15464.55</v>
      </c>
      <c r="P7" s="3">
        <v>13840.290999999999</v>
      </c>
      <c r="Q7" s="3">
        <v>12018.674999999999</v>
      </c>
      <c r="R7" s="3">
        <v>12584.885</v>
      </c>
      <c r="S7" s="3">
        <v>13138.154</v>
      </c>
      <c r="T7" s="3">
        <v>11162.011403884668</v>
      </c>
      <c r="U7" s="151">
        <v>7239.6949999999997</v>
      </c>
      <c r="V7" s="151">
        <v>7241.6859999999997</v>
      </c>
      <c r="W7" s="151">
        <v>7547.4269999999997</v>
      </c>
      <c r="X7" s="151">
        <v>7458.1840000000002</v>
      </c>
      <c r="Y7" s="151">
        <v>7200.8829999999998</v>
      </c>
      <c r="Z7" s="151">
        <v>6849.5709999999999</v>
      </c>
      <c r="AA7" s="151">
        <v>6789.88</v>
      </c>
      <c r="AB7" s="151">
        <v>6587.2569999999996</v>
      </c>
      <c r="AC7" s="3">
        <v>6352.277</v>
      </c>
      <c r="AD7" s="3">
        <v>6629.4780000000001</v>
      </c>
      <c r="AE7" s="3">
        <v>6893.1350000000002</v>
      </c>
      <c r="AF7" s="3">
        <v>7006.7709999999997</v>
      </c>
      <c r="AG7" s="3">
        <v>7171.6750000000002</v>
      </c>
      <c r="AH7" s="3">
        <v>7292.3789999999999</v>
      </c>
      <c r="AI7" s="3">
        <v>7348.3109999999997</v>
      </c>
      <c r="AJ7" s="3">
        <v>6502.8410000000003</v>
      </c>
      <c r="AK7" s="3">
        <v>6969.4660000000003</v>
      </c>
      <c r="AL7" s="3">
        <v>7245.7420000000002</v>
      </c>
      <c r="AM7" s="3">
        <v>7273.9831870550643</v>
      </c>
      <c r="AN7" s="151">
        <v>7703.4390000000003</v>
      </c>
      <c r="AO7" s="151">
        <v>7593.53</v>
      </c>
      <c r="AP7" s="151">
        <v>7238.65</v>
      </c>
      <c r="AQ7" s="151">
        <v>7077.2349999999997</v>
      </c>
      <c r="AR7" s="151">
        <v>6745.2920000000004</v>
      </c>
      <c r="AS7" s="151">
        <v>7978.9340000000002</v>
      </c>
      <c r="AT7" s="151">
        <v>6714.1660000000002</v>
      </c>
      <c r="AU7" s="151">
        <v>6759.1360000000004</v>
      </c>
      <c r="AV7" s="3">
        <v>6853.848</v>
      </c>
      <c r="AW7" s="3">
        <v>6087.5969999999998</v>
      </c>
      <c r="AX7" s="3">
        <v>6386.8440000000001</v>
      </c>
      <c r="AY7" s="3">
        <v>6915.9769999999999</v>
      </c>
      <c r="AZ7" s="3">
        <v>7112.2529999999997</v>
      </c>
      <c r="BA7" s="3">
        <v>6729.9750000000004</v>
      </c>
      <c r="BB7" s="3">
        <v>7060.95</v>
      </c>
      <c r="BC7" s="3">
        <v>7180.8980000000001</v>
      </c>
      <c r="BD7" s="3">
        <v>7714.3609999999999</v>
      </c>
      <c r="BE7" s="3">
        <v>6279.9759999999997</v>
      </c>
      <c r="BF7" s="3">
        <v>5701.9487508192906</v>
      </c>
      <c r="BG7" s="151">
        <v>6457.2079999999996</v>
      </c>
      <c r="BH7" s="151">
        <v>6795.3280000000004</v>
      </c>
      <c r="BI7" s="151">
        <v>6823.03</v>
      </c>
      <c r="BJ7" s="151">
        <v>6918.4290000000001</v>
      </c>
      <c r="BK7" s="151">
        <v>6975.3509999999997</v>
      </c>
      <c r="BL7" s="151">
        <v>7160.3950000000004</v>
      </c>
      <c r="BM7" s="151">
        <v>7199.85</v>
      </c>
      <c r="BN7" s="151">
        <v>7673.9849999999997</v>
      </c>
      <c r="BO7" s="3">
        <v>7758.5209999999997</v>
      </c>
      <c r="BP7" s="3">
        <v>7630.7659999999996</v>
      </c>
      <c r="BQ7" s="3">
        <v>6680.3519999999999</v>
      </c>
      <c r="BR7" s="3">
        <v>5977.4979999999996</v>
      </c>
      <c r="BS7" s="3">
        <v>7016.777</v>
      </c>
      <c r="BT7" s="3">
        <v>7449</v>
      </c>
      <c r="BU7" s="3">
        <v>7548.2039999999997</v>
      </c>
      <c r="BV7" s="3">
        <v>7496.2950000000001</v>
      </c>
      <c r="BW7" s="3">
        <v>7641.6319999999996</v>
      </c>
      <c r="BX7" s="3">
        <v>7714.5510000000004</v>
      </c>
      <c r="BY7" s="153">
        <v>7562.5205447929702</v>
      </c>
      <c r="BZ7" s="151">
        <v>171.94499999999999</v>
      </c>
      <c r="CA7" s="151">
        <v>162.34399999999999</v>
      </c>
      <c r="CB7" s="151">
        <v>187.494</v>
      </c>
      <c r="CC7" s="151">
        <v>190.48</v>
      </c>
      <c r="CD7" s="151">
        <v>196.905</v>
      </c>
      <c r="CE7" s="151">
        <v>200.822</v>
      </c>
      <c r="CF7" s="151">
        <v>219.929</v>
      </c>
      <c r="CG7" s="151">
        <v>225.208</v>
      </c>
      <c r="CH7" s="3">
        <v>216.29900000000001</v>
      </c>
      <c r="CI7" s="3">
        <v>250.69300000000001</v>
      </c>
      <c r="CJ7" s="3">
        <v>277.3</v>
      </c>
      <c r="CK7" s="3">
        <v>304.48099999999999</v>
      </c>
      <c r="CL7" s="3">
        <v>305.66000000000003</v>
      </c>
      <c r="CM7" s="3">
        <v>346.48399999999998</v>
      </c>
      <c r="CN7" s="3">
        <v>359.44600000000003</v>
      </c>
      <c r="CO7" s="3">
        <v>368.49299999999999</v>
      </c>
      <c r="CP7" s="3">
        <v>363.96899999999999</v>
      </c>
      <c r="CQ7" s="3">
        <v>352.57</v>
      </c>
      <c r="CR7" s="3">
        <v>368.08408879087943</v>
      </c>
      <c r="CS7" s="151">
        <v>-1086.328</v>
      </c>
      <c r="CT7" s="151">
        <v>-1086.0709999999999</v>
      </c>
      <c r="CU7" s="151">
        <v>-1388.9079999999999</v>
      </c>
      <c r="CV7" s="151">
        <v>-986.15599999999995</v>
      </c>
      <c r="CW7" s="151">
        <v>-1173.173</v>
      </c>
      <c r="CX7" s="151">
        <v>-1285.297</v>
      </c>
      <c r="CY7" s="151">
        <v>-1465.52</v>
      </c>
      <c r="CZ7" s="151">
        <v>-1472.0550000000001</v>
      </c>
      <c r="DA7" s="3">
        <v>-1452.021</v>
      </c>
      <c r="DB7" s="3">
        <v>-1401.548</v>
      </c>
      <c r="DC7" s="3">
        <v>-1076.096</v>
      </c>
      <c r="DD7" s="3">
        <v>-943.59400000000005</v>
      </c>
      <c r="DE7" s="3">
        <v>-1120.9749999999999</v>
      </c>
      <c r="DF7" s="3">
        <v>-1195.7950000000001</v>
      </c>
      <c r="DG7" s="3">
        <v>-1126.105</v>
      </c>
      <c r="DH7" s="3">
        <v>-872.98900000000003</v>
      </c>
      <c r="DI7" s="3">
        <v>-952.30100000000004</v>
      </c>
      <c r="DJ7" s="3">
        <v>-1163.271</v>
      </c>
      <c r="DK7" s="3">
        <v>-1286.4689999999246</v>
      </c>
      <c r="DL7" s="151">
        <v>2087.2686509028399</v>
      </c>
      <c r="DM7" s="151">
        <v>2213.0930672589998</v>
      </c>
      <c r="DN7" s="151">
        <v>2319.9437083213902</v>
      </c>
      <c r="DO7" s="151">
        <v>2518.5065836438298</v>
      </c>
      <c r="DP7" s="151">
        <v>2842.7156117321101</v>
      </c>
      <c r="DQ7" s="151">
        <v>3129.77750578007</v>
      </c>
      <c r="DR7" s="151">
        <v>3439.9107089901599</v>
      </c>
      <c r="DS7" s="151">
        <v>3687.03718543995</v>
      </c>
      <c r="DT7" s="3">
        <v>4048.5647252316799</v>
      </c>
      <c r="DU7" s="3">
        <v>4174.23980395529</v>
      </c>
      <c r="DV7" s="3">
        <v>4276.8515813509102</v>
      </c>
      <c r="DW7" s="3">
        <v>4308.1873948600296</v>
      </c>
      <c r="DX7" s="3">
        <v>4393.4273585554602</v>
      </c>
      <c r="DY7" s="3">
        <v>4394.6999203210098</v>
      </c>
      <c r="DZ7" s="3">
        <v>4710.7177886691497</v>
      </c>
      <c r="EA7" s="3">
        <v>4890.2103614216103</v>
      </c>
      <c r="EB7" s="3">
        <v>5227.4150975446601</v>
      </c>
      <c r="EC7" s="3">
        <v>5067.0484142543201</v>
      </c>
      <c r="ED7" s="3">
        <v>5259.1634591647189</v>
      </c>
      <c r="EE7" s="151">
        <v>34886.175000000003</v>
      </c>
      <c r="EF7" s="151">
        <v>35405.347000000002</v>
      </c>
      <c r="EG7" s="151">
        <v>35714.462999999996</v>
      </c>
      <c r="EH7" s="151">
        <v>33876.146000000001</v>
      </c>
      <c r="EI7" s="151">
        <v>31315.834999999999</v>
      </c>
      <c r="EJ7" s="151">
        <v>33336.945</v>
      </c>
      <c r="EK7" s="151">
        <v>31478.903000000002</v>
      </c>
      <c r="EL7" s="151">
        <v>30267.701999999997</v>
      </c>
      <c r="EM7" s="3">
        <v>30102.167999999998</v>
      </c>
      <c r="EN7" s="3">
        <v>28327.705999999998</v>
      </c>
      <c r="EO7" s="3">
        <v>29280.521000000001</v>
      </c>
      <c r="EP7" s="3">
        <v>30094.917999999998</v>
      </c>
      <c r="EQ7" s="3">
        <v>29761.059000000001</v>
      </c>
      <c r="ER7" s="3">
        <v>29486.904000000002</v>
      </c>
      <c r="ES7" s="3">
        <v>28249.552</v>
      </c>
      <c r="ET7" s="3">
        <v>25702.414000000001</v>
      </c>
      <c r="EU7" s="3">
        <v>27268.712000000003</v>
      </c>
      <c r="EV7" s="3">
        <v>26663.871999999999</v>
      </c>
      <c r="EW7" s="3">
        <v>24137.943341759023</v>
      </c>
      <c r="EX7" s="151">
        <v>42516.268650902843</v>
      </c>
      <c r="EY7" s="151">
        <v>43490.041067259001</v>
      </c>
      <c r="EZ7" s="151">
        <v>43656.022708321383</v>
      </c>
      <c r="FA7" s="151">
        <v>42517.405583643827</v>
      </c>
      <c r="FB7" s="151">
        <v>40157.633611732104</v>
      </c>
      <c r="FC7" s="151">
        <v>42542.642505780066</v>
      </c>
      <c r="FD7" s="151">
        <v>40873.072708990163</v>
      </c>
      <c r="FE7" s="151">
        <v>40381.877185439946</v>
      </c>
      <c r="FF7" s="3">
        <v>40673.531725231674</v>
      </c>
      <c r="FG7" s="3">
        <v>38981.856803955277</v>
      </c>
      <c r="FH7" s="3">
        <v>39438.928581350912</v>
      </c>
      <c r="FI7" s="3">
        <v>39741.490394860026</v>
      </c>
      <c r="FJ7" s="3">
        <v>40355.94835855547</v>
      </c>
      <c r="FK7" s="3">
        <v>40481.292920321008</v>
      </c>
      <c r="FL7" s="3">
        <v>39741.814788669151</v>
      </c>
      <c r="FM7" s="3">
        <v>37584.423361421614</v>
      </c>
      <c r="FN7" s="3">
        <v>39549.427097544663</v>
      </c>
      <c r="FO7" s="3">
        <v>38634.770414254323</v>
      </c>
      <c r="FP7" s="3">
        <v>36041.242434507665</v>
      </c>
      <c r="FQ7" s="3"/>
      <c r="FR7" s="3"/>
    </row>
    <row r="8" spans="1:174">
      <c r="A8" t="s">
        <v>91</v>
      </c>
      <c r="B8" s="151">
        <v>81600.438999999998</v>
      </c>
      <c r="C8" s="151">
        <v>85842.312999999995</v>
      </c>
      <c r="D8" s="151">
        <v>85796.483999999997</v>
      </c>
      <c r="E8" s="151">
        <v>79781.577999999994</v>
      </c>
      <c r="F8" s="151">
        <v>71730.861999999994</v>
      </c>
      <c r="G8" s="151">
        <v>78721.364000000001</v>
      </c>
      <c r="H8" s="151">
        <v>77599.752999999997</v>
      </c>
      <c r="I8" s="151">
        <v>79574.741999999998</v>
      </c>
      <c r="J8" s="3">
        <v>81189.146999999997</v>
      </c>
      <c r="K8" s="3">
        <v>79255.159</v>
      </c>
      <c r="L8" s="3">
        <v>79053.922000000006</v>
      </c>
      <c r="M8" s="3">
        <v>76759.960000000006</v>
      </c>
      <c r="N8" s="3">
        <v>70917.228000000003</v>
      </c>
      <c r="O8" s="3">
        <v>69356.668000000005</v>
      </c>
      <c r="P8" s="3">
        <v>56076.794999999998</v>
      </c>
      <c r="Q8" s="3">
        <v>44281.726000000002</v>
      </c>
      <c r="R8" s="3">
        <v>53544.925000000003</v>
      </c>
      <c r="S8" s="3">
        <v>55145.472000000002</v>
      </c>
      <c r="T8" s="3">
        <v>43591.182628571434</v>
      </c>
      <c r="U8" s="151">
        <v>102639.455</v>
      </c>
      <c r="V8" s="151">
        <v>103479.33500000001</v>
      </c>
      <c r="W8" s="151">
        <v>92308.763000000006</v>
      </c>
      <c r="X8" s="151">
        <v>99091.047000000006</v>
      </c>
      <c r="Y8" s="151">
        <v>93029.126999999993</v>
      </c>
      <c r="Z8" s="151">
        <v>93348.841</v>
      </c>
      <c r="AA8" s="151">
        <v>89713.917000000001</v>
      </c>
      <c r="AB8" s="151">
        <v>90138.994999999995</v>
      </c>
      <c r="AC8" s="3">
        <v>93138.356</v>
      </c>
      <c r="AD8" s="3">
        <v>90477.554000000004</v>
      </c>
      <c r="AE8" s="3">
        <v>91334.837</v>
      </c>
      <c r="AF8" s="3">
        <v>92344.331999999995</v>
      </c>
      <c r="AG8" s="3">
        <v>93342.142999999996</v>
      </c>
      <c r="AH8" s="3">
        <v>90106.588000000003</v>
      </c>
      <c r="AI8" s="3">
        <v>92147.938999999998</v>
      </c>
      <c r="AJ8" s="3">
        <v>81326.607999999993</v>
      </c>
      <c r="AK8" s="3">
        <v>77651.165999999997</v>
      </c>
      <c r="AL8" s="3">
        <v>82722.2</v>
      </c>
      <c r="AM8" s="3">
        <v>77075.633447098968</v>
      </c>
      <c r="AN8" s="151">
        <v>75309.751000000004</v>
      </c>
      <c r="AO8" s="151">
        <v>76931.313999999998</v>
      </c>
      <c r="AP8" s="151">
        <v>74194.948000000004</v>
      </c>
      <c r="AQ8" s="151">
        <v>74985.209000000003</v>
      </c>
      <c r="AR8" s="151">
        <v>70793.573000000004</v>
      </c>
      <c r="AS8" s="151">
        <v>73512.323999999993</v>
      </c>
      <c r="AT8" s="151">
        <v>67279.656000000003</v>
      </c>
      <c r="AU8" s="151">
        <v>67762.425000000003</v>
      </c>
      <c r="AV8" s="3">
        <v>70691.436000000002</v>
      </c>
      <c r="AW8" s="3">
        <v>60846.313000000002</v>
      </c>
      <c r="AX8" s="3">
        <v>62781.951999999997</v>
      </c>
      <c r="AY8" s="3">
        <v>67706.938999999998</v>
      </c>
      <c r="AZ8" s="3">
        <v>72759.745999999999</v>
      </c>
      <c r="BA8" s="3">
        <v>70544.786999999997</v>
      </c>
      <c r="BB8" s="3">
        <v>72189.164999999994</v>
      </c>
      <c r="BC8" s="3">
        <v>71752.308999999994</v>
      </c>
      <c r="BD8" s="3">
        <v>74296.981</v>
      </c>
      <c r="BE8" s="3">
        <v>64557.114999999998</v>
      </c>
      <c r="BF8" s="3">
        <v>62991.231284454239</v>
      </c>
      <c r="BG8" s="151">
        <v>42060.618999999999</v>
      </c>
      <c r="BH8" s="151">
        <v>43147.635000000002</v>
      </c>
      <c r="BI8" s="151">
        <v>36251.247000000003</v>
      </c>
      <c r="BJ8" s="151">
        <v>38304.815000000002</v>
      </c>
      <c r="BK8" s="151">
        <v>34733.199999999997</v>
      </c>
      <c r="BL8" s="151">
        <v>36200.800000000003</v>
      </c>
      <c r="BM8" s="151">
        <v>27807.200000000001</v>
      </c>
      <c r="BN8" s="151">
        <v>25618.6</v>
      </c>
      <c r="BO8" s="3">
        <v>25052.2</v>
      </c>
      <c r="BP8" s="3">
        <v>25010.7</v>
      </c>
      <c r="BQ8" s="3">
        <v>23636.344000000001</v>
      </c>
      <c r="BR8" s="3">
        <v>21794.7</v>
      </c>
      <c r="BS8" s="3">
        <v>19654.7</v>
      </c>
      <c r="BT8" s="3">
        <v>19571</v>
      </c>
      <c r="BU8" s="3">
        <v>19332</v>
      </c>
      <c r="BV8" s="3">
        <v>16576.8</v>
      </c>
      <c r="BW8" s="3">
        <v>17768.59</v>
      </c>
      <c r="BX8" s="3">
        <v>8938</v>
      </c>
      <c r="BY8" s="153">
        <v>1863.0659630606856</v>
      </c>
      <c r="BZ8" s="151">
        <v>1844.846</v>
      </c>
      <c r="CA8" s="151">
        <v>2159.692</v>
      </c>
      <c r="CB8" s="151">
        <v>2478.2649999999999</v>
      </c>
      <c r="CC8" s="151">
        <v>3124.9639999999999</v>
      </c>
      <c r="CD8" s="151">
        <v>3609.511</v>
      </c>
      <c r="CE8" s="151">
        <v>3906.1570000000002</v>
      </c>
      <c r="CF8" s="151">
        <v>3873.8649999999998</v>
      </c>
      <c r="CG8" s="151">
        <v>4016.433</v>
      </c>
      <c r="CH8" s="3">
        <v>4107.3609999999999</v>
      </c>
      <c r="CI8" s="3">
        <v>4302.1639999999998</v>
      </c>
      <c r="CJ8" s="3">
        <v>4251.9110000000001</v>
      </c>
      <c r="CK8" s="3">
        <v>4513.4709999999995</v>
      </c>
      <c r="CL8" s="3">
        <v>4514.0200000000004</v>
      </c>
      <c r="CM8" s="3">
        <v>4217.6360000000004</v>
      </c>
      <c r="CN8" s="3">
        <v>4248.0889999999999</v>
      </c>
      <c r="CO8" s="3">
        <v>4203.1149999999998</v>
      </c>
      <c r="CP8" s="3">
        <v>4270.5169999999998</v>
      </c>
      <c r="CQ8" s="3">
        <v>4066.4949999999999</v>
      </c>
      <c r="CR8" s="3">
        <v>4066.4949999999999</v>
      </c>
      <c r="CS8" s="151">
        <v>-392.60500000000002</v>
      </c>
      <c r="CT8" s="151">
        <v>-1459.759</v>
      </c>
      <c r="CU8" s="151">
        <v>-1423.4739999999999</v>
      </c>
      <c r="CV8" s="151">
        <v>-1728.289</v>
      </c>
      <c r="CW8" s="151">
        <v>-1055.288</v>
      </c>
      <c r="CX8" s="151">
        <v>-1285.8989999999999</v>
      </c>
      <c r="CY8" s="151">
        <v>-323.73200000000003</v>
      </c>
      <c r="CZ8" s="151">
        <v>-1766.2940000000001</v>
      </c>
      <c r="DA8" s="3">
        <v>-2768.1</v>
      </c>
      <c r="DB8" s="3">
        <v>-2913.5859999999998</v>
      </c>
      <c r="DC8" s="3">
        <v>-4151.5050000000001</v>
      </c>
      <c r="DD8" s="3">
        <v>-4344.3680000000004</v>
      </c>
      <c r="DE8" s="3">
        <v>-4510.6620000000003</v>
      </c>
      <c r="DF8" s="3">
        <v>-4190.5420000000004</v>
      </c>
      <c r="DG8" s="3">
        <v>-2808.8560000000002</v>
      </c>
      <c r="DH8" s="3">
        <v>-1636.1990000000001</v>
      </c>
      <c r="DI8" s="3">
        <v>-1597.163</v>
      </c>
      <c r="DJ8" s="3">
        <v>-2343.5940000000001</v>
      </c>
      <c r="DK8" s="3">
        <v>1004.3974285714287</v>
      </c>
      <c r="DL8" s="151">
        <v>18560.657557561899</v>
      </c>
      <c r="DM8" s="151">
        <v>22650.925177414701</v>
      </c>
      <c r="DN8" s="151">
        <v>26187.217202923501</v>
      </c>
      <c r="DO8" s="151">
        <v>27203.452738129399</v>
      </c>
      <c r="DP8" s="151">
        <v>27084.676318047201</v>
      </c>
      <c r="DQ8" s="151">
        <v>30757.034126779399</v>
      </c>
      <c r="DR8" s="151">
        <v>31852.184746727798</v>
      </c>
      <c r="DS8" s="151">
        <v>35785.114642208799</v>
      </c>
      <c r="DT8" s="3">
        <v>36881.323923951502</v>
      </c>
      <c r="DU8" s="3">
        <v>36625.397354447297</v>
      </c>
      <c r="DV8" s="3">
        <v>39025.403780930501</v>
      </c>
      <c r="DW8" s="3">
        <v>38853.080902550901</v>
      </c>
      <c r="DX8" s="3">
        <v>41447.067148944298</v>
      </c>
      <c r="DY8" s="3">
        <v>42348.033558135103</v>
      </c>
      <c r="DZ8" s="3">
        <v>44054.402818572598</v>
      </c>
      <c r="EA8" s="3">
        <v>45645.891317760601</v>
      </c>
      <c r="EB8" s="3">
        <v>45555.721590235997</v>
      </c>
      <c r="EC8" s="3">
        <v>47498.705109964598</v>
      </c>
      <c r="ED8" s="3">
        <v>48962.706294860771</v>
      </c>
      <c r="EE8" s="151">
        <v>259549.64500000002</v>
      </c>
      <c r="EF8" s="151">
        <v>266252.962</v>
      </c>
      <c r="EG8" s="151">
        <v>252300.19500000001</v>
      </c>
      <c r="EH8" s="151">
        <v>253857.834</v>
      </c>
      <c r="EI8" s="151">
        <v>235553.56200000001</v>
      </c>
      <c r="EJ8" s="151">
        <v>245582.52900000001</v>
      </c>
      <c r="EK8" s="151">
        <v>234593.326</v>
      </c>
      <c r="EL8" s="151">
        <v>237476.16200000001</v>
      </c>
      <c r="EM8" s="3">
        <v>245018.93900000001</v>
      </c>
      <c r="EN8" s="3">
        <v>230579.02599999998</v>
      </c>
      <c r="EO8" s="3">
        <v>233170.71100000001</v>
      </c>
      <c r="EP8" s="3">
        <v>236811.23100000003</v>
      </c>
      <c r="EQ8" s="3">
        <v>237019.11699999997</v>
      </c>
      <c r="ER8" s="3">
        <v>230008.04300000001</v>
      </c>
      <c r="ES8" s="3">
        <v>220413.89899999998</v>
      </c>
      <c r="ET8" s="3">
        <v>197360.64299999998</v>
      </c>
      <c r="EU8" s="3">
        <v>205493.07200000001</v>
      </c>
      <c r="EV8" s="3">
        <v>202424.78699999998</v>
      </c>
      <c r="EW8" s="3">
        <v>183658.04736012465</v>
      </c>
      <c r="EX8" s="151">
        <v>321623.16255756194</v>
      </c>
      <c r="EY8" s="151">
        <v>332751.4551774147</v>
      </c>
      <c r="EZ8" s="151">
        <v>315793.45020292356</v>
      </c>
      <c r="FA8" s="151">
        <v>320762.77673812938</v>
      </c>
      <c r="FB8" s="151">
        <v>299925.6613180472</v>
      </c>
      <c r="FC8" s="151">
        <v>315160.62112677947</v>
      </c>
      <c r="FD8" s="151">
        <v>297802.8437467278</v>
      </c>
      <c r="FE8" s="151">
        <v>301130.0156422088</v>
      </c>
      <c r="FF8" s="3">
        <v>308291.7239239515</v>
      </c>
      <c r="FG8" s="3">
        <v>293603.70135444729</v>
      </c>
      <c r="FH8" s="3">
        <v>295932.86478093051</v>
      </c>
      <c r="FI8" s="3">
        <v>297628.11490255099</v>
      </c>
      <c r="FJ8" s="3">
        <v>298124.24214894423</v>
      </c>
      <c r="FK8" s="3">
        <v>291954.17055813514</v>
      </c>
      <c r="FL8" s="3">
        <v>285239.53481857257</v>
      </c>
      <c r="FM8" s="3">
        <v>262150.25031776057</v>
      </c>
      <c r="FN8" s="3">
        <v>271490.73759023601</v>
      </c>
      <c r="FO8" s="3">
        <v>260584.39310996456</v>
      </c>
      <c r="FP8" s="3">
        <v>239554.71204661753</v>
      </c>
      <c r="FQ8" s="3"/>
      <c r="FR8" s="3"/>
    </row>
    <row r="9" spans="1:174" ht="14" customHeight="1">
      <c r="A9" t="s">
        <v>115</v>
      </c>
      <c r="B9" s="151">
        <v>3713.87</v>
      </c>
      <c r="C9" s="151">
        <v>5477.0020000000004</v>
      </c>
      <c r="D9" s="151">
        <v>4651.6760000000004</v>
      </c>
      <c r="E9" s="151">
        <v>4005.8649999999998</v>
      </c>
      <c r="F9" s="151">
        <v>4003.471</v>
      </c>
      <c r="G9" s="151">
        <v>3808.9409999999998</v>
      </c>
      <c r="H9" s="151">
        <v>3234.4749999999999</v>
      </c>
      <c r="I9" s="151">
        <v>2467.7640000000001</v>
      </c>
      <c r="J9" s="3">
        <v>3173.5450000000001</v>
      </c>
      <c r="K9" s="3">
        <v>2533.67</v>
      </c>
      <c r="L9" s="3">
        <v>1817.65</v>
      </c>
      <c r="M9" s="3">
        <v>2004.7739999999999</v>
      </c>
      <c r="N9" s="3">
        <v>1535.847</v>
      </c>
      <c r="O9" s="3">
        <v>1592.4780000000001</v>
      </c>
      <c r="P9" s="3">
        <v>968.92600000000004</v>
      </c>
      <c r="Q9" s="3">
        <v>819.71400000000006</v>
      </c>
      <c r="R9" s="3">
        <v>1120.0170000000001</v>
      </c>
      <c r="S9" s="3">
        <v>1075.4860000000001</v>
      </c>
      <c r="T9" s="3">
        <v>715.2097284728053</v>
      </c>
      <c r="U9" s="151">
        <v>7966.8670000000002</v>
      </c>
      <c r="V9" s="151">
        <v>8117.9570000000003</v>
      </c>
      <c r="W9" s="151">
        <v>8101.8950000000004</v>
      </c>
      <c r="X9" s="151">
        <v>7995.6769999999997</v>
      </c>
      <c r="Y9" s="151">
        <v>7451.9750000000004</v>
      </c>
      <c r="Z9" s="151">
        <v>7519.5379999999996</v>
      </c>
      <c r="AA9" s="151">
        <v>7049.9709999999995</v>
      </c>
      <c r="AB9" s="151">
        <v>6789.3620000000001</v>
      </c>
      <c r="AC9" s="3">
        <v>6544.9179999999997</v>
      </c>
      <c r="AD9" s="3">
        <v>6413.2520000000004</v>
      </c>
      <c r="AE9" s="3">
        <v>6434.893</v>
      </c>
      <c r="AF9" s="3">
        <v>6571.0680000000002</v>
      </c>
      <c r="AG9" s="3">
        <v>6760.6890000000003</v>
      </c>
      <c r="AH9" s="3">
        <v>6798.2510000000002</v>
      </c>
      <c r="AI9" s="3">
        <v>6728.6469999999999</v>
      </c>
      <c r="AJ9" s="3">
        <v>5625.8180000000002</v>
      </c>
      <c r="AK9" s="3">
        <v>5810.902</v>
      </c>
      <c r="AL9" s="3">
        <v>6425.2669999999998</v>
      </c>
      <c r="AM9" s="3">
        <v>6419.0050175706137</v>
      </c>
      <c r="AN9" s="151">
        <v>4399.4660000000003</v>
      </c>
      <c r="AO9" s="151">
        <v>4536.5290000000005</v>
      </c>
      <c r="AP9" s="151">
        <v>4061.6289999999999</v>
      </c>
      <c r="AQ9" s="151">
        <v>4075.9459999999999</v>
      </c>
      <c r="AR9" s="151">
        <v>3897.4520000000002</v>
      </c>
      <c r="AS9" s="151">
        <v>4422.0259999999998</v>
      </c>
      <c r="AT9" s="151">
        <v>3708.54</v>
      </c>
      <c r="AU9" s="151">
        <v>3484.462</v>
      </c>
      <c r="AV9" s="3">
        <v>3315.9360000000001</v>
      </c>
      <c r="AW9" s="3">
        <v>2804.0250000000001</v>
      </c>
      <c r="AX9" s="3">
        <v>2854.0219999999999</v>
      </c>
      <c r="AY9" s="3">
        <v>2879.1149999999998</v>
      </c>
      <c r="AZ9" s="3">
        <v>2748.8470000000002</v>
      </c>
      <c r="BA9" s="3">
        <v>2674.4720000000002</v>
      </c>
      <c r="BB9" s="3">
        <v>2529.2469999999998</v>
      </c>
      <c r="BC9" s="3">
        <v>2112.2359999999999</v>
      </c>
      <c r="BD9" s="3">
        <v>1933.425</v>
      </c>
      <c r="BE9" s="3">
        <v>1439.123</v>
      </c>
      <c r="BF9" s="3">
        <v>1392.9499543721238</v>
      </c>
      <c r="BG9" s="151">
        <v>0</v>
      </c>
      <c r="BH9" s="151">
        <v>0</v>
      </c>
      <c r="BI9" s="151">
        <v>0</v>
      </c>
      <c r="BJ9" s="151">
        <v>0</v>
      </c>
      <c r="BK9" s="151">
        <v>0</v>
      </c>
      <c r="BL9" s="151">
        <v>0</v>
      </c>
      <c r="BM9" s="151">
        <v>0</v>
      </c>
      <c r="BN9" s="151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153">
        <v>0</v>
      </c>
      <c r="BZ9" s="151">
        <v>406.18099999999998</v>
      </c>
      <c r="CA9" s="151">
        <v>413.012</v>
      </c>
      <c r="CB9" s="151">
        <v>427.27100000000002</v>
      </c>
      <c r="CC9" s="151">
        <v>446.14</v>
      </c>
      <c r="CD9" s="151">
        <v>422.87700000000001</v>
      </c>
      <c r="CE9" s="151">
        <v>409.572</v>
      </c>
      <c r="CF9" s="151">
        <v>413.02</v>
      </c>
      <c r="CG9" s="151">
        <v>401.37400000000002</v>
      </c>
      <c r="CH9" s="3">
        <v>402.61399999999998</v>
      </c>
      <c r="CI9" s="3">
        <v>416.202</v>
      </c>
      <c r="CJ9" s="3">
        <v>429.05799999999999</v>
      </c>
      <c r="CK9" s="3">
        <v>429.41699999999997</v>
      </c>
      <c r="CL9" s="3">
        <v>439.34899999999999</v>
      </c>
      <c r="CM9" s="3">
        <v>435.24400000000003</v>
      </c>
      <c r="CN9" s="3">
        <v>446.322</v>
      </c>
      <c r="CO9" s="3">
        <v>447.19</v>
      </c>
      <c r="CP9" s="3">
        <v>432.654</v>
      </c>
      <c r="CQ9" s="3">
        <v>424.02699999999999</v>
      </c>
      <c r="CR9" s="3">
        <v>423.16690466531441</v>
      </c>
      <c r="CS9" s="151">
        <v>117.71299999999999</v>
      </c>
      <c r="CT9" s="151">
        <v>-596.303</v>
      </c>
      <c r="CU9" s="151">
        <v>-81.685000000000002</v>
      </c>
      <c r="CV9" s="151">
        <v>125.107</v>
      </c>
      <c r="CW9" s="151">
        <v>28.719000000000001</v>
      </c>
      <c r="CX9" s="151">
        <v>-97.591999999999999</v>
      </c>
      <c r="CY9" s="151">
        <v>113.5</v>
      </c>
      <c r="CZ9" s="151">
        <v>448.32299999999998</v>
      </c>
      <c r="DA9" s="3">
        <v>93.034999999999997</v>
      </c>
      <c r="DB9" s="3">
        <v>245.48599999999999</v>
      </c>
      <c r="DC9" s="3">
        <v>508.303</v>
      </c>
      <c r="DD9" s="3">
        <v>434.83199999999999</v>
      </c>
      <c r="DE9" s="3">
        <v>392.32299999999998</v>
      </c>
      <c r="DF9" s="3">
        <v>449.21300000000002</v>
      </c>
      <c r="DG9" s="3">
        <v>499.64400000000001</v>
      </c>
      <c r="DH9" s="3">
        <v>591.79499999999996</v>
      </c>
      <c r="DI9" s="3">
        <v>418.64499999999998</v>
      </c>
      <c r="DJ9" s="3">
        <v>117.17</v>
      </c>
      <c r="DK9" s="3">
        <v>269.32146525371917</v>
      </c>
      <c r="DL9" s="151">
        <v>2835.3301730199701</v>
      </c>
      <c r="DM9" s="151">
        <v>2882.4801456959899</v>
      </c>
      <c r="DN9" s="151">
        <v>3198.2974605904301</v>
      </c>
      <c r="DO9" s="151">
        <v>3193.9403939046501</v>
      </c>
      <c r="DP9" s="151">
        <v>3251.7925960638199</v>
      </c>
      <c r="DQ9" s="151">
        <v>3864.2918518199999</v>
      </c>
      <c r="DR9" s="151">
        <v>3980.7353226330401</v>
      </c>
      <c r="DS9" s="151">
        <v>4137.4549269131503</v>
      </c>
      <c r="DT9" s="3">
        <v>4289.13840957294</v>
      </c>
      <c r="DU9" s="3">
        <v>4495.2074654628796</v>
      </c>
      <c r="DV9" s="3">
        <v>4771.3883885545001</v>
      </c>
      <c r="DW9" s="3">
        <v>4959.0456191841004</v>
      </c>
      <c r="DX9" s="3">
        <v>5521.6544380433697</v>
      </c>
      <c r="DY9" s="3">
        <v>5453.1282430495803</v>
      </c>
      <c r="DZ9" s="3">
        <v>5706.1223625680695</v>
      </c>
      <c r="EA9" s="3">
        <v>5872.4762984618301</v>
      </c>
      <c r="EB9" s="3">
        <v>6635.6550366867205</v>
      </c>
      <c r="EC9" s="3">
        <v>6506.8531536256696</v>
      </c>
      <c r="ED9" s="3">
        <v>6608.844748025328</v>
      </c>
      <c r="EE9" s="151">
        <v>16080.203000000001</v>
      </c>
      <c r="EF9" s="151">
        <v>18131.488000000001</v>
      </c>
      <c r="EG9" s="151">
        <v>16815.2</v>
      </c>
      <c r="EH9" s="151">
        <v>16077.487999999999</v>
      </c>
      <c r="EI9" s="151">
        <v>15352.898000000001</v>
      </c>
      <c r="EJ9" s="151">
        <v>15750.504999999999</v>
      </c>
      <c r="EK9" s="151">
        <v>13992.986000000001</v>
      </c>
      <c r="EL9" s="151">
        <v>12741.588</v>
      </c>
      <c r="EM9" s="3">
        <v>13034.398999999999</v>
      </c>
      <c r="EN9" s="3">
        <v>11750.947</v>
      </c>
      <c r="EO9" s="3">
        <v>11106.564999999999</v>
      </c>
      <c r="EP9" s="3">
        <v>11454.957</v>
      </c>
      <c r="EQ9" s="3">
        <v>11045.383</v>
      </c>
      <c r="ER9" s="3">
        <v>11065.200999999999</v>
      </c>
      <c r="ES9" s="3">
        <v>10226.82</v>
      </c>
      <c r="ET9" s="3">
        <v>8557.768</v>
      </c>
      <c r="EU9" s="3">
        <v>8864.3439999999991</v>
      </c>
      <c r="EV9" s="3">
        <v>8939.8760000000002</v>
      </c>
      <c r="EW9" s="3">
        <v>8527.164700415542</v>
      </c>
      <c r="EX9" s="151">
        <v>19439.427173019973</v>
      </c>
      <c r="EY9" s="151">
        <v>20830.67714569599</v>
      </c>
      <c r="EZ9" s="151">
        <v>20359.083460590431</v>
      </c>
      <c r="FA9" s="151">
        <v>19842.67539390465</v>
      </c>
      <c r="FB9" s="151">
        <v>19056.286596063819</v>
      </c>
      <c r="FC9" s="151">
        <v>19926.776851819999</v>
      </c>
      <c r="FD9" s="151">
        <v>18500.241322633043</v>
      </c>
      <c r="FE9" s="151">
        <v>17728.739926913149</v>
      </c>
      <c r="FF9" s="3">
        <v>17819.18640957294</v>
      </c>
      <c r="FG9" s="3">
        <v>16907.84246546288</v>
      </c>
      <c r="FH9" s="3">
        <v>16815.3143885545</v>
      </c>
      <c r="FI9" s="3">
        <v>17278.251619184099</v>
      </c>
      <c r="FJ9" s="3">
        <v>17398.70943804337</v>
      </c>
      <c r="FK9" s="3">
        <v>17402.786243049581</v>
      </c>
      <c r="FL9" s="3">
        <v>16878.908362568069</v>
      </c>
      <c r="FM9" s="3">
        <v>15469.229298461831</v>
      </c>
      <c r="FN9" s="3">
        <v>16351.29803668672</v>
      </c>
      <c r="FO9" s="3">
        <v>15987.926153625671</v>
      </c>
      <c r="FP9" s="3">
        <v>15828.497818359905</v>
      </c>
      <c r="FQ9" s="3"/>
      <c r="FR9" s="3"/>
    </row>
    <row r="10" spans="1:174">
      <c r="A10" t="s">
        <v>120</v>
      </c>
      <c r="B10" s="151">
        <v>3418.1779999999999</v>
      </c>
      <c r="C10" s="151">
        <v>3346.252</v>
      </c>
      <c r="D10" s="151">
        <v>4343.915</v>
      </c>
      <c r="E10" s="151">
        <v>3470.663</v>
      </c>
      <c r="F10" s="151">
        <v>2571.7260000000001</v>
      </c>
      <c r="G10" s="151">
        <v>4172.5410000000002</v>
      </c>
      <c r="H10" s="151">
        <v>4147.6360000000004</v>
      </c>
      <c r="I10" s="151">
        <v>3488.2379999999998</v>
      </c>
      <c r="J10" s="3">
        <v>4154.4459999999999</v>
      </c>
      <c r="K10" s="3">
        <v>3985.4389999999999</v>
      </c>
      <c r="L10" s="3">
        <v>3203.567</v>
      </c>
      <c r="M10" s="3">
        <v>4244.37</v>
      </c>
      <c r="N10" s="3">
        <v>4330.0789999999997</v>
      </c>
      <c r="O10" s="3">
        <v>4056.319</v>
      </c>
      <c r="P10" s="3">
        <v>3014.694</v>
      </c>
      <c r="Q10" s="3">
        <v>2431.1509999999998</v>
      </c>
      <c r="R10" s="3">
        <v>2658.0259999999998</v>
      </c>
      <c r="S10" s="3">
        <v>2890.6190000000001</v>
      </c>
      <c r="T10" s="3">
        <v>2322.3457737974936</v>
      </c>
      <c r="U10" s="151">
        <v>729.12800000000004</v>
      </c>
      <c r="V10" s="151">
        <v>716.26300000000003</v>
      </c>
      <c r="W10" s="151">
        <v>723.11800000000005</v>
      </c>
      <c r="X10" s="151">
        <v>683.06600000000003</v>
      </c>
      <c r="Y10" s="151">
        <v>515.76800000000003</v>
      </c>
      <c r="Z10" s="151">
        <v>524.53800000000001</v>
      </c>
      <c r="AA10" s="151">
        <v>507.87700000000001</v>
      </c>
      <c r="AB10" s="151">
        <v>509.80599999999998</v>
      </c>
      <c r="AC10" s="3">
        <v>435.35899999999998</v>
      </c>
      <c r="AD10" s="3">
        <v>369.488</v>
      </c>
      <c r="AE10" s="3">
        <v>263.51600000000002</v>
      </c>
      <c r="AF10" s="3">
        <v>413.005</v>
      </c>
      <c r="AG10" s="3">
        <v>153.79499999999999</v>
      </c>
      <c r="AH10" s="3">
        <v>82.613</v>
      </c>
      <c r="AI10" s="3">
        <v>-7.5810000000000004</v>
      </c>
      <c r="AJ10" s="3">
        <v>-126.509</v>
      </c>
      <c r="AK10" s="3">
        <v>-182.81299999999999</v>
      </c>
      <c r="AL10" s="3">
        <v>98.085999999999999</v>
      </c>
      <c r="AM10" s="3">
        <v>97.722381835032436</v>
      </c>
      <c r="AN10" s="151">
        <v>682.46</v>
      </c>
      <c r="AO10" s="151">
        <v>691.20799999999997</v>
      </c>
      <c r="AP10" s="151">
        <v>691.22900000000004</v>
      </c>
      <c r="AQ10" s="151">
        <v>654.44899999999996</v>
      </c>
      <c r="AR10" s="151">
        <v>512.25300000000004</v>
      </c>
      <c r="AS10" s="151">
        <v>562.51099999999997</v>
      </c>
      <c r="AT10" s="151">
        <v>503.28899999999999</v>
      </c>
      <c r="AU10" s="151">
        <v>534.82399999999996</v>
      </c>
      <c r="AV10" s="3">
        <v>486.28500000000003</v>
      </c>
      <c r="AW10" s="3">
        <v>435.55500000000001</v>
      </c>
      <c r="AX10" s="3">
        <v>390.45600000000002</v>
      </c>
      <c r="AY10" s="3">
        <v>428.267</v>
      </c>
      <c r="AZ10" s="3">
        <v>405.95800000000003</v>
      </c>
      <c r="BA10" s="3">
        <v>413.613</v>
      </c>
      <c r="BB10" s="3">
        <v>380.173</v>
      </c>
      <c r="BC10" s="3">
        <v>348.00200000000001</v>
      </c>
      <c r="BD10" s="3">
        <v>394.22300000000001</v>
      </c>
      <c r="BE10" s="3">
        <v>292.09300000000002</v>
      </c>
      <c r="BF10" s="3">
        <v>267.64816032360704</v>
      </c>
      <c r="BG10" s="151">
        <v>0</v>
      </c>
      <c r="BH10" s="151">
        <v>0</v>
      </c>
      <c r="BI10" s="151">
        <v>0</v>
      </c>
      <c r="BJ10" s="151">
        <v>0</v>
      </c>
      <c r="BK10" s="151">
        <v>0</v>
      </c>
      <c r="BL10" s="151">
        <v>0</v>
      </c>
      <c r="BM10" s="151">
        <v>0</v>
      </c>
      <c r="BN10" s="151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153">
        <v>0</v>
      </c>
      <c r="BZ10" s="151">
        <v>0</v>
      </c>
      <c r="CA10" s="151">
        <v>0</v>
      </c>
      <c r="CB10" s="151">
        <v>0</v>
      </c>
      <c r="CC10" s="151">
        <v>0</v>
      </c>
      <c r="CD10" s="151">
        <v>0</v>
      </c>
      <c r="CE10" s="151">
        <v>0</v>
      </c>
      <c r="CF10" s="151">
        <v>0</v>
      </c>
      <c r="CG10" s="151">
        <v>0</v>
      </c>
      <c r="CH10" s="3">
        <v>104.328</v>
      </c>
      <c r="CI10" s="3">
        <v>68.262</v>
      </c>
      <c r="CJ10" s="3">
        <v>47.338999999999999</v>
      </c>
      <c r="CK10" s="3">
        <v>46.36</v>
      </c>
      <c r="CL10" s="3">
        <v>45.097000000000001</v>
      </c>
      <c r="CM10" s="3">
        <v>49.783999999999999</v>
      </c>
      <c r="CN10" s="3">
        <v>42.216999999999999</v>
      </c>
      <c r="CO10" s="3">
        <v>34.223999999999997</v>
      </c>
      <c r="CP10" s="3">
        <v>35.926000000000002</v>
      </c>
      <c r="CQ10" s="3">
        <v>34.899000000000001</v>
      </c>
      <c r="CR10" s="3">
        <v>36.065417708073838</v>
      </c>
      <c r="CS10" s="151">
        <v>-138.26300000000001</v>
      </c>
      <c r="CT10" s="151">
        <v>-64.488</v>
      </c>
      <c r="CU10" s="151">
        <v>-208.083</v>
      </c>
      <c r="CV10" s="151">
        <v>-80.911000000000001</v>
      </c>
      <c r="CW10" s="151">
        <v>7.0510000000000002</v>
      </c>
      <c r="CX10" s="151">
        <v>-279.79399999999998</v>
      </c>
      <c r="CY10" s="151">
        <v>-306.27699999999999</v>
      </c>
      <c r="CZ10" s="151">
        <v>-192.60499999999999</v>
      </c>
      <c r="DA10" s="3">
        <v>-308.512</v>
      </c>
      <c r="DB10" s="3">
        <v>-236.80099999999999</v>
      </c>
      <c r="DC10" s="3">
        <v>-79.536000000000001</v>
      </c>
      <c r="DD10" s="3">
        <v>-175.15</v>
      </c>
      <c r="DE10" s="3">
        <v>-235.08199999999999</v>
      </c>
      <c r="DF10" s="3">
        <v>-163.113</v>
      </c>
      <c r="DG10" s="3">
        <v>185.46899999999999</v>
      </c>
      <c r="DH10" s="3">
        <v>313.32799999999997</v>
      </c>
      <c r="DI10" s="3">
        <v>226.05600000000001</v>
      </c>
      <c r="DJ10" s="3">
        <v>86.93</v>
      </c>
      <c r="DK10" s="3">
        <v>-17.626666666648816</v>
      </c>
      <c r="DL10" s="151">
        <v>588.73400000000004</v>
      </c>
      <c r="DM10" s="151">
        <v>531.93899999999996</v>
      </c>
      <c r="DN10" s="151">
        <v>602.202</v>
      </c>
      <c r="DO10" s="151">
        <v>650.327</v>
      </c>
      <c r="DP10" s="151">
        <v>719.30499999999995</v>
      </c>
      <c r="DQ10" s="151">
        <v>854.23099999999999</v>
      </c>
      <c r="DR10" s="151">
        <v>836.16499999999996</v>
      </c>
      <c r="DS10" s="151">
        <v>861.44200000000001</v>
      </c>
      <c r="DT10" s="3">
        <v>851.13800000000003</v>
      </c>
      <c r="DU10" s="3">
        <v>858.24400000000003</v>
      </c>
      <c r="DV10" s="3">
        <v>933.79100000000005</v>
      </c>
      <c r="DW10" s="3">
        <v>1001.066</v>
      </c>
      <c r="DX10" s="3">
        <v>1075.6790000000001</v>
      </c>
      <c r="DY10" s="3">
        <v>1156.0889999999999</v>
      </c>
      <c r="DZ10" s="3">
        <v>1179.377</v>
      </c>
      <c r="EA10" s="3">
        <v>1319.63</v>
      </c>
      <c r="EB10" s="3">
        <v>1319.855</v>
      </c>
      <c r="EC10" s="3">
        <v>1320.3040000000001</v>
      </c>
      <c r="ED10" s="3">
        <v>1377.9060137721651</v>
      </c>
      <c r="EE10" s="151">
        <v>4829.7659999999996</v>
      </c>
      <c r="EF10" s="151">
        <v>4753.723</v>
      </c>
      <c r="EG10" s="151">
        <v>5758.2620000000006</v>
      </c>
      <c r="EH10" s="151">
        <v>4808.1779999999999</v>
      </c>
      <c r="EI10" s="151">
        <v>3599.7470000000003</v>
      </c>
      <c r="EJ10" s="151">
        <v>5259.59</v>
      </c>
      <c r="EK10" s="151">
        <v>5158.8020000000006</v>
      </c>
      <c r="EL10" s="151">
        <v>4532.8679999999995</v>
      </c>
      <c r="EM10" s="3">
        <v>5076.09</v>
      </c>
      <c r="EN10" s="3">
        <v>4790.482</v>
      </c>
      <c r="EO10" s="3">
        <v>3857.5390000000002</v>
      </c>
      <c r="EP10" s="3">
        <v>5085.6419999999998</v>
      </c>
      <c r="EQ10" s="3">
        <v>4889.8319999999994</v>
      </c>
      <c r="ER10" s="3">
        <v>4552.5450000000001</v>
      </c>
      <c r="ES10" s="3">
        <v>3387.2860000000001</v>
      </c>
      <c r="ET10" s="3">
        <v>2652.6439999999998</v>
      </c>
      <c r="EU10" s="3">
        <v>2869.4359999999997</v>
      </c>
      <c r="EV10" s="3">
        <v>3280.7979999999998</v>
      </c>
      <c r="EW10" s="3">
        <v>2687.7163159561333</v>
      </c>
      <c r="EX10" s="151">
        <v>5280.2370000000001</v>
      </c>
      <c r="EY10" s="151">
        <v>5221.174</v>
      </c>
      <c r="EZ10" s="151">
        <v>6152.3810000000012</v>
      </c>
      <c r="FA10" s="151">
        <v>5377.5940000000001</v>
      </c>
      <c r="FB10" s="151">
        <v>4326.1030000000001</v>
      </c>
      <c r="FC10" s="151">
        <v>5834.027</v>
      </c>
      <c r="FD10" s="151">
        <v>5688.6900000000005</v>
      </c>
      <c r="FE10" s="151">
        <v>5201.7049999999999</v>
      </c>
      <c r="FF10" s="3">
        <v>5723.0440000000008</v>
      </c>
      <c r="FG10" s="3">
        <v>5480.186999999999</v>
      </c>
      <c r="FH10" s="3">
        <v>4759.1329999999998</v>
      </c>
      <c r="FI10" s="3">
        <v>5957.9179999999997</v>
      </c>
      <c r="FJ10" s="3">
        <v>5775.5259999999989</v>
      </c>
      <c r="FK10" s="3">
        <v>5595.3049999999994</v>
      </c>
      <c r="FL10" s="3">
        <v>4794.3490000000002</v>
      </c>
      <c r="FM10" s="3">
        <v>4319.826</v>
      </c>
      <c r="FN10" s="3">
        <v>4451.2729999999992</v>
      </c>
      <c r="FO10" s="3">
        <v>4722.9309999999996</v>
      </c>
      <c r="FP10" s="3">
        <v>4084.061080769723</v>
      </c>
      <c r="FQ10" s="3"/>
      <c r="FR10" s="3"/>
    </row>
    <row r="11" spans="1:174">
      <c r="A11" t="s">
        <v>85</v>
      </c>
      <c r="B11" s="151">
        <v>20516.621999999999</v>
      </c>
      <c r="C11" s="151">
        <v>17851.634999999998</v>
      </c>
      <c r="D11" s="151">
        <v>19980.971000000001</v>
      </c>
      <c r="E11" s="151">
        <v>13446.439</v>
      </c>
      <c r="F11" s="151">
        <v>9665.2279999999992</v>
      </c>
      <c r="G11" s="151">
        <v>7281.0870000000004</v>
      </c>
      <c r="H11" s="151">
        <v>12716.137000000001</v>
      </c>
      <c r="I11" s="151">
        <v>15518.743</v>
      </c>
      <c r="J11" s="3">
        <v>11447.726000000001</v>
      </c>
      <c r="K11" s="3">
        <v>11568.18</v>
      </c>
      <c r="L11" s="3">
        <v>13583.196</v>
      </c>
      <c r="M11" s="3">
        <v>10795.880999999999</v>
      </c>
      <c r="N11" s="3">
        <v>12869.106</v>
      </c>
      <c r="O11" s="3">
        <v>11472.62</v>
      </c>
      <c r="P11" s="3">
        <v>5036.5469999999996</v>
      </c>
      <c r="Q11" s="3">
        <v>3081.364</v>
      </c>
      <c r="R11" s="3">
        <v>3064.2919999999999</v>
      </c>
      <c r="S11" s="3">
        <v>3555.7</v>
      </c>
      <c r="T11" s="3">
        <v>2762.778580533492</v>
      </c>
      <c r="U11" s="151">
        <v>62845.224999999999</v>
      </c>
      <c r="V11" s="151">
        <v>62928.588000000003</v>
      </c>
      <c r="W11" s="151">
        <v>63520.864999999998</v>
      </c>
      <c r="X11" s="151">
        <v>60817.078000000001</v>
      </c>
      <c r="Y11" s="151">
        <v>56424.983</v>
      </c>
      <c r="Z11" s="151">
        <v>54282.356</v>
      </c>
      <c r="AA11" s="151">
        <v>51788.053</v>
      </c>
      <c r="AB11" s="151">
        <v>47793.107000000004</v>
      </c>
      <c r="AC11" s="3">
        <v>46257.733999999997</v>
      </c>
      <c r="AD11" s="3">
        <v>46303.173999999999</v>
      </c>
      <c r="AE11" s="3">
        <v>48564.317999999999</v>
      </c>
      <c r="AF11" s="3">
        <v>49688.974999999999</v>
      </c>
      <c r="AG11" s="3">
        <v>52851.285000000003</v>
      </c>
      <c r="AH11" s="3">
        <v>52799.347999999998</v>
      </c>
      <c r="AI11" s="3">
        <v>51311.241999999998</v>
      </c>
      <c r="AJ11" s="3">
        <v>40349.175999999999</v>
      </c>
      <c r="AK11" s="3">
        <v>45298.258999999998</v>
      </c>
      <c r="AL11" s="3">
        <v>49454.35</v>
      </c>
      <c r="AM11" s="3">
        <v>47285.55074049074</v>
      </c>
      <c r="AN11" s="151">
        <v>29364.008999999998</v>
      </c>
      <c r="AO11" s="151">
        <v>31169.347000000002</v>
      </c>
      <c r="AP11" s="151">
        <v>31306.834999999999</v>
      </c>
      <c r="AQ11" s="151">
        <v>34517.796000000002</v>
      </c>
      <c r="AR11" s="151">
        <v>30846.419000000002</v>
      </c>
      <c r="AS11" s="151">
        <v>30659.276999999998</v>
      </c>
      <c r="AT11" s="151">
        <v>28450.743999999999</v>
      </c>
      <c r="AU11" s="151">
        <v>28220.100999999999</v>
      </c>
      <c r="AV11" s="3">
        <v>25692.868999999999</v>
      </c>
      <c r="AW11" s="3">
        <v>23181.642</v>
      </c>
      <c r="AX11" s="3">
        <v>24102.152999999998</v>
      </c>
      <c r="AY11" s="3">
        <v>24595.004000000001</v>
      </c>
      <c r="AZ11" s="3">
        <v>26829.651000000002</v>
      </c>
      <c r="BA11" s="3">
        <v>26617.239000000001</v>
      </c>
      <c r="BB11" s="3">
        <v>30430.632000000001</v>
      </c>
      <c r="BC11" s="3">
        <v>27470.656999999999</v>
      </c>
      <c r="BD11" s="3">
        <v>29024.848000000002</v>
      </c>
      <c r="BE11" s="3">
        <v>27711.064999999999</v>
      </c>
      <c r="BF11" s="3">
        <v>24670.917401376093</v>
      </c>
      <c r="BG11" s="151">
        <v>14842.39</v>
      </c>
      <c r="BH11" s="151">
        <v>15509.716</v>
      </c>
      <c r="BI11" s="151">
        <v>14214.014999999999</v>
      </c>
      <c r="BJ11" s="151">
        <v>15212.296</v>
      </c>
      <c r="BK11" s="151">
        <v>13783</v>
      </c>
      <c r="BL11" s="151">
        <v>16134.8</v>
      </c>
      <c r="BM11" s="151">
        <v>15044.7</v>
      </c>
      <c r="BN11" s="151">
        <v>15990.5</v>
      </c>
      <c r="BO11" s="3">
        <v>14785</v>
      </c>
      <c r="BP11" s="3">
        <v>14931.1</v>
      </c>
      <c r="BQ11" s="3">
        <v>14903.2</v>
      </c>
      <c r="BR11" s="3">
        <v>15272.9</v>
      </c>
      <c r="BS11" s="3">
        <v>15131.49</v>
      </c>
      <c r="BT11" s="3">
        <v>14478.8</v>
      </c>
      <c r="BU11" s="3">
        <v>15218</v>
      </c>
      <c r="BV11" s="3">
        <v>15174</v>
      </c>
      <c r="BW11" s="3">
        <v>14725</v>
      </c>
      <c r="BX11" s="3">
        <v>15295</v>
      </c>
      <c r="BY11" s="153">
        <v>14827.992124509077</v>
      </c>
      <c r="BZ11" s="151">
        <v>189.261</v>
      </c>
      <c r="CA11" s="151">
        <v>252.126</v>
      </c>
      <c r="CB11" s="151">
        <v>309.18599999999998</v>
      </c>
      <c r="CC11" s="151">
        <v>328.05500000000001</v>
      </c>
      <c r="CD11" s="151">
        <v>426.238</v>
      </c>
      <c r="CE11" s="151">
        <v>322.24799999999999</v>
      </c>
      <c r="CF11" s="151">
        <v>374.31400000000002</v>
      </c>
      <c r="CG11" s="151">
        <v>345.17500000000001</v>
      </c>
      <c r="CH11" s="3">
        <v>352.649</v>
      </c>
      <c r="CI11" s="3">
        <v>374.404</v>
      </c>
      <c r="CJ11" s="3">
        <v>413.69499999999999</v>
      </c>
      <c r="CK11" s="3">
        <v>438.815</v>
      </c>
      <c r="CL11" s="3">
        <v>472.31700000000001</v>
      </c>
      <c r="CM11" s="3">
        <v>547.30499999999995</v>
      </c>
      <c r="CN11" s="3">
        <v>525.78700000000003</v>
      </c>
      <c r="CO11" s="3">
        <v>539.72199999999998</v>
      </c>
      <c r="CP11" s="3">
        <v>517.32399999999996</v>
      </c>
      <c r="CQ11" s="3">
        <v>515.08699999999999</v>
      </c>
      <c r="CR11" s="3">
        <v>493.00607142806535</v>
      </c>
      <c r="CS11" s="151">
        <v>-115.477</v>
      </c>
      <c r="CT11" s="151">
        <v>-282.029</v>
      </c>
      <c r="CU11" s="151">
        <v>-494.49700000000001</v>
      </c>
      <c r="CV11" s="151">
        <v>-949.18299999999999</v>
      </c>
      <c r="CW11" s="151">
        <v>-696.81899999999996</v>
      </c>
      <c r="CX11" s="151">
        <v>-716.50900000000001</v>
      </c>
      <c r="CY11" s="151">
        <v>-523.73199999999997</v>
      </c>
      <c r="CZ11" s="151">
        <v>-962.94100000000003</v>
      </c>
      <c r="DA11" s="3">
        <v>-580.48199999999997</v>
      </c>
      <c r="DB11" s="3">
        <v>-292.863</v>
      </c>
      <c r="DC11" s="3">
        <v>-11.436</v>
      </c>
      <c r="DD11" s="3">
        <v>659.24300000000005</v>
      </c>
      <c r="DE11" s="3">
        <v>788.39200000000005</v>
      </c>
      <c r="DF11" s="3">
        <v>954.6</v>
      </c>
      <c r="DG11" s="3">
        <v>590.05399999999997</v>
      </c>
      <c r="DH11" s="3">
        <v>281.99299999999999</v>
      </c>
      <c r="DI11" s="3">
        <v>73.296999999999997</v>
      </c>
      <c r="DJ11" s="3">
        <v>-1702.6389999999999</v>
      </c>
      <c r="DK11" s="3">
        <v>-1200.0651854323041</v>
      </c>
      <c r="DL11" s="151">
        <v>8392.9599999999991</v>
      </c>
      <c r="DM11" s="151">
        <v>9156.91</v>
      </c>
      <c r="DN11" s="151">
        <v>10000.718000000001</v>
      </c>
      <c r="DO11" s="151">
        <v>10545.269</v>
      </c>
      <c r="DP11" s="151">
        <v>12564.989</v>
      </c>
      <c r="DQ11" s="151">
        <v>15044.344999999999</v>
      </c>
      <c r="DR11" s="151">
        <v>14814.235000000001</v>
      </c>
      <c r="DS11" s="151">
        <v>16123.296</v>
      </c>
      <c r="DT11" s="3">
        <v>17716.014999999999</v>
      </c>
      <c r="DU11" s="3">
        <v>17749.994196617899</v>
      </c>
      <c r="DV11" s="3">
        <v>16601.299052832699</v>
      </c>
      <c r="DW11" s="3">
        <v>16981.8939026464</v>
      </c>
      <c r="DX11" s="3">
        <v>15977.9632195471</v>
      </c>
      <c r="DY11" s="3">
        <v>17434.107661316499</v>
      </c>
      <c r="DZ11" s="3">
        <v>17516.499051017501</v>
      </c>
      <c r="EA11" s="3">
        <v>18129.254574185499</v>
      </c>
      <c r="EB11" s="3">
        <v>18753.231816566298</v>
      </c>
      <c r="EC11" s="3">
        <v>18400.396280691701</v>
      </c>
      <c r="ED11" s="3">
        <v>22202.563302715818</v>
      </c>
      <c r="EE11" s="151">
        <v>112725.856</v>
      </c>
      <c r="EF11" s="151">
        <v>111949.57</v>
      </c>
      <c r="EG11" s="151">
        <v>114808.671</v>
      </c>
      <c r="EH11" s="151">
        <v>108781.31300000001</v>
      </c>
      <c r="EI11" s="151">
        <v>96936.63</v>
      </c>
      <c r="EJ11" s="151">
        <v>92222.720000000001</v>
      </c>
      <c r="EK11" s="151">
        <v>92954.934000000008</v>
      </c>
      <c r="EL11" s="151">
        <v>91531.951000000001</v>
      </c>
      <c r="EM11" s="3">
        <v>83398.328999999998</v>
      </c>
      <c r="EN11" s="3">
        <v>81052.995999999999</v>
      </c>
      <c r="EO11" s="3">
        <v>86249.666999999987</v>
      </c>
      <c r="EP11" s="3">
        <v>85079.86</v>
      </c>
      <c r="EQ11" s="3">
        <v>92550.042000000001</v>
      </c>
      <c r="ER11" s="3">
        <v>90889.206999999995</v>
      </c>
      <c r="ES11" s="3">
        <v>86778.421000000002</v>
      </c>
      <c r="ET11" s="3">
        <v>70901.197</v>
      </c>
      <c r="EU11" s="3">
        <v>77387.399000000005</v>
      </c>
      <c r="EV11" s="3">
        <v>80721.114999999991</v>
      </c>
      <c r="EW11" s="3">
        <v>74719.246722400334</v>
      </c>
      <c r="EX11" s="151">
        <v>136034.99</v>
      </c>
      <c r="EY11" s="151">
        <v>136586.29300000001</v>
      </c>
      <c r="EZ11" s="151">
        <v>138838.09299999999</v>
      </c>
      <c r="FA11" s="151">
        <v>133917.75</v>
      </c>
      <c r="FB11" s="151">
        <v>123014.038</v>
      </c>
      <c r="FC11" s="151">
        <v>123007.60400000001</v>
      </c>
      <c r="FD11" s="151">
        <v>122664.451</v>
      </c>
      <c r="FE11" s="151">
        <v>123027.981</v>
      </c>
      <c r="FF11" s="3">
        <v>115671.511</v>
      </c>
      <c r="FG11" s="3">
        <v>113815.63119661791</v>
      </c>
      <c r="FH11" s="3">
        <v>118156.4250528327</v>
      </c>
      <c r="FI11" s="3">
        <v>118432.71190264641</v>
      </c>
      <c r="FJ11" s="3">
        <v>124920.20421954711</v>
      </c>
      <c r="FK11" s="3">
        <v>124304.0196613165</v>
      </c>
      <c r="FL11" s="3">
        <v>120628.7610510175</v>
      </c>
      <c r="FM11" s="3">
        <v>105026.1665741855</v>
      </c>
      <c r="FN11" s="3">
        <v>111456.25181656631</v>
      </c>
      <c r="FO11" s="3">
        <v>113228.95928069169</v>
      </c>
      <c r="FP11" s="3">
        <v>111042.743035621</v>
      </c>
      <c r="FQ11" s="3"/>
      <c r="FR11" s="3"/>
    </row>
    <row r="12" spans="1:174">
      <c r="A12" t="s">
        <v>2</v>
      </c>
      <c r="B12" s="151">
        <v>4914.3100000000004</v>
      </c>
      <c r="C12" s="151">
        <v>7332.4229999999998</v>
      </c>
      <c r="D12" s="151">
        <v>7205.8620000000001</v>
      </c>
      <c r="E12" s="151">
        <v>5379.9549999999999</v>
      </c>
      <c r="F12" s="151">
        <v>5301.7740000000003</v>
      </c>
      <c r="G12" s="151">
        <v>6877.63</v>
      </c>
      <c r="H12" s="151">
        <v>5978.5360000000001</v>
      </c>
      <c r="I12" s="151">
        <v>4552.7420000000002</v>
      </c>
      <c r="J12" s="3">
        <v>5138.1530000000002</v>
      </c>
      <c r="K12" s="3">
        <v>4497.402</v>
      </c>
      <c r="L12" s="3">
        <v>4120.5879999999997</v>
      </c>
      <c r="M12" s="3">
        <v>4302.0959999999995</v>
      </c>
      <c r="N12" s="3">
        <v>4119.5720000000001</v>
      </c>
      <c r="O12" s="3">
        <v>4213.2830000000004</v>
      </c>
      <c r="P12" s="3">
        <v>3481.7249999999999</v>
      </c>
      <c r="Q12" s="3">
        <v>2869.0430000000001</v>
      </c>
      <c r="R12" s="3">
        <v>2994.3980000000001</v>
      </c>
      <c r="S12" s="3">
        <v>3028.7689999999998</v>
      </c>
      <c r="T12" s="3">
        <v>2388.6946441777604</v>
      </c>
      <c r="U12" s="151">
        <v>9399.0069999999996</v>
      </c>
      <c r="V12" s="151">
        <v>9793.3549999999996</v>
      </c>
      <c r="W12" s="151">
        <v>9236.7870000000003</v>
      </c>
      <c r="X12" s="151">
        <v>9067.1239999999998</v>
      </c>
      <c r="Y12" s="151">
        <v>8622.8649999999998</v>
      </c>
      <c r="Z12" s="151">
        <v>8852.9699999999993</v>
      </c>
      <c r="AA12" s="151">
        <v>8824.8780000000006</v>
      </c>
      <c r="AB12" s="151">
        <v>8269.6080000000002</v>
      </c>
      <c r="AC12" s="3">
        <v>6896.8810000000003</v>
      </c>
      <c r="AD12" s="3">
        <v>7940.1189999999997</v>
      </c>
      <c r="AE12" s="3">
        <v>7121.6090000000004</v>
      </c>
      <c r="AF12" s="3">
        <v>7792.8509999999997</v>
      </c>
      <c r="AG12" s="3">
        <v>7467.4669999999996</v>
      </c>
      <c r="AH12" s="3">
        <v>7503.5950000000003</v>
      </c>
      <c r="AI12" s="3">
        <v>7169.4620000000004</v>
      </c>
      <c r="AJ12" s="3">
        <v>6375.3670000000002</v>
      </c>
      <c r="AK12" s="3">
        <v>5976.2640000000001</v>
      </c>
      <c r="AL12" s="3">
        <v>6474.6549999999997</v>
      </c>
      <c r="AM12" s="3">
        <v>6078.8700285371315</v>
      </c>
      <c r="AN12" s="151">
        <v>3588.8649999999998</v>
      </c>
      <c r="AO12" s="151">
        <v>3873.9259999999999</v>
      </c>
      <c r="AP12" s="151">
        <v>3712.962</v>
      </c>
      <c r="AQ12" s="151">
        <v>3842.0219999999999</v>
      </c>
      <c r="AR12" s="151">
        <v>3465.4229999999998</v>
      </c>
      <c r="AS12" s="151">
        <v>3804.127</v>
      </c>
      <c r="AT12" s="151">
        <v>3334.7570000000001</v>
      </c>
      <c r="AU12" s="151">
        <v>2980.0990000000002</v>
      </c>
      <c r="AV12" s="3">
        <v>2835.328</v>
      </c>
      <c r="AW12" s="3">
        <v>2490.241</v>
      </c>
      <c r="AX12" s="3">
        <v>2215.6489999999999</v>
      </c>
      <c r="AY12" s="3">
        <v>2044.989</v>
      </c>
      <c r="AZ12" s="3">
        <v>1917.5350000000001</v>
      </c>
      <c r="BA12" s="3">
        <v>2158.8249999999998</v>
      </c>
      <c r="BB12" s="3">
        <v>2114.761</v>
      </c>
      <c r="BC12" s="3">
        <v>2099.8719999999998</v>
      </c>
      <c r="BD12" s="3">
        <v>2082.0340000000001</v>
      </c>
      <c r="BE12" s="3">
        <v>1049.402</v>
      </c>
      <c r="BF12" s="3">
        <v>1114.8697088995402</v>
      </c>
      <c r="BG12" s="151">
        <v>6002.8370000000004</v>
      </c>
      <c r="BH12" s="151">
        <v>5908.6840000000002</v>
      </c>
      <c r="BI12" s="151">
        <v>6042.0460000000003</v>
      </c>
      <c r="BJ12" s="151">
        <v>5922.098</v>
      </c>
      <c r="BK12" s="151">
        <v>5762</v>
      </c>
      <c r="BL12" s="151">
        <v>5565</v>
      </c>
      <c r="BM12" s="151">
        <v>5627</v>
      </c>
      <c r="BN12" s="151">
        <v>5536</v>
      </c>
      <c r="BO12" s="3">
        <v>5694</v>
      </c>
      <c r="BP12" s="3">
        <v>5688.5</v>
      </c>
      <c r="BQ12" s="3">
        <v>5606.2</v>
      </c>
      <c r="BR12" s="3">
        <v>5589.8</v>
      </c>
      <c r="BS12" s="3">
        <v>5390.1</v>
      </c>
      <c r="BT12" s="3">
        <v>5444.1</v>
      </c>
      <c r="BU12" s="3">
        <v>5675.9</v>
      </c>
      <c r="BV12" s="3">
        <v>5547.6</v>
      </c>
      <c r="BW12" s="3">
        <v>5609.2</v>
      </c>
      <c r="BX12" s="3">
        <v>6115.2</v>
      </c>
      <c r="BY12" s="153">
        <v>8258.0797737258836</v>
      </c>
      <c r="BZ12" s="151">
        <v>106.38200000000001</v>
      </c>
      <c r="CA12" s="151">
        <v>95.561999999999998</v>
      </c>
      <c r="CB12" s="151">
        <v>98.763000000000005</v>
      </c>
      <c r="CC12" s="151">
        <v>116.39</v>
      </c>
      <c r="CD12" s="151">
        <v>144.64500000000001</v>
      </c>
      <c r="CE12" s="151">
        <v>146.15</v>
      </c>
      <c r="CF12" s="151">
        <v>144.50200000000001</v>
      </c>
      <c r="CG12" s="151">
        <v>183.864</v>
      </c>
      <c r="CH12" s="3">
        <v>209.18100000000001</v>
      </c>
      <c r="CI12" s="3">
        <v>236.26599999999999</v>
      </c>
      <c r="CJ12" s="3">
        <v>239.32400000000001</v>
      </c>
      <c r="CK12" s="3">
        <v>263.27999999999997</v>
      </c>
      <c r="CL12" s="3">
        <v>289.577</v>
      </c>
      <c r="CM12" s="3">
        <v>293.94799999999998</v>
      </c>
      <c r="CN12" s="3">
        <v>295.858</v>
      </c>
      <c r="CO12" s="3">
        <v>293.709</v>
      </c>
      <c r="CP12" s="3">
        <v>322.63299999999998</v>
      </c>
      <c r="CQ12" s="3">
        <v>317.928</v>
      </c>
      <c r="CR12" s="3">
        <v>323.51699797160245</v>
      </c>
      <c r="CS12" s="151">
        <v>1463.027</v>
      </c>
      <c r="CT12" s="151">
        <v>980.31</v>
      </c>
      <c r="CU12" s="151">
        <v>1079.7080000000001</v>
      </c>
      <c r="CV12" s="151">
        <v>1098.194</v>
      </c>
      <c r="CW12" s="151">
        <v>1039.123</v>
      </c>
      <c r="CX12" s="151">
        <v>902.923</v>
      </c>
      <c r="CY12" s="151">
        <v>1191.058</v>
      </c>
      <c r="CZ12" s="151">
        <v>1499.914</v>
      </c>
      <c r="DA12" s="3">
        <v>1351.2470000000001</v>
      </c>
      <c r="DB12" s="3">
        <v>1544.884</v>
      </c>
      <c r="DC12" s="3">
        <v>1404.729</v>
      </c>
      <c r="DD12" s="3">
        <v>1629.4929999999999</v>
      </c>
      <c r="DE12" s="3">
        <v>1756.2339999999999</v>
      </c>
      <c r="DF12" s="3">
        <v>1714.1869999999999</v>
      </c>
      <c r="DG12" s="3">
        <v>1723.3019999999999</v>
      </c>
      <c r="DH12" s="3">
        <v>1298.71</v>
      </c>
      <c r="DI12" s="3">
        <v>1527.7729999999999</v>
      </c>
      <c r="DJ12" s="3">
        <v>1076.268</v>
      </c>
      <c r="DK12" s="3">
        <v>148.24568883563015</v>
      </c>
      <c r="DL12" s="151">
        <v>8085.7619999999997</v>
      </c>
      <c r="DM12" s="151">
        <v>8690.7129999999997</v>
      </c>
      <c r="DN12" s="151">
        <v>8656.9480000000003</v>
      </c>
      <c r="DO12" s="151">
        <v>9091.7510000000002</v>
      </c>
      <c r="DP12" s="151">
        <v>7999.0320000000002</v>
      </c>
      <c r="DQ12" s="151">
        <v>9293.3340000000007</v>
      </c>
      <c r="DR12" s="151">
        <v>9097.3780000000006</v>
      </c>
      <c r="DS12" s="151">
        <v>9954.2199999999993</v>
      </c>
      <c r="DT12" s="3">
        <v>9861.5190000000002</v>
      </c>
      <c r="DU12" s="3">
        <v>10276.225</v>
      </c>
      <c r="DV12" s="3">
        <v>10489.011</v>
      </c>
      <c r="DW12" s="3">
        <v>10635.281000000001</v>
      </c>
      <c r="DX12" s="3">
        <v>11235.546552498299</v>
      </c>
      <c r="DY12" s="3">
        <v>11487.7506132607</v>
      </c>
      <c r="DZ12" s="3">
        <v>11613.7064145409</v>
      </c>
      <c r="EA12" s="3">
        <v>11448.810879430601</v>
      </c>
      <c r="EB12" s="3">
        <v>12987.2629705742</v>
      </c>
      <c r="EC12" s="3">
        <v>12133.3706198529</v>
      </c>
      <c r="ED12" s="3">
        <v>12435.286767048521</v>
      </c>
      <c r="EE12" s="151">
        <v>17902.182000000001</v>
      </c>
      <c r="EF12" s="151">
        <v>20999.703999999998</v>
      </c>
      <c r="EG12" s="151">
        <v>20155.611000000001</v>
      </c>
      <c r="EH12" s="151">
        <v>18289.100999999999</v>
      </c>
      <c r="EI12" s="151">
        <v>17390.061999999998</v>
      </c>
      <c r="EJ12" s="151">
        <v>19534.726999999999</v>
      </c>
      <c r="EK12" s="151">
        <v>18138.171000000002</v>
      </c>
      <c r="EL12" s="151">
        <v>15802.449000000001</v>
      </c>
      <c r="EM12" s="3">
        <v>14870.361999999999</v>
      </c>
      <c r="EN12" s="3">
        <v>14927.762000000001</v>
      </c>
      <c r="EO12" s="3">
        <v>13457.846</v>
      </c>
      <c r="EP12" s="3">
        <v>14139.936</v>
      </c>
      <c r="EQ12" s="3">
        <v>13504.574000000001</v>
      </c>
      <c r="ER12" s="3">
        <v>13875.703000000001</v>
      </c>
      <c r="ES12" s="3">
        <v>12765.948</v>
      </c>
      <c r="ET12" s="3">
        <v>11344.281999999999</v>
      </c>
      <c r="EU12" s="3">
        <v>11052.696</v>
      </c>
      <c r="EV12" s="3">
        <v>10552.825999999999</v>
      </c>
      <c r="EW12" s="3">
        <v>9582.4343816144319</v>
      </c>
      <c r="EX12" s="151">
        <v>33560.19</v>
      </c>
      <c r="EY12" s="151">
        <v>36674.972999999998</v>
      </c>
      <c r="EZ12" s="151">
        <v>36033.076000000001</v>
      </c>
      <c r="FA12" s="151">
        <v>34517.534</v>
      </c>
      <c r="FB12" s="151">
        <v>32334.861999999997</v>
      </c>
      <c r="FC12" s="151">
        <v>35442.133999999998</v>
      </c>
      <c r="FD12" s="151">
        <v>34198.109000000004</v>
      </c>
      <c r="FE12" s="151">
        <v>32976.447</v>
      </c>
      <c r="FF12" s="3">
        <v>31986.309000000001</v>
      </c>
      <c r="FG12" s="3">
        <v>32673.637000000002</v>
      </c>
      <c r="FH12" s="3">
        <v>31197.11</v>
      </c>
      <c r="FI12" s="3">
        <v>32257.79</v>
      </c>
      <c r="FJ12" s="3">
        <v>32176.031552498302</v>
      </c>
      <c r="FK12" s="3">
        <v>32815.688613260703</v>
      </c>
      <c r="FL12" s="3">
        <v>32074.714414540897</v>
      </c>
      <c r="FM12" s="3">
        <v>29933.111879430595</v>
      </c>
      <c r="FN12" s="3">
        <v>31499.564970574203</v>
      </c>
      <c r="FO12" s="3">
        <v>30195.592619852898</v>
      </c>
      <c r="FP12" s="3">
        <v>30747.56360919607</v>
      </c>
      <c r="FQ12" s="3"/>
      <c r="FR12" s="3"/>
    </row>
    <row r="13" spans="1:174">
      <c r="A13" t="s">
        <v>82</v>
      </c>
      <c r="B13" s="151">
        <v>14065.181</v>
      </c>
      <c r="C13" s="151">
        <v>12960.495000000001</v>
      </c>
      <c r="D13" s="151">
        <v>13410.790999999999</v>
      </c>
      <c r="E13" s="151">
        <v>12690.17</v>
      </c>
      <c r="F13" s="151">
        <v>11070.674999999999</v>
      </c>
      <c r="G13" s="151">
        <v>11916.643</v>
      </c>
      <c r="H13" s="151">
        <v>10995.088</v>
      </c>
      <c r="I13" s="151">
        <v>12274.555</v>
      </c>
      <c r="J13" s="3">
        <v>12976.879000000001</v>
      </c>
      <c r="K13" s="3">
        <v>9500.3819999999996</v>
      </c>
      <c r="L13" s="3">
        <v>9022.5949999999993</v>
      </c>
      <c r="M13" s="3">
        <v>8792.268</v>
      </c>
      <c r="N13" s="3">
        <v>9624.3639999999996</v>
      </c>
      <c r="O13" s="3">
        <v>8799.1239999999998</v>
      </c>
      <c r="P13" s="3">
        <v>7059.9679999999998</v>
      </c>
      <c r="Q13" s="3">
        <v>5055.8999999999996</v>
      </c>
      <c r="R13" s="3">
        <v>8184.9290000000001</v>
      </c>
      <c r="S13" s="3">
        <v>7203.0559999999996</v>
      </c>
      <c r="T13" s="3">
        <v>5481.8936083919662</v>
      </c>
      <c r="U13" s="151">
        <v>79030.130999999994</v>
      </c>
      <c r="V13" s="151">
        <v>77548.942999999999</v>
      </c>
      <c r="W13" s="151">
        <v>75749.225999999995</v>
      </c>
      <c r="X13" s="151">
        <v>75071.095000000001</v>
      </c>
      <c r="Y13" s="151">
        <v>73244.998999999996</v>
      </c>
      <c r="Z13" s="151">
        <v>69822.991999999998</v>
      </c>
      <c r="AA13" s="151">
        <v>72134.100000000006</v>
      </c>
      <c r="AB13" s="151">
        <v>69731.148000000001</v>
      </c>
      <c r="AC13" s="3">
        <v>68231.123000000007</v>
      </c>
      <c r="AD13" s="3">
        <v>67127.767999999996</v>
      </c>
      <c r="AE13" s="3">
        <v>68669.354000000007</v>
      </c>
      <c r="AF13" s="3">
        <v>66538.478000000003</v>
      </c>
      <c r="AG13" s="3">
        <v>66390.592999999993</v>
      </c>
      <c r="AH13" s="3">
        <v>64675.87</v>
      </c>
      <c r="AI13" s="3">
        <v>65214.27</v>
      </c>
      <c r="AJ13" s="3">
        <v>53297.563000000002</v>
      </c>
      <c r="AK13" s="3">
        <v>56755.529000000002</v>
      </c>
      <c r="AL13" s="3">
        <v>59902.481</v>
      </c>
      <c r="AM13" s="3">
        <v>58546.735664670836</v>
      </c>
      <c r="AN13" s="151">
        <v>39814.438999999998</v>
      </c>
      <c r="AO13" s="151">
        <v>38673.031000000003</v>
      </c>
      <c r="AP13" s="151">
        <v>37358.014000000003</v>
      </c>
      <c r="AQ13" s="151">
        <v>38713.642999999996</v>
      </c>
      <c r="AR13" s="151">
        <v>37408.828000000001</v>
      </c>
      <c r="AS13" s="151">
        <v>41625.896000000001</v>
      </c>
      <c r="AT13" s="151">
        <v>35964.951999999997</v>
      </c>
      <c r="AU13" s="151">
        <v>37193.673999999999</v>
      </c>
      <c r="AV13" s="3">
        <v>37741.381999999998</v>
      </c>
      <c r="AW13" s="3">
        <v>31515.780999999999</v>
      </c>
      <c r="AX13" s="3">
        <v>33903.082999999999</v>
      </c>
      <c r="AY13" s="3">
        <v>37114.19</v>
      </c>
      <c r="AZ13" s="3">
        <v>37315.758999999998</v>
      </c>
      <c r="BA13" s="3">
        <v>35703.303999999996</v>
      </c>
      <c r="BB13" s="3">
        <v>36434.080000000002</v>
      </c>
      <c r="BC13" s="3">
        <v>33894.065999999999</v>
      </c>
      <c r="BD13" s="3">
        <v>35987.618999999999</v>
      </c>
      <c r="BE13" s="3">
        <v>32355.530999999999</v>
      </c>
      <c r="BF13" s="3">
        <v>28650.415670905197</v>
      </c>
      <c r="BG13" s="151">
        <v>116473.51700000001</v>
      </c>
      <c r="BH13" s="151">
        <v>116128.375</v>
      </c>
      <c r="BI13" s="151">
        <v>113429.923</v>
      </c>
      <c r="BJ13" s="151">
        <v>113356.92200000001</v>
      </c>
      <c r="BK13" s="151">
        <v>106857</v>
      </c>
      <c r="BL13" s="151">
        <v>111612</v>
      </c>
      <c r="BM13" s="151">
        <v>115209</v>
      </c>
      <c r="BN13" s="151">
        <v>110863</v>
      </c>
      <c r="BO13" s="3">
        <v>110414.916</v>
      </c>
      <c r="BP13" s="3">
        <v>113747.77</v>
      </c>
      <c r="BQ13" s="3">
        <v>113996.44500000001</v>
      </c>
      <c r="BR13" s="3">
        <v>105078.837</v>
      </c>
      <c r="BS13" s="3">
        <v>103860.74</v>
      </c>
      <c r="BT13" s="3">
        <v>107628.69</v>
      </c>
      <c r="BU13" s="3">
        <v>103987</v>
      </c>
      <c r="BV13" s="3">
        <v>92211</v>
      </c>
      <c r="BW13" s="3">
        <v>98864</v>
      </c>
      <c r="BX13" s="3">
        <v>76809</v>
      </c>
      <c r="BY13" s="153">
        <v>88123.569696100647</v>
      </c>
      <c r="BZ13" s="151">
        <v>1057.92</v>
      </c>
      <c r="CA13" s="151">
        <v>1021.783</v>
      </c>
      <c r="CB13" s="151">
        <v>1105.7460000000001</v>
      </c>
      <c r="CC13" s="151">
        <v>1156.652</v>
      </c>
      <c r="CD13" s="151">
        <v>1235.4259999999999</v>
      </c>
      <c r="CE13" s="151">
        <v>1251.2090000000001</v>
      </c>
      <c r="CF13" s="151">
        <v>1559.3440000000001</v>
      </c>
      <c r="CG13" s="151">
        <v>1609.82</v>
      </c>
      <c r="CH13" s="3">
        <v>1652.4159999999999</v>
      </c>
      <c r="CI13" s="3">
        <v>1695.9690000000001</v>
      </c>
      <c r="CJ13" s="3">
        <v>1680.3420000000001</v>
      </c>
      <c r="CK13" s="3">
        <v>1747.4960000000001</v>
      </c>
      <c r="CL13" s="3">
        <v>1688.229</v>
      </c>
      <c r="CM13" s="3">
        <v>1685.7860000000001</v>
      </c>
      <c r="CN13" s="3">
        <v>1741.731</v>
      </c>
      <c r="CO13" s="3">
        <v>1634.9110000000001</v>
      </c>
      <c r="CP13" s="3">
        <v>1723.6869999999999</v>
      </c>
      <c r="CQ13" s="3">
        <v>1796.193</v>
      </c>
      <c r="CR13" s="3">
        <v>1735.6907407501783</v>
      </c>
      <c r="CS13" s="151">
        <v>-5187.2740000000003</v>
      </c>
      <c r="CT13" s="151">
        <v>-5446.3459999999995</v>
      </c>
      <c r="CU13" s="151">
        <v>-4885.0389999999998</v>
      </c>
      <c r="CV13" s="151">
        <v>-4126.2250000000004</v>
      </c>
      <c r="CW13" s="151">
        <v>-2229.9229999999998</v>
      </c>
      <c r="CX13" s="151">
        <v>-2640.8429999999998</v>
      </c>
      <c r="CY13" s="151">
        <v>-4850.6450000000004</v>
      </c>
      <c r="CZ13" s="151">
        <v>-3828.1170000000002</v>
      </c>
      <c r="DA13" s="3">
        <v>-4166.8959999999997</v>
      </c>
      <c r="DB13" s="3">
        <v>-5777.3</v>
      </c>
      <c r="DC13" s="3">
        <v>-5508.4260000000004</v>
      </c>
      <c r="DD13" s="3">
        <v>-3568.444</v>
      </c>
      <c r="DE13" s="3">
        <v>-3450.4609999999998</v>
      </c>
      <c r="DF13" s="3">
        <v>-5414.1610000000001</v>
      </c>
      <c r="DG13" s="3">
        <v>-4958.4740000000002</v>
      </c>
      <c r="DH13" s="3">
        <v>-3872.674</v>
      </c>
      <c r="DI13" s="3">
        <v>-3860.0390000000002</v>
      </c>
      <c r="DJ13" s="3">
        <v>1284.998</v>
      </c>
      <c r="DK13" s="3">
        <v>-4328.7961822017342</v>
      </c>
      <c r="DL13" s="151">
        <v>15614.818512563301</v>
      </c>
      <c r="DM13" s="151">
        <v>15254.6049469762</v>
      </c>
      <c r="DN13" s="151">
        <v>16511.838166905502</v>
      </c>
      <c r="DO13" s="151">
        <v>18601.004165185801</v>
      </c>
      <c r="DP13" s="151">
        <v>18765.683318238302</v>
      </c>
      <c r="DQ13" s="151">
        <v>20867.4923738416</v>
      </c>
      <c r="DR13" s="151">
        <v>18061.636498423599</v>
      </c>
      <c r="DS13" s="151">
        <v>21269.636214865699</v>
      </c>
      <c r="DT13" s="3">
        <v>23659.8566668577</v>
      </c>
      <c r="DU13" s="3">
        <v>22057.807658259298</v>
      </c>
      <c r="DV13" s="3">
        <v>22695.931894334499</v>
      </c>
      <c r="DW13" s="3">
        <v>24380.8540698385</v>
      </c>
      <c r="DX13" s="3">
        <v>23861.943977070801</v>
      </c>
      <c r="DY13" s="3">
        <v>25809.384845609999</v>
      </c>
      <c r="DZ13" s="3">
        <v>26012.993241616499</v>
      </c>
      <c r="EA13" s="3">
        <v>25815.127567020099</v>
      </c>
      <c r="EB13" s="3">
        <v>27171.0308666284</v>
      </c>
      <c r="EC13" s="3">
        <v>26221.358844558999</v>
      </c>
      <c r="ED13" s="3">
        <v>28895.893567601011</v>
      </c>
      <c r="EE13" s="151">
        <v>132909.75099999999</v>
      </c>
      <c r="EF13" s="151">
        <v>129182.469</v>
      </c>
      <c r="EG13" s="151">
        <v>126518.03099999999</v>
      </c>
      <c r="EH13" s="151">
        <v>126474.908</v>
      </c>
      <c r="EI13" s="151">
        <v>121724.50200000001</v>
      </c>
      <c r="EJ13" s="151">
        <v>123365.53099999999</v>
      </c>
      <c r="EK13" s="151">
        <v>119094.14000000001</v>
      </c>
      <c r="EL13" s="151">
        <v>119199.37700000001</v>
      </c>
      <c r="EM13" s="3">
        <v>118949.38400000001</v>
      </c>
      <c r="EN13" s="3">
        <v>108143.931</v>
      </c>
      <c r="EO13" s="3">
        <v>111595.03200000001</v>
      </c>
      <c r="EP13" s="3">
        <v>112444.936</v>
      </c>
      <c r="EQ13" s="3">
        <v>113330.71599999999</v>
      </c>
      <c r="ER13" s="3">
        <v>109178.29800000001</v>
      </c>
      <c r="ES13" s="3">
        <v>108708.318</v>
      </c>
      <c r="ET13" s="3">
        <v>92247.52900000001</v>
      </c>
      <c r="EU13" s="3">
        <v>100928.07699999999</v>
      </c>
      <c r="EV13" s="3">
        <v>99461.067999999999</v>
      </c>
      <c r="EW13" s="3">
        <v>92679.044943968009</v>
      </c>
      <c r="EX13" s="151">
        <v>260868.73251256329</v>
      </c>
      <c r="EY13" s="151">
        <v>256140.8859469762</v>
      </c>
      <c r="EZ13" s="151">
        <v>252680.4991669055</v>
      </c>
      <c r="FA13" s="151">
        <v>255463.2611651858</v>
      </c>
      <c r="FB13" s="151">
        <v>246352.6883182383</v>
      </c>
      <c r="FC13" s="151">
        <v>254455.38937384161</v>
      </c>
      <c r="FD13" s="151">
        <v>249073.47549842362</v>
      </c>
      <c r="FE13" s="151">
        <v>249113.71621486571</v>
      </c>
      <c r="FF13" s="3">
        <v>250509.67666685767</v>
      </c>
      <c r="FG13" s="3">
        <v>239868.17765825932</v>
      </c>
      <c r="FH13" s="3">
        <v>244459.32489433451</v>
      </c>
      <c r="FI13" s="3">
        <v>240083.67906983852</v>
      </c>
      <c r="FJ13" s="3">
        <v>239291.16797707079</v>
      </c>
      <c r="FK13" s="3">
        <v>238887.99784561002</v>
      </c>
      <c r="FL13" s="3">
        <v>235491.56824161651</v>
      </c>
      <c r="FM13" s="3">
        <v>208035.8935670201</v>
      </c>
      <c r="FN13" s="3">
        <v>224826.7558666284</v>
      </c>
      <c r="FO13" s="3">
        <v>205572.61784455899</v>
      </c>
      <c r="FP13" s="3">
        <v>207105.40276621812</v>
      </c>
      <c r="FQ13" s="3"/>
      <c r="FR13" s="3"/>
    </row>
    <row r="14" spans="1:174">
      <c r="A14" t="s">
        <v>181</v>
      </c>
      <c r="B14" s="151">
        <v>8952.4879999999994</v>
      </c>
      <c r="C14" s="151">
        <v>8427.3940000000002</v>
      </c>
      <c r="D14" s="151">
        <v>8835.9879999999994</v>
      </c>
      <c r="E14" s="151">
        <v>8321.2070000000003</v>
      </c>
      <c r="F14" s="151">
        <v>8425.2569999999996</v>
      </c>
      <c r="G14" s="151">
        <v>7863.0330000000004</v>
      </c>
      <c r="H14" s="151">
        <v>7886.86</v>
      </c>
      <c r="I14" s="151">
        <v>8134.8419999999996</v>
      </c>
      <c r="J14" s="3">
        <v>6981.0039999999999</v>
      </c>
      <c r="K14" s="3">
        <v>6687.0829999999996</v>
      </c>
      <c r="L14" s="3">
        <v>5606.3739999999998</v>
      </c>
      <c r="M14" s="3">
        <v>4369.4840000000004</v>
      </c>
      <c r="N14" s="3">
        <v>4816.6350000000002</v>
      </c>
      <c r="O14" s="3">
        <v>4564.0690000000004</v>
      </c>
      <c r="P14" s="3">
        <v>3196.0880000000002</v>
      </c>
      <c r="Q14" s="3">
        <v>1830.92</v>
      </c>
      <c r="R14" s="3">
        <v>1710.922</v>
      </c>
      <c r="S14" s="3">
        <v>1562.47</v>
      </c>
      <c r="T14" s="3">
        <v>1127.4055439380743</v>
      </c>
      <c r="U14" s="151">
        <v>17059.112000000001</v>
      </c>
      <c r="V14" s="151">
        <v>17013.190999999999</v>
      </c>
      <c r="W14" s="151">
        <v>16108.936</v>
      </c>
      <c r="X14" s="151">
        <v>16595.362000000001</v>
      </c>
      <c r="Y14" s="151">
        <v>15982.334999999999</v>
      </c>
      <c r="Z14" s="151">
        <v>13781.33</v>
      </c>
      <c r="AA14" s="151">
        <v>12676.279</v>
      </c>
      <c r="AB14" s="151">
        <v>12429.116</v>
      </c>
      <c r="AC14" s="3">
        <v>10663.062</v>
      </c>
      <c r="AD14" s="3">
        <v>11180.829</v>
      </c>
      <c r="AE14" s="3">
        <v>11697.286</v>
      </c>
      <c r="AF14" s="3">
        <v>11828.769</v>
      </c>
      <c r="AG14" s="3">
        <v>11460.08</v>
      </c>
      <c r="AH14" s="3">
        <v>11026.079</v>
      </c>
      <c r="AI14" s="3">
        <v>11306.584000000001</v>
      </c>
      <c r="AJ14" s="3">
        <v>9121.5589999999993</v>
      </c>
      <c r="AK14" s="3">
        <v>9756.0130000000008</v>
      </c>
      <c r="AL14" s="3">
        <v>11471.419</v>
      </c>
      <c r="AM14" s="3">
        <v>11464.05299421286</v>
      </c>
      <c r="AN14" s="151">
        <v>2225.4699999999998</v>
      </c>
      <c r="AO14" s="151">
        <v>2617.665</v>
      </c>
      <c r="AP14" s="151">
        <v>3227.06</v>
      </c>
      <c r="AQ14" s="151">
        <v>3316.5369999999998</v>
      </c>
      <c r="AR14" s="151">
        <v>2723.5479999999998</v>
      </c>
      <c r="AS14" s="151">
        <v>2880.6</v>
      </c>
      <c r="AT14" s="151">
        <v>3586.7260000000001</v>
      </c>
      <c r="AU14" s="151">
        <v>3297.8649999999998</v>
      </c>
      <c r="AV14" s="3">
        <v>2914.8150000000001</v>
      </c>
      <c r="AW14" s="3">
        <v>2136.1489999999999</v>
      </c>
      <c r="AX14" s="3">
        <v>2329.1669999999999</v>
      </c>
      <c r="AY14" s="3">
        <v>3343.4059999999999</v>
      </c>
      <c r="AZ14" s="3">
        <v>3796.9920000000002</v>
      </c>
      <c r="BA14" s="3">
        <v>3632.1120000000001</v>
      </c>
      <c r="BB14" s="3">
        <v>4061.3380000000002</v>
      </c>
      <c r="BC14" s="3">
        <v>4553.4790000000003</v>
      </c>
      <c r="BD14" s="3">
        <v>5144.183</v>
      </c>
      <c r="BE14" s="3">
        <v>4382.4040000000005</v>
      </c>
      <c r="BF14" s="3">
        <v>3806.3767859915415</v>
      </c>
      <c r="BG14" s="151">
        <v>0</v>
      </c>
      <c r="BH14" s="151">
        <v>0</v>
      </c>
      <c r="BI14" s="151">
        <v>0</v>
      </c>
      <c r="BJ14" s="151">
        <v>0</v>
      </c>
      <c r="BK14" s="151">
        <v>0</v>
      </c>
      <c r="BL14" s="151">
        <v>0</v>
      </c>
      <c r="BM14" s="151">
        <v>0</v>
      </c>
      <c r="BN14" s="151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153">
        <v>0</v>
      </c>
      <c r="BZ14" s="151">
        <v>24.84</v>
      </c>
      <c r="CA14" s="151">
        <v>5.5650000000000004</v>
      </c>
      <c r="CB14" s="151">
        <v>5.5650000000000004</v>
      </c>
      <c r="CC14" s="151">
        <v>4.0129999999999999</v>
      </c>
      <c r="CD14" s="151">
        <v>4.0359999999999996</v>
      </c>
      <c r="CE14" s="151">
        <v>32.029000000000003</v>
      </c>
      <c r="CF14" s="151">
        <v>28.064</v>
      </c>
      <c r="CG14" s="151">
        <v>14.928000000000001</v>
      </c>
      <c r="CH14" s="3">
        <v>21.09</v>
      </c>
      <c r="CI14" s="3">
        <v>20.731999999999999</v>
      </c>
      <c r="CJ14" s="3">
        <v>89.137</v>
      </c>
      <c r="CK14" s="3">
        <v>60.118000000000002</v>
      </c>
      <c r="CL14" s="3">
        <v>0</v>
      </c>
      <c r="CM14" s="3">
        <v>28.960999999999999</v>
      </c>
      <c r="CN14" s="3">
        <v>41.978000000000002</v>
      </c>
      <c r="CO14" s="3">
        <v>9.673</v>
      </c>
      <c r="CP14" s="3">
        <v>7.8579999999999997</v>
      </c>
      <c r="CQ14" s="3">
        <v>0</v>
      </c>
      <c r="CR14" s="3">
        <v>0</v>
      </c>
      <c r="CS14" s="151">
        <v>325.02100000000002</v>
      </c>
      <c r="CT14" s="151">
        <v>361.30700000000002</v>
      </c>
      <c r="CU14" s="151">
        <v>374.46300000000002</v>
      </c>
      <c r="CV14" s="151">
        <v>482.63099999999997</v>
      </c>
      <c r="CW14" s="151">
        <v>375.49400000000003</v>
      </c>
      <c r="CX14" s="151">
        <v>490.62799999999999</v>
      </c>
      <c r="CY14" s="151">
        <v>277.90199999999999</v>
      </c>
      <c r="CZ14" s="151">
        <v>153.482</v>
      </c>
      <c r="DA14" s="3">
        <v>162.25299999999999</v>
      </c>
      <c r="DB14" s="3">
        <v>758.298</v>
      </c>
      <c r="DC14" s="3">
        <v>826.13900000000001</v>
      </c>
      <c r="DD14" s="3">
        <v>756.32</v>
      </c>
      <c r="DE14" s="3">
        <v>536.28499999999997</v>
      </c>
      <c r="DF14" s="3">
        <v>539.81100000000004</v>
      </c>
      <c r="DG14" s="3">
        <v>855.03</v>
      </c>
      <c r="DH14" s="3">
        <v>762.16700000000003</v>
      </c>
      <c r="DI14" s="3">
        <v>316.767</v>
      </c>
      <c r="DJ14" s="3">
        <v>296.38900000000001</v>
      </c>
      <c r="DK14" s="3">
        <v>296.38900000000001</v>
      </c>
      <c r="DL14" s="151">
        <v>1704.489</v>
      </c>
      <c r="DM14" s="151">
        <v>1848.4</v>
      </c>
      <c r="DN14" s="151">
        <v>1756.6559999999999</v>
      </c>
      <c r="DO14" s="151">
        <v>1755.7270000000001</v>
      </c>
      <c r="DP14" s="151">
        <v>1922.43</v>
      </c>
      <c r="DQ14" s="151">
        <v>2190.6390000000001</v>
      </c>
      <c r="DR14" s="151">
        <v>2198.665</v>
      </c>
      <c r="DS14" s="151">
        <v>2506.89</v>
      </c>
      <c r="DT14" s="3">
        <v>2676.0839999999998</v>
      </c>
      <c r="DU14" s="3">
        <v>2505.9499999999998</v>
      </c>
      <c r="DV14" s="3">
        <v>2840.4119999999998</v>
      </c>
      <c r="DW14" s="3">
        <v>2704.1030000000001</v>
      </c>
      <c r="DX14" s="3">
        <v>2625.4777128116898</v>
      </c>
      <c r="DY14" s="3">
        <v>2817.2883871214199</v>
      </c>
      <c r="DZ14" s="3">
        <v>2827.8285626253901</v>
      </c>
      <c r="EA14" s="3">
        <v>2963.2556087704102</v>
      </c>
      <c r="EB14" s="3">
        <v>3398.4015450463298</v>
      </c>
      <c r="EC14" s="3">
        <v>3213.12718018534</v>
      </c>
      <c r="ED14" s="3">
        <v>3379.1042453379341</v>
      </c>
      <c r="EE14" s="151">
        <v>28237.07</v>
      </c>
      <c r="EF14" s="151">
        <v>28058.25</v>
      </c>
      <c r="EG14" s="151">
        <v>28171.984</v>
      </c>
      <c r="EH14" s="151">
        <v>28233.106000000003</v>
      </c>
      <c r="EI14" s="151">
        <v>27131.139999999996</v>
      </c>
      <c r="EJ14" s="151">
        <v>24524.963</v>
      </c>
      <c r="EK14" s="151">
        <v>24149.864999999998</v>
      </c>
      <c r="EL14" s="151">
        <v>23861.822999999997</v>
      </c>
      <c r="EM14" s="3">
        <v>20558.880999999998</v>
      </c>
      <c r="EN14" s="3">
        <v>20004.061000000002</v>
      </c>
      <c r="EO14" s="3">
        <v>19632.827000000001</v>
      </c>
      <c r="EP14" s="3">
        <v>19541.659</v>
      </c>
      <c r="EQ14" s="3">
        <v>20073.707000000002</v>
      </c>
      <c r="ER14" s="3">
        <v>19222.260000000002</v>
      </c>
      <c r="ES14" s="3">
        <v>18564.010000000002</v>
      </c>
      <c r="ET14" s="3">
        <v>15505.957999999999</v>
      </c>
      <c r="EU14" s="3">
        <v>16611.118000000002</v>
      </c>
      <c r="EV14" s="3">
        <v>17416.292999999998</v>
      </c>
      <c r="EW14" s="3">
        <v>16397.835324142474</v>
      </c>
      <c r="EX14" s="151">
        <v>30291.420000000002</v>
      </c>
      <c r="EY14" s="151">
        <v>30273.522000000001</v>
      </c>
      <c r="EZ14" s="151">
        <v>30308.667999999998</v>
      </c>
      <c r="FA14" s="151">
        <v>30475.477000000003</v>
      </c>
      <c r="FB14" s="151">
        <v>29433.099999999995</v>
      </c>
      <c r="FC14" s="151">
        <v>27238.258999999998</v>
      </c>
      <c r="FD14" s="151">
        <v>26654.495999999996</v>
      </c>
      <c r="FE14" s="151">
        <v>26537.122999999996</v>
      </c>
      <c r="FF14" s="3">
        <v>23418.307999999997</v>
      </c>
      <c r="FG14" s="3">
        <v>23289.041000000001</v>
      </c>
      <c r="FH14" s="3">
        <v>23388.514999999999</v>
      </c>
      <c r="FI14" s="3">
        <v>23062.199999999997</v>
      </c>
      <c r="FJ14" s="3">
        <v>23235.469712811693</v>
      </c>
      <c r="FK14" s="3">
        <v>22608.320387121421</v>
      </c>
      <c r="FL14" s="3">
        <v>22288.846562625389</v>
      </c>
      <c r="FM14" s="3">
        <v>19241.053608770409</v>
      </c>
      <c r="FN14" s="3">
        <v>20334.144545046332</v>
      </c>
      <c r="FO14" s="3">
        <v>20925.809180185337</v>
      </c>
      <c r="FP14" s="3">
        <v>20073.328569480407</v>
      </c>
      <c r="FQ14" s="3"/>
      <c r="FR14" s="3"/>
    </row>
    <row r="15" spans="1:174">
      <c r="A15" t="s">
        <v>183</v>
      </c>
      <c r="B15" s="151">
        <v>683.59</v>
      </c>
      <c r="C15" s="151">
        <v>634.62900000000002</v>
      </c>
      <c r="D15" s="151">
        <v>689.16800000000001</v>
      </c>
      <c r="E15" s="151">
        <v>709.14099999999996</v>
      </c>
      <c r="F15" s="151">
        <v>506.56799999999998</v>
      </c>
      <c r="G15" s="151">
        <v>682.45100000000002</v>
      </c>
      <c r="H15" s="151">
        <v>702.84500000000003</v>
      </c>
      <c r="I15" s="151">
        <v>631.55499999999995</v>
      </c>
      <c r="J15" s="3">
        <v>674.76400000000001</v>
      </c>
      <c r="K15" s="3">
        <v>646.75400000000002</v>
      </c>
      <c r="L15" s="3">
        <v>605.36199999999997</v>
      </c>
      <c r="M15" s="3">
        <v>651.15099999999995</v>
      </c>
      <c r="N15" s="3">
        <v>392.33499999999998</v>
      </c>
      <c r="O15" s="3">
        <v>366.35500000000002</v>
      </c>
      <c r="P15" s="3">
        <v>418.43099999999998</v>
      </c>
      <c r="Q15" s="3">
        <v>361.19099999999997</v>
      </c>
      <c r="R15" s="3">
        <v>415.33499999999998</v>
      </c>
      <c r="S15" s="3">
        <v>406.488</v>
      </c>
      <c r="T15" s="3">
        <v>336.60467621776507</v>
      </c>
      <c r="U15" s="151">
        <v>4234.6390000000001</v>
      </c>
      <c r="V15" s="151">
        <v>4336.2349999999997</v>
      </c>
      <c r="W15" s="151">
        <v>4407.9690000000001</v>
      </c>
      <c r="X15" s="151">
        <v>4159.4660000000003</v>
      </c>
      <c r="Y15" s="151">
        <v>4110.7389999999996</v>
      </c>
      <c r="Z15" s="151">
        <v>3539.4580000000001</v>
      </c>
      <c r="AA15" s="151">
        <v>3465.9229999999998</v>
      </c>
      <c r="AB15" s="151">
        <v>3135.1170000000002</v>
      </c>
      <c r="AC15" s="3">
        <v>3016.5529999999999</v>
      </c>
      <c r="AD15" s="3">
        <v>2990.2820000000002</v>
      </c>
      <c r="AE15" s="3">
        <v>3127.3229999999999</v>
      </c>
      <c r="AF15" s="3">
        <v>3114.933</v>
      </c>
      <c r="AG15" s="3">
        <v>3350.2840000000001</v>
      </c>
      <c r="AH15" s="3">
        <v>3219.7139999999999</v>
      </c>
      <c r="AI15" s="3">
        <v>3122.3879999999999</v>
      </c>
      <c r="AJ15" s="3">
        <v>2648.877</v>
      </c>
      <c r="AK15" s="3">
        <v>2802.549</v>
      </c>
      <c r="AL15" s="3">
        <v>3151.9659999999999</v>
      </c>
      <c r="AM15" s="3">
        <v>3206.8575344075216</v>
      </c>
      <c r="AN15" s="151">
        <v>1986.433</v>
      </c>
      <c r="AO15" s="151">
        <v>1972.614</v>
      </c>
      <c r="AP15" s="151">
        <v>2286.3069999999998</v>
      </c>
      <c r="AQ15" s="151">
        <v>2170.1210000000001</v>
      </c>
      <c r="AR15" s="151">
        <v>2062.5100000000002</v>
      </c>
      <c r="AS15" s="151">
        <v>2223.152</v>
      </c>
      <c r="AT15" s="151">
        <v>2155.826</v>
      </c>
      <c r="AU15" s="151">
        <v>2015.65</v>
      </c>
      <c r="AV15" s="3">
        <v>1885.963</v>
      </c>
      <c r="AW15" s="3">
        <v>1605.6320000000001</v>
      </c>
      <c r="AX15" s="3">
        <v>1672.3340000000001</v>
      </c>
      <c r="AY15" s="3">
        <v>1791.3520000000001</v>
      </c>
      <c r="AZ15" s="3">
        <v>2084.172</v>
      </c>
      <c r="BA15" s="3">
        <v>1938.3440000000001</v>
      </c>
      <c r="BB15" s="3">
        <v>1991.7909999999999</v>
      </c>
      <c r="BC15" s="3">
        <v>2130.1489999999999</v>
      </c>
      <c r="BD15" s="3">
        <v>2165.0540000000001</v>
      </c>
      <c r="BE15" s="3">
        <v>2081.0039999999999</v>
      </c>
      <c r="BF15" s="3">
        <v>2097.4743343509576</v>
      </c>
      <c r="BG15" s="151">
        <v>0</v>
      </c>
      <c r="BH15" s="151">
        <v>0</v>
      </c>
      <c r="BI15" s="151">
        <v>0</v>
      </c>
      <c r="BJ15" s="151">
        <v>0</v>
      </c>
      <c r="BK15" s="151">
        <v>0</v>
      </c>
      <c r="BL15" s="151">
        <v>0</v>
      </c>
      <c r="BM15" s="151">
        <v>0</v>
      </c>
      <c r="BN15" s="151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153">
        <v>0</v>
      </c>
      <c r="BZ15" s="151">
        <v>4.2039999999999997</v>
      </c>
      <c r="CA15" s="151">
        <v>4.5620000000000003</v>
      </c>
      <c r="CB15" s="151">
        <v>6.4249999999999998</v>
      </c>
      <c r="CC15" s="151">
        <v>8.5030000000000001</v>
      </c>
      <c r="CD15" s="151">
        <v>8.9090000000000007</v>
      </c>
      <c r="CE15" s="151">
        <v>7.6189999999999998</v>
      </c>
      <c r="CF15" s="151">
        <v>4.2750000000000004</v>
      </c>
      <c r="CG15" s="151">
        <v>8.1449999999999996</v>
      </c>
      <c r="CH15" s="3">
        <v>8.7420000000000009</v>
      </c>
      <c r="CI15" s="3">
        <v>10.151</v>
      </c>
      <c r="CJ15" s="3">
        <v>9.3149999999999995</v>
      </c>
      <c r="CK15" s="3">
        <v>10.151</v>
      </c>
      <c r="CL15" s="3">
        <v>11.529</v>
      </c>
      <c r="CM15" s="3">
        <v>19.53</v>
      </c>
      <c r="CN15" s="3">
        <v>26.963000000000001</v>
      </c>
      <c r="CO15" s="3">
        <v>38.939</v>
      </c>
      <c r="CP15" s="3">
        <v>45.177999999999997</v>
      </c>
      <c r="CQ15" s="3">
        <v>46.216999999999999</v>
      </c>
      <c r="CR15" s="3">
        <v>56.842099999999846</v>
      </c>
      <c r="CS15" s="151">
        <v>379.10599999999999</v>
      </c>
      <c r="CT15" s="151">
        <v>430.35300000000001</v>
      </c>
      <c r="CU15" s="151">
        <v>507.05099999999999</v>
      </c>
      <c r="CV15" s="151">
        <v>516.93899999999996</v>
      </c>
      <c r="CW15" s="151">
        <v>430.18099999999998</v>
      </c>
      <c r="CX15" s="151">
        <v>341.18700000000001</v>
      </c>
      <c r="CY15" s="151">
        <v>615.21900000000005</v>
      </c>
      <c r="CZ15" s="151">
        <v>638.95100000000002</v>
      </c>
      <c r="DA15" s="3">
        <v>332.67399999999998</v>
      </c>
      <c r="DB15" s="3">
        <v>339.89699999999999</v>
      </c>
      <c r="DC15" s="3">
        <v>583.74900000000002</v>
      </c>
      <c r="DD15" s="3">
        <v>475.58</v>
      </c>
      <c r="DE15" s="3">
        <v>597.91099999999994</v>
      </c>
      <c r="DF15" s="3">
        <v>463.25</v>
      </c>
      <c r="DG15" s="3">
        <v>527.34299999999996</v>
      </c>
      <c r="DH15" s="3">
        <v>398.90800000000002</v>
      </c>
      <c r="DI15" s="3">
        <v>340.58499999999998</v>
      </c>
      <c r="DJ15" s="3">
        <v>403.68</v>
      </c>
      <c r="DK15" s="3">
        <v>403.68</v>
      </c>
      <c r="DL15" s="151">
        <v>1855.3981671921299</v>
      </c>
      <c r="DM15" s="151">
        <v>1732.5068251647999</v>
      </c>
      <c r="DN15" s="151">
        <v>1536.85213604662</v>
      </c>
      <c r="DO15" s="151">
        <v>1631.25701910767</v>
      </c>
      <c r="DP15" s="151">
        <v>1829.0764405273701</v>
      </c>
      <c r="DQ15" s="151">
        <v>2064.3234854304001</v>
      </c>
      <c r="DR15" s="151">
        <v>1704.19989223273</v>
      </c>
      <c r="DS15" s="151">
        <v>1747.8288542084599</v>
      </c>
      <c r="DT15" s="3">
        <v>2082.3077007738598</v>
      </c>
      <c r="DU15" s="3">
        <v>2004.6287325881301</v>
      </c>
      <c r="DV15" s="3">
        <v>1959.99511598357</v>
      </c>
      <c r="DW15" s="3">
        <v>2002.2824938377801</v>
      </c>
      <c r="DX15" s="3">
        <v>1894.34963246393</v>
      </c>
      <c r="DY15" s="3">
        <v>2168.4424277252301</v>
      </c>
      <c r="DZ15" s="3">
        <v>2121.9172616795599</v>
      </c>
      <c r="EA15" s="3">
        <v>2178.0108542084599</v>
      </c>
      <c r="EB15" s="3">
        <v>2496.37770564632</v>
      </c>
      <c r="EC15" s="3">
        <v>2211.6374305913801</v>
      </c>
      <c r="ED15" s="3">
        <v>2236.2335599876342</v>
      </c>
      <c r="EE15" s="151">
        <v>6904.6620000000003</v>
      </c>
      <c r="EF15" s="151">
        <v>6943.4779999999992</v>
      </c>
      <c r="EG15" s="151">
        <v>7383.4439999999995</v>
      </c>
      <c r="EH15" s="151">
        <v>7038.7280000000001</v>
      </c>
      <c r="EI15" s="151">
        <v>6679.817</v>
      </c>
      <c r="EJ15" s="151">
        <v>6445.0609999999997</v>
      </c>
      <c r="EK15" s="151">
        <v>6324.5940000000001</v>
      </c>
      <c r="EL15" s="151">
        <v>5782.3220000000001</v>
      </c>
      <c r="EM15" s="3">
        <v>5577.28</v>
      </c>
      <c r="EN15" s="3">
        <v>5242.6679999999997</v>
      </c>
      <c r="EO15" s="3">
        <v>5405.0190000000002</v>
      </c>
      <c r="EP15" s="3">
        <v>5557.4359999999997</v>
      </c>
      <c r="EQ15" s="3">
        <v>5826.7910000000002</v>
      </c>
      <c r="ER15" s="3">
        <v>5524.4130000000005</v>
      </c>
      <c r="ES15" s="3">
        <v>5532.61</v>
      </c>
      <c r="ET15" s="3">
        <v>5140.2169999999996</v>
      </c>
      <c r="EU15" s="3">
        <v>5382.9380000000001</v>
      </c>
      <c r="EV15" s="3">
        <v>5639.4579999999996</v>
      </c>
      <c r="EW15" s="3">
        <v>5640.9365449762445</v>
      </c>
      <c r="EX15" s="151">
        <v>9143.3701671921299</v>
      </c>
      <c r="EY15" s="151">
        <v>9110.899825164799</v>
      </c>
      <c r="EZ15" s="151">
        <v>9433.7721360466203</v>
      </c>
      <c r="FA15" s="151">
        <v>9195.4270191076703</v>
      </c>
      <c r="FB15" s="151">
        <v>8947.9834405273687</v>
      </c>
      <c r="FC15" s="151">
        <v>8858.1904854303993</v>
      </c>
      <c r="FD15" s="151">
        <v>8648.2878922327291</v>
      </c>
      <c r="FE15" s="151">
        <v>8177.2468542084607</v>
      </c>
      <c r="FF15" s="3">
        <v>8001.0037007738592</v>
      </c>
      <c r="FG15" s="3">
        <v>7597.3447325881298</v>
      </c>
      <c r="FH15" s="3">
        <v>7958.0781159835697</v>
      </c>
      <c r="FI15" s="3">
        <v>8045.4494938377793</v>
      </c>
      <c r="FJ15" s="3">
        <v>8330.5806324639307</v>
      </c>
      <c r="FK15" s="3">
        <v>8175.6354277252303</v>
      </c>
      <c r="FL15" s="3">
        <v>8208.8332616795597</v>
      </c>
      <c r="FM15" s="3">
        <v>7756.0748542084602</v>
      </c>
      <c r="FN15" s="3">
        <v>8265.0787056463196</v>
      </c>
      <c r="FO15" s="3">
        <v>8300.9924305913792</v>
      </c>
      <c r="FP15" s="3">
        <v>8337.6922049638779</v>
      </c>
      <c r="FQ15" s="3"/>
      <c r="FR15" s="3"/>
    </row>
    <row r="16" spans="1:174">
      <c r="A16" t="s">
        <v>88</v>
      </c>
      <c r="B16" s="151">
        <v>3070.1379999999999</v>
      </c>
      <c r="C16" s="151">
        <v>3075.92</v>
      </c>
      <c r="D16" s="151">
        <v>3128.5369999999998</v>
      </c>
      <c r="E16" s="151">
        <v>3037.9879999999998</v>
      </c>
      <c r="F16" s="151">
        <v>2559.692</v>
      </c>
      <c r="G16" s="151">
        <v>2703.3150000000001</v>
      </c>
      <c r="H16" s="151">
        <v>2708.4270000000001</v>
      </c>
      <c r="I16" s="151">
        <v>2604.277</v>
      </c>
      <c r="J16" s="3">
        <v>2265.0790000000002</v>
      </c>
      <c r="K16" s="3">
        <v>2203.3409999999999</v>
      </c>
      <c r="L16" s="3">
        <v>2345.7719999999999</v>
      </c>
      <c r="M16" s="3">
        <v>2177.4090000000001</v>
      </c>
      <c r="N16" s="3">
        <v>2230.4920000000002</v>
      </c>
      <c r="O16" s="3">
        <v>2132.5129999999999</v>
      </c>
      <c r="P16" s="3">
        <v>1818.4110000000001</v>
      </c>
      <c r="Q16" s="3">
        <v>1675.7429999999999</v>
      </c>
      <c r="R16" s="3">
        <v>1366.454</v>
      </c>
      <c r="S16" s="3">
        <v>1227.9459999999999</v>
      </c>
      <c r="T16" s="3">
        <v>897.05031388642976</v>
      </c>
      <c r="U16" s="151">
        <v>5632.1989999999996</v>
      </c>
      <c r="V16" s="151">
        <v>5876.9110000000001</v>
      </c>
      <c r="W16" s="151">
        <v>5795.3919999999998</v>
      </c>
      <c r="X16" s="151">
        <v>5650</v>
      </c>
      <c r="Y16" s="151">
        <v>5591.4449999999997</v>
      </c>
      <c r="Z16" s="151">
        <v>5186.1869999999999</v>
      </c>
      <c r="AA16" s="151">
        <v>5214.6260000000002</v>
      </c>
      <c r="AB16" s="151">
        <v>4893.4390000000003</v>
      </c>
      <c r="AC16" s="3">
        <v>4744.1580000000004</v>
      </c>
      <c r="AD16" s="3">
        <v>5253.2340000000004</v>
      </c>
      <c r="AE16" s="3">
        <v>5583.64</v>
      </c>
      <c r="AF16" s="3">
        <v>5613.0810000000001</v>
      </c>
      <c r="AG16" s="3">
        <v>5926.223</v>
      </c>
      <c r="AH16" s="3">
        <v>6338.5619999999999</v>
      </c>
      <c r="AI16" s="3">
        <v>6563.7190000000001</v>
      </c>
      <c r="AJ16" s="3">
        <v>5780.4989999999998</v>
      </c>
      <c r="AK16" s="3">
        <v>6215.1859999999997</v>
      </c>
      <c r="AL16" s="3">
        <v>6555.5150000000003</v>
      </c>
      <c r="AM16" s="3">
        <v>6242.7347760950252</v>
      </c>
      <c r="AN16" s="151">
        <v>11734.351000000001</v>
      </c>
      <c r="AO16" s="151">
        <v>11117.799000000001</v>
      </c>
      <c r="AP16" s="151">
        <v>10312.92</v>
      </c>
      <c r="AQ16" s="151">
        <v>10209.286</v>
      </c>
      <c r="AR16" s="151">
        <v>8828.6329999999998</v>
      </c>
      <c r="AS16" s="151">
        <v>9453.6759999999995</v>
      </c>
      <c r="AT16" s="151">
        <v>8944.6910000000007</v>
      </c>
      <c r="AU16" s="151">
        <v>7923.1509999999998</v>
      </c>
      <c r="AV16" s="3">
        <v>7310.6409999999996</v>
      </c>
      <c r="AW16" s="3">
        <v>6486.9089999999997</v>
      </c>
      <c r="AX16" s="3">
        <v>7045.701</v>
      </c>
      <c r="AY16" s="3">
        <v>7540.3459999999995</v>
      </c>
      <c r="AZ16" s="3">
        <v>7984.6940000000004</v>
      </c>
      <c r="BA16" s="3">
        <v>7786.2209999999995</v>
      </c>
      <c r="BB16" s="3">
        <v>7968.4</v>
      </c>
      <c r="BC16" s="3">
        <v>8215.1329999999998</v>
      </c>
      <c r="BD16" s="3">
        <v>8759.9310000000005</v>
      </c>
      <c r="BE16" s="3">
        <v>7578.848</v>
      </c>
      <c r="BF16" s="3">
        <v>6772.9512840101897</v>
      </c>
      <c r="BG16" s="151">
        <v>3616.4659999999999</v>
      </c>
      <c r="BH16" s="151">
        <v>3514.875</v>
      </c>
      <c r="BI16" s="151">
        <v>3824.6779999999999</v>
      </c>
      <c r="BJ16" s="151">
        <v>3862.0520000000001</v>
      </c>
      <c r="BK16" s="151">
        <v>3878</v>
      </c>
      <c r="BL16" s="151">
        <v>3963</v>
      </c>
      <c r="BM16" s="151">
        <v>3964.9</v>
      </c>
      <c r="BN16" s="151">
        <v>3986.1350000000002</v>
      </c>
      <c r="BO16" s="3">
        <v>3869.5259999999998</v>
      </c>
      <c r="BP16" s="3">
        <v>3937.4140000000002</v>
      </c>
      <c r="BQ16" s="3">
        <v>3994.2820000000002</v>
      </c>
      <c r="BR16" s="3">
        <v>4070.7040000000002</v>
      </c>
      <c r="BS16" s="3">
        <v>4084</v>
      </c>
      <c r="BT16" s="3">
        <v>4006</v>
      </c>
      <c r="BU16" s="3">
        <v>4106</v>
      </c>
      <c r="BV16" s="3">
        <v>4053</v>
      </c>
      <c r="BW16" s="3">
        <v>4034</v>
      </c>
      <c r="BX16" s="3">
        <v>3992</v>
      </c>
      <c r="BY16" s="153">
        <v>4018.3565485449599</v>
      </c>
      <c r="BZ16" s="151">
        <v>62.433999999999997</v>
      </c>
      <c r="CA16" s="151">
        <v>74.447999999999993</v>
      </c>
      <c r="CB16" s="151">
        <v>74.281000000000006</v>
      </c>
      <c r="CC16" s="151">
        <v>68.070999999999998</v>
      </c>
      <c r="CD16" s="151">
        <v>73.564999999999998</v>
      </c>
      <c r="CE16" s="151">
        <v>87.847999999999999</v>
      </c>
      <c r="CF16" s="151">
        <v>100.363</v>
      </c>
      <c r="CG16" s="151">
        <v>89.185000000000002</v>
      </c>
      <c r="CH16" s="3">
        <v>83.141999999999996</v>
      </c>
      <c r="CI16" s="3">
        <v>102.465</v>
      </c>
      <c r="CJ16" s="3">
        <v>132.321</v>
      </c>
      <c r="CK16" s="3">
        <v>158.04400000000001</v>
      </c>
      <c r="CL16" s="3">
        <v>163.92</v>
      </c>
      <c r="CM16" s="3">
        <v>194.27699999999999</v>
      </c>
      <c r="CN16" s="3">
        <v>215.08099999999999</v>
      </c>
      <c r="CO16" s="3">
        <v>211.06800000000001</v>
      </c>
      <c r="CP16" s="3">
        <v>244.96</v>
      </c>
      <c r="CQ16" s="3">
        <v>217.30199999999999</v>
      </c>
      <c r="CR16" s="3">
        <v>199.93790305561663</v>
      </c>
      <c r="CS16" s="151">
        <v>535.42600000000004</v>
      </c>
      <c r="CT16" s="151">
        <v>619.69000000000005</v>
      </c>
      <c r="CU16" s="151">
        <v>342.73399999999998</v>
      </c>
      <c r="CV16" s="151">
        <v>335.59800000000001</v>
      </c>
      <c r="CW16" s="151">
        <v>474.03300000000002</v>
      </c>
      <c r="CX16" s="151">
        <v>446.69</v>
      </c>
      <c r="CY16" s="151">
        <v>571.19500000000005</v>
      </c>
      <c r="CZ16" s="151">
        <v>685.03899999999999</v>
      </c>
      <c r="DA16" s="3">
        <v>1021.2380000000001</v>
      </c>
      <c r="DB16" s="3">
        <v>1151.3330000000001</v>
      </c>
      <c r="DC16" s="3">
        <v>1176.7840000000001</v>
      </c>
      <c r="DD16" s="3">
        <v>1092.9490000000001</v>
      </c>
      <c r="DE16" s="3">
        <v>1107.309</v>
      </c>
      <c r="DF16" s="3">
        <v>1233.7059999999999</v>
      </c>
      <c r="DG16" s="3">
        <v>1082.029</v>
      </c>
      <c r="DH16" s="3">
        <v>1004.0410000000001</v>
      </c>
      <c r="DI16" s="3">
        <v>1096.6469999999999</v>
      </c>
      <c r="DJ16" s="3">
        <v>1044.884</v>
      </c>
      <c r="DK16" s="3">
        <v>954.42827518104048</v>
      </c>
      <c r="DL16" s="151">
        <v>1689.6980000000001</v>
      </c>
      <c r="DM16" s="151">
        <v>1704.557</v>
      </c>
      <c r="DN16" s="151">
        <v>1883.1010000000001</v>
      </c>
      <c r="DO16" s="151">
        <v>1992.722</v>
      </c>
      <c r="DP16" s="151">
        <v>2542.5459999999998</v>
      </c>
      <c r="DQ16" s="151">
        <v>2777.5219999999999</v>
      </c>
      <c r="DR16" s="151">
        <v>2886.4189999999999</v>
      </c>
      <c r="DS16" s="151">
        <v>2952.7570000000001</v>
      </c>
      <c r="DT16" s="3">
        <v>3111.5439999999999</v>
      </c>
      <c r="DU16" s="3">
        <v>2860.0740000000001</v>
      </c>
      <c r="DV16" s="3">
        <v>3019.5639999999999</v>
      </c>
      <c r="DW16" s="3">
        <v>3005.1260000000002</v>
      </c>
      <c r="DX16" s="3">
        <v>2966.2343155632002</v>
      </c>
      <c r="DY16" s="3">
        <v>2790.06170249355</v>
      </c>
      <c r="DZ16" s="3">
        <v>2817.6010520684099</v>
      </c>
      <c r="EA16" s="3">
        <v>2947.1793276010299</v>
      </c>
      <c r="EB16" s="3">
        <v>3211.6872208846798</v>
      </c>
      <c r="EC16" s="3">
        <v>3251.6668881245801</v>
      </c>
      <c r="ED16" s="3">
        <v>3398.8282002579072</v>
      </c>
      <c r="EE16" s="151">
        <v>20436.688000000002</v>
      </c>
      <c r="EF16" s="151">
        <v>20070.63</v>
      </c>
      <c r="EG16" s="151">
        <v>19236.849000000002</v>
      </c>
      <c r="EH16" s="151">
        <v>18897.273999999998</v>
      </c>
      <c r="EI16" s="151">
        <v>16979.77</v>
      </c>
      <c r="EJ16" s="151">
        <v>17343.178</v>
      </c>
      <c r="EK16" s="151">
        <v>16867.743999999999</v>
      </c>
      <c r="EL16" s="151">
        <v>15420.867</v>
      </c>
      <c r="EM16" s="3">
        <v>14319.878000000001</v>
      </c>
      <c r="EN16" s="3">
        <v>13943.484</v>
      </c>
      <c r="EO16" s="3">
        <v>14975.113000000001</v>
      </c>
      <c r="EP16" s="3">
        <v>15330.835999999999</v>
      </c>
      <c r="EQ16" s="3">
        <v>16141.409</v>
      </c>
      <c r="ER16" s="3">
        <v>16257.296</v>
      </c>
      <c r="ES16" s="3">
        <v>16350.53</v>
      </c>
      <c r="ET16" s="3">
        <v>15671.375</v>
      </c>
      <c r="EU16" s="3">
        <v>16341.571</v>
      </c>
      <c r="EV16" s="3">
        <v>15362.309000000001</v>
      </c>
      <c r="EW16" s="3">
        <v>13912.736373991644</v>
      </c>
      <c r="EX16" s="151">
        <v>26340.712000000003</v>
      </c>
      <c r="EY16" s="151">
        <v>25984.2</v>
      </c>
      <c r="EZ16" s="151">
        <v>25361.643</v>
      </c>
      <c r="FA16" s="151">
        <v>25155.717000000001</v>
      </c>
      <c r="FB16" s="151">
        <v>23947.913999999997</v>
      </c>
      <c r="FC16" s="151">
        <v>24618.238000000001</v>
      </c>
      <c r="FD16" s="151">
        <v>24390.620999999999</v>
      </c>
      <c r="FE16" s="151">
        <v>23133.983000000004</v>
      </c>
      <c r="FF16" s="3">
        <v>22405.328000000001</v>
      </c>
      <c r="FG16" s="3">
        <v>21994.77</v>
      </c>
      <c r="FH16" s="3">
        <v>23298.063999999998</v>
      </c>
      <c r="FI16" s="3">
        <v>23657.659000000003</v>
      </c>
      <c r="FJ16" s="3">
        <v>24462.8723155632</v>
      </c>
      <c r="FK16" s="3">
        <v>24481.340702493548</v>
      </c>
      <c r="FL16" s="3">
        <v>24571.241052068406</v>
      </c>
      <c r="FM16" s="3">
        <v>23886.663327601029</v>
      </c>
      <c r="FN16" s="3">
        <v>24928.86522088468</v>
      </c>
      <c r="FO16" s="3">
        <v>23868.161888124581</v>
      </c>
      <c r="FP16" s="3">
        <v>22484.287301031167</v>
      </c>
      <c r="FQ16" s="3"/>
      <c r="FR16" s="3"/>
    </row>
    <row r="17" spans="1:174">
      <c r="A17" t="s">
        <v>133</v>
      </c>
      <c r="B17" s="151">
        <v>2644.3710000000001</v>
      </c>
      <c r="C17" s="151">
        <v>2365.3139999999999</v>
      </c>
      <c r="D17" s="151">
        <v>2406.4850000000001</v>
      </c>
      <c r="E17" s="151">
        <v>2412.7420000000002</v>
      </c>
      <c r="F17" s="151">
        <v>2215.6990000000001</v>
      </c>
      <c r="G17" s="151">
        <v>1849.876</v>
      </c>
      <c r="H17" s="151">
        <v>1928.38</v>
      </c>
      <c r="I17" s="151">
        <v>2601.0610000000001</v>
      </c>
      <c r="J17" s="3">
        <v>1692.8019999999999</v>
      </c>
      <c r="K17" s="3">
        <v>1921.5730000000001</v>
      </c>
      <c r="L17" s="3">
        <v>2227.8519999999999</v>
      </c>
      <c r="M17" s="3">
        <v>2223.0129999999999</v>
      </c>
      <c r="N17" s="3">
        <v>1820.088</v>
      </c>
      <c r="O17" s="3">
        <v>1395.4380000000001</v>
      </c>
      <c r="P17" s="3">
        <v>1146.077</v>
      </c>
      <c r="Q17" s="3">
        <v>1047.1980000000001</v>
      </c>
      <c r="R17" s="3">
        <v>1264.2239999999999</v>
      </c>
      <c r="S17" s="3">
        <v>1048.1469999999999</v>
      </c>
      <c r="T17" s="3">
        <v>716.18740202930849</v>
      </c>
      <c r="U17" s="151">
        <v>8265.3250000000007</v>
      </c>
      <c r="V17" s="151">
        <v>8223.0470000000005</v>
      </c>
      <c r="W17" s="151">
        <v>8730.8459999999995</v>
      </c>
      <c r="X17" s="151">
        <v>8105.3710000000001</v>
      </c>
      <c r="Y17" s="151">
        <v>7675.0690000000004</v>
      </c>
      <c r="Z17" s="151">
        <v>7442.7060000000001</v>
      </c>
      <c r="AA17" s="151">
        <v>6629.8329999999996</v>
      </c>
      <c r="AB17" s="151">
        <v>6203.8869999999997</v>
      </c>
      <c r="AC17" s="3">
        <v>6318.0360000000001</v>
      </c>
      <c r="AD17" s="3">
        <v>6280.6120000000001</v>
      </c>
      <c r="AE17" s="3">
        <v>6691.75</v>
      </c>
      <c r="AF17" s="3">
        <v>7068.4179999999997</v>
      </c>
      <c r="AG17" s="3">
        <v>7057.1559999999999</v>
      </c>
      <c r="AH17" s="3">
        <v>7154.009</v>
      </c>
      <c r="AI17" s="3">
        <v>7179.9</v>
      </c>
      <c r="AJ17" s="3">
        <v>5999.4629999999997</v>
      </c>
      <c r="AK17" s="3">
        <v>6339.7370000000001</v>
      </c>
      <c r="AL17" s="3">
        <v>6911.0230000000001</v>
      </c>
      <c r="AM17" s="3">
        <v>6878.9621772778637</v>
      </c>
      <c r="AN17" s="151">
        <v>3495.4450000000002</v>
      </c>
      <c r="AO17" s="151">
        <v>3958.18</v>
      </c>
      <c r="AP17" s="151">
        <v>4249.7539999999999</v>
      </c>
      <c r="AQ17" s="151">
        <v>4517.902</v>
      </c>
      <c r="AR17" s="151">
        <v>4269.0749999999998</v>
      </c>
      <c r="AS17" s="151">
        <v>4701.8140000000003</v>
      </c>
      <c r="AT17" s="151">
        <v>4137.3140000000003</v>
      </c>
      <c r="AU17" s="151">
        <v>4031.3670000000002</v>
      </c>
      <c r="AV17" s="3">
        <v>3852.828</v>
      </c>
      <c r="AW17" s="3">
        <v>3732.2289999999998</v>
      </c>
      <c r="AX17" s="3">
        <v>3758.9650000000001</v>
      </c>
      <c r="AY17" s="3">
        <v>4246.6710000000003</v>
      </c>
      <c r="AZ17" s="3">
        <v>4312.57</v>
      </c>
      <c r="BA17" s="3">
        <v>4487.6019999999999</v>
      </c>
      <c r="BB17" s="3">
        <v>4560.1019999999999</v>
      </c>
      <c r="BC17" s="3">
        <v>4554.6639999999998</v>
      </c>
      <c r="BD17" s="3">
        <v>4376.8519999999999</v>
      </c>
      <c r="BE17" s="3">
        <v>4459.2669999999998</v>
      </c>
      <c r="BF17" s="3">
        <v>4136.366845369932</v>
      </c>
      <c r="BG17" s="151">
        <v>0</v>
      </c>
      <c r="BH17" s="151">
        <v>0</v>
      </c>
      <c r="BI17" s="151">
        <v>0</v>
      </c>
      <c r="BJ17" s="151">
        <v>0</v>
      </c>
      <c r="BK17" s="151">
        <v>0</v>
      </c>
      <c r="BL17" s="151">
        <v>0</v>
      </c>
      <c r="BM17" s="151">
        <v>0</v>
      </c>
      <c r="BN17" s="151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153">
        <v>0</v>
      </c>
      <c r="BZ17" s="151">
        <v>0</v>
      </c>
      <c r="CA17" s="151">
        <v>0</v>
      </c>
      <c r="CB17" s="151">
        <v>0</v>
      </c>
      <c r="CC17" s="151">
        <v>0</v>
      </c>
      <c r="CD17" s="151">
        <v>12.912000000000001</v>
      </c>
      <c r="CE17" s="151">
        <v>8.5519999999999996</v>
      </c>
      <c r="CF17" s="151">
        <v>14.183</v>
      </c>
      <c r="CG17" s="151">
        <v>45.722000000000001</v>
      </c>
      <c r="CH17" s="3">
        <v>61.39</v>
      </c>
      <c r="CI17" s="3">
        <v>66.103999999999999</v>
      </c>
      <c r="CJ17" s="3">
        <v>68.799000000000007</v>
      </c>
      <c r="CK17" s="3">
        <v>66.655000000000001</v>
      </c>
      <c r="CL17" s="3">
        <v>113.264</v>
      </c>
      <c r="CM17" s="3">
        <v>145.465</v>
      </c>
      <c r="CN17" s="3">
        <v>145.31899999999999</v>
      </c>
      <c r="CO17" s="3">
        <v>146.75200000000001</v>
      </c>
      <c r="CP17" s="3">
        <v>142.96299999999999</v>
      </c>
      <c r="CQ17" s="3">
        <v>148.40600000000001</v>
      </c>
      <c r="CR17" s="3">
        <v>165.57047989741756</v>
      </c>
      <c r="CS17" s="151">
        <v>175.76499999999999</v>
      </c>
      <c r="CT17" s="151">
        <v>152.87</v>
      </c>
      <c r="CU17" s="151">
        <v>114.39</v>
      </c>
      <c r="CV17" s="151">
        <v>38.712000000000003</v>
      </c>
      <c r="CW17" s="151">
        <v>65.671000000000006</v>
      </c>
      <c r="CX17" s="151">
        <v>40.441000000000003</v>
      </c>
      <c r="CY17" s="151">
        <v>42.140999999999998</v>
      </c>
      <c r="CZ17" s="151">
        <v>35.552</v>
      </c>
      <c r="DA17" s="3">
        <v>192.79400000000001</v>
      </c>
      <c r="DB17" s="3">
        <v>184.786</v>
      </c>
      <c r="DC17" s="3">
        <v>57.899000000000001</v>
      </c>
      <c r="DD17" s="3">
        <v>-61.198999999999998</v>
      </c>
      <c r="DE17" s="3">
        <v>-58.341000000000001</v>
      </c>
      <c r="DF17" s="3">
        <v>-2.3839999999999999</v>
      </c>
      <c r="DG17" s="3">
        <v>55.42</v>
      </c>
      <c r="DH17" s="3">
        <v>-13.057</v>
      </c>
      <c r="DI17" s="3">
        <v>136.50800000000001</v>
      </c>
      <c r="DJ17" s="3">
        <v>21.658999999999999</v>
      </c>
      <c r="DK17" s="3">
        <v>21.658999999999999</v>
      </c>
      <c r="DL17" s="151">
        <v>366.16131174166401</v>
      </c>
      <c r="DM17" s="151">
        <v>423.1725925289</v>
      </c>
      <c r="DN17" s="151">
        <v>477.92958096875901</v>
      </c>
      <c r="DO17" s="151">
        <v>574.95286443106897</v>
      </c>
      <c r="DP17" s="151">
        <v>662.94926349479294</v>
      </c>
      <c r="DQ17" s="151">
        <v>662.72713547339197</v>
      </c>
      <c r="DR17" s="151">
        <v>798.90591114932602</v>
      </c>
      <c r="DS17" s="151">
        <v>802.73406706792798</v>
      </c>
      <c r="DT17" s="3">
        <v>867.10982392280505</v>
      </c>
      <c r="DU17" s="3">
        <v>981.15993474730101</v>
      </c>
      <c r="DV17" s="3">
        <v>1110.2617646890201</v>
      </c>
      <c r="DW17" s="3">
        <v>1103.38607031623</v>
      </c>
      <c r="DX17" s="3">
        <v>1300.5764391898299</v>
      </c>
      <c r="DY17" s="3">
        <v>1437.7426678131301</v>
      </c>
      <c r="DZ17" s="3">
        <v>1592.86381436897</v>
      </c>
      <c r="EA17" s="3">
        <v>1734.50109525174</v>
      </c>
      <c r="EB17" s="3">
        <v>1563.04835931977</v>
      </c>
      <c r="EC17" s="3">
        <v>1747.7852718066299</v>
      </c>
      <c r="ED17" s="3">
        <v>1863.9441504348827</v>
      </c>
      <c r="EE17" s="151">
        <v>14405.141</v>
      </c>
      <c r="EF17" s="151">
        <v>14546.541000000001</v>
      </c>
      <c r="EG17" s="151">
        <v>15387.084999999999</v>
      </c>
      <c r="EH17" s="151">
        <v>15036.015000000001</v>
      </c>
      <c r="EI17" s="151">
        <v>14159.843000000001</v>
      </c>
      <c r="EJ17" s="151">
        <v>13994.396000000001</v>
      </c>
      <c r="EK17" s="151">
        <v>12695.527</v>
      </c>
      <c r="EL17" s="151">
        <v>12836.315000000001</v>
      </c>
      <c r="EM17" s="3">
        <v>11863.665999999999</v>
      </c>
      <c r="EN17" s="3">
        <v>11934.413999999999</v>
      </c>
      <c r="EO17" s="3">
        <v>12678.566999999999</v>
      </c>
      <c r="EP17" s="3">
        <v>13538.102000000001</v>
      </c>
      <c r="EQ17" s="3">
        <v>13189.814</v>
      </c>
      <c r="ER17" s="3">
        <v>13037.048999999999</v>
      </c>
      <c r="ES17" s="3">
        <v>12886.078999999998</v>
      </c>
      <c r="ET17" s="3">
        <v>11601.325000000001</v>
      </c>
      <c r="EU17" s="3">
        <v>11980.813</v>
      </c>
      <c r="EV17" s="3">
        <v>12418.437</v>
      </c>
      <c r="EW17" s="3">
        <v>11731.516424677104</v>
      </c>
      <c r="EX17" s="151">
        <v>14947.067311741663</v>
      </c>
      <c r="EY17" s="151">
        <v>15122.583592528901</v>
      </c>
      <c r="EZ17" s="151">
        <v>15979.404580968758</v>
      </c>
      <c r="FA17" s="151">
        <v>15649.679864431069</v>
      </c>
      <c r="FB17" s="151">
        <v>14901.375263494794</v>
      </c>
      <c r="FC17" s="151">
        <v>14706.116135473392</v>
      </c>
      <c r="FD17" s="151">
        <v>13550.756911149327</v>
      </c>
      <c r="FE17" s="151">
        <v>13720.323067067928</v>
      </c>
      <c r="FF17" s="3">
        <v>12984.959823922803</v>
      </c>
      <c r="FG17" s="3">
        <v>13166.463934747298</v>
      </c>
      <c r="FH17" s="3">
        <v>13915.526764689019</v>
      </c>
      <c r="FI17" s="3">
        <v>14646.944070316231</v>
      </c>
      <c r="FJ17" s="3">
        <v>14545.313439189829</v>
      </c>
      <c r="FK17" s="3">
        <v>14617.87266781313</v>
      </c>
      <c r="FL17" s="3">
        <v>14679.681814368967</v>
      </c>
      <c r="FM17" s="3">
        <v>13469.521095251741</v>
      </c>
      <c r="FN17" s="3">
        <v>13823.332359319769</v>
      </c>
      <c r="FO17" s="3">
        <v>14336.28727180663</v>
      </c>
      <c r="FP17" s="3">
        <v>13782.690055009405</v>
      </c>
      <c r="FQ17" s="3"/>
      <c r="FR17" s="3"/>
    </row>
    <row r="18" spans="1:174">
      <c r="A18" t="s">
        <v>157</v>
      </c>
      <c r="B18" s="151">
        <v>16305.370999999999</v>
      </c>
      <c r="C18" s="151">
        <v>16505.377</v>
      </c>
      <c r="D18" s="151">
        <v>16160.573</v>
      </c>
      <c r="E18" s="151">
        <v>15635.605</v>
      </c>
      <c r="F18" s="151">
        <v>12266.950999999999</v>
      </c>
      <c r="G18" s="151">
        <v>13543.734</v>
      </c>
      <c r="H18" s="151">
        <v>15168.565000000001</v>
      </c>
      <c r="I18" s="151">
        <v>15574.032999999999</v>
      </c>
      <c r="J18" s="3">
        <v>13406.674000000001</v>
      </c>
      <c r="K18" s="3">
        <v>12966.324000000001</v>
      </c>
      <c r="L18" s="3">
        <v>12233.075999999999</v>
      </c>
      <c r="M18" s="3">
        <v>10983.003000000001</v>
      </c>
      <c r="N18" s="3">
        <v>9341.7970000000005</v>
      </c>
      <c r="O18" s="3">
        <v>8538.1610000000001</v>
      </c>
      <c r="P18" s="3">
        <v>6480.37</v>
      </c>
      <c r="Q18" s="3">
        <v>5094.549</v>
      </c>
      <c r="R18" s="3">
        <v>5532.8450000000003</v>
      </c>
      <c r="S18" s="3">
        <v>7401.7569999999996</v>
      </c>
      <c r="T18" s="3">
        <v>5159.6690454165373</v>
      </c>
      <c r="U18" s="151">
        <v>75864.392000000007</v>
      </c>
      <c r="V18" s="151">
        <v>74238.747000000003</v>
      </c>
      <c r="W18" s="151">
        <v>71999.475000000006</v>
      </c>
      <c r="X18" s="151">
        <v>67758.491999999998</v>
      </c>
      <c r="Y18" s="151">
        <v>62786.631999999998</v>
      </c>
      <c r="Z18" s="151">
        <v>59547.55</v>
      </c>
      <c r="AA18" s="151">
        <v>57355.385999999999</v>
      </c>
      <c r="AB18" s="151">
        <v>51278.597000000002</v>
      </c>
      <c r="AC18" s="3">
        <v>50576.154000000002</v>
      </c>
      <c r="AD18" s="3">
        <v>48066.400999999998</v>
      </c>
      <c r="AE18" s="3">
        <v>50756.425999999999</v>
      </c>
      <c r="AF18" s="3">
        <v>49241.394</v>
      </c>
      <c r="AG18" s="3">
        <v>48221.99</v>
      </c>
      <c r="AH18" s="3">
        <v>48260.669000000002</v>
      </c>
      <c r="AI18" s="3">
        <v>47673.392</v>
      </c>
      <c r="AJ18" s="3">
        <v>38794.133000000002</v>
      </c>
      <c r="AK18" s="3">
        <v>45808.269</v>
      </c>
      <c r="AL18" s="3">
        <v>46426.991999999998</v>
      </c>
      <c r="AM18" s="3">
        <v>45824.647815970224</v>
      </c>
      <c r="AN18" s="151">
        <v>69658.62</v>
      </c>
      <c r="AO18" s="151">
        <v>68245.83</v>
      </c>
      <c r="AP18" s="151">
        <v>68761.801000000007</v>
      </c>
      <c r="AQ18" s="151">
        <v>68824.096999999994</v>
      </c>
      <c r="AR18" s="151">
        <v>63335.211000000003</v>
      </c>
      <c r="AS18" s="151">
        <v>67490.756999999998</v>
      </c>
      <c r="AT18" s="151">
        <v>63387.446000000004</v>
      </c>
      <c r="AU18" s="151">
        <v>60984.802000000003</v>
      </c>
      <c r="AV18" s="3">
        <v>56937.08</v>
      </c>
      <c r="AW18" s="3">
        <v>50196.667999999998</v>
      </c>
      <c r="AX18" s="3">
        <v>54728.999000000003</v>
      </c>
      <c r="AY18" s="3">
        <v>57426.999000000003</v>
      </c>
      <c r="AZ18" s="3">
        <v>60893.502999999997</v>
      </c>
      <c r="BA18" s="3">
        <v>58897.313999999998</v>
      </c>
      <c r="BB18" s="3">
        <v>60306.144</v>
      </c>
      <c r="BC18" s="3">
        <v>57632.523999999998</v>
      </c>
      <c r="BD18" s="3">
        <v>61766.6</v>
      </c>
      <c r="BE18" s="3">
        <v>55553.911999999997</v>
      </c>
      <c r="BF18" s="3">
        <v>49929.095917453429</v>
      </c>
      <c r="BG18" s="151">
        <v>0</v>
      </c>
      <c r="BH18" s="151">
        <v>0</v>
      </c>
      <c r="BI18" s="151">
        <v>0</v>
      </c>
      <c r="BJ18" s="151">
        <v>0</v>
      </c>
      <c r="BK18" s="151">
        <v>0</v>
      </c>
      <c r="BL18" s="151">
        <v>0</v>
      </c>
      <c r="BM18" s="151">
        <v>0</v>
      </c>
      <c r="BN18" s="151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153">
        <v>0</v>
      </c>
      <c r="BZ18" s="151">
        <v>672.75699999999995</v>
      </c>
      <c r="CA18" s="151">
        <v>766.00300000000004</v>
      </c>
      <c r="CB18" s="151">
        <v>825.71400000000006</v>
      </c>
      <c r="CC18" s="151">
        <v>751.95899999999995</v>
      </c>
      <c r="CD18" s="151">
        <v>802.37900000000002</v>
      </c>
      <c r="CE18" s="151">
        <v>1041.058</v>
      </c>
      <c r="CF18" s="151">
        <v>1135.1389999999999</v>
      </c>
      <c r="CG18" s="151">
        <v>1132.2729999999999</v>
      </c>
      <c r="CH18" s="3">
        <v>1137.981</v>
      </c>
      <c r="CI18" s="3">
        <v>1157.758</v>
      </c>
      <c r="CJ18" s="3">
        <v>1149.2070000000001</v>
      </c>
      <c r="CK18" s="3">
        <v>1183.123</v>
      </c>
      <c r="CL18" s="3">
        <v>1134.201</v>
      </c>
      <c r="CM18" s="3">
        <v>1132.9839999999999</v>
      </c>
      <c r="CN18" s="3">
        <v>1182.3309999999999</v>
      </c>
      <c r="CO18" s="3">
        <v>1190.1110000000001</v>
      </c>
      <c r="CP18" s="3">
        <v>1141.808</v>
      </c>
      <c r="CQ18" s="3">
        <v>1129.0930000000001</v>
      </c>
      <c r="CR18" s="3">
        <v>1110.1228789301981</v>
      </c>
      <c r="CS18" s="151">
        <v>4226.5690000000004</v>
      </c>
      <c r="CT18" s="151">
        <v>3868.0140000000001</v>
      </c>
      <c r="CU18" s="151">
        <v>3979.6219999999998</v>
      </c>
      <c r="CV18" s="151">
        <v>3442.39</v>
      </c>
      <c r="CW18" s="151">
        <v>3865.7779999999998</v>
      </c>
      <c r="CX18" s="151">
        <v>3797.0770000000002</v>
      </c>
      <c r="CY18" s="151">
        <v>3932.2440000000001</v>
      </c>
      <c r="CZ18" s="151">
        <v>3706.1909999999998</v>
      </c>
      <c r="DA18" s="3">
        <v>3623.2159999999999</v>
      </c>
      <c r="DB18" s="3">
        <v>3758.8989999999999</v>
      </c>
      <c r="DC18" s="3">
        <v>3987.79</v>
      </c>
      <c r="DD18" s="3">
        <v>3183.7489999999998</v>
      </c>
      <c r="DE18" s="3">
        <v>3246.8310000000001</v>
      </c>
      <c r="DF18" s="3">
        <v>3774.616</v>
      </c>
      <c r="DG18" s="3">
        <v>3279.556</v>
      </c>
      <c r="DH18" s="3">
        <v>2768.7350000000001</v>
      </c>
      <c r="DI18" s="3">
        <v>3679.261</v>
      </c>
      <c r="DJ18" s="3">
        <v>3696.2020000000002</v>
      </c>
      <c r="DK18" s="3">
        <v>3696.2020000000002</v>
      </c>
      <c r="DL18" s="151">
        <v>14106.718000000001</v>
      </c>
      <c r="DM18" s="151">
        <v>15326.492</v>
      </c>
      <c r="DN18" s="151">
        <v>16945.995999999999</v>
      </c>
      <c r="DO18" s="151">
        <v>19707.179</v>
      </c>
      <c r="DP18" s="151">
        <v>21026.557000000001</v>
      </c>
      <c r="DQ18" s="151">
        <v>21864.302</v>
      </c>
      <c r="DR18" s="151">
        <v>21025.852999999999</v>
      </c>
      <c r="DS18" s="151">
        <v>23884.74</v>
      </c>
      <c r="DT18" s="3">
        <v>26370.626</v>
      </c>
      <c r="DU18" s="3">
        <v>26512.291000000001</v>
      </c>
      <c r="DV18" s="3">
        <v>26268.705000000002</v>
      </c>
      <c r="DW18" s="3">
        <v>26017.920999999998</v>
      </c>
      <c r="DX18" s="3">
        <v>26170.7085712238</v>
      </c>
      <c r="DY18" s="3">
        <v>26685.5640336295</v>
      </c>
      <c r="DZ18" s="3">
        <v>27013.667505111302</v>
      </c>
      <c r="EA18" s="3">
        <v>26869.3247694659</v>
      </c>
      <c r="EB18" s="3">
        <v>27573.097980796701</v>
      </c>
      <c r="EC18" s="3">
        <v>24951.888793063899</v>
      </c>
      <c r="ED18" s="3">
        <v>25274.611072638068</v>
      </c>
      <c r="EE18" s="151">
        <v>161828.383</v>
      </c>
      <c r="EF18" s="151">
        <v>158989.95400000003</v>
      </c>
      <c r="EG18" s="151">
        <v>156921.84900000002</v>
      </c>
      <c r="EH18" s="151">
        <v>152218.19399999999</v>
      </c>
      <c r="EI18" s="151">
        <v>138388.79399999999</v>
      </c>
      <c r="EJ18" s="151">
        <v>140582.041</v>
      </c>
      <c r="EK18" s="151">
        <v>135911.397</v>
      </c>
      <c r="EL18" s="151">
        <v>127837.432</v>
      </c>
      <c r="EM18" s="3">
        <v>120919.908</v>
      </c>
      <c r="EN18" s="3">
        <v>111229.393</v>
      </c>
      <c r="EO18" s="3">
        <v>117718.501</v>
      </c>
      <c r="EP18" s="3">
        <v>117651.39600000001</v>
      </c>
      <c r="EQ18" s="3">
        <v>118457.29</v>
      </c>
      <c r="ER18" s="3">
        <v>115696.144</v>
      </c>
      <c r="ES18" s="3">
        <v>114459.906</v>
      </c>
      <c r="ET18" s="3">
        <v>101521.20600000001</v>
      </c>
      <c r="EU18" s="3">
        <v>113107.71400000001</v>
      </c>
      <c r="EV18" s="3">
        <v>109382.66099999999</v>
      </c>
      <c r="EW18" s="3">
        <v>100913.4127788402</v>
      </c>
      <c r="EX18" s="151">
        <v>180834.427</v>
      </c>
      <c r="EY18" s="151">
        <v>178950.46300000002</v>
      </c>
      <c r="EZ18" s="151">
        <v>178673.18100000004</v>
      </c>
      <c r="FA18" s="151">
        <v>176119.72200000001</v>
      </c>
      <c r="FB18" s="151">
        <v>164083.50799999997</v>
      </c>
      <c r="FC18" s="151">
        <v>167284.47799999997</v>
      </c>
      <c r="FD18" s="151">
        <v>162004.633</v>
      </c>
      <c r="FE18" s="151">
        <v>156560.636</v>
      </c>
      <c r="FF18" s="3">
        <v>152051.731</v>
      </c>
      <c r="FG18" s="3">
        <v>142658.34100000001</v>
      </c>
      <c r="FH18" s="3">
        <v>149124.20299999998</v>
      </c>
      <c r="FI18" s="3">
        <v>148036.18900000001</v>
      </c>
      <c r="FJ18" s="3">
        <v>149009.03057122379</v>
      </c>
      <c r="FK18" s="3">
        <v>147289.3080336295</v>
      </c>
      <c r="FL18" s="3">
        <v>145935.46050511132</v>
      </c>
      <c r="FM18" s="3">
        <v>132349.37676946592</v>
      </c>
      <c r="FN18" s="3">
        <v>145501.8809807967</v>
      </c>
      <c r="FO18" s="3">
        <v>139159.84479306388</v>
      </c>
      <c r="FP18" s="3">
        <v>130994.34873040847</v>
      </c>
      <c r="FQ18" s="3"/>
      <c r="FR18" s="3"/>
    </row>
    <row r="19" spans="1:174">
      <c r="A19" t="s">
        <v>137</v>
      </c>
      <c r="B19" s="151">
        <v>184.31299999999999</v>
      </c>
      <c r="C19" s="151">
        <v>250.922</v>
      </c>
      <c r="D19" s="151">
        <v>248.76400000000001</v>
      </c>
      <c r="E19" s="151">
        <v>210.886</v>
      </c>
      <c r="F19" s="151">
        <v>167.06</v>
      </c>
      <c r="G19" s="151">
        <v>205.964</v>
      </c>
      <c r="H19" s="151">
        <v>239.321</v>
      </c>
      <c r="I19" s="151">
        <v>233.52600000000001</v>
      </c>
      <c r="J19" s="3">
        <v>268.02100000000002</v>
      </c>
      <c r="K19" s="3">
        <v>226.71299999999999</v>
      </c>
      <c r="L19" s="3">
        <v>180.709</v>
      </c>
      <c r="M19" s="3">
        <v>184.28899999999999</v>
      </c>
      <c r="N19" s="3">
        <v>196.79300000000001</v>
      </c>
      <c r="O19" s="3">
        <v>209.95</v>
      </c>
      <c r="P19" s="3">
        <v>196.505</v>
      </c>
      <c r="Q19" s="3">
        <v>152.76499999999999</v>
      </c>
      <c r="R19" s="3">
        <v>182.00899999999999</v>
      </c>
      <c r="S19" s="3">
        <v>180.721</v>
      </c>
      <c r="T19" s="3">
        <v>116.24116693944354</v>
      </c>
      <c r="U19" s="151">
        <v>2465.9589999999998</v>
      </c>
      <c r="V19" s="151">
        <v>2473.645</v>
      </c>
      <c r="W19" s="151">
        <v>2483.2800000000002</v>
      </c>
      <c r="X19" s="151">
        <v>2704.6239999999998</v>
      </c>
      <c r="Y19" s="151">
        <v>2345.89</v>
      </c>
      <c r="Z19" s="151">
        <v>2370.3150000000001</v>
      </c>
      <c r="AA19" s="151">
        <v>2275.5610000000001</v>
      </c>
      <c r="AB19" s="151">
        <v>2365.89</v>
      </c>
      <c r="AC19" s="3">
        <v>2309.1350000000002</v>
      </c>
      <c r="AD19" s="3">
        <v>2384</v>
      </c>
      <c r="AE19" s="3">
        <v>2425.8670000000002</v>
      </c>
      <c r="AF19" s="3">
        <v>2629.2460000000001</v>
      </c>
      <c r="AG19" s="3">
        <v>2685.1219999999998</v>
      </c>
      <c r="AH19" s="3">
        <v>2814.0970000000002</v>
      </c>
      <c r="AI19" s="3">
        <v>2772.877</v>
      </c>
      <c r="AJ19" s="3">
        <v>2643.4380000000001</v>
      </c>
      <c r="AK19" s="3">
        <v>2678.9340000000002</v>
      </c>
      <c r="AL19" s="3">
        <v>2794.8040000000001</v>
      </c>
      <c r="AM19" s="3">
        <v>2916.4684768645288</v>
      </c>
      <c r="AN19" s="151">
        <v>1966.875</v>
      </c>
      <c r="AO19" s="151">
        <v>1900.2149999999999</v>
      </c>
      <c r="AP19" s="151">
        <v>1846.26</v>
      </c>
      <c r="AQ19" s="151">
        <v>1721.41</v>
      </c>
      <c r="AR19" s="151">
        <v>1657.6089999999999</v>
      </c>
      <c r="AS19" s="151">
        <v>2010.769</v>
      </c>
      <c r="AT19" s="151">
        <v>1754.8579999999999</v>
      </c>
      <c r="AU19" s="151">
        <v>1654.664</v>
      </c>
      <c r="AV19" s="3">
        <v>1401.6980000000001</v>
      </c>
      <c r="AW19" s="3">
        <v>1190.9929999999999</v>
      </c>
      <c r="AX19" s="3">
        <v>1125.6659999999999</v>
      </c>
      <c r="AY19" s="3">
        <v>1000.86</v>
      </c>
      <c r="AZ19" s="3">
        <v>925.99699999999996</v>
      </c>
      <c r="BA19" s="3">
        <v>917.97699999999998</v>
      </c>
      <c r="BB19" s="3">
        <v>905.76099999999997</v>
      </c>
      <c r="BC19" s="3">
        <v>1066.24</v>
      </c>
      <c r="BD19" s="3">
        <v>1086.684</v>
      </c>
      <c r="BE19" s="3">
        <v>803.44200000000001</v>
      </c>
      <c r="BF19" s="3">
        <v>775.14756421105028</v>
      </c>
      <c r="BG19" s="151">
        <v>2804.7579999999998</v>
      </c>
      <c r="BH19" s="151">
        <v>2374.3620000000001</v>
      </c>
      <c r="BI19" s="151">
        <v>2674.5340000000001</v>
      </c>
      <c r="BJ19" s="151">
        <v>2686.6869999999999</v>
      </c>
      <c r="BK19" s="151">
        <v>2938.6790000000001</v>
      </c>
      <c r="BL19" s="151">
        <v>0</v>
      </c>
      <c r="BM19" s="151">
        <v>0</v>
      </c>
      <c r="BN19" s="151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153">
        <v>0</v>
      </c>
      <c r="BZ19" s="151">
        <v>0</v>
      </c>
      <c r="CA19" s="151">
        <v>0</v>
      </c>
      <c r="CB19" s="151">
        <v>0</v>
      </c>
      <c r="CC19" s="151">
        <v>0</v>
      </c>
      <c r="CD19" s="151">
        <v>0</v>
      </c>
      <c r="CE19" s="151">
        <v>0</v>
      </c>
      <c r="CF19" s="151">
        <v>0</v>
      </c>
      <c r="CG19" s="151">
        <v>0</v>
      </c>
      <c r="CH19" s="3">
        <v>14.88</v>
      </c>
      <c r="CI19" s="3">
        <v>18.056999999999999</v>
      </c>
      <c r="CJ19" s="3">
        <v>22.523</v>
      </c>
      <c r="CK19" s="3">
        <v>49.274000000000001</v>
      </c>
      <c r="CL19" s="3">
        <v>33.652999999999999</v>
      </c>
      <c r="CM19" s="3">
        <v>35.755000000000003</v>
      </c>
      <c r="CN19" s="3">
        <v>35.994</v>
      </c>
      <c r="CO19" s="3">
        <v>58.588999999999999</v>
      </c>
      <c r="CP19" s="3">
        <v>90.713999999999999</v>
      </c>
      <c r="CQ19" s="3">
        <v>88.516000000000005</v>
      </c>
      <c r="CR19" s="3">
        <v>103.96033471810091</v>
      </c>
      <c r="CS19" s="151">
        <v>-255.03</v>
      </c>
      <c r="CT19" s="151">
        <v>-36.801000000000002</v>
      </c>
      <c r="CU19" s="151">
        <v>-117.971</v>
      </c>
      <c r="CV19" s="151">
        <v>-82.287000000000006</v>
      </c>
      <c r="CW19" s="151">
        <v>-252.107</v>
      </c>
      <c r="CX19" s="151">
        <v>515.04700000000003</v>
      </c>
      <c r="CY19" s="151">
        <v>579.45000000000005</v>
      </c>
      <c r="CZ19" s="151">
        <v>569.13199999999995</v>
      </c>
      <c r="DA19" s="3">
        <v>597.24800000000005</v>
      </c>
      <c r="DB19" s="3">
        <v>655.46</v>
      </c>
      <c r="DC19" s="3">
        <v>619.77599999999995</v>
      </c>
      <c r="DD19" s="3">
        <v>711.52200000000005</v>
      </c>
      <c r="DE19" s="3">
        <v>746.10500000000002</v>
      </c>
      <c r="DF19" s="3">
        <v>828.24599999999998</v>
      </c>
      <c r="DG19" s="3">
        <v>803.40499999999997</v>
      </c>
      <c r="DH19" s="3">
        <v>680.00900000000001</v>
      </c>
      <c r="DI19" s="3">
        <v>777.61800000000005</v>
      </c>
      <c r="DJ19" s="3">
        <v>736.68100000000004</v>
      </c>
      <c r="DK19" s="3">
        <v>595.80375665038002</v>
      </c>
      <c r="DL19" s="151">
        <v>881.12199999999996</v>
      </c>
      <c r="DM19" s="151">
        <v>930.74900000000002</v>
      </c>
      <c r="DN19" s="151">
        <v>964.01099999999997</v>
      </c>
      <c r="DO19" s="151">
        <v>1021.1</v>
      </c>
      <c r="DP19" s="151">
        <v>1051.9970000000001</v>
      </c>
      <c r="DQ19" s="151">
        <v>1064.9469999999999</v>
      </c>
      <c r="DR19" s="151">
        <v>1056.6020000000001</v>
      </c>
      <c r="DS19" s="151">
        <v>1161.3399999999999</v>
      </c>
      <c r="DT19" s="3">
        <v>1212.2719999999999</v>
      </c>
      <c r="DU19" s="3">
        <v>1277.028</v>
      </c>
      <c r="DV19" s="3">
        <v>1418.9359999999999</v>
      </c>
      <c r="DW19" s="3">
        <v>1464.35</v>
      </c>
      <c r="DX19" s="3">
        <v>1573.395</v>
      </c>
      <c r="DY19" s="3">
        <v>1563.94518018534</v>
      </c>
      <c r="DZ19" s="3">
        <v>1563.42218152288</v>
      </c>
      <c r="EA19" s="3">
        <v>1625.4986478456101</v>
      </c>
      <c r="EB19" s="3">
        <v>1810.9562990350601</v>
      </c>
      <c r="EC19" s="3">
        <v>1707.90201356645</v>
      </c>
      <c r="ED19" s="3">
        <v>1695.0957405845575</v>
      </c>
      <c r="EE19" s="151">
        <v>4617.1469999999999</v>
      </c>
      <c r="EF19" s="151">
        <v>4624.7820000000002</v>
      </c>
      <c r="EG19" s="151">
        <v>4578.3040000000001</v>
      </c>
      <c r="EH19" s="151">
        <v>4636.92</v>
      </c>
      <c r="EI19" s="151">
        <v>4170.5589999999993</v>
      </c>
      <c r="EJ19" s="151">
        <v>4587.0479999999998</v>
      </c>
      <c r="EK19" s="151">
        <v>4269.74</v>
      </c>
      <c r="EL19" s="151">
        <v>4254.08</v>
      </c>
      <c r="EM19" s="3">
        <v>3978.8540000000003</v>
      </c>
      <c r="EN19" s="3">
        <v>3801.7060000000001</v>
      </c>
      <c r="EO19" s="3">
        <v>3732.2420000000002</v>
      </c>
      <c r="EP19" s="3">
        <v>3814.395</v>
      </c>
      <c r="EQ19" s="3">
        <v>3807.9119999999998</v>
      </c>
      <c r="ER19" s="3">
        <v>3942.0239999999999</v>
      </c>
      <c r="ES19" s="3">
        <v>3875.143</v>
      </c>
      <c r="ET19" s="3">
        <v>3862.4430000000002</v>
      </c>
      <c r="EU19" s="3">
        <v>3947.6270000000004</v>
      </c>
      <c r="EV19" s="3">
        <v>3778.9670000000001</v>
      </c>
      <c r="EW19" s="3">
        <v>3807.8572080150229</v>
      </c>
      <c r="EX19" s="151">
        <v>8047.9970000000003</v>
      </c>
      <c r="EY19" s="151">
        <v>7893.0919999999996</v>
      </c>
      <c r="EZ19" s="151">
        <v>8098.8780000000006</v>
      </c>
      <c r="FA19" s="151">
        <v>8262.42</v>
      </c>
      <c r="FB19" s="151">
        <v>7909.1279999999997</v>
      </c>
      <c r="FC19" s="151">
        <v>6167.0419999999995</v>
      </c>
      <c r="FD19" s="151">
        <v>5905.7919999999995</v>
      </c>
      <c r="FE19" s="151">
        <v>5984.5519999999997</v>
      </c>
      <c r="FF19" s="3">
        <v>5803.2539999999999</v>
      </c>
      <c r="FG19" s="3">
        <v>5752.2510000000002</v>
      </c>
      <c r="FH19" s="3">
        <v>5793.4769999999999</v>
      </c>
      <c r="FI19" s="3">
        <v>6039.5409999999993</v>
      </c>
      <c r="FJ19" s="3">
        <v>6161.0650000000005</v>
      </c>
      <c r="FK19" s="3">
        <v>6369.9701801853398</v>
      </c>
      <c r="FL19" s="3">
        <v>6277.9641815228806</v>
      </c>
      <c r="FM19" s="3">
        <v>6226.5396478456105</v>
      </c>
      <c r="FN19" s="3">
        <v>6626.9152990350613</v>
      </c>
      <c r="FO19" s="3">
        <v>6312.0660135664511</v>
      </c>
      <c r="FP19" s="3">
        <v>6202.7170399680617</v>
      </c>
      <c r="FQ19" s="3"/>
      <c r="FR19" s="3"/>
    </row>
    <row r="20" spans="1:174">
      <c r="A20" t="s">
        <v>184</v>
      </c>
      <c r="B20" s="151">
        <v>77.597999999999999</v>
      </c>
      <c r="C20" s="151">
        <v>92.596000000000004</v>
      </c>
      <c r="D20" s="151">
        <v>78.349999999999994</v>
      </c>
      <c r="E20" s="151">
        <v>74.915999999999997</v>
      </c>
      <c r="F20" s="151">
        <v>66.908000000000001</v>
      </c>
      <c r="G20" s="151">
        <v>65.575999999999993</v>
      </c>
      <c r="H20" s="151">
        <v>59.128</v>
      </c>
      <c r="I20" s="151">
        <v>54.823999999999998</v>
      </c>
      <c r="J20" s="3">
        <v>52.561999999999998</v>
      </c>
      <c r="K20" s="3">
        <v>52.088000000000001</v>
      </c>
      <c r="L20" s="3">
        <v>49.215000000000003</v>
      </c>
      <c r="M20" s="3">
        <v>50.93</v>
      </c>
      <c r="N20" s="3">
        <v>47.116</v>
      </c>
      <c r="O20" s="3">
        <v>41.76</v>
      </c>
      <c r="P20" s="3">
        <v>45.756999999999998</v>
      </c>
      <c r="Q20" s="3">
        <v>38.442</v>
      </c>
      <c r="R20" s="3">
        <v>39.427</v>
      </c>
      <c r="S20" s="3">
        <v>41.073</v>
      </c>
      <c r="T20" s="3">
        <v>33.490736173930927</v>
      </c>
      <c r="U20" s="151">
        <v>3133.2080000000001</v>
      </c>
      <c r="V20" s="151">
        <v>2953.0709999999999</v>
      </c>
      <c r="W20" s="151">
        <v>2880.2730000000001</v>
      </c>
      <c r="X20" s="151">
        <v>2902.9670000000001</v>
      </c>
      <c r="Y20" s="151">
        <v>2714.3879999999999</v>
      </c>
      <c r="Z20" s="151">
        <v>2839.9290000000001</v>
      </c>
      <c r="AA20" s="151">
        <v>2898</v>
      </c>
      <c r="AB20" s="151">
        <v>2790.0369999999998</v>
      </c>
      <c r="AC20" s="3">
        <v>2746.9380000000001</v>
      </c>
      <c r="AD20" s="3">
        <v>2649.076</v>
      </c>
      <c r="AE20" s="3">
        <v>2603.6550000000002</v>
      </c>
      <c r="AF20" s="3">
        <v>2597.2939999999999</v>
      </c>
      <c r="AG20" s="3">
        <v>2722.1660000000002</v>
      </c>
      <c r="AH20" s="3">
        <v>2876.2289999999998</v>
      </c>
      <c r="AI20" s="3">
        <v>2911.3359999999998</v>
      </c>
      <c r="AJ20" s="3">
        <v>2366.5010000000002</v>
      </c>
      <c r="AK20" s="3">
        <v>2540.5990000000002</v>
      </c>
      <c r="AL20" s="3">
        <v>2315.587</v>
      </c>
      <c r="AM20" s="3">
        <v>2260.3874470062296</v>
      </c>
      <c r="AN20" s="151">
        <v>1176.2719999999999</v>
      </c>
      <c r="AO20" s="151">
        <v>1230.3889999999999</v>
      </c>
      <c r="AP20" s="151">
        <v>1148.4549999999999</v>
      </c>
      <c r="AQ20" s="151">
        <v>1093.2370000000001</v>
      </c>
      <c r="AR20" s="151">
        <v>1112.4649999999999</v>
      </c>
      <c r="AS20" s="151">
        <v>1196.587</v>
      </c>
      <c r="AT20" s="151">
        <v>1032.2760000000001</v>
      </c>
      <c r="AU20" s="151">
        <v>1051.0619999999999</v>
      </c>
      <c r="AV20" s="3">
        <v>889.90300000000002</v>
      </c>
      <c r="AW20" s="3">
        <v>843.16099999999994</v>
      </c>
      <c r="AX20" s="3">
        <v>768.94299999999998</v>
      </c>
      <c r="AY20" s="3">
        <v>709.10799999999995</v>
      </c>
      <c r="AZ20" s="3">
        <v>693.13400000000001</v>
      </c>
      <c r="BA20" s="3">
        <v>683.63099999999997</v>
      </c>
      <c r="BB20" s="3">
        <v>684.05700000000002</v>
      </c>
      <c r="BC20" s="3">
        <v>621.26900000000001</v>
      </c>
      <c r="BD20" s="3">
        <v>669.803</v>
      </c>
      <c r="BE20" s="3">
        <v>526.00099999999998</v>
      </c>
      <c r="BF20" s="3">
        <v>493.08392925287916</v>
      </c>
      <c r="BG20" s="151">
        <v>0</v>
      </c>
      <c r="BH20" s="151">
        <v>0</v>
      </c>
      <c r="BI20" s="151">
        <v>0</v>
      </c>
      <c r="BJ20" s="151">
        <v>0</v>
      </c>
      <c r="BK20" s="151">
        <v>0</v>
      </c>
      <c r="BL20" s="151">
        <v>0</v>
      </c>
      <c r="BM20" s="151">
        <v>0</v>
      </c>
      <c r="BN20" s="151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153">
        <v>0</v>
      </c>
      <c r="BZ20" s="151">
        <v>35.094000000000001</v>
      </c>
      <c r="CA20" s="151">
        <v>36.878</v>
      </c>
      <c r="CB20" s="151">
        <v>32.914000000000001</v>
      </c>
      <c r="CC20" s="151">
        <v>35.106000000000002</v>
      </c>
      <c r="CD20" s="151">
        <v>28.1</v>
      </c>
      <c r="CE20" s="151">
        <v>30.786999999999999</v>
      </c>
      <c r="CF20" s="151">
        <v>31.954000000000001</v>
      </c>
      <c r="CG20" s="151">
        <v>32.28</v>
      </c>
      <c r="CH20" s="3">
        <v>33.515000000000001</v>
      </c>
      <c r="CI20" s="3">
        <v>32.683</v>
      </c>
      <c r="CJ20" s="3">
        <v>33.875</v>
      </c>
      <c r="CK20" s="3">
        <v>33.835999999999999</v>
      </c>
      <c r="CL20" s="3">
        <v>36.941000000000003</v>
      </c>
      <c r="CM20" s="3">
        <v>37.957000000000001</v>
      </c>
      <c r="CN20" s="3">
        <v>38.094000000000001</v>
      </c>
      <c r="CO20" s="3">
        <v>44.738999999999997</v>
      </c>
      <c r="CP20" s="3">
        <v>41.551000000000002</v>
      </c>
      <c r="CQ20" s="3">
        <v>41.484000000000002</v>
      </c>
      <c r="CR20" s="3">
        <v>32.650513711742228</v>
      </c>
      <c r="CS20" s="151">
        <v>280.33600000000001</v>
      </c>
      <c r="CT20" s="151">
        <v>305.846</v>
      </c>
      <c r="CU20" s="151">
        <v>340.476</v>
      </c>
      <c r="CV20" s="151">
        <v>373.71800000000002</v>
      </c>
      <c r="CW20" s="151">
        <v>293.89400000000001</v>
      </c>
      <c r="CX20" s="151">
        <v>349.39299999999997</v>
      </c>
      <c r="CY20" s="151">
        <v>385.37900000000002</v>
      </c>
      <c r="CZ20" s="151">
        <v>353.42399999999998</v>
      </c>
      <c r="DA20" s="3">
        <v>425.108</v>
      </c>
      <c r="DB20" s="3">
        <v>420.79</v>
      </c>
      <c r="DC20" s="3">
        <v>481.45400000000001</v>
      </c>
      <c r="DD20" s="3">
        <v>541.59100000000001</v>
      </c>
      <c r="DE20" s="3">
        <v>531.21600000000001</v>
      </c>
      <c r="DF20" s="3">
        <v>529.78</v>
      </c>
      <c r="DG20" s="3">
        <v>505.48599999999999</v>
      </c>
      <c r="DH20" s="3">
        <v>469.89499999999998</v>
      </c>
      <c r="DI20" s="3">
        <v>491.94600000000003</v>
      </c>
      <c r="DJ20" s="3">
        <v>473.50200000000001</v>
      </c>
      <c r="DK20" s="3">
        <v>473.50200000000001</v>
      </c>
      <c r="DL20" s="151">
        <v>71.262851820005693</v>
      </c>
      <c r="DM20" s="151">
        <v>75.748431833381105</v>
      </c>
      <c r="DN20" s="151">
        <v>128.71181943250201</v>
      </c>
      <c r="DO20" s="151">
        <v>133.316593770899</v>
      </c>
      <c r="DP20" s="151">
        <v>124.901360466227</v>
      </c>
      <c r="DQ20" s="151">
        <v>128.996272284322</v>
      </c>
      <c r="DR20" s="151">
        <v>126.38094573421201</v>
      </c>
      <c r="DS20" s="151">
        <v>137.823204261011</v>
      </c>
      <c r="DT20" s="3">
        <v>154.13555335817301</v>
      </c>
      <c r="DU20" s="3">
        <v>187.89809783127899</v>
      </c>
      <c r="DV20" s="3">
        <v>206.761325308111</v>
      </c>
      <c r="DW20" s="3">
        <v>220.08222069360801</v>
      </c>
      <c r="DX20" s="3">
        <v>263.08595414158799</v>
      </c>
      <c r="DY20" s="3">
        <v>292.479414158785</v>
      </c>
      <c r="DZ20" s="3">
        <v>318.94536476545301</v>
      </c>
      <c r="EA20" s="3">
        <v>395.225691220025</v>
      </c>
      <c r="EB20" s="3">
        <v>403.17208397821702</v>
      </c>
      <c r="EC20" s="3">
        <v>398.00775991210497</v>
      </c>
      <c r="ED20" s="3">
        <v>379.91729674925597</v>
      </c>
      <c r="EE20" s="151">
        <v>4387.0779999999995</v>
      </c>
      <c r="EF20" s="151">
        <v>4276.0559999999996</v>
      </c>
      <c r="EG20" s="151">
        <v>4107.0779999999995</v>
      </c>
      <c r="EH20" s="151">
        <v>4071.1200000000003</v>
      </c>
      <c r="EI20" s="151">
        <v>3893.7609999999995</v>
      </c>
      <c r="EJ20" s="151">
        <v>4102.0920000000006</v>
      </c>
      <c r="EK20" s="151">
        <v>3989.4040000000005</v>
      </c>
      <c r="EL20" s="151">
        <v>3895.9229999999998</v>
      </c>
      <c r="EM20" s="3">
        <v>3689.4030000000002</v>
      </c>
      <c r="EN20" s="3">
        <v>3544.3250000000003</v>
      </c>
      <c r="EO20" s="3">
        <v>3421.8130000000001</v>
      </c>
      <c r="EP20" s="3">
        <v>3357.3319999999994</v>
      </c>
      <c r="EQ20" s="3">
        <v>3462.4160000000002</v>
      </c>
      <c r="ER20" s="3">
        <v>3601.62</v>
      </c>
      <c r="ES20" s="3">
        <v>3641.1499999999996</v>
      </c>
      <c r="ET20" s="3">
        <v>3026.2120000000004</v>
      </c>
      <c r="EU20" s="3">
        <v>3249.8290000000002</v>
      </c>
      <c r="EV20" s="3">
        <v>2882.6610000000001</v>
      </c>
      <c r="EW20" s="3">
        <v>2786.9621124330397</v>
      </c>
      <c r="EX20" s="151">
        <v>4773.7708518200052</v>
      </c>
      <c r="EY20" s="151">
        <v>4694.5284318333797</v>
      </c>
      <c r="EZ20" s="151">
        <v>4609.1798194325011</v>
      </c>
      <c r="FA20" s="151">
        <v>4613.2605937708995</v>
      </c>
      <c r="FB20" s="151">
        <v>4340.656360466226</v>
      </c>
      <c r="FC20" s="151">
        <v>4611.2682722843228</v>
      </c>
      <c r="FD20" s="151">
        <v>4533.1179457342132</v>
      </c>
      <c r="FE20" s="151">
        <v>4419.4502042610111</v>
      </c>
      <c r="FF20" s="3">
        <v>4302.1615533581726</v>
      </c>
      <c r="FG20" s="3">
        <v>4185.6960978312791</v>
      </c>
      <c r="FH20" s="3">
        <v>4143.9033253081116</v>
      </c>
      <c r="FI20" s="3">
        <v>4152.8412206936073</v>
      </c>
      <c r="FJ20" s="3">
        <v>4293.6589541415879</v>
      </c>
      <c r="FK20" s="3">
        <v>4461.8364141587854</v>
      </c>
      <c r="FL20" s="3">
        <v>4503.6753647654523</v>
      </c>
      <c r="FM20" s="3">
        <v>3936.0716912200255</v>
      </c>
      <c r="FN20" s="3">
        <v>4186.4980839782174</v>
      </c>
      <c r="FO20" s="3">
        <v>3795.654759912105</v>
      </c>
      <c r="FP20" s="3">
        <v>3673.031922894038</v>
      </c>
      <c r="FQ20" s="3"/>
      <c r="FR20" s="3"/>
    </row>
    <row r="21" spans="1:174">
      <c r="A21" t="s">
        <v>93</v>
      </c>
      <c r="B21" s="151">
        <v>81.55</v>
      </c>
      <c r="C21" s="151">
        <v>86.932000000000002</v>
      </c>
      <c r="D21" s="151">
        <v>106.173</v>
      </c>
      <c r="E21" s="151">
        <v>106.812</v>
      </c>
      <c r="F21" s="151">
        <v>85.331999999999994</v>
      </c>
      <c r="G21" s="151">
        <v>108.904</v>
      </c>
      <c r="H21" s="151">
        <v>110.595</v>
      </c>
      <c r="I21" s="151">
        <v>91.694999999999993</v>
      </c>
      <c r="J21" s="3">
        <v>72.814999999999998</v>
      </c>
      <c r="K21" s="3">
        <v>59.584000000000003</v>
      </c>
      <c r="L21" s="3">
        <v>46.497999999999998</v>
      </c>
      <c r="M21" s="3">
        <v>41.033000000000001</v>
      </c>
      <c r="N21" s="3">
        <v>41.043999999999997</v>
      </c>
      <c r="O21" s="3">
        <v>48.036999999999999</v>
      </c>
      <c r="P21" s="3">
        <v>40.29</v>
      </c>
      <c r="Q21" s="3">
        <v>23.533000000000001</v>
      </c>
      <c r="R21" s="3">
        <v>18.141999999999999</v>
      </c>
      <c r="S21" s="3">
        <v>12</v>
      </c>
      <c r="T21" s="3">
        <v>11.2</v>
      </c>
      <c r="U21" s="151">
        <v>1387.2940000000001</v>
      </c>
      <c r="V21" s="151">
        <v>1512.8520000000001</v>
      </c>
      <c r="W21" s="151">
        <v>1636.18</v>
      </c>
      <c r="X21" s="151">
        <v>1536.7670000000001</v>
      </c>
      <c r="Y21" s="151">
        <v>1410.076</v>
      </c>
      <c r="Z21" s="151">
        <v>1448</v>
      </c>
      <c r="AA21" s="151">
        <v>1302.954</v>
      </c>
      <c r="AB21" s="151">
        <v>1284.402</v>
      </c>
      <c r="AC21" s="3">
        <v>1300.6590000000001</v>
      </c>
      <c r="AD21" s="3">
        <v>1339.14</v>
      </c>
      <c r="AE21" s="3">
        <v>1372.835</v>
      </c>
      <c r="AF21" s="3">
        <v>1391.309</v>
      </c>
      <c r="AG21" s="3">
        <v>1476.3030000000001</v>
      </c>
      <c r="AH21" s="3">
        <v>1489.72</v>
      </c>
      <c r="AI21" s="3">
        <v>1455.5509999999999</v>
      </c>
      <c r="AJ21" s="3">
        <v>1329.172</v>
      </c>
      <c r="AK21" s="3">
        <v>1382.4880000000001</v>
      </c>
      <c r="AL21" s="3">
        <v>1447.4490000000001</v>
      </c>
      <c r="AM21" s="3">
        <v>1470.3516740506332</v>
      </c>
      <c r="AN21" s="151">
        <v>1357.8889999999999</v>
      </c>
      <c r="AO21" s="151">
        <v>1406.6210000000001</v>
      </c>
      <c r="AP21" s="151">
        <v>1359.566</v>
      </c>
      <c r="AQ21" s="151">
        <v>1333.0830000000001</v>
      </c>
      <c r="AR21" s="151">
        <v>1227.193</v>
      </c>
      <c r="AS21" s="151">
        <v>1461.8869999999999</v>
      </c>
      <c r="AT21" s="151">
        <v>1288.414</v>
      </c>
      <c r="AU21" s="151">
        <v>1211.1559999999999</v>
      </c>
      <c r="AV21" s="3">
        <v>1204.6859999999999</v>
      </c>
      <c r="AW21" s="3">
        <v>1081.6420000000001</v>
      </c>
      <c r="AX21" s="3">
        <v>1098.3879999999999</v>
      </c>
      <c r="AY21" s="3">
        <v>1113.298</v>
      </c>
      <c r="AZ21" s="3">
        <v>992.95500000000004</v>
      </c>
      <c r="BA21" s="3">
        <v>1169.0429999999999</v>
      </c>
      <c r="BB21" s="3">
        <v>1103.325</v>
      </c>
      <c r="BC21" s="3">
        <v>910.26</v>
      </c>
      <c r="BD21" s="3">
        <v>964.09900000000005</v>
      </c>
      <c r="BE21" s="3">
        <v>691.798</v>
      </c>
      <c r="BF21" s="3">
        <v>664.8836685878963</v>
      </c>
      <c r="BG21" s="151">
        <v>0</v>
      </c>
      <c r="BH21" s="151">
        <v>0</v>
      </c>
      <c r="BI21" s="151">
        <v>0</v>
      </c>
      <c r="BJ21" s="151">
        <v>0</v>
      </c>
      <c r="BK21" s="151">
        <v>0</v>
      </c>
      <c r="BL21" s="151">
        <v>0</v>
      </c>
      <c r="BM21" s="151">
        <v>0</v>
      </c>
      <c r="BN21" s="151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153">
        <v>0</v>
      </c>
      <c r="BZ21" s="151">
        <v>4.3710000000000004</v>
      </c>
      <c r="CA21" s="151">
        <v>3.129</v>
      </c>
      <c r="CB21" s="151">
        <v>5.016</v>
      </c>
      <c r="CC21" s="151">
        <v>5.016</v>
      </c>
      <c r="CD21" s="151">
        <v>2.1019999999999999</v>
      </c>
      <c r="CE21" s="151">
        <v>28.207999999999998</v>
      </c>
      <c r="CF21" s="151">
        <v>53.478000000000002</v>
      </c>
      <c r="CG21" s="151">
        <v>55.674999999999997</v>
      </c>
      <c r="CH21" s="3">
        <v>52.927999999999997</v>
      </c>
      <c r="CI21" s="3">
        <v>65.3</v>
      </c>
      <c r="CJ21" s="3">
        <v>55.006</v>
      </c>
      <c r="CK21" s="3">
        <v>36.686999999999998</v>
      </c>
      <c r="CL21" s="3">
        <v>26.103999999999999</v>
      </c>
      <c r="CM21" s="3">
        <v>45.249000000000002</v>
      </c>
      <c r="CN21" s="3">
        <v>42.628</v>
      </c>
      <c r="CO21" s="3">
        <v>52.62</v>
      </c>
      <c r="CP21" s="3">
        <v>47.328000000000003</v>
      </c>
      <c r="CQ21" s="3">
        <v>50.048000000000002</v>
      </c>
      <c r="CR21" s="3">
        <v>48.576000000000001</v>
      </c>
      <c r="CS21" s="151">
        <v>184.69499999999999</v>
      </c>
      <c r="CT21" s="151">
        <v>215.649</v>
      </c>
      <c r="CU21" s="151">
        <v>257.95400000000001</v>
      </c>
      <c r="CV21" s="151">
        <v>216.68100000000001</v>
      </c>
      <c r="CW21" s="151">
        <v>142.21799999999999</v>
      </c>
      <c r="CX21" s="151">
        <v>75.063999999999993</v>
      </c>
      <c r="CY21" s="151">
        <v>107.051</v>
      </c>
      <c r="CZ21" s="151">
        <v>145.4</v>
      </c>
      <c r="DA21" s="3">
        <v>116.509</v>
      </c>
      <c r="DB21" s="3">
        <v>199.226</v>
      </c>
      <c r="DC21" s="3">
        <v>156.578</v>
      </c>
      <c r="DD21" s="3">
        <v>88.822000000000003</v>
      </c>
      <c r="DE21" s="3">
        <v>-5.5170000000000003</v>
      </c>
      <c r="DF21" s="3">
        <v>78.150000000000006</v>
      </c>
      <c r="DG21" s="3">
        <v>96.137</v>
      </c>
      <c r="DH21" s="3">
        <v>139.779</v>
      </c>
      <c r="DI21" s="3">
        <v>152.41900000000001</v>
      </c>
      <c r="DJ21" s="3">
        <v>198.756</v>
      </c>
      <c r="DK21" s="3">
        <v>222.29639999999927</v>
      </c>
      <c r="DL21" s="151">
        <v>1476.2660000000001</v>
      </c>
      <c r="DM21" s="151">
        <v>1430.8420000000001</v>
      </c>
      <c r="DN21" s="151">
        <v>1406.913</v>
      </c>
      <c r="DO21" s="151">
        <v>1377.473</v>
      </c>
      <c r="DP21" s="151">
        <v>1566.912</v>
      </c>
      <c r="DQ21" s="151">
        <v>1434.3969999999999</v>
      </c>
      <c r="DR21" s="151">
        <v>1417.6379999999999</v>
      </c>
      <c r="DS21" s="151">
        <v>1651.431</v>
      </c>
      <c r="DT21" s="3">
        <v>1611.375</v>
      </c>
      <c r="DU21" s="3">
        <v>1613.366</v>
      </c>
      <c r="DV21" s="3">
        <v>1537.1220000000001</v>
      </c>
      <c r="DW21" s="3">
        <v>1623.7570000000001</v>
      </c>
      <c r="DX21" s="3">
        <v>1934.14390493933</v>
      </c>
      <c r="DY21" s="3">
        <v>1861.4279049393299</v>
      </c>
      <c r="DZ21" s="3">
        <v>1819.4399049393301</v>
      </c>
      <c r="EA21" s="3">
        <v>1808.2649049393301</v>
      </c>
      <c r="EB21" s="3">
        <v>1902.24987035445</v>
      </c>
      <c r="EC21" s="3">
        <v>1906.76587035445</v>
      </c>
      <c r="ED21" s="3">
        <v>1974.2929932552502</v>
      </c>
      <c r="EE21" s="151">
        <v>2826.7330000000002</v>
      </c>
      <c r="EF21" s="151">
        <v>3006.4050000000002</v>
      </c>
      <c r="EG21" s="151">
        <v>3101.9189999999999</v>
      </c>
      <c r="EH21" s="151">
        <v>2976.6620000000003</v>
      </c>
      <c r="EI21" s="151">
        <v>2722.6009999999997</v>
      </c>
      <c r="EJ21" s="151">
        <v>3018.7910000000002</v>
      </c>
      <c r="EK21" s="151">
        <v>2701.9629999999997</v>
      </c>
      <c r="EL21" s="151">
        <v>2587.2529999999997</v>
      </c>
      <c r="EM21" s="3">
        <v>2578.16</v>
      </c>
      <c r="EN21" s="3">
        <v>2480.366</v>
      </c>
      <c r="EO21" s="3">
        <v>2517.721</v>
      </c>
      <c r="EP21" s="3">
        <v>2545.64</v>
      </c>
      <c r="EQ21" s="3">
        <v>2510.3020000000001</v>
      </c>
      <c r="ER21" s="3">
        <v>2706.8</v>
      </c>
      <c r="ES21" s="3">
        <v>2599.1660000000002</v>
      </c>
      <c r="ET21" s="3">
        <v>2262.9650000000001</v>
      </c>
      <c r="EU21" s="3">
        <v>2364.7290000000003</v>
      </c>
      <c r="EV21" s="3">
        <v>2151.2470000000003</v>
      </c>
      <c r="EW21" s="3">
        <v>2146.4353426385296</v>
      </c>
      <c r="EX21" s="151">
        <v>4492.0650000000005</v>
      </c>
      <c r="EY21" s="151">
        <v>4656.0249999999996</v>
      </c>
      <c r="EZ21" s="151">
        <v>4771.8019999999997</v>
      </c>
      <c r="FA21" s="151">
        <v>4575.8320000000003</v>
      </c>
      <c r="FB21" s="151">
        <v>4433.8329999999996</v>
      </c>
      <c r="FC21" s="151">
        <v>4556.46</v>
      </c>
      <c r="FD21" s="151">
        <v>4280.1299999999992</v>
      </c>
      <c r="FE21" s="151">
        <v>4439.759</v>
      </c>
      <c r="FF21" s="3">
        <v>4358.9719999999998</v>
      </c>
      <c r="FG21" s="3">
        <v>4358.2579999999998</v>
      </c>
      <c r="FH21" s="3">
        <v>4266.4269999999997</v>
      </c>
      <c r="FI21" s="3">
        <v>4294.9059999999999</v>
      </c>
      <c r="FJ21" s="3">
        <v>4465.0329049393304</v>
      </c>
      <c r="FK21" s="3">
        <v>4691.6269049393304</v>
      </c>
      <c r="FL21" s="3">
        <v>4557.370904939331</v>
      </c>
      <c r="FM21" s="3">
        <v>4263.6289049393299</v>
      </c>
      <c r="FN21" s="3">
        <v>4466.7258703544503</v>
      </c>
      <c r="FO21" s="3">
        <v>4306.8168703544497</v>
      </c>
      <c r="FP21" s="3">
        <v>4391.6007358937786</v>
      </c>
      <c r="FQ21" s="3"/>
      <c r="FR21" s="3"/>
    </row>
    <row r="22" spans="1:174">
      <c r="A22" t="s">
        <v>141</v>
      </c>
      <c r="B22" s="151">
        <v>0</v>
      </c>
      <c r="C22" s="151">
        <v>0</v>
      </c>
      <c r="D22" s="151">
        <v>0</v>
      </c>
      <c r="E22" s="151">
        <v>0</v>
      </c>
      <c r="F22" s="151">
        <v>0</v>
      </c>
      <c r="G22" s="151">
        <v>0</v>
      </c>
      <c r="H22" s="151">
        <v>0</v>
      </c>
      <c r="I22" s="151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151">
        <v>915.19500000000005</v>
      </c>
      <c r="V22" s="151">
        <v>923.91800000000001</v>
      </c>
      <c r="W22" s="151">
        <v>948.28499999999997</v>
      </c>
      <c r="X22" s="151">
        <v>957.28899999999999</v>
      </c>
      <c r="Y22" s="151">
        <v>882.87</v>
      </c>
      <c r="Z22" s="151">
        <v>924.62</v>
      </c>
      <c r="AA22" s="151">
        <v>919.50900000000001</v>
      </c>
      <c r="AB22" s="151">
        <v>958.75099999999998</v>
      </c>
      <c r="AC22" s="3">
        <v>862.13800000000003</v>
      </c>
      <c r="AD22" s="3">
        <v>868.61099999999999</v>
      </c>
      <c r="AE22" s="3">
        <v>640.17899999999997</v>
      </c>
      <c r="AF22" s="3">
        <v>553.93200000000002</v>
      </c>
      <c r="AG22" s="3">
        <v>459.798</v>
      </c>
      <c r="AH22" s="3">
        <v>443.29</v>
      </c>
      <c r="AI22" s="3">
        <v>475.88299999999998</v>
      </c>
      <c r="AJ22" s="3">
        <v>344.21600000000001</v>
      </c>
      <c r="AK22" s="3">
        <v>364.31299999999999</v>
      </c>
      <c r="AL22" s="3">
        <v>464.53699999999998</v>
      </c>
      <c r="AM22" s="3">
        <v>456.65199232954211</v>
      </c>
      <c r="AN22" s="151">
        <v>0</v>
      </c>
      <c r="AO22" s="151">
        <v>0</v>
      </c>
      <c r="AP22" s="151">
        <v>0</v>
      </c>
      <c r="AQ22" s="151">
        <v>0</v>
      </c>
      <c r="AR22" s="151">
        <v>0</v>
      </c>
      <c r="AS22" s="151">
        <v>0</v>
      </c>
      <c r="AT22" s="151">
        <v>0</v>
      </c>
      <c r="AU22" s="151">
        <v>0</v>
      </c>
      <c r="AV22" s="3">
        <v>0</v>
      </c>
      <c r="AW22" s="3">
        <v>0</v>
      </c>
      <c r="AX22" s="3">
        <v>0</v>
      </c>
      <c r="AY22" s="3">
        <v>0</v>
      </c>
      <c r="AZ22" s="3">
        <v>241.721</v>
      </c>
      <c r="BA22" s="3">
        <v>292.92500000000001</v>
      </c>
      <c r="BB22" s="3">
        <v>306.20400000000001</v>
      </c>
      <c r="BC22" s="3">
        <v>318.24299999999999</v>
      </c>
      <c r="BD22" s="3">
        <v>319.11700000000002</v>
      </c>
      <c r="BE22" s="3">
        <v>322.79199999999997</v>
      </c>
      <c r="BF22" s="3">
        <v>340.83809819214372</v>
      </c>
      <c r="BG22" s="151">
        <v>0</v>
      </c>
      <c r="BH22" s="151">
        <v>0</v>
      </c>
      <c r="BI22" s="151">
        <v>0</v>
      </c>
      <c r="BJ22" s="151">
        <v>0</v>
      </c>
      <c r="BK22" s="151">
        <v>0</v>
      </c>
      <c r="BL22" s="151">
        <v>0</v>
      </c>
      <c r="BM22" s="151">
        <v>0</v>
      </c>
      <c r="BN22" s="151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153">
        <v>0</v>
      </c>
      <c r="BZ22" s="151">
        <v>0</v>
      </c>
      <c r="CA22" s="151">
        <v>0</v>
      </c>
      <c r="CB22" s="151">
        <v>0</v>
      </c>
      <c r="CC22" s="151">
        <v>0</v>
      </c>
      <c r="CD22" s="151">
        <v>0</v>
      </c>
      <c r="CE22" s="151">
        <v>0</v>
      </c>
      <c r="CF22" s="151">
        <v>0</v>
      </c>
      <c r="CG22" s="151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151">
        <v>0</v>
      </c>
      <c r="CT22" s="151">
        <v>0</v>
      </c>
      <c r="CU22" s="151">
        <v>0</v>
      </c>
      <c r="CV22" s="151">
        <v>0</v>
      </c>
      <c r="CW22" s="151">
        <v>0</v>
      </c>
      <c r="CX22" s="151">
        <v>0</v>
      </c>
      <c r="CY22" s="151">
        <v>0</v>
      </c>
      <c r="CZ22" s="151">
        <v>0</v>
      </c>
      <c r="DA22" s="3">
        <v>0</v>
      </c>
      <c r="DB22" s="3">
        <v>0</v>
      </c>
      <c r="DC22" s="3">
        <v>90.628</v>
      </c>
      <c r="DD22" s="3">
        <v>131.27199999999999</v>
      </c>
      <c r="DE22" s="3">
        <v>74.064999999999998</v>
      </c>
      <c r="DF22" s="3">
        <v>53.374000000000002</v>
      </c>
      <c r="DG22" s="3">
        <v>54.712000000000003</v>
      </c>
      <c r="DH22" s="3">
        <v>35.732999999999997</v>
      </c>
      <c r="DI22" s="3">
        <v>43.969000000000001</v>
      </c>
      <c r="DJ22" s="3">
        <v>54.969000000000001</v>
      </c>
      <c r="DK22" s="3">
        <v>64.126333333333605</v>
      </c>
      <c r="DL22" s="151">
        <v>0.52500000000000002</v>
      </c>
      <c r="DM22" s="151">
        <v>0.64500000000000002</v>
      </c>
      <c r="DN22" s="151">
        <v>0.78800000000000003</v>
      </c>
      <c r="DO22" s="151">
        <v>0.90800000000000003</v>
      </c>
      <c r="DP22" s="151">
        <v>0.93100000000000005</v>
      </c>
      <c r="DQ22" s="151">
        <v>5.0579999999999998</v>
      </c>
      <c r="DR22" s="151">
        <v>8.2609999999999992</v>
      </c>
      <c r="DS22" s="151">
        <v>11.816000000000001</v>
      </c>
      <c r="DT22" s="3">
        <v>12.715</v>
      </c>
      <c r="DU22" s="3">
        <v>18.57</v>
      </c>
      <c r="DV22" s="3">
        <v>21.111000000000001</v>
      </c>
      <c r="DW22" s="3">
        <v>24.588999999999999</v>
      </c>
      <c r="DX22" s="3">
        <v>29.556149613069501</v>
      </c>
      <c r="DY22" s="3">
        <v>34.785640871309703</v>
      </c>
      <c r="DZ22" s="3">
        <v>36.3852055985476</v>
      </c>
      <c r="EA22" s="3">
        <v>42.930364096684599</v>
      </c>
      <c r="EB22" s="3">
        <v>40.130553358173003</v>
      </c>
      <c r="EC22" s="3">
        <v>44.295756854876899</v>
      </c>
      <c r="ED22" s="3">
        <v>47.592266520822662</v>
      </c>
      <c r="EE22" s="151">
        <v>915.19500000000005</v>
      </c>
      <c r="EF22" s="151">
        <v>923.91800000000001</v>
      </c>
      <c r="EG22" s="151">
        <v>948.28499999999997</v>
      </c>
      <c r="EH22" s="151">
        <v>957.28899999999999</v>
      </c>
      <c r="EI22" s="151">
        <v>882.87</v>
      </c>
      <c r="EJ22" s="151">
        <v>924.62</v>
      </c>
      <c r="EK22" s="151">
        <v>919.50900000000001</v>
      </c>
      <c r="EL22" s="151">
        <v>958.75099999999998</v>
      </c>
      <c r="EM22" s="3">
        <v>862.13800000000003</v>
      </c>
      <c r="EN22" s="3">
        <v>868.61099999999999</v>
      </c>
      <c r="EO22" s="3">
        <v>640.17899999999997</v>
      </c>
      <c r="EP22" s="3">
        <v>553.93200000000002</v>
      </c>
      <c r="EQ22" s="3">
        <v>701.51900000000001</v>
      </c>
      <c r="ER22" s="3">
        <v>736.21500000000003</v>
      </c>
      <c r="ES22" s="3">
        <v>782.08699999999999</v>
      </c>
      <c r="ET22" s="3">
        <v>662.45900000000006</v>
      </c>
      <c r="EU22" s="3">
        <v>683.43000000000006</v>
      </c>
      <c r="EV22" s="3">
        <v>787.32899999999995</v>
      </c>
      <c r="EW22" s="3">
        <v>797.49009052168583</v>
      </c>
      <c r="EX22" s="151">
        <v>915.72</v>
      </c>
      <c r="EY22" s="151">
        <v>924.56299999999999</v>
      </c>
      <c r="EZ22" s="151">
        <v>949.07299999999998</v>
      </c>
      <c r="FA22" s="151">
        <v>958.197</v>
      </c>
      <c r="FB22" s="151">
        <v>883.80100000000004</v>
      </c>
      <c r="FC22" s="151">
        <v>929.678</v>
      </c>
      <c r="FD22" s="151">
        <v>927.77</v>
      </c>
      <c r="FE22" s="151">
        <v>970.56700000000001</v>
      </c>
      <c r="FF22" s="3">
        <v>874.85300000000007</v>
      </c>
      <c r="FG22" s="3">
        <v>887.18100000000004</v>
      </c>
      <c r="FH22" s="3">
        <v>751.91800000000001</v>
      </c>
      <c r="FI22" s="3">
        <v>709.79299999999989</v>
      </c>
      <c r="FJ22" s="3">
        <v>805.14014961306953</v>
      </c>
      <c r="FK22" s="3">
        <v>824.37464087130979</v>
      </c>
      <c r="FL22" s="3">
        <v>873.18420559854758</v>
      </c>
      <c r="FM22" s="3">
        <v>741.12236409668458</v>
      </c>
      <c r="FN22" s="3">
        <v>767.52955335817308</v>
      </c>
      <c r="FO22" s="3">
        <v>886.59375685487691</v>
      </c>
      <c r="FP22" s="3">
        <v>909.20869037584214</v>
      </c>
      <c r="FQ22" s="3"/>
      <c r="FR22" s="3"/>
    </row>
    <row r="23" spans="1:174">
      <c r="A23" t="s">
        <v>145</v>
      </c>
      <c r="B23" s="151">
        <v>7946.4809999999998</v>
      </c>
      <c r="C23" s="151">
        <v>7740.3789999999999</v>
      </c>
      <c r="D23" s="151">
        <v>8254.2430000000004</v>
      </c>
      <c r="E23" s="151">
        <v>7810.6279999999997</v>
      </c>
      <c r="F23" s="151">
        <v>7325.8739999999998</v>
      </c>
      <c r="G23" s="151">
        <v>7408.6170000000002</v>
      </c>
      <c r="H23" s="151">
        <v>7302.6760000000004</v>
      </c>
      <c r="I23" s="151">
        <v>8020.951</v>
      </c>
      <c r="J23" s="3">
        <v>8004.5439999999999</v>
      </c>
      <c r="K23" s="3">
        <v>8948.241</v>
      </c>
      <c r="L23" s="3">
        <v>11003.984</v>
      </c>
      <c r="M23" s="3">
        <v>10199.047</v>
      </c>
      <c r="N23" s="3">
        <v>9138.26</v>
      </c>
      <c r="O23" s="3">
        <v>8184.4949999999999</v>
      </c>
      <c r="P23" s="3">
        <v>6351.9380000000001</v>
      </c>
      <c r="Q23" s="3">
        <v>4043.0390000000002</v>
      </c>
      <c r="R23" s="3">
        <v>5548.866</v>
      </c>
      <c r="S23" s="3">
        <v>5495.5720000000001</v>
      </c>
      <c r="T23" s="3">
        <v>4029.1875698556219</v>
      </c>
      <c r="U23" s="151">
        <v>23511.87</v>
      </c>
      <c r="V23" s="151">
        <v>23757.99</v>
      </c>
      <c r="W23" s="151">
        <v>24192.262999999999</v>
      </c>
      <c r="X23" s="151">
        <v>23307.167000000001</v>
      </c>
      <c r="Y23" s="151">
        <v>21859.133999999998</v>
      </c>
      <c r="Z23" s="151">
        <v>22238.233</v>
      </c>
      <c r="AA23" s="151">
        <v>21778.738000000001</v>
      </c>
      <c r="AB23" s="151">
        <v>21637.251</v>
      </c>
      <c r="AC23" s="3">
        <v>20965.038</v>
      </c>
      <c r="AD23" s="3">
        <v>20591.661</v>
      </c>
      <c r="AE23" s="3">
        <v>15580.662</v>
      </c>
      <c r="AF23" s="3">
        <v>18820.538</v>
      </c>
      <c r="AG23" s="3">
        <v>17607.329000000002</v>
      </c>
      <c r="AH23" s="3">
        <v>15032.251</v>
      </c>
      <c r="AI23" s="3">
        <v>20967.488000000001</v>
      </c>
      <c r="AJ23" s="3">
        <v>17463.446</v>
      </c>
      <c r="AK23" s="3">
        <v>18314.567999999999</v>
      </c>
      <c r="AL23" s="3">
        <v>19441.504000000001</v>
      </c>
      <c r="AM23" s="3">
        <v>19928.165633363406</v>
      </c>
      <c r="AN23" s="151">
        <v>33071.665000000001</v>
      </c>
      <c r="AO23" s="151">
        <v>32190.821</v>
      </c>
      <c r="AP23" s="151">
        <v>31097.918000000001</v>
      </c>
      <c r="AQ23" s="151">
        <v>32668.077000000001</v>
      </c>
      <c r="AR23" s="151">
        <v>33036.197</v>
      </c>
      <c r="AS23" s="151">
        <v>36941.879999999997</v>
      </c>
      <c r="AT23" s="151">
        <v>32033.749</v>
      </c>
      <c r="AU23" s="151">
        <v>30420.256000000001</v>
      </c>
      <c r="AV23" s="3">
        <v>30807.613000000001</v>
      </c>
      <c r="AW23" s="3">
        <v>26348.715</v>
      </c>
      <c r="AX23" s="3">
        <v>26255.66</v>
      </c>
      <c r="AY23" s="3">
        <v>27755.042000000001</v>
      </c>
      <c r="AZ23" s="3">
        <v>28473.705999999998</v>
      </c>
      <c r="BA23" s="3">
        <v>28351.97</v>
      </c>
      <c r="BB23" s="3">
        <v>29416.184000000001</v>
      </c>
      <c r="BC23" s="3">
        <v>28965.692999999999</v>
      </c>
      <c r="BD23" s="3">
        <v>27498.613000000001</v>
      </c>
      <c r="BE23" s="3">
        <v>21731.447</v>
      </c>
      <c r="BF23" s="3">
        <v>20339.389476508928</v>
      </c>
      <c r="BG23" s="151">
        <v>1031.04</v>
      </c>
      <c r="BH23" s="151">
        <v>894.84100000000001</v>
      </c>
      <c r="BI23" s="151">
        <v>1083.405</v>
      </c>
      <c r="BJ23" s="151">
        <v>1075.4079999999999</v>
      </c>
      <c r="BK23" s="151">
        <v>980</v>
      </c>
      <c r="BL23" s="151">
        <v>917.4</v>
      </c>
      <c r="BM23" s="151">
        <v>959.2</v>
      </c>
      <c r="BN23" s="151">
        <v>920</v>
      </c>
      <c r="BO23" s="3">
        <v>656.2</v>
      </c>
      <c r="BP23" s="3">
        <v>941.3</v>
      </c>
      <c r="BQ23" s="3">
        <v>937.35</v>
      </c>
      <c r="BR23" s="3">
        <v>916.14</v>
      </c>
      <c r="BS23" s="3">
        <v>789.54</v>
      </c>
      <c r="BT23" s="3">
        <v>812.26</v>
      </c>
      <c r="BU23" s="3">
        <v>910.31</v>
      </c>
      <c r="BV23" s="3">
        <v>955.89</v>
      </c>
      <c r="BW23" s="3">
        <v>890.43</v>
      </c>
      <c r="BX23" s="3">
        <v>965.85799999999995</v>
      </c>
      <c r="BY23" s="153">
        <v>926.11579695610033</v>
      </c>
      <c r="BZ23" s="151">
        <v>718.01900000000001</v>
      </c>
      <c r="CA23" s="151">
        <v>688.68799999999999</v>
      </c>
      <c r="CB23" s="151">
        <v>720.47900000000004</v>
      </c>
      <c r="CC23" s="151">
        <v>759.43399999999997</v>
      </c>
      <c r="CD23" s="151">
        <v>744.43499999999995</v>
      </c>
      <c r="CE23" s="151">
        <v>724.53899999999999</v>
      </c>
      <c r="CF23" s="151">
        <v>760.15099999999995</v>
      </c>
      <c r="CG23" s="151">
        <v>746.77599999999995</v>
      </c>
      <c r="CH23" s="3">
        <v>795.14200000000005</v>
      </c>
      <c r="CI23" s="3">
        <v>819.26499999999999</v>
      </c>
      <c r="CJ23" s="3">
        <v>883.678</v>
      </c>
      <c r="CK23" s="3">
        <v>934.8</v>
      </c>
      <c r="CL23" s="3">
        <v>934.23099999999999</v>
      </c>
      <c r="CM23" s="3">
        <v>937.67600000000004</v>
      </c>
      <c r="CN23" s="3">
        <v>892.38499999999999</v>
      </c>
      <c r="CO23" s="3">
        <v>860.91899999999998</v>
      </c>
      <c r="CP23" s="3">
        <v>895.447</v>
      </c>
      <c r="CQ23" s="3">
        <v>820.16</v>
      </c>
      <c r="CR23" s="3">
        <v>807.19306198172922</v>
      </c>
      <c r="CS23" s="151">
        <v>1572.915</v>
      </c>
      <c r="CT23" s="151">
        <v>1845.1420000000001</v>
      </c>
      <c r="CU23" s="151">
        <v>1514.1010000000001</v>
      </c>
      <c r="CV23" s="151">
        <v>1362.941</v>
      </c>
      <c r="CW23" s="151">
        <v>420.55</v>
      </c>
      <c r="CX23" s="151">
        <v>238.607</v>
      </c>
      <c r="CY23" s="151">
        <v>781.51300000000003</v>
      </c>
      <c r="CZ23" s="151">
        <v>1471.183</v>
      </c>
      <c r="DA23" s="3">
        <v>1568.1</v>
      </c>
      <c r="DB23" s="3">
        <v>1266.2940000000001</v>
      </c>
      <c r="DC23" s="3">
        <v>752.20399999999995</v>
      </c>
      <c r="DD23" s="3">
        <v>422.56</v>
      </c>
      <c r="DE23" s="3">
        <v>301.48</v>
      </c>
      <c r="DF23" s="3">
        <v>685.29</v>
      </c>
      <c r="DG23" s="3">
        <v>73.537000000000006</v>
      </c>
      <c r="DH23" s="3">
        <v>-228.68</v>
      </c>
      <c r="DI23" s="3">
        <v>21.75</v>
      </c>
      <c r="DJ23" s="3">
        <v>-366.84399999999999</v>
      </c>
      <c r="DK23" s="3">
        <v>-366.84399999999999</v>
      </c>
      <c r="DL23" s="151">
        <v>2253.5580913346698</v>
      </c>
      <c r="DM23" s="151">
        <v>2401.2734794114799</v>
      </c>
      <c r="DN23" s="151">
        <v>2505.7869261488499</v>
      </c>
      <c r="DO23" s="151">
        <v>2899.03732664565</v>
      </c>
      <c r="DP23" s="151">
        <v>3259.6148185726602</v>
      </c>
      <c r="DQ23" s="151">
        <v>3249.7162702780201</v>
      </c>
      <c r="DR23" s="151">
        <v>3436.6749846183202</v>
      </c>
      <c r="DS23" s="151">
        <v>3529.58579822298</v>
      </c>
      <c r="DT23" s="3">
        <v>3412.9228783796698</v>
      </c>
      <c r="DU23" s="3">
        <v>3400.9006013184298</v>
      </c>
      <c r="DV23" s="3">
        <v>3593.4186314130102</v>
      </c>
      <c r="DW23" s="3">
        <v>3688.9302439094299</v>
      </c>
      <c r="DX23" s="3">
        <v>4025.6400081207598</v>
      </c>
      <c r="DY23" s="3">
        <v>4411.9698498137004</v>
      </c>
      <c r="DZ23" s="3">
        <v>5178.1062558517197</v>
      </c>
      <c r="EA23" s="3">
        <v>6451.5229384732902</v>
      </c>
      <c r="EB23" s="3">
        <v>7580.1893789051201</v>
      </c>
      <c r="EC23" s="3">
        <v>7999.6355040603703</v>
      </c>
      <c r="ED23" s="3">
        <v>9197.5091148850042</v>
      </c>
      <c r="EE23" s="151">
        <v>64530.016000000003</v>
      </c>
      <c r="EF23" s="151">
        <v>63689.19</v>
      </c>
      <c r="EG23" s="151">
        <v>63544.423999999999</v>
      </c>
      <c r="EH23" s="151">
        <v>63785.872000000003</v>
      </c>
      <c r="EI23" s="151">
        <v>62221.205000000002</v>
      </c>
      <c r="EJ23" s="151">
        <v>66588.73</v>
      </c>
      <c r="EK23" s="151">
        <v>61115.163</v>
      </c>
      <c r="EL23" s="151">
        <v>60078.457999999999</v>
      </c>
      <c r="EM23" s="3">
        <v>59777.195000000007</v>
      </c>
      <c r="EN23" s="3">
        <v>55888.616999999998</v>
      </c>
      <c r="EO23" s="3">
        <v>52840.305999999997</v>
      </c>
      <c r="EP23" s="3">
        <v>56774.627</v>
      </c>
      <c r="EQ23" s="3">
        <v>55219.294999999998</v>
      </c>
      <c r="ER23" s="3">
        <v>51568.716</v>
      </c>
      <c r="ES23" s="3">
        <v>56735.61</v>
      </c>
      <c r="ET23" s="3">
        <v>50472.178</v>
      </c>
      <c r="EU23" s="3">
        <v>51362.047000000006</v>
      </c>
      <c r="EV23" s="3">
        <v>46668.523000000001</v>
      </c>
      <c r="EW23" s="3">
        <v>44296.742679727955</v>
      </c>
      <c r="EX23" s="151">
        <v>70105.548091334655</v>
      </c>
      <c r="EY23" s="151">
        <v>69519.134479411485</v>
      </c>
      <c r="EZ23" s="151">
        <v>69368.195926148852</v>
      </c>
      <c r="FA23" s="151">
        <v>69882.692326645658</v>
      </c>
      <c r="FB23" s="151">
        <v>67625.804818572666</v>
      </c>
      <c r="FC23" s="151">
        <v>71718.992270278017</v>
      </c>
      <c r="FD23" s="151">
        <v>67052.70198461831</v>
      </c>
      <c r="FE23" s="151">
        <v>66746.00279822298</v>
      </c>
      <c r="FF23" s="3">
        <v>66209.559878379674</v>
      </c>
      <c r="FG23" s="3">
        <v>62316.376601318436</v>
      </c>
      <c r="FH23" s="3">
        <v>59006.956631413006</v>
      </c>
      <c r="FI23" s="3">
        <v>62737.057243909432</v>
      </c>
      <c r="FJ23" s="3">
        <v>61270.186008120763</v>
      </c>
      <c r="FK23" s="3">
        <v>58415.911849813703</v>
      </c>
      <c r="FL23" s="3">
        <v>63789.948255851719</v>
      </c>
      <c r="FM23" s="3">
        <v>58511.829938473289</v>
      </c>
      <c r="FN23" s="3">
        <v>60749.863378905124</v>
      </c>
      <c r="FO23" s="3">
        <v>56087.332504060381</v>
      </c>
      <c r="FP23" s="3">
        <v>54860.716653550793</v>
      </c>
      <c r="FQ23" s="3"/>
      <c r="FR23" s="3"/>
    </row>
    <row r="24" spans="1:174">
      <c r="A24" t="s">
        <v>185</v>
      </c>
      <c r="B24" s="151">
        <v>54475.839</v>
      </c>
      <c r="C24" s="151">
        <v>57107.987000000001</v>
      </c>
      <c r="D24" s="151">
        <v>55595.936999999998</v>
      </c>
      <c r="E24" s="151">
        <v>54615.934999999998</v>
      </c>
      <c r="F24" s="151">
        <v>51131.713000000003</v>
      </c>
      <c r="G24" s="151">
        <v>55137.512000000002</v>
      </c>
      <c r="H24" s="151">
        <v>54544.858999999997</v>
      </c>
      <c r="I24" s="151">
        <v>50176.22</v>
      </c>
      <c r="J24" s="3">
        <v>53067.792000000001</v>
      </c>
      <c r="K24" s="3">
        <v>49145.120999999999</v>
      </c>
      <c r="L24" s="3">
        <v>48273.186000000002</v>
      </c>
      <c r="M24" s="3">
        <v>49441.303</v>
      </c>
      <c r="N24" s="3">
        <v>49568.038</v>
      </c>
      <c r="O24" s="3">
        <v>49147.682999999997</v>
      </c>
      <c r="P24" s="3">
        <v>43775.862000000001</v>
      </c>
      <c r="Q24" s="3">
        <v>40806.985999999997</v>
      </c>
      <c r="R24" s="3">
        <v>45802.805</v>
      </c>
      <c r="S24" s="3">
        <v>42024.031999999999</v>
      </c>
      <c r="T24" s="3">
        <v>35468.702057393377</v>
      </c>
      <c r="U24" s="151">
        <v>19581.207999999999</v>
      </c>
      <c r="V24" s="151">
        <v>20560.694</v>
      </c>
      <c r="W24" s="151">
        <v>21136.558000000001</v>
      </c>
      <c r="X24" s="151">
        <v>22142.550999999999</v>
      </c>
      <c r="Y24" s="151">
        <v>21498.628000000001</v>
      </c>
      <c r="Z24" s="151">
        <v>22731.115000000002</v>
      </c>
      <c r="AA24" s="151">
        <v>23060.022000000001</v>
      </c>
      <c r="AB24" s="151">
        <v>22163.909</v>
      </c>
      <c r="AC24" s="3">
        <v>19907.367999999999</v>
      </c>
      <c r="AD24" s="3">
        <v>19696.655999999999</v>
      </c>
      <c r="AE24" s="3">
        <v>20659.644</v>
      </c>
      <c r="AF24" s="3">
        <v>23199.852999999999</v>
      </c>
      <c r="AG24" s="3">
        <v>26311.606</v>
      </c>
      <c r="AH24" s="3">
        <v>27214.870999999999</v>
      </c>
      <c r="AI24" s="3">
        <v>27637.011999999999</v>
      </c>
      <c r="AJ24" s="3">
        <v>25800.953000000001</v>
      </c>
      <c r="AK24" s="3">
        <v>28101.704000000002</v>
      </c>
      <c r="AL24" s="3">
        <v>29226.232</v>
      </c>
      <c r="AM24" s="3">
        <v>29294.221180442084</v>
      </c>
      <c r="AN24" s="151">
        <v>10217.218000000001</v>
      </c>
      <c r="AO24" s="151">
        <v>10639.016</v>
      </c>
      <c r="AP24" s="151">
        <v>10568.099</v>
      </c>
      <c r="AQ24" s="151">
        <v>10585.598</v>
      </c>
      <c r="AR24" s="151">
        <v>10488.22</v>
      </c>
      <c r="AS24" s="151">
        <v>11143.293</v>
      </c>
      <c r="AT24" s="151">
        <v>11017.24</v>
      </c>
      <c r="AU24" s="151">
        <v>11673.861000000001</v>
      </c>
      <c r="AV24" s="3">
        <v>11796.066000000001</v>
      </c>
      <c r="AW24" s="3">
        <v>11343.207</v>
      </c>
      <c r="AX24" s="3">
        <v>11656.255999999999</v>
      </c>
      <c r="AY24" s="3">
        <v>12525.065000000001</v>
      </c>
      <c r="AZ24" s="3">
        <v>13265.44</v>
      </c>
      <c r="BA24" s="3">
        <v>14124.726000000001</v>
      </c>
      <c r="BB24" s="3">
        <v>14356.888000000001</v>
      </c>
      <c r="BC24" s="3">
        <v>15388.624</v>
      </c>
      <c r="BD24" s="3">
        <v>16273.352999999999</v>
      </c>
      <c r="BE24" s="3">
        <v>13344.42</v>
      </c>
      <c r="BF24" s="3">
        <v>14045.956415847324</v>
      </c>
      <c r="BG24" s="151">
        <v>0</v>
      </c>
      <c r="BH24" s="151">
        <v>0</v>
      </c>
      <c r="BI24" s="151">
        <v>0</v>
      </c>
      <c r="BJ24" s="151">
        <v>0</v>
      </c>
      <c r="BK24" s="151">
        <v>0</v>
      </c>
      <c r="BL24" s="151">
        <v>0</v>
      </c>
      <c r="BM24" s="151">
        <v>0</v>
      </c>
      <c r="BN24" s="151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153">
        <v>0</v>
      </c>
      <c r="BZ24" s="151">
        <v>156.44399999999999</v>
      </c>
      <c r="CA24" s="151">
        <v>282.411</v>
      </c>
      <c r="CB24" s="151">
        <v>234.59399999999999</v>
      </c>
      <c r="CC24" s="151">
        <v>240.542</v>
      </c>
      <c r="CD24" s="151">
        <v>356.23899999999998</v>
      </c>
      <c r="CE24" s="151">
        <v>397.53500000000003</v>
      </c>
      <c r="CF24" s="151">
        <v>440.59899999999999</v>
      </c>
      <c r="CG24" s="151">
        <v>419.46100000000001</v>
      </c>
      <c r="CH24" s="3">
        <v>451.01299999999998</v>
      </c>
      <c r="CI24" s="3">
        <v>514.66499999999996</v>
      </c>
      <c r="CJ24" s="3">
        <v>523.47900000000004</v>
      </c>
      <c r="CK24" s="3">
        <v>741.52099999999996</v>
      </c>
      <c r="CL24" s="3">
        <v>870.24199999999996</v>
      </c>
      <c r="CM24" s="3">
        <v>1010.755</v>
      </c>
      <c r="CN24" s="3">
        <v>1064.78</v>
      </c>
      <c r="CO24" s="3">
        <v>1049.9480000000001</v>
      </c>
      <c r="CP24" s="3">
        <v>993.53599999999994</v>
      </c>
      <c r="CQ24" s="3">
        <v>1026.5719999999999</v>
      </c>
      <c r="CR24" s="3">
        <v>1026.5719999999999</v>
      </c>
      <c r="CS24" s="151">
        <v>-961.82299999999998</v>
      </c>
      <c r="CT24" s="151">
        <v>-944.62599999999998</v>
      </c>
      <c r="CU24" s="151">
        <v>-459.84500000000003</v>
      </c>
      <c r="CV24" s="151">
        <v>-57.524000000000001</v>
      </c>
      <c r="CW24" s="151">
        <v>-188.392</v>
      </c>
      <c r="CX24" s="151">
        <v>-116.423</v>
      </c>
      <c r="CY24" s="151">
        <v>-450.73099999999999</v>
      </c>
      <c r="CZ24" s="151">
        <v>-244.196</v>
      </c>
      <c r="DA24" s="3">
        <v>-388.73599999999999</v>
      </c>
      <c r="DB24" s="3">
        <v>186.24199999999999</v>
      </c>
      <c r="DC24" s="3">
        <v>-28.719000000000001</v>
      </c>
      <c r="DD24" s="3">
        <v>171.88300000000001</v>
      </c>
      <c r="DE24" s="3">
        <v>196.64699999999999</v>
      </c>
      <c r="DF24" s="3">
        <v>489.63900000000001</v>
      </c>
      <c r="DG24" s="3">
        <v>913.41099999999994</v>
      </c>
      <c r="DH24" s="3">
        <v>1140.76</v>
      </c>
      <c r="DI24" s="3">
        <v>76.334999999999994</v>
      </c>
      <c r="DJ24" s="3">
        <v>-144.22300000000001</v>
      </c>
      <c r="DK24" s="3">
        <v>-144.22300000000001</v>
      </c>
      <c r="DL24" s="151">
        <v>4486.5140000000001</v>
      </c>
      <c r="DM24" s="151">
        <v>4694.9440000000004</v>
      </c>
      <c r="DN24" s="151">
        <v>4823.7449999999999</v>
      </c>
      <c r="DO24" s="151">
        <v>5559.4129999999996</v>
      </c>
      <c r="DP24" s="151">
        <v>6244.7140494888699</v>
      </c>
      <c r="DQ24" s="151">
        <v>7269.0116081971901</v>
      </c>
      <c r="DR24" s="151">
        <v>7936.7429798414096</v>
      </c>
      <c r="DS24" s="151">
        <v>8609.5577493073506</v>
      </c>
      <c r="DT24" s="3">
        <v>8568.4487974586791</v>
      </c>
      <c r="DU24" s="3">
        <v>8608.3899113404004</v>
      </c>
      <c r="DV24" s="3">
        <v>8970.1747655488707</v>
      </c>
      <c r="DW24" s="3">
        <v>8752.7824270564597</v>
      </c>
      <c r="DX24" s="3">
        <v>8863.6870130887492</v>
      </c>
      <c r="DY24" s="3">
        <v>12071.084814273399</v>
      </c>
      <c r="DZ24" s="3">
        <v>12446.855814082301</v>
      </c>
      <c r="EA24" s="3">
        <v>12652.7137631604</v>
      </c>
      <c r="EB24" s="3">
        <v>12710.904887073701</v>
      </c>
      <c r="EC24" s="3">
        <v>13124.185691602201</v>
      </c>
      <c r="ED24" s="3">
        <v>13312.22424233309</v>
      </c>
      <c r="EE24" s="151">
        <v>84274.264999999985</v>
      </c>
      <c r="EF24" s="151">
        <v>88307.697</v>
      </c>
      <c r="EG24" s="151">
        <v>87300.593999999997</v>
      </c>
      <c r="EH24" s="151">
        <v>87344.084000000003</v>
      </c>
      <c r="EI24" s="151">
        <v>83118.561000000002</v>
      </c>
      <c r="EJ24" s="151">
        <v>89011.920000000013</v>
      </c>
      <c r="EK24" s="151">
        <v>88622.120999999999</v>
      </c>
      <c r="EL24" s="151">
        <v>84013.99</v>
      </c>
      <c r="EM24" s="3">
        <v>84771.22600000001</v>
      </c>
      <c r="EN24" s="3">
        <v>80184.983999999997</v>
      </c>
      <c r="EO24" s="3">
        <v>80589.085999999996</v>
      </c>
      <c r="EP24" s="3">
        <v>85166.221000000005</v>
      </c>
      <c r="EQ24" s="3">
        <v>89145.084000000003</v>
      </c>
      <c r="ER24" s="3">
        <v>90487.28</v>
      </c>
      <c r="ES24" s="3">
        <v>85769.762000000002</v>
      </c>
      <c r="ET24" s="3">
        <v>81996.562999999995</v>
      </c>
      <c r="EU24" s="3">
        <v>90177.862000000008</v>
      </c>
      <c r="EV24" s="3">
        <v>84594.683999999994</v>
      </c>
      <c r="EW24" s="3">
        <v>78808.879653682787</v>
      </c>
      <c r="EX24" s="151">
        <v>87955.39999999998</v>
      </c>
      <c r="EY24" s="151">
        <v>92340.425999999992</v>
      </c>
      <c r="EZ24" s="151">
        <v>91899.087999999989</v>
      </c>
      <c r="FA24" s="151">
        <v>93086.514999999999</v>
      </c>
      <c r="FB24" s="151">
        <v>89531.122049488869</v>
      </c>
      <c r="FC24" s="151">
        <v>96562.043608197215</v>
      </c>
      <c r="FD24" s="151">
        <v>96548.73197984141</v>
      </c>
      <c r="FE24" s="151">
        <v>92798.812749307355</v>
      </c>
      <c r="FF24" s="3">
        <v>93401.951797458692</v>
      </c>
      <c r="FG24" s="3">
        <v>89494.280911340393</v>
      </c>
      <c r="FH24" s="3">
        <v>90054.020765548878</v>
      </c>
      <c r="FI24" s="3">
        <v>94832.40742705646</v>
      </c>
      <c r="FJ24" s="3">
        <v>99075.660013088753</v>
      </c>
      <c r="FK24" s="3">
        <v>104058.7588142734</v>
      </c>
      <c r="FL24" s="3">
        <v>100194.80881408229</v>
      </c>
      <c r="FM24" s="3">
        <v>96839.984763160392</v>
      </c>
      <c r="FN24" s="3">
        <v>103958.63788707371</v>
      </c>
      <c r="FO24" s="3">
        <v>98601.218691602204</v>
      </c>
      <c r="FP24" s="3">
        <v>93003.452896015879</v>
      </c>
      <c r="FQ24" s="3"/>
      <c r="FR24" s="3"/>
    </row>
    <row r="25" spans="1:174">
      <c r="A25" t="s">
        <v>149</v>
      </c>
      <c r="B25" s="151">
        <v>3349.0680000000002</v>
      </c>
      <c r="C25" s="151">
        <v>3309.087</v>
      </c>
      <c r="D25" s="151">
        <v>2887.0390000000002</v>
      </c>
      <c r="E25" s="151">
        <v>2525.7570000000001</v>
      </c>
      <c r="F25" s="151">
        <v>2861.1559999999999</v>
      </c>
      <c r="G25" s="151">
        <v>1657.624</v>
      </c>
      <c r="H25" s="151">
        <v>2208.3850000000002</v>
      </c>
      <c r="I25" s="151">
        <v>2934.3510000000001</v>
      </c>
      <c r="J25" s="3">
        <v>2650.1610000000001</v>
      </c>
      <c r="K25" s="3">
        <v>2680.395</v>
      </c>
      <c r="L25" s="3">
        <v>3258.2829999999999</v>
      </c>
      <c r="M25" s="3">
        <v>2846.4470000000001</v>
      </c>
      <c r="N25" s="3">
        <v>3227.1480000000001</v>
      </c>
      <c r="O25" s="3">
        <v>2696.2049999999999</v>
      </c>
      <c r="P25" s="3">
        <v>1248.145</v>
      </c>
      <c r="Q25" s="3">
        <v>565.73500000000001</v>
      </c>
      <c r="R25" s="3">
        <v>195.59800000000001</v>
      </c>
      <c r="S25" s="3">
        <v>6.7960000000000003</v>
      </c>
      <c r="T25" s="3">
        <v>4.8543899506119823</v>
      </c>
      <c r="U25" s="151">
        <v>13550.040999999999</v>
      </c>
      <c r="V25" s="151">
        <v>12269.503000000001</v>
      </c>
      <c r="W25" s="151">
        <v>11908.361000000001</v>
      </c>
      <c r="X25" s="151">
        <v>11662.294</v>
      </c>
      <c r="Y25" s="151">
        <v>11214.311</v>
      </c>
      <c r="Z25" s="151">
        <v>10664.986000000001</v>
      </c>
      <c r="AA25" s="151">
        <v>9781.0930000000008</v>
      </c>
      <c r="AB25" s="151">
        <v>8990.49</v>
      </c>
      <c r="AC25" s="3">
        <v>8921.7980000000007</v>
      </c>
      <c r="AD25" s="3">
        <v>8767.0720000000001</v>
      </c>
      <c r="AE25" s="3">
        <v>9024.7340000000004</v>
      </c>
      <c r="AF25" s="3">
        <v>9200.9719999999998</v>
      </c>
      <c r="AG25" s="3">
        <v>9382.5889999999999</v>
      </c>
      <c r="AH25" s="3">
        <v>9520.0609999999997</v>
      </c>
      <c r="AI25" s="3">
        <v>9668.0360000000001</v>
      </c>
      <c r="AJ25" s="3">
        <v>7820.27</v>
      </c>
      <c r="AK25" s="3">
        <v>7942.0950000000003</v>
      </c>
      <c r="AL25" s="3">
        <v>9355.7350000000006</v>
      </c>
      <c r="AM25" s="3">
        <v>8963.9499980015989</v>
      </c>
      <c r="AN25" s="151">
        <v>3750.6880000000001</v>
      </c>
      <c r="AO25" s="151">
        <v>3639.596</v>
      </c>
      <c r="AP25" s="151">
        <v>3808.3620000000001</v>
      </c>
      <c r="AQ25" s="151">
        <v>4138.5209999999997</v>
      </c>
      <c r="AR25" s="151">
        <v>4217.2179999999998</v>
      </c>
      <c r="AS25" s="151">
        <v>4488.5209999999997</v>
      </c>
      <c r="AT25" s="151">
        <v>4463.6499999999996</v>
      </c>
      <c r="AU25" s="151">
        <v>3932.6309999999999</v>
      </c>
      <c r="AV25" s="3">
        <v>3755.8679999999999</v>
      </c>
      <c r="AW25" s="3">
        <v>3473.3449999999998</v>
      </c>
      <c r="AX25" s="3">
        <v>4050.8820000000001</v>
      </c>
      <c r="AY25" s="3">
        <v>4322.8429999999998</v>
      </c>
      <c r="AZ25" s="3">
        <v>5415.3959999999997</v>
      </c>
      <c r="BA25" s="3">
        <v>5043.47</v>
      </c>
      <c r="BB25" s="3">
        <v>5302.6679999999997</v>
      </c>
      <c r="BC25" s="3">
        <v>5147.9229999999998</v>
      </c>
      <c r="BD25" s="3">
        <v>4916.6189999999997</v>
      </c>
      <c r="BE25" s="3">
        <v>4768.625</v>
      </c>
      <c r="BF25" s="3">
        <v>3822.9096540799292</v>
      </c>
      <c r="BG25" s="151">
        <v>0</v>
      </c>
      <c r="BH25" s="151">
        <v>0</v>
      </c>
      <c r="BI25" s="151">
        <v>0</v>
      </c>
      <c r="BJ25" s="151">
        <v>0</v>
      </c>
      <c r="BK25" s="151">
        <v>0</v>
      </c>
      <c r="BL25" s="151">
        <v>0</v>
      </c>
      <c r="BM25" s="151">
        <v>0</v>
      </c>
      <c r="BN25" s="151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153">
        <v>0</v>
      </c>
      <c r="BZ25" s="151">
        <v>140.059</v>
      </c>
      <c r="CA25" s="151">
        <v>145.09899999999999</v>
      </c>
      <c r="CB25" s="151">
        <v>133.39500000000001</v>
      </c>
      <c r="CC25" s="151">
        <v>132.822</v>
      </c>
      <c r="CD25" s="151">
        <v>139.67699999999999</v>
      </c>
      <c r="CE25" s="151">
        <v>158.68899999999999</v>
      </c>
      <c r="CF25" s="151">
        <v>180.09</v>
      </c>
      <c r="CG25" s="151">
        <v>151.715</v>
      </c>
      <c r="CH25" s="3">
        <v>169.53299999999999</v>
      </c>
      <c r="CI25" s="3">
        <v>169.96299999999999</v>
      </c>
      <c r="CJ25" s="3">
        <v>155.13</v>
      </c>
      <c r="CK25" s="3">
        <v>197.59899999999999</v>
      </c>
      <c r="CL25" s="3">
        <v>188.506</v>
      </c>
      <c r="CM25" s="3">
        <v>173.684</v>
      </c>
      <c r="CN25" s="3">
        <v>179.453</v>
      </c>
      <c r="CO25" s="3">
        <v>187.125</v>
      </c>
      <c r="CP25" s="3">
        <v>186.66399999999999</v>
      </c>
      <c r="CQ25" s="3">
        <v>170.86500000000001</v>
      </c>
      <c r="CR25" s="3">
        <v>162.1800403842557</v>
      </c>
      <c r="CS25" s="151">
        <v>586.75800000000004</v>
      </c>
      <c r="CT25" s="151">
        <v>467.84199999999998</v>
      </c>
      <c r="CU25" s="151">
        <v>643.85199999999998</v>
      </c>
      <c r="CV25" s="151">
        <v>810.92</v>
      </c>
      <c r="CW25" s="151">
        <v>410.66199999999998</v>
      </c>
      <c r="CX25" s="151">
        <v>225.53700000000001</v>
      </c>
      <c r="CY25" s="151">
        <v>241.874</v>
      </c>
      <c r="CZ25" s="151">
        <v>678.84799999999996</v>
      </c>
      <c r="DA25" s="3">
        <v>238.69300000000001</v>
      </c>
      <c r="DB25" s="3">
        <v>77.644000000000005</v>
      </c>
      <c r="DC25" s="3">
        <v>194.84100000000001</v>
      </c>
      <c r="DD25" s="3">
        <v>-437.23099999999999</v>
      </c>
      <c r="DE25" s="3">
        <v>-230.78</v>
      </c>
      <c r="DF25" s="3">
        <v>-228.458</v>
      </c>
      <c r="DG25" s="3">
        <v>292.27600000000001</v>
      </c>
      <c r="DH25" s="3">
        <v>125.21599999999999</v>
      </c>
      <c r="DI25" s="3">
        <v>408.68299999999999</v>
      </c>
      <c r="DJ25" s="3">
        <v>795.65099999999995</v>
      </c>
      <c r="DK25" s="3">
        <v>1113.6183333334047</v>
      </c>
      <c r="DL25" s="151">
        <v>3474.5140000000001</v>
      </c>
      <c r="DM25" s="151">
        <v>4212.5339999999997</v>
      </c>
      <c r="DN25" s="151">
        <v>4480.6459999999997</v>
      </c>
      <c r="DO25" s="151">
        <v>4329.3710000000001</v>
      </c>
      <c r="DP25" s="151">
        <v>4785.63</v>
      </c>
      <c r="DQ25" s="151">
        <v>5459.1559999999999</v>
      </c>
      <c r="DR25" s="151">
        <v>5137.875</v>
      </c>
      <c r="DS25" s="151">
        <v>4354.5020000000004</v>
      </c>
      <c r="DT25" s="3">
        <v>5300.9139999999998</v>
      </c>
      <c r="DU25" s="3">
        <v>5512.6336337059201</v>
      </c>
      <c r="DV25" s="3">
        <v>4965.6064373746003</v>
      </c>
      <c r="DW25" s="3">
        <v>5625.3351729244196</v>
      </c>
      <c r="DX25" s="3">
        <v>4831.9023562625298</v>
      </c>
      <c r="DY25" s="3">
        <v>5459.2173984904803</v>
      </c>
      <c r="DZ25" s="3">
        <v>5378.8895114168199</v>
      </c>
      <c r="EA25" s="3">
        <v>5650.9241199961698</v>
      </c>
      <c r="EB25" s="3">
        <v>5882.0674899206897</v>
      </c>
      <c r="EC25" s="3">
        <v>5668.0881776057904</v>
      </c>
      <c r="ED25" s="3">
        <v>5975.8225885200472</v>
      </c>
      <c r="EE25" s="151">
        <v>20649.796999999999</v>
      </c>
      <c r="EF25" s="151">
        <v>19218.186000000002</v>
      </c>
      <c r="EG25" s="151">
        <v>18603.762000000002</v>
      </c>
      <c r="EH25" s="151">
        <v>18326.572</v>
      </c>
      <c r="EI25" s="151">
        <v>18292.685000000001</v>
      </c>
      <c r="EJ25" s="151">
        <v>16811.131000000001</v>
      </c>
      <c r="EK25" s="151">
        <v>16453.128000000001</v>
      </c>
      <c r="EL25" s="151">
        <v>15857.472</v>
      </c>
      <c r="EM25" s="3">
        <v>15327.827000000001</v>
      </c>
      <c r="EN25" s="3">
        <v>14920.812</v>
      </c>
      <c r="EO25" s="3">
        <v>16333.898999999999</v>
      </c>
      <c r="EP25" s="3">
        <v>16370.261999999999</v>
      </c>
      <c r="EQ25" s="3">
        <v>18025.133000000002</v>
      </c>
      <c r="ER25" s="3">
        <v>17259.736000000001</v>
      </c>
      <c r="ES25" s="3">
        <v>16218.849</v>
      </c>
      <c r="ET25" s="3">
        <v>13533.928</v>
      </c>
      <c r="EU25" s="3">
        <v>13054.312</v>
      </c>
      <c r="EV25" s="3">
        <v>14131.156000000001</v>
      </c>
      <c r="EW25" s="3">
        <v>12791.714042032139</v>
      </c>
      <c r="EX25" s="151">
        <v>24851.128000000001</v>
      </c>
      <c r="EY25" s="151">
        <v>24043.661</v>
      </c>
      <c r="EZ25" s="151">
        <v>23861.655000000002</v>
      </c>
      <c r="FA25" s="151">
        <v>23599.684999999998</v>
      </c>
      <c r="FB25" s="151">
        <v>23628.654000000002</v>
      </c>
      <c r="FC25" s="151">
        <v>22654.512999999999</v>
      </c>
      <c r="FD25" s="151">
        <v>22012.967000000001</v>
      </c>
      <c r="FE25" s="151">
        <v>21042.537</v>
      </c>
      <c r="FF25" s="3">
        <v>21036.967000000001</v>
      </c>
      <c r="FG25" s="3">
        <v>20681.05263370592</v>
      </c>
      <c r="FH25" s="3">
        <v>21649.4764373746</v>
      </c>
      <c r="FI25" s="3">
        <v>21755.965172924418</v>
      </c>
      <c r="FJ25" s="3">
        <v>22814.761356262534</v>
      </c>
      <c r="FK25" s="3">
        <v>22664.179398490483</v>
      </c>
      <c r="FL25" s="3">
        <v>22069.46751141682</v>
      </c>
      <c r="FM25" s="3">
        <v>19497.193119996169</v>
      </c>
      <c r="FN25" s="3">
        <v>19531.726489920689</v>
      </c>
      <c r="FO25" s="3">
        <v>20765.760177605793</v>
      </c>
      <c r="FP25" s="3">
        <v>20043.335004269848</v>
      </c>
      <c r="FQ25" s="3"/>
      <c r="FR25" s="3"/>
    </row>
    <row r="26" spans="1:174">
      <c r="A26" t="s">
        <v>186</v>
      </c>
      <c r="B26" s="151">
        <v>8757.0589999999993</v>
      </c>
      <c r="C26" s="151">
        <v>9485.4490000000005</v>
      </c>
      <c r="D26" s="151">
        <v>10086.897999999999</v>
      </c>
      <c r="E26" s="151">
        <v>9565.5939999999991</v>
      </c>
      <c r="F26" s="151">
        <v>7528.5349999999999</v>
      </c>
      <c r="G26" s="151">
        <v>6957.107</v>
      </c>
      <c r="H26" s="151">
        <v>8100.8320000000003</v>
      </c>
      <c r="I26" s="151">
        <v>7560.4350000000004</v>
      </c>
      <c r="J26" s="3">
        <v>5711.8770000000004</v>
      </c>
      <c r="K26" s="3">
        <v>5722.5010000000002</v>
      </c>
      <c r="L26" s="3">
        <v>5892.2330000000002</v>
      </c>
      <c r="M26" s="3">
        <v>5286.75</v>
      </c>
      <c r="N26" s="3">
        <v>5399.2730000000001</v>
      </c>
      <c r="O26" s="3">
        <v>5061.45</v>
      </c>
      <c r="P26" s="3">
        <v>4907.7439999999997</v>
      </c>
      <c r="Q26" s="3">
        <v>3497.7220000000002</v>
      </c>
      <c r="R26" s="3">
        <v>4062.0419999999999</v>
      </c>
      <c r="S26" s="3">
        <v>3530.8049999999998</v>
      </c>
      <c r="T26" s="3">
        <v>2789.4199906861222</v>
      </c>
      <c r="U26" s="151">
        <v>8243.3449999999993</v>
      </c>
      <c r="V26" s="151">
        <v>8628.17</v>
      </c>
      <c r="W26" s="151">
        <v>8774.0030000000006</v>
      </c>
      <c r="X26" s="151">
        <v>8590.5010000000002</v>
      </c>
      <c r="Y26" s="151">
        <v>7232.5659999999998</v>
      </c>
      <c r="Z26" s="151">
        <v>7347.1350000000002</v>
      </c>
      <c r="AA26" s="151">
        <v>7327.2889999999998</v>
      </c>
      <c r="AB26" s="151">
        <v>7584.7460000000001</v>
      </c>
      <c r="AC26" s="3">
        <v>7291.21</v>
      </c>
      <c r="AD26" s="3">
        <v>7295.1809999999996</v>
      </c>
      <c r="AE26" s="3">
        <v>7865.4650000000001</v>
      </c>
      <c r="AF26" s="3">
        <v>7965.4260000000004</v>
      </c>
      <c r="AG26" s="3">
        <v>8906.5049999999992</v>
      </c>
      <c r="AH26" s="3">
        <v>9075.1839999999993</v>
      </c>
      <c r="AI26" s="3">
        <v>9140.7530000000006</v>
      </c>
      <c r="AJ26" s="3">
        <v>8804.9609999999993</v>
      </c>
      <c r="AK26" s="3">
        <v>9709.0310000000009</v>
      </c>
      <c r="AL26" s="3">
        <v>9892.2999999999993</v>
      </c>
      <c r="AM26" s="3">
        <v>9901.1613060259169</v>
      </c>
      <c r="AN26" s="151">
        <v>12850.322</v>
      </c>
      <c r="AO26" s="151">
        <v>13472.807000000001</v>
      </c>
      <c r="AP26" s="151">
        <v>11914.295</v>
      </c>
      <c r="AQ26" s="151">
        <v>11215.004000000001</v>
      </c>
      <c r="AR26" s="151">
        <v>9813.6929999999993</v>
      </c>
      <c r="AS26" s="151">
        <v>10025.967000000001</v>
      </c>
      <c r="AT26" s="151">
        <v>10188.865</v>
      </c>
      <c r="AU26" s="151">
        <v>9857.6530000000002</v>
      </c>
      <c r="AV26" s="3">
        <v>9066.8739999999998</v>
      </c>
      <c r="AW26" s="3">
        <v>8525.86</v>
      </c>
      <c r="AX26" s="3">
        <v>8583.6200000000008</v>
      </c>
      <c r="AY26" s="3">
        <v>8748.2250000000004</v>
      </c>
      <c r="AZ26" s="3">
        <v>9357.82</v>
      </c>
      <c r="BA26" s="3">
        <v>9570.1020000000008</v>
      </c>
      <c r="BB26" s="3">
        <v>8877.5069999999996</v>
      </c>
      <c r="BC26" s="3">
        <v>9226.3359999999993</v>
      </c>
      <c r="BD26" s="3">
        <v>9547.9009999999998</v>
      </c>
      <c r="BE26" s="3">
        <v>8321.2980000000007</v>
      </c>
      <c r="BF26" s="3">
        <v>7785.4571552792722</v>
      </c>
      <c r="BG26" s="151">
        <v>1432.932</v>
      </c>
      <c r="BH26" s="151">
        <v>1452.7940000000001</v>
      </c>
      <c r="BI26" s="151">
        <v>1988.5640000000001</v>
      </c>
      <c r="BJ26" s="151">
        <v>2895.7869999999998</v>
      </c>
      <c r="BK26" s="151">
        <v>2979.6</v>
      </c>
      <c r="BL26" s="151">
        <v>2922.83</v>
      </c>
      <c r="BM26" s="151">
        <v>2978.9</v>
      </c>
      <c r="BN26" s="151">
        <v>3008.49</v>
      </c>
      <c r="BO26" s="3">
        <v>2922.2</v>
      </c>
      <c r="BP26" s="3">
        <v>2941.2</v>
      </c>
      <c r="BQ26" s="3">
        <v>2940.1</v>
      </c>
      <c r="BR26" s="3">
        <v>2810.7</v>
      </c>
      <c r="BS26" s="3">
        <v>2907</v>
      </c>
      <c r="BT26" s="3">
        <v>2877</v>
      </c>
      <c r="BU26" s="3">
        <v>2846</v>
      </c>
      <c r="BV26" s="3">
        <v>2887</v>
      </c>
      <c r="BW26" s="3">
        <v>2866</v>
      </c>
      <c r="BX26" s="3">
        <v>2822</v>
      </c>
      <c r="BY26" s="153">
        <v>2837.6098886613231</v>
      </c>
      <c r="BZ26" s="151">
        <v>85.364000000000004</v>
      </c>
      <c r="CA26" s="151">
        <v>80.897000000000006</v>
      </c>
      <c r="CB26" s="151">
        <v>105.761</v>
      </c>
      <c r="CC26" s="151">
        <v>74.83</v>
      </c>
      <c r="CD26" s="151">
        <v>21.114000000000001</v>
      </c>
      <c r="CE26" s="151">
        <v>30.477</v>
      </c>
      <c r="CF26" s="151">
        <v>28.733000000000001</v>
      </c>
      <c r="CG26" s="151">
        <v>27.42</v>
      </c>
      <c r="CH26" s="3">
        <v>40.985999999999997</v>
      </c>
      <c r="CI26" s="3">
        <v>69.885999999999996</v>
      </c>
      <c r="CJ26" s="3">
        <v>71.988</v>
      </c>
      <c r="CK26" s="3">
        <v>79.536000000000001</v>
      </c>
      <c r="CL26" s="3">
        <v>92.921999999999997</v>
      </c>
      <c r="CM26" s="3">
        <v>171.12299999999999</v>
      </c>
      <c r="CN26" s="3">
        <v>153.184</v>
      </c>
      <c r="CO26" s="3">
        <v>281.64800000000002</v>
      </c>
      <c r="CP26" s="3">
        <v>319.38799999999998</v>
      </c>
      <c r="CQ26" s="3">
        <v>326.589</v>
      </c>
      <c r="CR26" s="3">
        <v>326.589</v>
      </c>
      <c r="CS26" s="151">
        <v>-249.613</v>
      </c>
      <c r="CT26" s="151">
        <v>-367.41199999999998</v>
      </c>
      <c r="CU26" s="151">
        <v>-179.708</v>
      </c>
      <c r="CV26" s="151">
        <v>-365.262</v>
      </c>
      <c r="CW26" s="151">
        <v>-197.334</v>
      </c>
      <c r="CX26" s="151">
        <v>-195.529</v>
      </c>
      <c r="CY26" s="151">
        <v>-163.887</v>
      </c>
      <c r="CZ26" s="151">
        <v>21.754000000000001</v>
      </c>
      <c r="DA26" s="3">
        <v>-173.345</v>
      </c>
      <c r="DB26" s="3">
        <v>-612.726</v>
      </c>
      <c r="DC26" s="3">
        <v>-578.50400000000002</v>
      </c>
      <c r="DD26" s="3">
        <v>-431.38400000000001</v>
      </c>
      <c r="DE26" s="3">
        <v>-248.80699999999999</v>
      </c>
      <c r="DF26" s="3">
        <v>-218.78200000000001</v>
      </c>
      <c r="DG26" s="3">
        <v>130.52600000000001</v>
      </c>
      <c r="DH26" s="3">
        <v>240.096</v>
      </c>
      <c r="DI26" s="3">
        <v>189.042</v>
      </c>
      <c r="DJ26" s="3">
        <v>105.23399999999999</v>
      </c>
      <c r="DK26" s="3">
        <v>43.262000000016997</v>
      </c>
      <c r="DL26" s="151">
        <v>4940.348</v>
      </c>
      <c r="DM26" s="151">
        <v>4780.8879999999999</v>
      </c>
      <c r="DN26" s="151">
        <v>4747.7860000000001</v>
      </c>
      <c r="DO26" s="151">
        <v>5343.3670000000002</v>
      </c>
      <c r="DP26" s="151">
        <v>5268.5360000000001</v>
      </c>
      <c r="DQ26" s="151">
        <v>5860.59</v>
      </c>
      <c r="DR26" s="151">
        <v>5067.402</v>
      </c>
      <c r="DS26" s="151">
        <v>5195.0780000000004</v>
      </c>
      <c r="DT26" s="3">
        <v>5550.9589999999998</v>
      </c>
      <c r="DU26" s="3">
        <v>6123.6419999999998</v>
      </c>
      <c r="DV26" s="3">
        <v>5973.12</v>
      </c>
      <c r="DW26" s="3">
        <v>6192.8289999999997</v>
      </c>
      <c r="DX26" s="3">
        <v>6041.933</v>
      </c>
      <c r="DY26" s="3">
        <v>6037.5990000000002</v>
      </c>
      <c r="DZ26" s="3">
        <v>6012.6390000000001</v>
      </c>
      <c r="EA26" s="3">
        <v>5989.2020000000002</v>
      </c>
      <c r="EB26" s="3">
        <v>6396.2550000000001</v>
      </c>
      <c r="EC26" s="3">
        <v>6008.3310000000001</v>
      </c>
      <c r="ED26" s="3">
        <v>6141.6882506174879</v>
      </c>
      <c r="EE26" s="151">
        <v>29850.725999999999</v>
      </c>
      <c r="EF26" s="151">
        <v>31586.425999999999</v>
      </c>
      <c r="EG26" s="151">
        <v>30775.195999999996</v>
      </c>
      <c r="EH26" s="151">
        <v>29371.099000000002</v>
      </c>
      <c r="EI26" s="151">
        <v>24574.793999999998</v>
      </c>
      <c r="EJ26" s="151">
        <v>24330.209000000003</v>
      </c>
      <c r="EK26" s="151">
        <v>25616.985999999997</v>
      </c>
      <c r="EL26" s="151">
        <v>25002.834000000003</v>
      </c>
      <c r="EM26" s="3">
        <v>22069.960999999999</v>
      </c>
      <c r="EN26" s="3">
        <v>21543.542000000001</v>
      </c>
      <c r="EO26" s="3">
        <v>22341.317999999999</v>
      </c>
      <c r="EP26" s="3">
        <v>22000.400999999998</v>
      </c>
      <c r="EQ26" s="3">
        <v>23663.597999999998</v>
      </c>
      <c r="ER26" s="3">
        <v>23706.735999999997</v>
      </c>
      <c r="ES26" s="3">
        <v>22926.004000000001</v>
      </c>
      <c r="ET26" s="3">
        <v>21529.019</v>
      </c>
      <c r="EU26" s="3">
        <v>23318.974000000002</v>
      </c>
      <c r="EV26" s="3">
        <v>21744.402999999998</v>
      </c>
      <c r="EW26" s="3">
        <v>20476.038451991313</v>
      </c>
      <c r="EX26" s="151">
        <v>36059.756999999998</v>
      </c>
      <c r="EY26" s="151">
        <v>37533.593000000001</v>
      </c>
      <c r="EZ26" s="151">
        <v>37437.598999999995</v>
      </c>
      <c r="FA26" s="151">
        <v>37319.821000000004</v>
      </c>
      <c r="FB26" s="151">
        <v>32646.71</v>
      </c>
      <c r="FC26" s="151">
        <v>32948.577000000005</v>
      </c>
      <c r="FD26" s="151">
        <v>33528.133999999998</v>
      </c>
      <c r="FE26" s="151">
        <v>33255.576000000001</v>
      </c>
      <c r="FF26" s="3">
        <v>30410.760999999999</v>
      </c>
      <c r="FG26" s="3">
        <v>30065.544000000002</v>
      </c>
      <c r="FH26" s="3">
        <v>30748.021999999997</v>
      </c>
      <c r="FI26" s="3">
        <v>30652.081999999995</v>
      </c>
      <c r="FJ26" s="3">
        <v>32456.645999999997</v>
      </c>
      <c r="FK26" s="3">
        <v>32573.675999999999</v>
      </c>
      <c r="FL26" s="3">
        <v>32068.353000000003</v>
      </c>
      <c r="FM26" s="3">
        <v>30926.965000000004</v>
      </c>
      <c r="FN26" s="3">
        <v>33089.659</v>
      </c>
      <c r="FO26" s="3">
        <v>31006.557000000001</v>
      </c>
      <c r="FP26" s="3">
        <v>29825.18759127014</v>
      </c>
      <c r="FQ26" s="3"/>
      <c r="FR26" s="3"/>
    </row>
    <row r="27" spans="1:174">
      <c r="A27" t="s">
        <v>187</v>
      </c>
      <c r="B27" s="151">
        <v>2609.9589999999998</v>
      </c>
      <c r="C27" s="151">
        <v>2673.3989999999999</v>
      </c>
      <c r="D27" s="151">
        <v>2655.1089999999999</v>
      </c>
      <c r="E27" s="151">
        <v>2411.7710000000002</v>
      </c>
      <c r="F27" s="151">
        <v>1915.71</v>
      </c>
      <c r="G27" s="151">
        <v>2474.6179999999999</v>
      </c>
      <c r="H27" s="151">
        <v>2476.1779999999999</v>
      </c>
      <c r="I27" s="151">
        <v>2181.1869999999999</v>
      </c>
      <c r="J27" s="3">
        <v>2203.2429999999999</v>
      </c>
      <c r="K27" s="3">
        <v>2086.5630000000001</v>
      </c>
      <c r="L27" s="3">
        <v>2102.9839999999999</v>
      </c>
      <c r="M27" s="3">
        <v>2036.223</v>
      </c>
      <c r="N27" s="3">
        <v>2030.1659999999999</v>
      </c>
      <c r="O27" s="3">
        <v>2182.3969999999999</v>
      </c>
      <c r="P27" s="3">
        <v>1970.3530000000001</v>
      </c>
      <c r="Q27" s="3">
        <v>1553.713</v>
      </c>
      <c r="R27" s="3">
        <v>1705.96</v>
      </c>
      <c r="S27" s="3">
        <v>1496.7370000000001</v>
      </c>
      <c r="T27" s="3">
        <v>1470.9073322033898</v>
      </c>
      <c r="U27" s="151">
        <v>12440.669</v>
      </c>
      <c r="V27" s="151">
        <v>11672.821</v>
      </c>
      <c r="W27" s="151">
        <v>11099.394</v>
      </c>
      <c r="X27" s="151">
        <v>11898.968000000001</v>
      </c>
      <c r="Y27" s="151">
        <v>10857.045</v>
      </c>
      <c r="Z27" s="151">
        <v>12565.972</v>
      </c>
      <c r="AA27" s="151">
        <v>12620.031000000001</v>
      </c>
      <c r="AB27" s="151">
        <v>11526.38</v>
      </c>
      <c r="AC27" s="3">
        <v>10684.254000000001</v>
      </c>
      <c r="AD27" s="3">
        <v>10420.963</v>
      </c>
      <c r="AE27" s="3">
        <v>7837.317</v>
      </c>
      <c r="AF27" s="3">
        <v>8875.6239999999998</v>
      </c>
      <c r="AG27" s="3">
        <v>8547.9599999999991</v>
      </c>
      <c r="AH27" s="3">
        <v>9809.7780000000002</v>
      </c>
      <c r="AI27" s="3">
        <v>8620.4419999999991</v>
      </c>
      <c r="AJ27" s="3">
        <v>7175.5320000000002</v>
      </c>
      <c r="AK27" s="3">
        <v>7631.567</v>
      </c>
      <c r="AL27" s="3">
        <v>7969.9470000000001</v>
      </c>
      <c r="AM27" s="3">
        <v>8104.4754526826155</v>
      </c>
      <c r="AN27" s="151">
        <v>842.62699999999995</v>
      </c>
      <c r="AO27" s="151">
        <v>881.85699999999997</v>
      </c>
      <c r="AP27" s="151">
        <v>910.53300000000002</v>
      </c>
      <c r="AQ27" s="151">
        <v>826.52599999999995</v>
      </c>
      <c r="AR27" s="151">
        <v>984.60900000000004</v>
      </c>
      <c r="AS27" s="151">
        <v>1358.6420000000001</v>
      </c>
      <c r="AT27" s="151">
        <v>1061.951</v>
      </c>
      <c r="AU27" s="151">
        <v>910.79100000000005</v>
      </c>
      <c r="AV27" s="3">
        <v>861.39300000000003</v>
      </c>
      <c r="AW27" s="3">
        <v>703.07399999999996</v>
      </c>
      <c r="AX27" s="3">
        <v>625.66700000000003</v>
      </c>
      <c r="AY27" s="3">
        <v>722.70799999999997</v>
      </c>
      <c r="AZ27" s="3">
        <v>673.43399999999997</v>
      </c>
      <c r="BA27" s="3">
        <v>655.41700000000003</v>
      </c>
      <c r="BB27" s="3">
        <v>603.87199999999996</v>
      </c>
      <c r="BC27" s="3">
        <v>878.25900000000001</v>
      </c>
      <c r="BD27" s="3">
        <v>648.37</v>
      </c>
      <c r="BE27" s="3">
        <v>463.05099999999999</v>
      </c>
      <c r="BF27" s="3">
        <v>414.66253905273635</v>
      </c>
      <c r="BG27" s="151">
        <v>18669.904999999999</v>
      </c>
      <c r="BH27" s="151">
        <v>17276.955999999998</v>
      </c>
      <c r="BI27" s="151">
        <v>17274.893</v>
      </c>
      <c r="BJ27" s="151">
        <v>16480.396000000001</v>
      </c>
      <c r="BK27" s="151">
        <v>12881</v>
      </c>
      <c r="BL27" s="151">
        <v>14498</v>
      </c>
      <c r="BM27" s="151">
        <v>15252</v>
      </c>
      <c r="BN27" s="151">
        <v>15632</v>
      </c>
      <c r="BO27" s="3">
        <v>15996</v>
      </c>
      <c r="BP27" s="3">
        <v>16362</v>
      </c>
      <c r="BQ27" s="3">
        <v>15532</v>
      </c>
      <c r="BR27" s="3">
        <v>15699</v>
      </c>
      <c r="BS27" s="3">
        <v>16351</v>
      </c>
      <c r="BT27" s="3">
        <v>16727</v>
      </c>
      <c r="BU27" s="3">
        <v>16239</v>
      </c>
      <c r="BV27" s="3">
        <v>12028</v>
      </c>
      <c r="BW27" s="3">
        <v>12342</v>
      </c>
      <c r="BX27" s="3">
        <v>12409</v>
      </c>
      <c r="BY27" s="153">
        <v>11535.850165562913</v>
      </c>
      <c r="BZ27" s="151">
        <v>482.18200000000002</v>
      </c>
      <c r="CA27" s="151">
        <v>518.60599999999999</v>
      </c>
      <c r="CB27" s="151">
        <v>400.49700000000001</v>
      </c>
      <c r="CC27" s="151">
        <v>434.46100000000001</v>
      </c>
      <c r="CD27" s="151">
        <v>450.58300000000003</v>
      </c>
      <c r="CE27" s="151">
        <v>515.14300000000003</v>
      </c>
      <c r="CF27" s="151">
        <v>504.58600000000001</v>
      </c>
      <c r="CG27" s="151">
        <v>531.26499999999999</v>
      </c>
      <c r="CH27" s="3">
        <v>572.77599999999995</v>
      </c>
      <c r="CI27" s="3">
        <v>592.45699999999999</v>
      </c>
      <c r="CJ27" s="3">
        <v>623.48299999999995</v>
      </c>
      <c r="CK27" s="3">
        <v>785.827</v>
      </c>
      <c r="CL27" s="3">
        <v>824.90200000000004</v>
      </c>
      <c r="CM27" s="3">
        <v>772.30799999999999</v>
      </c>
      <c r="CN27" s="3">
        <v>819.69500000000005</v>
      </c>
      <c r="CO27" s="3">
        <v>989.49099999999999</v>
      </c>
      <c r="CP27" s="3">
        <v>973.27300000000002</v>
      </c>
      <c r="CQ27" s="3">
        <v>955.52700000000004</v>
      </c>
      <c r="CR27" s="3">
        <v>967.18268104784295</v>
      </c>
      <c r="CS27" s="151">
        <v>-635.59799999999996</v>
      </c>
      <c r="CT27" s="151">
        <v>519.34699999999998</v>
      </c>
      <c r="CU27" s="151">
        <v>113.15600000000001</v>
      </c>
      <c r="CV27" s="151">
        <v>-168.61600000000001</v>
      </c>
      <c r="CW27" s="151">
        <v>402.83699999999999</v>
      </c>
      <c r="CX27" s="151">
        <v>178.67599999999999</v>
      </c>
      <c r="CY27" s="151">
        <v>-621.92600000000004</v>
      </c>
      <c r="CZ27" s="151">
        <v>-1682.9749999999999</v>
      </c>
      <c r="DA27" s="3">
        <v>-860.01700000000005</v>
      </c>
      <c r="DB27" s="3">
        <v>-1343.336</v>
      </c>
      <c r="DC27" s="3">
        <v>-1943.25</v>
      </c>
      <c r="DD27" s="3">
        <v>-1009.028</v>
      </c>
      <c r="DE27" s="3">
        <v>-1633.018</v>
      </c>
      <c r="DF27" s="3">
        <v>-1480.9110000000001</v>
      </c>
      <c r="DG27" s="3">
        <v>-2249.4409999999998</v>
      </c>
      <c r="DH27" s="3">
        <v>-2149.355</v>
      </c>
      <c r="DI27" s="3">
        <v>-2198.4520000000002</v>
      </c>
      <c r="DJ27" s="3">
        <v>-2856.32</v>
      </c>
      <c r="DK27" s="3">
        <v>-2856.32</v>
      </c>
      <c r="DL27" s="151">
        <v>14583.477000000001</v>
      </c>
      <c r="DM27" s="151">
        <v>14166.165999999999</v>
      </c>
      <c r="DN27" s="151">
        <v>14957.691000000001</v>
      </c>
      <c r="DO27" s="151">
        <v>15365.782999999999</v>
      </c>
      <c r="DP27" s="151">
        <v>15573.189</v>
      </c>
      <c r="DQ27" s="151">
        <v>16751.976999999999</v>
      </c>
      <c r="DR27" s="151">
        <v>16255.545009744899</v>
      </c>
      <c r="DS27" s="151">
        <v>18349.429524696599</v>
      </c>
      <c r="DT27" s="3">
        <v>16979.2316453616</v>
      </c>
      <c r="DU27" s="3">
        <v>17137.904798223</v>
      </c>
      <c r="DV27" s="3">
        <v>19059.493011082399</v>
      </c>
      <c r="DW27" s="3">
        <v>18241.020284799801</v>
      </c>
      <c r="DX27" s="3">
        <v>19553.625131556299</v>
      </c>
      <c r="DY27" s="3">
        <v>18580.312642113298</v>
      </c>
      <c r="DZ27" s="3">
        <v>19790.1796421133</v>
      </c>
      <c r="EA27" s="3">
        <v>20829.800324257201</v>
      </c>
      <c r="EB27" s="3">
        <v>22217.750212859399</v>
      </c>
      <c r="EC27" s="3">
        <v>22014.161660552199</v>
      </c>
      <c r="ED27" s="3">
        <v>23475.021478666225</v>
      </c>
      <c r="EE27" s="151">
        <v>15893.255000000001</v>
      </c>
      <c r="EF27" s="151">
        <v>15228.076999999999</v>
      </c>
      <c r="EG27" s="151">
        <v>14665.036</v>
      </c>
      <c r="EH27" s="151">
        <v>15137.265000000001</v>
      </c>
      <c r="EI27" s="151">
        <v>13757.364000000001</v>
      </c>
      <c r="EJ27" s="151">
        <v>16399.232</v>
      </c>
      <c r="EK27" s="151">
        <v>16158.16</v>
      </c>
      <c r="EL27" s="151">
        <v>14618.357999999998</v>
      </c>
      <c r="EM27" s="3">
        <v>13748.890000000001</v>
      </c>
      <c r="EN27" s="3">
        <v>13210.6</v>
      </c>
      <c r="EO27" s="3">
        <v>10565.967999999999</v>
      </c>
      <c r="EP27" s="3">
        <v>11634.555</v>
      </c>
      <c r="EQ27" s="3">
        <v>11251.559999999998</v>
      </c>
      <c r="ER27" s="3">
        <v>12647.591999999999</v>
      </c>
      <c r="ES27" s="3">
        <v>11194.666999999998</v>
      </c>
      <c r="ET27" s="3">
        <v>9607.5040000000008</v>
      </c>
      <c r="EU27" s="3">
        <v>9985.8970000000008</v>
      </c>
      <c r="EV27" s="3">
        <v>9929.7350000000006</v>
      </c>
      <c r="EW27" s="3">
        <v>9990.0453239387425</v>
      </c>
      <c r="EX27" s="151">
        <v>48993.221000000005</v>
      </c>
      <c r="EY27" s="151">
        <v>47709.151999999995</v>
      </c>
      <c r="EZ27" s="151">
        <v>47411.273000000001</v>
      </c>
      <c r="FA27" s="151">
        <v>47249.288999999997</v>
      </c>
      <c r="FB27" s="151">
        <v>43064.972999999998</v>
      </c>
      <c r="FC27" s="151">
        <v>48343.027999999998</v>
      </c>
      <c r="FD27" s="151">
        <v>47548.365009744899</v>
      </c>
      <c r="FE27" s="151">
        <v>47448.0775246966</v>
      </c>
      <c r="FF27" s="3">
        <v>46436.880645361598</v>
      </c>
      <c r="FG27" s="3">
        <v>45959.625798223002</v>
      </c>
      <c r="FH27" s="3">
        <v>43837.6940110824</v>
      </c>
      <c r="FI27" s="3">
        <v>45351.374284799807</v>
      </c>
      <c r="FJ27" s="3">
        <v>46348.069131556302</v>
      </c>
      <c r="FK27" s="3">
        <v>47246.301642113292</v>
      </c>
      <c r="FL27" s="3">
        <v>45794.100642113299</v>
      </c>
      <c r="FM27" s="3">
        <v>41305.440324257201</v>
      </c>
      <c r="FN27" s="3">
        <v>43320.4682128594</v>
      </c>
      <c r="FO27" s="3">
        <v>42452.103660552202</v>
      </c>
      <c r="FP27" s="3">
        <v>43111.779649215721</v>
      </c>
      <c r="FQ27" s="3"/>
      <c r="FR27" s="3"/>
    </row>
    <row r="28" spans="1:174">
      <c r="A28" t="s">
        <v>79</v>
      </c>
      <c r="B28" s="151">
        <v>1512.876</v>
      </c>
      <c r="C28" s="151">
        <v>1543.1690000000001</v>
      </c>
      <c r="D28" s="151">
        <v>1577.5239999999999</v>
      </c>
      <c r="E28" s="151">
        <v>1530.961</v>
      </c>
      <c r="F28" s="151">
        <v>1424.194</v>
      </c>
      <c r="G28" s="151">
        <v>1448.402</v>
      </c>
      <c r="H28" s="151">
        <v>1460.4</v>
      </c>
      <c r="I28" s="151">
        <v>1388.6289999999999</v>
      </c>
      <c r="J28" s="3">
        <v>1346.9929999999999</v>
      </c>
      <c r="K28" s="3">
        <v>1042.1880000000001</v>
      </c>
      <c r="L28" s="3">
        <v>1061.057</v>
      </c>
      <c r="M28" s="3">
        <v>1141.193</v>
      </c>
      <c r="N28" s="3">
        <v>1133.4570000000001</v>
      </c>
      <c r="O28" s="3">
        <v>1124.17</v>
      </c>
      <c r="P28" s="3">
        <v>1059.549</v>
      </c>
      <c r="Q28" s="3">
        <v>1013.855</v>
      </c>
      <c r="R28" s="3">
        <v>928.28800000000001</v>
      </c>
      <c r="S28" s="3">
        <v>742.17600000000004</v>
      </c>
      <c r="T28" s="3">
        <v>637.92566444284341</v>
      </c>
      <c r="U28" s="151">
        <v>2421.4389999999999</v>
      </c>
      <c r="V28" s="151">
        <v>2468.4050000000002</v>
      </c>
      <c r="W28" s="151">
        <v>2433.73</v>
      </c>
      <c r="X28" s="151">
        <v>2830.5619999999999</v>
      </c>
      <c r="Y28" s="151">
        <v>2440.2060000000001</v>
      </c>
      <c r="Z28" s="151">
        <v>2475.4549999999999</v>
      </c>
      <c r="AA28" s="151">
        <v>2463.9670000000001</v>
      </c>
      <c r="AB28" s="151">
        <v>2391.7370000000001</v>
      </c>
      <c r="AC28" s="3">
        <v>2251.2139999999999</v>
      </c>
      <c r="AD28" s="3">
        <v>2196.6689999999999</v>
      </c>
      <c r="AE28" s="3">
        <v>2174.7559999999999</v>
      </c>
      <c r="AF28" s="3">
        <v>2286.194</v>
      </c>
      <c r="AG28" s="3">
        <v>2306.2759999999998</v>
      </c>
      <c r="AH28" s="3">
        <v>2314.6709999999998</v>
      </c>
      <c r="AI28" s="3">
        <v>2222.2930000000001</v>
      </c>
      <c r="AJ28" s="3">
        <v>1875.7670000000001</v>
      </c>
      <c r="AK28" s="3">
        <v>2053.1750000000002</v>
      </c>
      <c r="AL28" s="3">
        <v>2275.3200000000002</v>
      </c>
      <c r="AM28" s="3">
        <v>2001.5685245927443</v>
      </c>
      <c r="AN28" s="151">
        <v>802.66499999999996</v>
      </c>
      <c r="AO28" s="151">
        <v>786.178</v>
      </c>
      <c r="AP28" s="151">
        <v>783.49099999999999</v>
      </c>
      <c r="AQ28" s="151">
        <v>782.54499999999996</v>
      </c>
      <c r="AR28" s="151">
        <v>741.101</v>
      </c>
      <c r="AS28" s="151">
        <v>783.87800000000004</v>
      </c>
      <c r="AT28" s="151">
        <v>732.60900000000004</v>
      </c>
      <c r="AU28" s="151">
        <v>705.76099999999997</v>
      </c>
      <c r="AV28" s="3">
        <v>687.55399999999997</v>
      </c>
      <c r="AW28" s="3">
        <v>621.53899999999999</v>
      </c>
      <c r="AX28" s="3">
        <v>659.28599999999994</v>
      </c>
      <c r="AY28" s="3">
        <v>699.59199999999998</v>
      </c>
      <c r="AZ28" s="3">
        <v>733.23099999999999</v>
      </c>
      <c r="BA28" s="3">
        <v>719.02700000000004</v>
      </c>
      <c r="BB28" s="3">
        <v>729.96500000000003</v>
      </c>
      <c r="BC28" s="3">
        <v>730.23400000000004</v>
      </c>
      <c r="BD28" s="3">
        <v>769.35</v>
      </c>
      <c r="BE28" s="3">
        <v>678.27599999999995</v>
      </c>
      <c r="BF28" s="3">
        <v>654.32517116038832</v>
      </c>
      <c r="BG28" s="151">
        <v>1517.799</v>
      </c>
      <c r="BH28" s="151">
        <v>1431.126</v>
      </c>
      <c r="BI28" s="151">
        <v>1469.046</v>
      </c>
      <c r="BJ28" s="151">
        <v>1618.143</v>
      </c>
      <c r="BK28" s="151">
        <v>1354.6859999999999</v>
      </c>
      <c r="BL28" s="151">
        <v>1335.24</v>
      </c>
      <c r="BM28" s="151">
        <v>1470.482</v>
      </c>
      <c r="BN28" s="151">
        <v>1308.1320000000001</v>
      </c>
      <c r="BO28" s="3">
        <v>1250.9000000000001</v>
      </c>
      <c r="BP28" s="3">
        <v>1499.4590000000001</v>
      </c>
      <c r="BQ28" s="3">
        <v>1332.2</v>
      </c>
      <c r="BR28" s="3">
        <v>1348.646</v>
      </c>
      <c r="BS28" s="3">
        <v>1488.1</v>
      </c>
      <c r="BT28" s="3">
        <v>1364.6</v>
      </c>
      <c r="BU28" s="3">
        <v>1375.2</v>
      </c>
      <c r="BV28" s="3">
        <v>1496.8520000000001</v>
      </c>
      <c r="BW28" s="3">
        <v>1352.443</v>
      </c>
      <c r="BX28" s="3">
        <v>1336.549</v>
      </c>
      <c r="BY28" s="153">
        <v>1335.9532765619629</v>
      </c>
      <c r="BZ28" s="151">
        <v>10.724</v>
      </c>
      <c r="CA28" s="151">
        <v>13.089</v>
      </c>
      <c r="CB28" s="151">
        <v>10.747999999999999</v>
      </c>
      <c r="CC28" s="151">
        <v>9.3149999999999995</v>
      </c>
      <c r="CD28" s="151">
        <v>16.097999999999999</v>
      </c>
      <c r="CE28" s="151">
        <v>18.606000000000002</v>
      </c>
      <c r="CF28" s="151">
        <v>23.931999999999999</v>
      </c>
      <c r="CG28" s="151">
        <v>23.382999999999999</v>
      </c>
      <c r="CH28" s="3">
        <v>25.533000000000001</v>
      </c>
      <c r="CI28" s="3">
        <v>32.865000000000002</v>
      </c>
      <c r="CJ28" s="3">
        <v>37.594000000000001</v>
      </c>
      <c r="CK28" s="3">
        <v>40.412999999999997</v>
      </c>
      <c r="CL28" s="3">
        <v>48.097000000000001</v>
      </c>
      <c r="CM28" s="3">
        <v>57.542999999999999</v>
      </c>
      <c r="CN28" s="3">
        <v>62.033000000000001</v>
      </c>
      <c r="CO28" s="3">
        <v>57.197000000000003</v>
      </c>
      <c r="CP28" s="3">
        <v>54.732999999999997</v>
      </c>
      <c r="CQ28" s="3">
        <v>53.82</v>
      </c>
      <c r="CR28" s="3">
        <v>53.82</v>
      </c>
      <c r="CS28" s="151">
        <v>-27.945</v>
      </c>
      <c r="CT28" s="151">
        <v>3.7829999999999999</v>
      </c>
      <c r="CU28" s="151">
        <v>19.690000000000001</v>
      </c>
      <c r="CV28" s="151">
        <v>-137.489</v>
      </c>
      <c r="CW28" s="151">
        <v>-263.02699999999999</v>
      </c>
      <c r="CX28" s="151">
        <v>-182.28700000000001</v>
      </c>
      <c r="CY28" s="151">
        <v>-117.971</v>
      </c>
      <c r="CZ28" s="151">
        <v>-89.337999999999994</v>
      </c>
      <c r="DA28" s="3">
        <v>-110.92</v>
      </c>
      <c r="DB28" s="3">
        <v>-235.85599999999999</v>
      </c>
      <c r="DC28" s="3">
        <v>-4.1269999999999998</v>
      </c>
      <c r="DD28" s="3">
        <v>-101.11799999999999</v>
      </c>
      <c r="DE28" s="3">
        <v>-44.338999999999999</v>
      </c>
      <c r="DF28" s="3">
        <v>-43.177999999999997</v>
      </c>
      <c r="DG28" s="3">
        <v>-27.390999999999998</v>
      </c>
      <c r="DH28" s="3">
        <v>-172.23599999999999</v>
      </c>
      <c r="DI28" s="3">
        <v>-23.251999999999999</v>
      </c>
      <c r="DJ28" s="3">
        <v>124.32599999999999</v>
      </c>
      <c r="DK28" s="3">
        <v>-129.47399999999999</v>
      </c>
      <c r="DL28" s="151">
        <v>1012.2433003725999</v>
      </c>
      <c r="DM28" s="151">
        <v>944.97729578675796</v>
      </c>
      <c r="DN28" s="151">
        <v>988.68427925862204</v>
      </c>
      <c r="DO28" s="151">
        <v>1091.587361135</v>
      </c>
      <c r="DP28" s="151">
        <v>1111.1895895672101</v>
      </c>
      <c r="DQ28" s="151">
        <v>1154.53452899589</v>
      </c>
      <c r="DR28" s="151">
        <v>1072.39134900162</v>
      </c>
      <c r="DS28" s="151">
        <v>1098.35847234164</v>
      </c>
      <c r="DT28" s="3">
        <v>1200.7467642113299</v>
      </c>
      <c r="DU28" s="3">
        <v>1235.06712314894</v>
      </c>
      <c r="DV28" s="3">
        <v>1084.06416623674</v>
      </c>
      <c r="DW28" s="3">
        <v>1133.50802350244</v>
      </c>
      <c r="DX28" s="3">
        <v>1063.3867518868799</v>
      </c>
      <c r="DY28" s="3">
        <v>1113.34959778351</v>
      </c>
      <c r="DZ28" s="3">
        <v>1103.1886027515</v>
      </c>
      <c r="EA28" s="3">
        <v>1145.4058377758699</v>
      </c>
      <c r="EB28" s="3">
        <v>1200.0503354351799</v>
      </c>
      <c r="EC28" s="3">
        <v>984.01767096589197</v>
      </c>
      <c r="ED28" s="3">
        <v>1006.303820380627</v>
      </c>
      <c r="EE28" s="151">
        <v>4736.9799999999996</v>
      </c>
      <c r="EF28" s="151">
        <v>4797.7520000000004</v>
      </c>
      <c r="EG28" s="151">
        <v>4794.7449999999999</v>
      </c>
      <c r="EH28" s="151">
        <v>5144.0680000000002</v>
      </c>
      <c r="EI28" s="151">
        <v>4605.5010000000002</v>
      </c>
      <c r="EJ28" s="151">
        <v>4707.7349999999997</v>
      </c>
      <c r="EK28" s="151">
        <v>4656.9760000000006</v>
      </c>
      <c r="EL28" s="151">
        <v>4486.1270000000004</v>
      </c>
      <c r="EM28" s="3">
        <v>4285.7609999999995</v>
      </c>
      <c r="EN28" s="3">
        <v>3860.3959999999997</v>
      </c>
      <c r="EO28" s="3">
        <v>3895.0990000000002</v>
      </c>
      <c r="EP28" s="3">
        <v>4126.9789999999994</v>
      </c>
      <c r="EQ28" s="3">
        <v>4172.9639999999999</v>
      </c>
      <c r="ER28" s="3">
        <v>4157.8680000000004</v>
      </c>
      <c r="ES28" s="3">
        <v>4011.8070000000002</v>
      </c>
      <c r="ET28" s="3">
        <v>3619.8560000000002</v>
      </c>
      <c r="EU28" s="3">
        <v>3750.8130000000001</v>
      </c>
      <c r="EV28" s="3">
        <v>3695.7719999999999</v>
      </c>
      <c r="EW28" s="3">
        <v>3293.8193601959761</v>
      </c>
      <c r="EX28" s="151">
        <v>7249.8013003726001</v>
      </c>
      <c r="EY28" s="151">
        <v>7190.727295786759</v>
      </c>
      <c r="EZ28" s="151">
        <v>7282.9132792586215</v>
      </c>
      <c r="FA28" s="151">
        <v>7725.6243611350001</v>
      </c>
      <c r="FB28" s="151">
        <v>6824.4475895672094</v>
      </c>
      <c r="FC28" s="151">
        <v>7033.8285289958894</v>
      </c>
      <c r="FD28" s="151">
        <v>7105.8103490016201</v>
      </c>
      <c r="FE28" s="151">
        <v>6826.6624723416398</v>
      </c>
      <c r="FF28" s="3">
        <v>6652.0207642113301</v>
      </c>
      <c r="FG28" s="3">
        <v>6391.9311231489392</v>
      </c>
      <c r="FH28" s="3">
        <v>6344.8301662367394</v>
      </c>
      <c r="FI28" s="3">
        <v>6548.428023502438</v>
      </c>
      <c r="FJ28" s="3">
        <v>6728.2087518868802</v>
      </c>
      <c r="FK28" s="3">
        <v>6650.1825977835106</v>
      </c>
      <c r="FL28" s="3">
        <v>6524.8376027515014</v>
      </c>
      <c r="FM28" s="3">
        <v>6147.0748377758709</v>
      </c>
      <c r="FN28" s="3">
        <v>6334.7873354351796</v>
      </c>
      <c r="FO28" s="3">
        <v>6194.4846709658914</v>
      </c>
      <c r="FP28" s="3">
        <v>5560.4224571385657</v>
      </c>
      <c r="FQ28" s="3"/>
      <c r="FR28" s="3"/>
    </row>
    <row r="29" spans="1:174">
      <c r="A29" t="s">
        <v>188</v>
      </c>
      <c r="B29" s="151">
        <v>4202.2240000000002</v>
      </c>
      <c r="C29" s="151">
        <v>4414.3360000000002</v>
      </c>
      <c r="D29" s="151">
        <v>3954.2950000000001</v>
      </c>
      <c r="E29" s="151">
        <v>3957.6219999999998</v>
      </c>
      <c r="F29" s="151">
        <v>3829.8649999999998</v>
      </c>
      <c r="G29" s="151">
        <v>3846.5430000000001</v>
      </c>
      <c r="H29" s="151">
        <v>3647.3429999999998</v>
      </c>
      <c r="I29" s="151">
        <v>3421.1640000000002</v>
      </c>
      <c r="J29" s="3">
        <v>3400.2420000000002</v>
      </c>
      <c r="K29" s="3">
        <v>3377.0819999999999</v>
      </c>
      <c r="L29" s="3">
        <v>3236.3229999999999</v>
      </c>
      <c r="M29" s="3">
        <v>3173.5340000000001</v>
      </c>
      <c r="N29" s="3">
        <v>3324.098</v>
      </c>
      <c r="O29" s="3">
        <v>3283.5819999999999</v>
      </c>
      <c r="P29" s="3">
        <v>2680.7429999999999</v>
      </c>
      <c r="Q29" s="3">
        <v>2261.498</v>
      </c>
      <c r="R29" s="3">
        <v>2771.51</v>
      </c>
      <c r="S29" s="3">
        <v>2361.4520000000002</v>
      </c>
      <c r="T29" s="3">
        <v>2346.9594837804666</v>
      </c>
      <c r="U29" s="151">
        <v>2402.7449999999999</v>
      </c>
      <c r="V29" s="151">
        <v>2282.9119999999998</v>
      </c>
      <c r="W29" s="151">
        <v>2466.6950000000002</v>
      </c>
      <c r="X29" s="151">
        <v>2667.5810000000001</v>
      </c>
      <c r="Y29" s="151">
        <v>2454.424</v>
      </c>
      <c r="Z29" s="151">
        <v>2713.2579999999998</v>
      </c>
      <c r="AA29" s="151">
        <v>2646.8780000000002</v>
      </c>
      <c r="AB29" s="151">
        <v>2632.817</v>
      </c>
      <c r="AC29" s="3">
        <v>2468.703</v>
      </c>
      <c r="AD29" s="3">
        <v>2245.9340000000002</v>
      </c>
      <c r="AE29" s="3">
        <v>2486.471</v>
      </c>
      <c r="AF29" s="3">
        <v>2739.1869999999999</v>
      </c>
      <c r="AG29" s="3">
        <v>3028.81</v>
      </c>
      <c r="AH29" s="3">
        <v>3037.1489999999999</v>
      </c>
      <c r="AI29" s="3">
        <v>3009.4549999999999</v>
      </c>
      <c r="AJ29" s="3">
        <v>2812.2339999999999</v>
      </c>
      <c r="AK29" s="3">
        <v>2906.9270000000001</v>
      </c>
      <c r="AL29" s="3">
        <v>3066.5079999999998</v>
      </c>
      <c r="AM29" s="3">
        <v>3076.9525646904754</v>
      </c>
      <c r="AN29" s="151">
        <v>5498.2150000000001</v>
      </c>
      <c r="AO29" s="151">
        <v>5056.9210000000003</v>
      </c>
      <c r="AP29" s="151">
        <v>4762.2529999999997</v>
      </c>
      <c r="AQ29" s="151">
        <v>4874.8069999999998</v>
      </c>
      <c r="AR29" s="151">
        <v>4160.6840000000002</v>
      </c>
      <c r="AS29" s="151">
        <v>4796.2809999999999</v>
      </c>
      <c r="AT29" s="151">
        <v>4254.0839999999998</v>
      </c>
      <c r="AU29" s="151">
        <v>4045.4430000000002</v>
      </c>
      <c r="AV29" s="3">
        <v>4167.3689999999997</v>
      </c>
      <c r="AW29" s="3">
        <v>3485.3389999999999</v>
      </c>
      <c r="AX29" s="3">
        <v>3493.4870000000001</v>
      </c>
      <c r="AY29" s="3">
        <v>3552.9450000000002</v>
      </c>
      <c r="AZ29" s="3">
        <v>3751.4140000000002</v>
      </c>
      <c r="BA29" s="3">
        <v>3625.9090000000001</v>
      </c>
      <c r="BB29" s="3">
        <v>3723.4940000000001</v>
      </c>
      <c r="BC29" s="3">
        <v>3699.9639999999999</v>
      </c>
      <c r="BD29" s="3">
        <v>4144.8019999999997</v>
      </c>
      <c r="BE29" s="3">
        <v>3466.55</v>
      </c>
      <c r="BF29" s="3">
        <v>3300.0432844635557</v>
      </c>
      <c r="BG29" s="151">
        <v>4732.7460000000001</v>
      </c>
      <c r="BH29" s="151">
        <v>4812.2809999999999</v>
      </c>
      <c r="BI29" s="151">
        <v>4101.2749999999996</v>
      </c>
      <c r="BJ29" s="151">
        <v>4452.1930000000002</v>
      </c>
      <c r="BK29" s="151">
        <v>3783</v>
      </c>
      <c r="BL29" s="151">
        <v>3853.28</v>
      </c>
      <c r="BM29" s="151">
        <v>4027</v>
      </c>
      <c r="BN29" s="151">
        <v>4050</v>
      </c>
      <c r="BO29" s="3">
        <v>4110.51</v>
      </c>
      <c r="BP29" s="3">
        <v>4053</v>
      </c>
      <c r="BQ29" s="3">
        <v>4028</v>
      </c>
      <c r="BR29" s="3">
        <v>3894</v>
      </c>
      <c r="BS29" s="3">
        <v>3985</v>
      </c>
      <c r="BT29" s="3">
        <v>3760</v>
      </c>
      <c r="BU29" s="3">
        <v>4048</v>
      </c>
      <c r="BV29" s="3">
        <v>4044</v>
      </c>
      <c r="BW29" s="3">
        <v>4051.05</v>
      </c>
      <c r="BX29" s="3">
        <v>4096.99</v>
      </c>
      <c r="BY29" s="153">
        <v>4701.1158190523938</v>
      </c>
      <c r="BZ29" s="151">
        <v>50.491999999999997</v>
      </c>
      <c r="CA29" s="151">
        <v>42.276000000000003</v>
      </c>
      <c r="CB29" s="151">
        <v>52.235999999999997</v>
      </c>
      <c r="CC29" s="151">
        <v>50.014000000000003</v>
      </c>
      <c r="CD29" s="151">
        <v>48.795999999999999</v>
      </c>
      <c r="CE29" s="151">
        <v>35.206000000000003</v>
      </c>
      <c r="CF29" s="151">
        <v>39.552999999999997</v>
      </c>
      <c r="CG29" s="151">
        <v>44.305999999999997</v>
      </c>
      <c r="CH29" s="3">
        <v>125.514</v>
      </c>
      <c r="CI29" s="3">
        <v>151.524</v>
      </c>
      <c r="CJ29" s="3">
        <v>190.64699999999999</v>
      </c>
      <c r="CK29" s="3">
        <v>200.965</v>
      </c>
      <c r="CL29" s="3">
        <v>204.90600000000001</v>
      </c>
      <c r="CM29" s="3">
        <v>183.864</v>
      </c>
      <c r="CN29" s="3">
        <v>210.399</v>
      </c>
      <c r="CO29" s="3">
        <v>234.833</v>
      </c>
      <c r="CP29" s="3">
        <v>236.983</v>
      </c>
      <c r="CQ29" s="3">
        <v>225.99600000000001</v>
      </c>
      <c r="CR29" s="3">
        <v>239.03698668357646</v>
      </c>
      <c r="CS29" s="151">
        <v>-280.73899999999998</v>
      </c>
      <c r="CT29" s="151">
        <v>-200.43</v>
      </c>
      <c r="CU29" s="151">
        <v>148.32300000000001</v>
      </c>
      <c r="CV29" s="151">
        <v>44.798000000000002</v>
      </c>
      <c r="CW29" s="151">
        <v>112.812</v>
      </c>
      <c r="CX29" s="151">
        <v>89.51</v>
      </c>
      <c r="CY29" s="151">
        <v>62.511000000000003</v>
      </c>
      <c r="CZ29" s="151">
        <v>33.792000000000002</v>
      </c>
      <c r="DA29" s="3">
        <v>7.8250000000000002</v>
      </c>
      <c r="DB29" s="3">
        <v>94.754999999999995</v>
      </c>
      <c r="DC29" s="3">
        <v>205.33099999999999</v>
      </c>
      <c r="DD29" s="3">
        <v>227.94499999999999</v>
      </c>
      <c r="DE29" s="3">
        <v>260.36099999999999</v>
      </c>
      <c r="DF29" s="3">
        <v>316.59500000000003</v>
      </c>
      <c r="DG29" s="3">
        <v>146.17400000000001</v>
      </c>
      <c r="DH29" s="3">
        <v>27.428999999999998</v>
      </c>
      <c r="DI29" s="3">
        <v>66.552000000000007</v>
      </c>
      <c r="DJ29" s="3">
        <v>121.41</v>
      </c>
      <c r="DK29" s="3">
        <v>165.7780000000057</v>
      </c>
      <c r="DL29" s="151">
        <v>808.553</v>
      </c>
      <c r="DM29" s="151">
        <v>834.84299999999996</v>
      </c>
      <c r="DN29" s="151">
        <v>942.73</v>
      </c>
      <c r="DO29" s="151">
        <v>938.56899999999996</v>
      </c>
      <c r="DP29" s="151">
        <v>1131.067</v>
      </c>
      <c r="DQ29" s="151">
        <v>2041.3579999999999</v>
      </c>
      <c r="DR29" s="151">
        <v>1961.9870000000001</v>
      </c>
      <c r="DS29" s="151">
        <v>2109.1790000000001</v>
      </c>
      <c r="DT29" s="3">
        <v>2105.0250000000001</v>
      </c>
      <c r="DU29" s="3">
        <v>1793.085</v>
      </c>
      <c r="DV29" s="3">
        <v>2161.4119999999998</v>
      </c>
      <c r="DW29" s="3">
        <v>2235.2959999999998</v>
      </c>
      <c r="DX29" s="3">
        <v>2227.4009999999998</v>
      </c>
      <c r="DY29" s="3">
        <v>2069.7829999999999</v>
      </c>
      <c r="DZ29" s="3">
        <v>2158.3322063628498</v>
      </c>
      <c r="EA29" s="3">
        <v>2095.25983959109</v>
      </c>
      <c r="EB29" s="3">
        <v>2255.86733065826</v>
      </c>
      <c r="EC29" s="3">
        <v>2061.3867707079398</v>
      </c>
      <c r="ED29" s="3">
        <v>1998.4138642456821</v>
      </c>
      <c r="EE29" s="151">
        <v>12103.184000000001</v>
      </c>
      <c r="EF29" s="151">
        <v>11754.169</v>
      </c>
      <c r="EG29" s="151">
        <v>11183.242999999999</v>
      </c>
      <c r="EH29" s="151">
        <v>11500.009999999998</v>
      </c>
      <c r="EI29" s="151">
        <v>10444.973</v>
      </c>
      <c r="EJ29" s="151">
        <v>11356.081999999999</v>
      </c>
      <c r="EK29" s="151">
        <v>10548.305</v>
      </c>
      <c r="EL29" s="151">
        <v>10099.423999999999</v>
      </c>
      <c r="EM29" s="3">
        <v>10036.313999999998</v>
      </c>
      <c r="EN29" s="3">
        <v>9108.3549999999996</v>
      </c>
      <c r="EO29" s="3">
        <v>9216.280999999999</v>
      </c>
      <c r="EP29" s="3">
        <v>9465.6659999999993</v>
      </c>
      <c r="EQ29" s="3">
        <v>10104.322</v>
      </c>
      <c r="ER29" s="3">
        <v>9946.64</v>
      </c>
      <c r="ES29" s="3">
        <v>9413.6920000000009</v>
      </c>
      <c r="ET29" s="3">
        <v>8773.6959999999999</v>
      </c>
      <c r="EU29" s="3">
        <v>9823.2389999999996</v>
      </c>
      <c r="EV29" s="3">
        <v>8894.51</v>
      </c>
      <c r="EW29" s="3">
        <v>8723.9553329344981</v>
      </c>
      <c r="EX29" s="151">
        <v>17414.235999999997</v>
      </c>
      <c r="EY29" s="151">
        <v>17243.139000000003</v>
      </c>
      <c r="EZ29" s="151">
        <v>16427.807000000001</v>
      </c>
      <c r="FA29" s="151">
        <v>16985.583999999999</v>
      </c>
      <c r="FB29" s="151">
        <v>15520.648000000001</v>
      </c>
      <c r="FC29" s="151">
        <v>17375.435999999998</v>
      </c>
      <c r="FD29" s="151">
        <v>16639.356</v>
      </c>
      <c r="FE29" s="151">
        <v>16336.700999999999</v>
      </c>
      <c r="FF29" s="3">
        <v>16385.187999999998</v>
      </c>
      <c r="FG29" s="3">
        <v>15200.718999999997</v>
      </c>
      <c r="FH29" s="3">
        <v>15801.671</v>
      </c>
      <c r="FI29" s="3">
        <v>16023.871999999999</v>
      </c>
      <c r="FJ29" s="3">
        <v>16781.990000000002</v>
      </c>
      <c r="FK29" s="3">
        <v>16276.881999999998</v>
      </c>
      <c r="FL29" s="3">
        <v>15976.597206362851</v>
      </c>
      <c r="FM29" s="3">
        <v>15175.217839591091</v>
      </c>
      <c r="FN29" s="3">
        <v>16433.691330658261</v>
      </c>
      <c r="FO29" s="3">
        <v>15400.29277070794</v>
      </c>
      <c r="FP29" s="3">
        <v>15828.300002916158</v>
      </c>
      <c r="FQ29" s="3"/>
      <c r="FR29" s="3"/>
    </row>
    <row r="30" spans="1:174">
      <c r="A30" t="s">
        <v>163</v>
      </c>
      <c r="B30" s="151">
        <v>37593.807999999997</v>
      </c>
      <c r="C30" s="151">
        <v>41001.461000000003</v>
      </c>
      <c r="D30" s="151">
        <v>39183.474999999999</v>
      </c>
      <c r="E30" s="151">
        <v>35837.690999999999</v>
      </c>
      <c r="F30" s="151">
        <v>29023.864000000001</v>
      </c>
      <c r="G30" s="151">
        <v>31735.080999999998</v>
      </c>
      <c r="H30" s="151">
        <v>30753.87</v>
      </c>
      <c r="I30" s="151">
        <v>39200.017</v>
      </c>
      <c r="J30" s="3">
        <v>36800.315999999999</v>
      </c>
      <c r="K30" s="3">
        <v>29459.213</v>
      </c>
      <c r="L30" s="3">
        <v>24577.147000000001</v>
      </c>
      <c r="M30" s="3">
        <v>12593.582</v>
      </c>
      <c r="N30" s="3">
        <v>10100.156999999999</v>
      </c>
      <c r="O30" s="3">
        <v>8144.8339999999998</v>
      </c>
      <c r="P30" s="3">
        <v>5825.1710000000003</v>
      </c>
      <c r="Q30" s="3">
        <v>0</v>
      </c>
      <c r="R30" s="3">
        <v>0</v>
      </c>
      <c r="S30" s="3">
        <v>0</v>
      </c>
      <c r="T30" s="3">
        <v>0</v>
      </c>
      <c r="U30" s="151">
        <v>74694.051999999996</v>
      </c>
      <c r="V30" s="151">
        <v>74092.095000000001</v>
      </c>
      <c r="W30" s="151">
        <v>72315.966</v>
      </c>
      <c r="X30" s="151">
        <v>70829.392000000007</v>
      </c>
      <c r="Y30" s="151">
        <v>66813.612999999998</v>
      </c>
      <c r="Z30" s="151">
        <v>67183.019</v>
      </c>
      <c r="AA30" s="151">
        <v>64436.813000000002</v>
      </c>
      <c r="AB30" s="151">
        <v>64198.699000000001</v>
      </c>
      <c r="AC30" s="3">
        <v>61527.425000000003</v>
      </c>
      <c r="AD30" s="3">
        <v>62919.574000000001</v>
      </c>
      <c r="AE30" s="3">
        <v>64171.741000000002</v>
      </c>
      <c r="AF30" s="3">
        <v>64627.474999999999</v>
      </c>
      <c r="AG30" s="3">
        <v>65670.092000000004</v>
      </c>
      <c r="AH30" s="3">
        <v>65221.196000000004</v>
      </c>
      <c r="AI30" s="3">
        <v>64524.680999999997</v>
      </c>
      <c r="AJ30" s="3">
        <v>0</v>
      </c>
      <c r="AK30" s="3">
        <v>0</v>
      </c>
      <c r="AL30" s="3">
        <v>0</v>
      </c>
      <c r="AM30" s="3">
        <v>0</v>
      </c>
      <c r="AN30" s="151">
        <v>84860.467999999993</v>
      </c>
      <c r="AO30" s="151">
        <v>80450.020999999993</v>
      </c>
      <c r="AP30" s="151">
        <v>81172.356</v>
      </c>
      <c r="AQ30" s="151">
        <v>84264.338000000003</v>
      </c>
      <c r="AR30" s="151">
        <v>77568.831000000006</v>
      </c>
      <c r="AS30" s="151">
        <v>84191.486999999994</v>
      </c>
      <c r="AT30" s="151">
        <v>69882.759999999995</v>
      </c>
      <c r="AU30" s="151">
        <v>65938.778999999995</v>
      </c>
      <c r="AV30" s="3">
        <v>65350.623</v>
      </c>
      <c r="AW30" s="3">
        <v>59519.603999999999</v>
      </c>
      <c r="AX30" s="3">
        <v>60838.798000000003</v>
      </c>
      <c r="AY30" s="3">
        <v>68560.426000000007</v>
      </c>
      <c r="AZ30" s="3">
        <v>66894.127999999997</v>
      </c>
      <c r="BA30" s="3">
        <v>67704.877999999997</v>
      </c>
      <c r="BB30" s="3">
        <v>66472.956000000006</v>
      </c>
      <c r="BC30" s="3">
        <v>0</v>
      </c>
      <c r="BD30" s="3">
        <v>0</v>
      </c>
      <c r="BE30" s="3">
        <v>0</v>
      </c>
      <c r="BF30" s="3">
        <v>0</v>
      </c>
      <c r="BG30" s="151">
        <v>21053.653999999999</v>
      </c>
      <c r="BH30" s="151">
        <v>19462.855</v>
      </c>
      <c r="BI30" s="151">
        <v>16258.298000000001</v>
      </c>
      <c r="BJ30" s="151">
        <v>13538.950999999999</v>
      </c>
      <c r="BK30" s="151">
        <v>15229</v>
      </c>
      <c r="BL30" s="151">
        <v>13947</v>
      </c>
      <c r="BM30" s="151">
        <v>15626</v>
      </c>
      <c r="BN30" s="151">
        <v>15206</v>
      </c>
      <c r="BO30" s="3">
        <v>15443</v>
      </c>
      <c r="BP30" s="3">
        <v>13850</v>
      </c>
      <c r="BQ30" s="3">
        <v>15479.333000000001</v>
      </c>
      <c r="BR30" s="3">
        <v>15413.826999999999</v>
      </c>
      <c r="BS30" s="3">
        <v>15123.808000000001</v>
      </c>
      <c r="BT30" s="3">
        <v>14060.727000000001</v>
      </c>
      <c r="BU30" s="3">
        <v>13252.5</v>
      </c>
      <c r="BV30" s="3">
        <v>0</v>
      </c>
      <c r="BW30" s="3">
        <v>0</v>
      </c>
      <c r="BX30" s="3">
        <v>0</v>
      </c>
      <c r="BY30" s="153">
        <v>0</v>
      </c>
      <c r="BZ30" s="151">
        <v>655.68</v>
      </c>
      <c r="CA30" s="151">
        <v>557.44200000000001</v>
      </c>
      <c r="CB30" s="151">
        <v>593.05399999999997</v>
      </c>
      <c r="CC30" s="151">
        <v>527.84900000000005</v>
      </c>
      <c r="CD30" s="151">
        <v>544.18600000000004</v>
      </c>
      <c r="CE30" s="151">
        <v>460.61399999999998</v>
      </c>
      <c r="CF30" s="151">
        <v>738.60699999999997</v>
      </c>
      <c r="CG30" s="151">
        <v>797.721</v>
      </c>
      <c r="CH30" s="3">
        <v>619.97199999999998</v>
      </c>
      <c r="CI30" s="3">
        <v>855.21199999999999</v>
      </c>
      <c r="CJ30" s="3">
        <v>986.81600000000003</v>
      </c>
      <c r="CK30" s="3">
        <v>1312.1479999999999</v>
      </c>
      <c r="CL30" s="3">
        <v>1177.4390000000001</v>
      </c>
      <c r="CM30" s="3">
        <v>1297.4829999999999</v>
      </c>
      <c r="CN30" s="3">
        <v>1531.241</v>
      </c>
      <c r="CO30" s="3">
        <v>0</v>
      </c>
      <c r="CP30" s="3">
        <v>0</v>
      </c>
      <c r="CQ30" s="3">
        <v>0</v>
      </c>
      <c r="CR30" s="3">
        <v>0</v>
      </c>
      <c r="CS30" s="151">
        <v>715.47699999999998</v>
      </c>
      <c r="CT30" s="151">
        <v>646.346</v>
      </c>
      <c r="CU30" s="151">
        <v>448.40899999999999</v>
      </c>
      <c r="CV30" s="151">
        <v>947.80700000000002</v>
      </c>
      <c r="CW30" s="151">
        <v>246.00200000000001</v>
      </c>
      <c r="CX30" s="151">
        <v>228.80500000000001</v>
      </c>
      <c r="CY30" s="151">
        <v>535.08199999999999</v>
      </c>
      <c r="CZ30" s="151">
        <v>1020.12</v>
      </c>
      <c r="DA30" s="3">
        <v>1240.8430000000001</v>
      </c>
      <c r="DB30" s="3">
        <v>1764.4880000000001</v>
      </c>
      <c r="DC30" s="3">
        <v>1814.751</v>
      </c>
      <c r="DD30" s="3">
        <v>1525.8</v>
      </c>
      <c r="DE30" s="3">
        <v>1269.126</v>
      </c>
      <c r="DF30" s="3">
        <v>1642.962</v>
      </c>
      <c r="DG30" s="3">
        <v>1820.3330000000001</v>
      </c>
      <c r="DH30" s="3">
        <v>0</v>
      </c>
      <c r="DI30" s="3">
        <v>0</v>
      </c>
      <c r="DJ30" s="3">
        <v>0</v>
      </c>
      <c r="DK30" s="3">
        <v>0</v>
      </c>
      <c r="DL30" s="151">
        <v>3904.643</v>
      </c>
      <c r="DM30" s="151">
        <v>4202.7219999999998</v>
      </c>
      <c r="DN30" s="151">
        <v>4529.9449999999997</v>
      </c>
      <c r="DO30" s="151">
        <v>5851.7084637431899</v>
      </c>
      <c r="DP30" s="151">
        <v>6566.1238705455198</v>
      </c>
      <c r="DQ30" s="151">
        <v>7347.1647215056801</v>
      </c>
      <c r="DR30" s="151">
        <v>8115.4537706124001</v>
      </c>
      <c r="DS30" s="151">
        <v>8787.4128397821696</v>
      </c>
      <c r="DT30" s="3">
        <v>10646.910534346</v>
      </c>
      <c r="DU30" s="3">
        <v>12349.5143734594</v>
      </c>
      <c r="DV30" s="3">
        <v>14736.188038979601</v>
      </c>
      <c r="DW30" s="3">
        <v>15405.981388554501</v>
      </c>
      <c r="DX30" s="3">
        <v>17036.5366879717</v>
      </c>
      <c r="DY30" s="3">
        <v>19148.1280562721</v>
      </c>
      <c r="DZ30" s="3">
        <v>20870.111581350899</v>
      </c>
      <c r="EA30" s="3">
        <v>0</v>
      </c>
      <c r="EB30" s="3">
        <v>0</v>
      </c>
      <c r="EC30" s="3">
        <v>0</v>
      </c>
      <c r="ED30" s="3">
        <v>0</v>
      </c>
      <c r="EE30" s="151">
        <v>197148.32799999998</v>
      </c>
      <c r="EF30" s="151">
        <v>195543.57699999999</v>
      </c>
      <c r="EG30" s="151">
        <v>192671.79699999999</v>
      </c>
      <c r="EH30" s="151">
        <v>190931.42100000003</v>
      </c>
      <c r="EI30" s="151">
        <v>173406.30800000002</v>
      </c>
      <c r="EJ30" s="151">
        <v>183109.587</v>
      </c>
      <c r="EK30" s="151">
        <v>165073.443</v>
      </c>
      <c r="EL30" s="151">
        <v>169337.495</v>
      </c>
      <c r="EM30" s="3">
        <v>163678.364</v>
      </c>
      <c r="EN30" s="3">
        <v>151898.391</v>
      </c>
      <c r="EO30" s="3">
        <v>149587.68600000002</v>
      </c>
      <c r="EP30" s="3">
        <v>145781.48300000001</v>
      </c>
      <c r="EQ30" s="3">
        <v>142664.37700000001</v>
      </c>
      <c r="ER30" s="3">
        <v>141070.908</v>
      </c>
      <c r="ES30" s="3">
        <v>136822.80800000002</v>
      </c>
      <c r="ET30" s="3">
        <v>0</v>
      </c>
      <c r="EU30" s="3">
        <v>0</v>
      </c>
      <c r="EV30" s="3">
        <v>0</v>
      </c>
      <c r="EW30" s="3">
        <v>0</v>
      </c>
      <c r="EX30" s="151">
        <v>223477.78200000001</v>
      </c>
      <c r="EY30" s="151">
        <v>220412.94200000001</v>
      </c>
      <c r="EZ30" s="151">
        <v>214501.50300000003</v>
      </c>
      <c r="FA30" s="151">
        <v>211797.7364637432</v>
      </c>
      <c r="FB30" s="151">
        <v>195991.61987054555</v>
      </c>
      <c r="FC30" s="151">
        <v>205093.17072150568</v>
      </c>
      <c r="FD30" s="151">
        <v>190088.58577061238</v>
      </c>
      <c r="FE30" s="151">
        <v>195148.74883978214</v>
      </c>
      <c r="FF30" s="3">
        <v>191629.08953434601</v>
      </c>
      <c r="FG30" s="3">
        <v>180717.6053734594</v>
      </c>
      <c r="FH30" s="3">
        <v>182604.77403897961</v>
      </c>
      <c r="FI30" s="3">
        <v>179439.23938855447</v>
      </c>
      <c r="FJ30" s="3">
        <v>177271.2866879717</v>
      </c>
      <c r="FK30" s="3">
        <v>177220.20805627212</v>
      </c>
      <c r="FL30" s="3">
        <v>174296.99358135095</v>
      </c>
      <c r="FM30" s="3">
        <v>0</v>
      </c>
      <c r="FN30" s="3">
        <v>0</v>
      </c>
      <c r="FO30" s="3">
        <v>0</v>
      </c>
      <c r="FP30" s="3">
        <v>0</v>
      </c>
      <c r="FQ30" s="3"/>
      <c r="FR30" s="3"/>
    </row>
    <row r="31" spans="1:174">
      <c r="A31" s="40" t="s">
        <v>189</v>
      </c>
      <c r="B31" s="152">
        <f>SUM(B3:B30)</f>
        <v>316618.38</v>
      </c>
      <c r="C31" s="152">
        <f t="shared" ref="C31:S31" si="0">SUM(C3:C30)</f>
        <v>327885.28899999999</v>
      </c>
      <c r="D31" s="152">
        <f t="shared" si="0"/>
        <v>328176.73899999988</v>
      </c>
      <c r="E31" s="152">
        <f t="shared" si="0"/>
        <v>302512.35800000001</v>
      </c>
      <c r="F31" s="152">
        <f t="shared" si="0"/>
        <v>265249.69699999999</v>
      </c>
      <c r="G31" s="152">
        <f t="shared" si="0"/>
        <v>282857.522</v>
      </c>
      <c r="H31" s="152">
        <f t="shared" si="0"/>
        <v>286795.21000000002</v>
      </c>
      <c r="I31" s="152">
        <f t="shared" si="0"/>
        <v>292757.29399999994</v>
      </c>
      <c r="J31" s="41">
        <f t="shared" si="0"/>
        <v>286140.49699999997</v>
      </c>
      <c r="K31" s="41">
        <f t="shared" si="0"/>
        <v>266753.45799999998</v>
      </c>
      <c r="L31" s="41">
        <f t="shared" si="0"/>
        <v>262427.73499999999</v>
      </c>
      <c r="M31" s="41">
        <f t="shared" si="0"/>
        <v>242020.89399999997</v>
      </c>
      <c r="N31" s="41">
        <f t="shared" si="0"/>
        <v>233650.97699999996</v>
      </c>
      <c r="O31" s="41">
        <f t="shared" si="0"/>
        <v>223064.946</v>
      </c>
      <c r="P31" s="41">
        <f t="shared" si="0"/>
        <v>181342.76</v>
      </c>
      <c r="Q31" s="41">
        <f t="shared" si="0"/>
        <v>143226.41399999999</v>
      </c>
      <c r="R31" s="41">
        <f t="shared" si="0"/>
        <v>165855.91600000003</v>
      </c>
      <c r="S31" s="41">
        <f t="shared" si="0"/>
        <v>164734.774</v>
      </c>
      <c r="T31" s="41">
        <v>132065.39062404927</v>
      </c>
      <c r="U31" s="152">
        <f>SUM(U3:U30)</f>
        <v>583933.95400000003</v>
      </c>
      <c r="V31" s="152">
        <f t="shared" ref="V31:AM31" si="1">SUM(V3:V30)</f>
        <v>580525.80100000021</v>
      </c>
      <c r="W31" s="152">
        <f t="shared" si="1"/>
        <v>562655.49499999988</v>
      </c>
      <c r="X31" s="152">
        <f t="shared" si="1"/>
        <v>561034.88699999999</v>
      </c>
      <c r="Y31" s="152">
        <f t="shared" si="1"/>
        <v>530248.09900000005</v>
      </c>
      <c r="Z31" s="152">
        <f t="shared" si="1"/>
        <v>522796.81599999988</v>
      </c>
      <c r="AA31" s="152">
        <f t="shared" si="1"/>
        <v>507769.52600000007</v>
      </c>
      <c r="AB31" s="152">
        <f t="shared" si="1"/>
        <v>488681.04399999999</v>
      </c>
      <c r="AC31" s="41">
        <f t="shared" si="1"/>
        <v>476896.67499999999</v>
      </c>
      <c r="AD31" s="41">
        <f t="shared" si="1"/>
        <v>473020.2840000001</v>
      </c>
      <c r="AE31" s="41">
        <f t="shared" si="1"/>
        <v>477748.42300000013</v>
      </c>
      <c r="AF31" s="41">
        <f t="shared" si="1"/>
        <v>485805.41499999992</v>
      </c>
      <c r="AG31" s="41">
        <f t="shared" si="1"/>
        <v>493600.72300000006</v>
      </c>
      <c r="AH31" s="41">
        <f t="shared" si="1"/>
        <v>488142.57199999987</v>
      </c>
      <c r="AI31" s="41">
        <f t="shared" si="1"/>
        <v>493117.90399999992</v>
      </c>
      <c r="AJ31" s="41">
        <f t="shared" si="1"/>
        <v>363516.15000000008</v>
      </c>
      <c r="AK31" s="41">
        <f t="shared" si="1"/>
        <v>384069.25099999999</v>
      </c>
      <c r="AL31" s="41">
        <f t="shared" si="1"/>
        <v>406603.34299999994</v>
      </c>
      <c r="AM31" s="41">
        <v>396181.61362673721</v>
      </c>
      <c r="AN31" s="152">
        <f>SUM(AN3:AN30)</f>
        <v>430479.27899999998</v>
      </c>
      <c r="AO31" s="152">
        <f t="shared" ref="AO31:BF31" si="2">SUM(AO3:AO30)</f>
        <v>427162.46</v>
      </c>
      <c r="AP31" s="152">
        <f t="shared" si="2"/>
        <v>420408.62100000004</v>
      </c>
      <c r="AQ31" s="152">
        <f t="shared" si="2"/>
        <v>430215.81699999998</v>
      </c>
      <c r="AR31" s="152">
        <f t="shared" si="2"/>
        <v>403244.1160000001</v>
      </c>
      <c r="AS31" s="152">
        <f t="shared" si="2"/>
        <v>433386.69200000004</v>
      </c>
      <c r="AT31" s="152">
        <f t="shared" si="2"/>
        <v>389055.30499999999</v>
      </c>
      <c r="AU31" s="152">
        <f t="shared" si="2"/>
        <v>379397.02099999995</v>
      </c>
      <c r="AV31" s="41">
        <f t="shared" si="2"/>
        <v>373054.79099999997</v>
      </c>
      <c r="AW31" s="41">
        <f t="shared" si="2"/>
        <v>328740.13499999995</v>
      </c>
      <c r="AX31" s="41">
        <f t="shared" si="2"/>
        <v>343227.0990000001</v>
      </c>
      <c r="AY31" s="41">
        <f t="shared" si="2"/>
        <v>368379.51399999997</v>
      </c>
      <c r="AZ31" s="41">
        <f t="shared" si="2"/>
        <v>383013.11300000001</v>
      </c>
      <c r="BA31" s="41">
        <f t="shared" si="2"/>
        <v>377940.04599999997</v>
      </c>
      <c r="BB31" s="41">
        <f t="shared" si="2"/>
        <v>386349.15399999998</v>
      </c>
      <c r="BC31" s="41">
        <f t="shared" si="2"/>
        <v>312272.75900000002</v>
      </c>
      <c r="BD31" s="41">
        <f t="shared" si="2"/>
        <v>324775.54100000008</v>
      </c>
      <c r="BE31" s="41">
        <f t="shared" si="2"/>
        <v>283794.52499999991</v>
      </c>
      <c r="BF31" s="41">
        <v>263254.71279838379</v>
      </c>
      <c r="BG31" s="152">
        <f>SUM(BG3:BG30)</f>
        <v>257827.91400000002</v>
      </c>
      <c r="BH31" s="152">
        <f t="shared" ref="BH31:BY31" si="3">SUM(BH3:BH30)</f>
        <v>255812.27799999996</v>
      </c>
      <c r="BI31" s="152">
        <f t="shared" si="3"/>
        <v>241713.68700000006</v>
      </c>
      <c r="BJ31" s="152">
        <f t="shared" si="3"/>
        <v>242210.16100000002</v>
      </c>
      <c r="BK31" s="152">
        <f t="shared" si="3"/>
        <v>227865.71299999999</v>
      </c>
      <c r="BL31" s="152">
        <f t="shared" si="3"/>
        <v>233567.71799999996</v>
      </c>
      <c r="BM31" s="152">
        <f t="shared" si="3"/>
        <v>230971.91299999997</v>
      </c>
      <c r="BN31" s="152">
        <f t="shared" si="3"/>
        <v>223578.39500000002</v>
      </c>
      <c r="BO31" s="41">
        <f t="shared" si="3"/>
        <v>221957.04700000005</v>
      </c>
      <c r="BP31" s="41">
        <f t="shared" si="3"/>
        <v>222816.14600000001</v>
      </c>
      <c r="BQ31" s="41">
        <f t="shared" si="3"/>
        <v>219260.98400000003</v>
      </c>
      <c r="BR31" s="41">
        <f t="shared" si="3"/>
        <v>212466.61900000004</v>
      </c>
      <c r="BS31" s="41">
        <f t="shared" si="3"/>
        <v>210022.66500000001</v>
      </c>
      <c r="BT31" s="41">
        <f t="shared" si="3"/>
        <v>209308.33900000004</v>
      </c>
      <c r="BU31" s="41">
        <f t="shared" si="3"/>
        <v>209433.421</v>
      </c>
      <c r="BV31" s="41">
        <f t="shared" si="3"/>
        <v>175176.12900000002</v>
      </c>
      <c r="BW31" s="41">
        <f t="shared" si="3"/>
        <v>186662.50699999998</v>
      </c>
      <c r="BX31" s="41">
        <f t="shared" si="3"/>
        <v>155481.42799999999</v>
      </c>
      <c r="BY31" s="154">
        <v>158229.80314609341</v>
      </c>
      <c r="BZ31" s="152">
        <f>SUM(BZ3:BZ30)</f>
        <v>7840.7480000000014</v>
      </c>
      <c r="CA31" s="152">
        <f t="shared" ref="CA31:CR31" si="4">SUM(CA3:CA30)</f>
        <v>8470.6779999999999</v>
      </c>
      <c r="CB31" s="152">
        <f t="shared" si="4"/>
        <v>8981.5769999999993</v>
      </c>
      <c r="CC31" s="152">
        <f t="shared" si="4"/>
        <v>9629.848</v>
      </c>
      <c r="CD31" s="152">
        <f t="shared" si="4"/>
        <v>10552.896000000001</v>
      </c>
      <c r="CE31" s="152">
        <f t="shared" si="4"/>
        <v>11138.764000000001</v>
      </c>
      <c r="CF31" s="152">
        <f t="shared" si="4"/>
        <v>12083.048000000001</v>
      </c>
      <c r="CG31" s="152">
        <f t="shared" si="4"/>
        <v>12260.900999999998</v>
      </c>
      <c r="CH31" s="41">
        <f t="shared" si="4"/>
        <v>12563.737999999996</v>
      </c>
      <c r="CI31" s="41">
        <f t="shared" si="4"/>
        <v>13357.195</v>
      </c>
      <c r="CJ31" s="41">
        <f t="shared" si="4"/>
        <v>13738.217999999999</v>
      </c>
      <c r="CK31" s="41">
        <f t="shared" si="4"/>
        <v>15064.027999999997</v>
      </c>
      <c r="CL31" s="41">
        <f t="shared" si="4"/>
        <v>14991.633</v>
      </c>
      <c r="CM31" s="41">
        <f t="shared" si="4"/>
        <v>15180.725999999999</v>
      </c>
      <c r="CN31" s="41">
        <f t="shared" si="4"/>
        <v>15675.377999999999</v>
      </c>
      <c r="CO31" s="41">
        <f t="shared" si="4"/>
        <v>14340.900000000001</v>
      </c>
      <c r="CP31" s="41">
        <f t="shared" si="4"/>
        <v>14524.579</v>
      </c>
      <c r="CQ31" s="41">
        <f t="shared" si="4"/>
        <v>14237.657000000001</v>
      </c>
      <c r="CR31" s="41">
        <v>14178.225614128021</v>
      </c>
      <c r="CS31" s="152">
        <f>SUM(CS3:CS30)</f>
        <v>1347.8830000000003</v>
      </c>
      <c r="CT31" s="152">
        <f t="shared" ref="CT31:DK31" si="5">SUM(CT3:CT30)</f>
        <v>685.32300000000066</v>
      </c>
      <c r="CU31" s="152">
        <f t="shared" si="5"/>
        <v>1360.1440000000018</v>
      </c>
      <c r="CV31" s="152">
        <f t="shared" si="5"/>
        <v>1984.2050000000006</v>
      </c>
      <c r="CW31" s="152">
        <f t="shared" si="5"/>
        <v>1732.0649999999987</v>
      </c>
      <c r="CX31" s="152">
        <f t="shared" si="5"/>
        <v>650.07599999999957</v>
      </c>
      <c r="CY31" s="152">
        <f t="shared" si="5"/>
        <v>618.1779999999992</v>
      </c>
      <c r="CZ31" s="152">
        <f t="shared" si="5"/>
        <v>1603.5789999999988</v>
      </c>
      <c r="DA31" s="41">
        <f t="shared" si="5"/>
        <v>1084.3219999999997</v>
      </c>
      <c r="DB31" s="41">
        <f t="shared" si="5"/>
        <v>1332.5510000000004</v>
      </c>
      <c r="DC31" s="41">
        <f t="shared" si="5"/>
        <v>1240.7950000000001</v>
      </c>
      <c r="DD31" s="41">
        <f t="shared" si="5"/>
        <v>1581.3809999999992</v>
      </c>
      <c r="DE31" s="41">
        <f t="shared" si="5"/>
        <v>875.68699999999956</v>
      </c>
      <c r="DF31" s="41">
        <f t="shared" si="5"/>
        <v>2403.9699999999989</v>
      </c>
      <c r="DG31" s="41">
        <f t="shared" si="5"/>
        <v>2073.5339999999987</v>
      </c>
      <c r="DH31" s="41">
        <f t="shared" si="5"/>
        <v>1200.5419999999999</v>
      </c>
      <c r="DI31" s="41">
        <f t="shared" si="5"/>
        <v>629.18499999999892</v>
      </c>
      <c r="DJ31" s="41">
        <f t="shared" si="5"/>
        <v>1114.5019999999997</v>
      </c>
      <c r="DK31" s="41">
        <v>-2401.5604628729479</v>
      </c>
      <c r="DL31" s="152">
        <f>SUM(DL3:DL30)</f>
        <v>123193.63385927204</v>
      </c>
      <c r="DM31" s="152">
        <f t="shared" ref="DM31:ED31" si="6">SUM(DM3:DM30)</f>
        <v>131270.55077758664</v>
      </c>
      <c r="DN31" s="152">
        <f t="shared" si="6"/>
        <v>141375.51199464989</v>
      </c>
      <c r="DO31" s="152">
        <f t="shared" si="6"/>
        <v>152978.71491554406</v>
      </c>
      <c r="DP31" s="152">
        <f t="shared" si="6"/>
        <v>160404.63234537124</v>
      </c>
      <c r="DQ31" s="152">
        <f t="shared" si="6"/>
        <v>178971.05974806531</v>
      </c>
      <c r="DR31" s="152">
        <f t="shared" si="6"/>
        <v>175620.96907729047</v>
      </c>
      <c r="DS31" s="152">
        <f t="shared" si="6"/>
        <v>193904.53407041164</v>
      </c>
      <c r="DT31" s="41">
        <f t="shared" si="6"/>
        <v>204732.59828374887</v>
      </c>
      <c r="DU31" s="41">
        <f t="shared" si="6"/>
        <v>205546.4451492308</v>
      </c>
      <c r="DV31" s="41">
        <f t="shared" si="6"/>
        <v>213355.2391595488</v>
      </c>
      <c r="DW31" s="41">
        <f t="shared" si="6"/>
        <v>216637.24851313647</v>
      </c>
      <c r="DX31" s="41">
        <f t="shared" si="6"/>
        <v>222101.83438349079</v>
      </c>
      <c r="DY31" s="41">
        <f t="shared" si="6"/>
        <v>233097.68553329495</v>
      </c>
      <c r="DZ31" s="41">
        <f t="shared" si="6"/>
        <v>240730.91661746416</v>
      </c>
      <c r="EA31" s="41">
        <f t="shared" si="6"/>
        <v>226061.13308502903</v>
      </c>
      <c r="EB31" s="41">
        <f t="shared" si="6"/>
        <v>236662.21537374577</v>
      </c>
      <c r="EC31" s="41">
        <f t="shared" si="6"/>
        <v>232161.54476268261</v>
      </c>
      <c r="ED31" s="41">
        <v>246693.24953649155</v>
      </c>
      <c r="EE31" s="151">
        <v>1331031.6129999997</v>
      </c>
      <c r="EF31" s="151">
        <v>1335573.55</v>
      </c>
      <c r="EG31" s="151">
        <v>1311240.8550000004</v>
      </c>
      <c r="EH31" s="151">
        <v>1293763.0620000002</v>
      </c>
      <c r="EI31" s="151">
        <v>1198741.9120000002</v>
      </c>
      <c r="EJ31" s="151">
        <v>1239041.03</v>
      </c>
      <c r="EK31" s="151">
        <v>1183620.0410000002</v>
      </c>
      <c r="EL31" s="151">
        <v>1160835.3589999999</v>
      </c>
      <c r="EM31" s="156">
        <v>1136091.9630000005</v>
      </c>
      <c r="EN31" s="156">
        <v>1068513.8769999999</v>
      </c>
      <c r="EO31" s="156">
        <v>1083403.257</v>
      </c>
      <c r="EP31" s="156">
        <v>1096205.8230000003</v>
      </c>
      <c r="EQ31" s="156">
        <v>1110264.8130000003</v>
      </c>
      <c r="ER31" s="156">
        <v>1089147.564</v>
      </c>
      <c r="ES31" s="156">
        <v>1060809.8180000002</v>
      </c>
      <c r="ET31" s="156">
        <v>819015.32299999974</v>
      </c>
      <c r="EU31" s="156">
        <v>874700.7080000001</v>
      </c>
      <c r="EV31" s="156">
        <v>855132.64199999988</v>
      </c>
      <c r="EW31" s="156">
        <v>791501.71704917029</v>
      </c>
      <c r="EX31" s="151">
        <v>1721241.7918592719</v>
      </c>
      <c r="EY31" s="151">
        <v>1731812.379777587</v>
      </c>
      <c r="EZ31" s="151">
        <v>1704671.7749946504</v>
      </c>
      <c r="FA31" s="151">
        <v>1700565.9909155441</v>
      </c>
      <c r="FB31" s="151">
        <v>1599297.2183453713</v>
      </c>
      <c r="FC31" s="151">
        <v>1663368.6477480654</v>
      </c>
      <c r="FD31" s="151">
        <v>1602914.1490772902</v>
      </c>
      <c r="FE31" s="151">
        <v>1592182.7680704116</v>
      </c>
      <c r="FF31" s="3">
        <v>1576429.6682837487</v>
      </c>
      <c r="FG31" s="3">
        <v>1511566.2141492306</v>
      </c>
      <c r="FH31" s="3">
        <v>1530998.4931595484</v>
      </c>
      <c r="FI31" s="3">
        <v>1541955.0995131363</v>
      </c>
      <c r="FJ31" s="3">
        <v>1558256.6323834902</v>
      </c>
      <c r="FK31" s="3">
        <v>1549138.2845332953</v>
      </c>
      <c r="FL31" s="3">
        <v>1528723.0676174636</v>
      </c>
      <c r="FM31" s="3">
        <v>1235794.0270850293</v>
      </c>
      <c r="FN31" s="3">
        <v>1313179.1943737459</v>
      </c>
      <c r="FO31" s="3">
        <v>1258127.7737626825</v>
      </c>
      <c r="FP31" s="3">
        <v>1208201.4348830103</v>
      </c>
      <c r="FQ31" s="3"/>
      <c r="FR31" s="3"/>
    </row>
    <row r="32" spans="1:174">
      <c r="A32" s="40" t="s">
        <v>190</v>
      </c>
      <c r="B32" s="152">
        <f>SUM(B3:B29)</f>
        <v>279024.57199999999</v>
      </c>
      <c r="C32" s="152">
        <f t="shared" ref="C32:S32" si="7">SUM(C3:C29)</f>
        <v>286883.82799999998</v>
      </c>
      <c r="D32" s="152">
        <f t="shared" si="7"/>
        <v>288993.26399999991</v>
      </c>
      <c r="E32" s="152">
        <f t="shared" si="7"/>
        <v>266674.66700000002</v>
      </c>
      <c r="F32" s="152">
        <f t="shared" si="7"/>
        <v>236225.83299999998</v>
      </c>
      <c r="G32" s="152">
        <f t="shared" si="7"/>
        <v>251122.44099999999</v>
      </c>
      <c r="H32" s="152">
        <f t="shared" si="7"/>
        <v>256041.34</v>
      </c>
      <c r="I32" s="152">
        <f t="shared" si="7"/>
        <v>253557.27699999994</v>
      </c>
      <c r="J32" s="41">
        <f t="shared" si="7"/>
        <v>249340.18099999995</v>
      </c>
      <c r="K32" s="41">
        <f t="shared" si="7"/>
        <v>237294.24499999997</v>
      </c>
      <c r="L32" s="41">
        <f t="shared" si="7"/>
        <v>237850.58799999999</v>
      </c>
      <c r="M32" s="41">
        <f t="shared" si="7"/>
        <v>229427.31199999998</v>
      </c>
      <c r="N32" s="41">
        <f t="shared" si="7"/>
        <v>223550.81999999995</v>
      </c>
      <c r="O32" s="41">
        <f t="shared" si="7"/>
        <v>214920.11199999999</v>
      </c>
      <c r="P32" s="41">
        <f t="shared" si="7"/>
        <v>175517.58900000001</v>
      </c>
      <c r="Q32" s="41">
        <f t="shared" si="7"/>
        <v>143226.41399999999</v>
      </c>
      <c r="R32" s="41">
        <f t="shared" si="7"/>
        <v>165855.91600000003</v>
      </c>
      <c r="S32" s="41">
        <f t="shared" si="7"/>
        <v>164734.774</v>
      </c>
      <c r="T32" s="41">
        <v>132065.39062404927</v>
      </c>
      <c r="U32" s="152">
        <f>SUM(U3:U29)</f>
        <v>509239.902</v>
      </c>
      <c r="V32" s="152">
        <f t="shared" ref="V32:AM32" si="8">SUM(V3:V29)</f>
        <v>506433.70600000018</v>
      </c>
      <c r="W32" s="152">
        <f t="shared" si="8"/>
        <v>490339.52899999992</v>
      </c>
      <c r="X32" s="152">
        <f t="shared" si="8"/>
        <v>490205.495</v>
      </c>
      <c r="Y32" s="152">
        <f t="shared" si="8"/>
        <v>463434.48600000003</v>
      </c>
      <c r="Z32" s="152">
        <f t="shared" si="8"/>
        <v>455613.7969999999</v>
      </c>
      <c r="AA32" s="152">
        <f t="shared" si="8"/>
        <v>443332.71300000005</v>
      </c>
      <c r="AB32" s="152">
        <f t="shared" si="8"/>
        <v>424482.34499999997</v>
      </c>
      <c r="AC32" s="41">
        <f t="shared" si="8"/>
        <v>415369.25</v>
      </c>
      <c r="AD32" s="41">
        <f t="shared" si="8"/>
        <v>410100.71000000008</v>
      </c>
      <c r="AE32" s="41">
        <f t="shared" si="8"/>
        <v>413576.68200000015</v>
      </c>
      <c r="AF32" s="41">
        <f t="shared" si="8"/>
        <v>421177.93999999994</v>
      </c>
      <c r="AG32" s="41">
        <f t="shared" si="8"/>
        <v>427930.63100000005</v>
      </c>
      <c r="AH32" s="41">
        <f t="shared" si="8"/>
        <v>422921.37599999987</v>
      </c>
      <c r="AI32" s="41">
        <f t="shared" si="8"/>
        <v>428593.22299999994</v>
      </c>
      <c r="AJ32" s="41">
        <f t="shared" si="8"/>
        <v>363516.15000000008</v>
      </c>
      <c r="AK32" s="41">
        <f t="shared" si="8"/>
        <v>384069.25099999999</v>
      </c>
      <c r="AL32" s="41">
        <f t="shared" si="8"/>
        <v>406603.34299999994</v>
      </c>
      <c r="AM32" s="41">
        <v>396181.61362673721</v>
      </c>
      <c r="AN32" s="152">
        <f>SUM(AN3:AN29)</f>
        <v>345618.81099999999</v>
      </c>
      <c r="AO32" s="152">
        <f t="shared" ref="AO32:BF32" si="9">SUM(AO3:AO29)</f>
        <v>346712.43900000001</v>
      </c>
      <c r="AP32" s="152">
        <f t="shared" si="9"/>
        <v>339236.26500000001</v>
      </c>
      <c r="AQ32" s="152">
        <f t="shared" si="9"/>
        <v>345951.47899999999</v>
      </c>
      <c r="AR32" s="152">
        <f t="shared" si="9"/>
        <v>325675.28500000009</v>
      </c>
      <c r="AS32" s="152">
        <f t="shared" si="9"/>
        <v>349195.20500000002</v>
      </c>
      <c r="AT32" s="152">
        <f t="shared" si="9"/>
        <v>319172.54499999998</v>
      </c>
      <c r="AU32" s="152">
        <f t="shared" si="9"/>
        <v>313458.24199999997</v>
      </c>
      <c r="AV32" s="41">
        <f t="shared" si="9"/>
        <v>307704.16799999995</v>
      </c>
      <c r="AW32" s="41">
        <f t="shared" si="9"/>
        <v>269220.53099999996</v>
      </c>
      <c r="AX32" s="41">
        <f t="shared" si="9"/>
        <v>282388.30100000009</v>
      </c>
      <c r="AY32" s="41">
        <f t="shared" si="9"/>
        <v>299819.08799999999</v>
      </c>
      <c r="AZ32" s="41">
        <f t="shared" si="9"/>
        <v>316118.98499999999</v>
      </c>
      <c r="BA32" s="41">
        <f t="shared" si="9"/>
        <v>310235.16800000001</v>
      </c>
      <c r="BB32" s="41">
        <f t="shared" si="9"/>
        <v>319876.19799999997</v>
      </c>
      <c r="BC32" s="41">
        <f t="shared" si="9"/>
        <v>312272.75900000002</v>
      </c>
      <c r="BD32" s="41">
        <f t="shared" si="9"/>
        <v>324775.54100000008</v>
      </c>
      <c r="BE32" s="41">
        <f t="shared" si="9"/>
        <v>283794.52499999991</v>
      </c>
      <c r="BF32" s="41">
        <v>263254.71279838379</v>
      </c>
      <c r="BG32" s="152">
        <f>SUM(BG3:BG29)</f>
        <v>236774.26</v>
      </c>
      <c r="BH32" s="152">
        <f t="shared" ref="BH32:BY32" si="10">SUM(BH3:BH29)</f>
        <v>236349.42299999995</v>
      </c>
      <c r="BI32" s="152">
        <f t="shared" si="10"/>
        <v>225455.38900000005</v>
      </c>
      <c r="BJ32" s="152">
        <f t="shared" si="10"/>
        <v>228671.21000000002</v>
      </c>
      <c r="BK32" s="152">
        <f t="shared" si="10"/>
        <v>212636.71299999999</v>
      </c>
      <c r="BL32" s="152">
        <f t="shared" si="10"/>
        <v>219620.71799999996</v>
      </c>
      <c r="BM32" s="152">
        <f t="shared" si="10"/>
        <v>215345.91299999997</v>
      </c>
      <c r="BN32" s="152">
        <f t="shared" si="10"/>
        <v>208372.39500000002</v>
      </c>
      <c r="BO32" s="41">
        <f t="shared" si="10"/>
        <v>206514.04700000005</v>
      </c>
      <c r="BP32" s="41">
        <f t="shared" si="10"/>
        <v>208966.14600000001</v>
      </c>
      <c r="BQ32" s="41">
        <f t="shared" si="10"/>
        <v>203781.65100000001</v>
      </c>
      <c r="BR32" s="41">
        <f t="shared" si="10"/>
        <v>197052.79200000004</v>
      </c>
      <c r="BS32" s="41">
        <f t="shared" si="10"/>
        <v>194898.85700000002</v>
      </c>
      <c r="BT32" s="41">
        <f t="shared" si="10"/>
        <v>195247.61200000002</v>
      </c>
      <c r="BU32" s="41">
        <f t="shared" si="10"/>
        <v>196180.921</v>
      </c>
      <c r="BV32" s="41">
        <f t="shared" si="10"/>
        <v>175176.12900000002</v>
      </c>
      <c r="BW32" s="41">
        <f t="shared" si="10"/>
        <v>186662.50699999998</v>
      </c>
      <c r="BX32" s="41">
        <f t="shared" si="10"/>
        <v>155481.42799999999</v>
      </c>
      <c r="BY32" s="154">
        <v>158229.80314609341</v>
      </c>
      <c r="BZ32" s="152">
        <f>SUM(BZ3:BZ29)</f>
        <v>7185.0680000000011</v>
      </c>
      <c r="CA32" s="152">
        <f t="shared" ref="CA32:CR32" si="11">SUM(CA3:CA29)</f>
        <v>7913.235999999999</v>
      </c>
      <c r="CB32" s="152">
        <f t="shared" si="11"/>
        <v>8388.5229999999992</v>
      </c>
      <c r="CC32" s="152">
        <f t="shared" si="11"/>
        <v>9101.9989999999998</v>
      </c>
      <c r="CD32" s="152">
        <f t="shared" si="11"/>
        <v>10008.710000000001</v>
      </c>
      <c r="CE32" s="152">
        <f t="shared" si="11"/>
        <v>10678.150000000001</v>
      </c>
      <c r="CF32" s="152">
        <f t="shared" si="11"/>
        <v>11344.441000000001</v>
      </c>
      <c r="CG32" s="152">
        <f t="shared" si="11"/>
        <v>11463.179999999998</v>
      </c>
      <c r="CH32" s="41">
        <f t="shared" si="11"/>
        <v>11943.765999999996</v>
      </c>
      <c r="CI32" s="41">
        <f t="shared" si="11"/>
        <v>12501.983</v>
      </c>
      <c r="CJ32" s="41">
        <f t="shared" si="11"/>
        <v>12751.401999999998</v>
      </c>
      <c r="CK32" s="41">
        <f t="shared" si="11"/>
        <v>13751.879999999997</v>
      </c>
      <c r="CL32" s="41">
        <f t="shared" si="11"/>
        <v>13814.194</v>
      </c>
      <c r="CM32" s="41">
        <f t="shared" si="11"/>
        <v>13883.242999999999</v>
      </c>
      <c r="CN32" s="41">
        <f t="shared" si="11"/>
        <v>14144.136999999999</v>
      </c>
      <c r="CO32" s="41">
        <f t="shared" si="11"/>
        <v>14340.900000000001</v>
      </c>
      <c r="CP32" s="41">
        <f t="shared" si="11"/>
        <v>14524.579</v>
      </c>
      <c r="CQ32" s="41">
        <f t="shared" si="11"/>
        <v>14237.657000000001</v>
      </c>
      <c r="CR32" s="41">
        <v>14178.225614128021</v>
      </c>
      <c r="CS32" s="152">
        <f>SUM(CS3:CS29)</f>
        <v>632.40600000000018</v>
      </c>
      <c r="CT32" s="152">
        <f t="shared" ref="CT32:DK32" si="12">SUM(CT3:CT29)</f>
        <v>38.977000000000629</v>
      </c>
      <c r="CU32" s="152">
        <f t="shared" si="12"/>
        <v>911.73500000000183</v>
      </c>
      <c r="CV32" s="152">
        <f t="shared" si="12"/>
        <v>1036.3980000000006</v>
      </c>
      <c r="CW32" s="152">
        <f t="shared" si="12"/>
        <v>1486.0629999999987</v>
      </c>
      <c r="CX32" s="152">
        <f t="shared" si="12"/>
        <v>421.2709999999995</v>
      </c>
      <c r="CY32" s="152">
        <f t="shared" si="12"/>
        <v>83.095999999999236</v>
      </c>
      <c r="CZ32" s="152">
        <f t="shared" si="12"/>
        <v>583.45899999999881</v>
      </c>
      <c r="DA32" s="41">
        <f t="shared" si="12"/>
        <v>-156.52100000000053</v>
      </c>
      <c r="DB32" s="41">
        <f t="shared" si="12"/>
        <v>-431.93699999999956</v>
      </c>
      <c r="DC32" s="41">
        <f t="shared" si="12"/>
        <v>-573.95599999999979</v>
      </c>
      <c r="DD32" s="41">
        <f t="shared" si="12"/>
        <v>55.580999999999221</v>
      </c>
      <c r="DE32" s="41">
        <f t="shared" si="12"/>
        <v>-393.43900000000042</v>
      </c>
      <c r="DF32" s="41">
        <f t="shared" si="12"/>
        <v>761.00799999999879</v>
      </c>
      <c r="DG32" s="41">
        <f t="shared" si="12"/>
        <v>253.20099999999877</v>
      </c>
      <c r="DH32" s="41">
        <f t="shared" si="12"/>
        <v>1200.5419999999999</v>
      </c>
      <c r="DI32" s="41">
        <f t="shared" si="12"/>
        <v>629.18499999999892</v>
      </c>
      <c r="DJ32" s="41">
        <f t="shared" si="12"/>
        <v>1114.5019999999997</v>
      </c>
      <c r="DK32" s="41">
        <v>-2401.5604628729479</v>
      </c>
      <c r="DL32" s="152">
        <f>SUM(DL3:DL29)</f>
        <v>119288.99085927205</v>
      </c>
      <c r="DM32" s="152">
        <f t="shared" ref="DM32:ED32" si="13">SUM(DM3:DM29)</f>
        <v>127067.82877758665</v>
      </c>
      <c r="DN32" s="152">
        <f t="shared" si="13"/>
        <v>136845.56699464988</v>
      </c>
      <c r="DO32" s="152">
        <f t="shared" si="13"/>
        <v>147127.00645180087</v>
      </c>
      <c r="DP32" s="152">
        <f t="shared" si="13"/>
        <v>153838.50847482571</v>
      </c>
      <c r="DQ32" s="152">
        <f t="shared" si="13"/>
        <v>171623.89502655962</v>
      </c>
      <c r="DR32" s="152">
        <f t="shared" si="13"/>
        <v>167505.51530667808</v>
      </c>
      <c r="DS32" s="152">
        <f t="shared" si="13"/>
        <v>185117.12123062948</v>
      </c>
      <c r="DT32" s="41">
        <f t="shared" si="13"/>
        <v>194085.68774940286</v>
      </c>
      <c r="DU32" s="41">
        <f t="shared" si="13"/>
        <v>193196.93077577141</v>
      </c>
      <c r="DV32" s="41">
        <f t="shared" si="13"/>
        <v>198619.0511205692</v>
      </c>
      <c r="DW32" s="41">
        <f t="shared" si="13"/>
        <v>201231.26712458197</v>
      </c>
      <c r="DX32" s="41">
        <f t="shared" si="13"/>
        <v>205065.29769551908</v>
      </c>
      <c r="DY32" s="41">
        <f t="shared" si="13"/>
        <v>213949.55747702284</v>
      </c>
      <c r="DZ32" s="41">
        <f t="shared" si="13"/>
        <v>219860.80503611325</v>
      </c>
      <c r="EA32" s="41">
        <f t="shared" si="13"/>
        <v>226061.13308502903</v>
      </c>
      <c r="EB32" s="41">
        <f t="shared" si="13"/>
        <v>236662.21537374577</v>
      </c>
      <c r="EC32" s="41">
        <f t="shared" si="13"/>
        <v>232161.54476268261</v>
      </c>
      <c r="ED32" s="41">
        <v>246693.24953649155</v>
      </c>
      <c r="EE32" s="151">
        <v>1133883.2849999997</v>
      </c>
      <c r="EF32" s="151">
        <v>1140029.973</v>
      </c>
      <c r="EG32" s="151">
        <v>1118569.0580000004</v>
      </c>
      <c r="EH32" s="151">
        <v>1102831.6410000001</v>
      </c>
      <c r="EI32" s="151">
        <v>1025335.6040000002</v>
      </c>
      <c r="EJ32" s="151">
        <v>1055931.443</v>
      </c>
      <c r="EK32" s="151">
        <v>1018546.5980000002</v>
      </c>
      <c r="EL32" s="151">
        <v>991497.86399999994</v>
      </c>
      <c r="EM32" s="156">
        <v>972413.59900000051</v>
      </c>
      <c r="EN32" s="156">
        <v>916615.48599999992</v>
      </c>
      <c r="EO32" s="156">
        <v>933815.571</v>
      </c>
      <c r="EP32" s="156">
        <v>950424.3400000002</v>
      </c>
      <c r="EQ32" s="156">
        <v>967600.43600000022</v>
      </c>
      <c r="ER32" s="156">
        <v>948076.65599999996</v>
      </c>
      <c r="ES32" s="156">
        <v>923987.01000000013</v>
      </c>
      <c r="ET32" s="156">
        <v>819015.32299999974</v>
      </c>
      <c r="EU32" s="156">
        <v>874700.7080000001</v>
      </c>
      <c r="EV32" s="156">
        <v>855132.64199999988</v>
      </c>
      <c r="EW32" s="156">
        <v>791501.71704917029</v>
      </c>
      <c r="EX32" s="151">
        <v>1497764.009859272</v>
      </c>
      <c r="EY32" s="151">
        <v>1511399.437777587</v>
      </c>
      <c r="EZ32" s="151">
        <v>1490170.2719946504</v>
      </c>
      <c r="FA32" s="151">
        <v>1488768.2544518008</v>
      </c>
      <c r="FB32" s="151">
        <v>1403305.5984748257</v>
      </c>
      <c r="FC32" s="151">
        <v>1458275.4770265596</v>
      </c>
      <c r="FD32" s="151">
        <v>1412825.5633066779</v>
      </c>
      <c r="FE32" s="151">
        <v>1397034.0192306296</v>
      </c>
      <c r="FF32" s="3">
        <v>1384800.5787494027</v>
      </c>
      <c r="FG32" s="3">
        <v>1330848.6087757712</v>
      </c>
      <c r="FH32" s="3">
        <v>1348393.7191205688</v>
      </c>
      <c r="FI32" s="3">
        <v>1362515.860124582</v>
      </c>
      <c r="FJ32" s="3">
        <v>1380985.3456955184</v>
      </c>
      <c r="FK32" s="3">
        <v>1371918.0764770231</v>
      </c>
      <c r="FL32" s="3">
        <v>1354426.0740361128</v>
      </c>
      <c r="FM32" s="3">
        <v>1235794.0270850293</v>
      </c>
      <c r="FN32" s="3">
        <v>1313179.1943737459</v>
      </c>
      <c r="FO32" s="3">
        <v>1258127.7737626825</v>
      </c>
      <c r="FP32" s="3">
        <v>1208201.4348830103</v>
      </c>
      <c r="FQ32" s="3"/>
      <c r="FR32" s="3"/>
    </row>
    <row r="35" spans="1:134">
      <c r="B35" t="s">
        <v>63</v>
      </c>
      <c r="U35" t="s">
        <v>67</v>
      </c>
      <c r="AN35" t="s">
        <v>251</v>
      </c>
      <c r="BG35" t="s">
        <v>250</v>
      </c>
      <c r="CH35" t="s">
        <v>252</v>
      </c>
      <c r="CS35" t="s">
        <v>253</v>
      </c>
      <c r="DL35" t="s">
        <v>59</v>
      </c>
    </row>
    <row r="36" spans="1:134">
      <c r="A36" t="s">
        <v>175</v>
      </c>
      <c r="B36" s="149">
        <v>2005</v>
      </c>
      <c r="C36" s="149">
        <v>2006</v>
      </c>
      <c r="D36" s="149">
        <v>2007</v>
      </c>
      <c r="E36" s="149">
        <v>2008</v>
      </c>
      <c r="F36" s="149">
        <v>2009</v>
      </c>
      <c r="G36" s="149">
        <v>2010</v>
      </c>
      <c r="H36" s="149">
        <v>2011</v>
      </c>
      <c r="I36" s="149">
        <v>2012</v>
      </c>
      <c r="J36" s="148">
        <v>2013</v>
      </c>
      <c r="K36" s="148">
        <v>2014</v>
      </c>
      <c r="L36" s="148">
        <v>2015</v>
      </c>
      <c r="M36" s="148">
        <v>2016</v>
      </c>
      <c r="N36" s="148">
        <v>2017</v>
      </c>
      <c r="O36" s="148">
        <v>2018</v>
      </c>
      <c r="P36" s="148">
        <v>2019</v>
      </c>
      <c r="Q36" s="148">
        <v>2020</v>
      </c>
      <c r="R36" s="148">
        <v>2021</v>
      </c>
      <c r="S36" s="148">
        <v>2022</v>
      </c>
      <c r="T36" s="148">
        <v>2023</v>
      </c>
      <c r="U36" s="149">
        <v>2005</v>
      </c>
      <c r="V36" s="149">
        <v>2006</v>
      </c>
      <c r="W36" s="149">
        <v>2007</v>
      </c>
      <c r="X36" s="149">
        <v>2008</v>
      </c>
      <c r="Y36" s="149">
        <v>2009</v>
      </c>
      <c r="Z36" s="149">
        <v>2010</v>
      </c>
      <c r="AA36" s="149">
        <v>2011</v>
      </c>
      <c r="AB36" s="149">
        <v>2012</v>
      </c>
      <c r="AC36" s="148">
        <v>2013</v>
      </c>
      <c r="AD36" s="148">
        <v>2014</v>
      </c>
      <c r="AE36" s="148">
        <v>2015</v>
      </c>
      <c r="AF36" s="148">
        <v>2016</v>
      </c>
      <c r="AG36" s="148">
        <v>2017</v>
      </c>
      <c r="AH36" s="148">
        <v>2018</v>
      </c>
      <c r="AI36" s="148">
        <v>2019</v>
      </c>
      <c r="AJ36" s="148">
        <v>2020</v>
      </c>
      <c r="AK36" s="148">
        <v>2021</v>
      </c>
      <c r="AL36" s="148">
        <v>2022</v>
      </c>
      <c r="AM36" s="148">
        <v>2023</v>
      </c>
      <c r="AN36" s="2">
        <v>2005</v>
      </c>
      <c r="AO36" s="2">
        <v>2006</v>
      </c>
      <c r="AP36" s="2">
        <v>2007</v>
      </c>
      <c r="AQ36" s="2">
        <v>2008</v>
      </c>
      <c r="AR36" s="2">
        <v>2009</v>
      </c>
      <c r="AS36" s="2">
        <v>2010</v>
      </c>
      <c r="AT36" s="2">
        <v>2011</v>
      </c>
      <c r="AU36" s="2">
        <v>2012</v>
      </c>
      <c r="AV36" s="1">
        <v>2013</v>
      </c>
      <c r="AW36" s="1">
        <v>2014</v>
      </c>
      <c r="AX36" s="1">
        <v>2015</v>
      </c>
      <c r="AY36" s="1">
        <v>2016</v>
      </c>
      <c r="AZ36" s="1">
        <v>2017</v>
      </c>
      <c r="BA36" s="1">
        <v>2018</v>
      </c>
      <c r="BB36" s="1">
        <v>2019</v>
      </c>
      <c r="BC36" s="1">
        <v>2020</v>
      </c>
      <c r="BD36" s="1">
        <v>2021</v>
      </c>
      <c r="BE36" s="1">
        <v>2022</v>
      </c>
      <c r="BF36" s="1">
        <v>2023</v>
      </c>
      <c r="BG36" s="2">
        <v>2005</v>
      </c>
      <c r="BH36" s="2">
        <v>2006</v>
      </c>
      <c r="BI36" s="2">
        <v>2007</v>
      </c>
      <c r="BJ36" s="2">
        <v>2008</v>
      </c>
      <c r="BK36" s="2">
        <v>2009</v>
      </c>
      <c r="BL36" s="2">
        <v>2010</v>
      </c>
      <c r="BM36" s="2">
        <v>2011</v>
      </c>
      <c r="BN36" s="2">
        <v>2012</v>
      </c>
      <c r="BO36" s="1">
        <v>2013</v>
      </c>
      <c r="BP36" s="1">
        <v>2014</v>
      </c>
      <c r="BQ36" s="1">
        <v>2015</v>
      </c>
      <c r="BR36" s="1">
        <v>2016</v>
      </c>
      <c r="BS36" s="1">
        <v>2017</v>
      </c>
      <c r="BT36" s="1">
        <v>2018</v>
      </c>
      <c r="BU36" s="1">
        <v>2019</v>
      </c>
      <c r="BV36" s="1">
        <v>2020</v>
      </c>
      <c r="BW36" s="1">
        <v>2021</v>
      </c>
      <c r="BX36" s="1">
        <v>2022</v>
      </c>
      <c r="BY36" s="1">
        <v>2023</v>
      </c>
      <c r="BZ36" s="2">
        <v>2005</v>
      </c>
      <c r="CA36" s="2">
        <v>2006</v>
      </c>
      <c r="CB36" s="2">
        <v>2007</v>
      </c>
      <c r="CC36" s="2">
        <v>2008</v>
      </c>
      <c r="CD36" s="2">
        <v>2009</v>
      </c>
      <c r="CE36" s="2">
        <v>2010</v>
      </c>
      <c r="CF36" s="2">
        <v>2011</v>
      </c>
      <c r="CG36" s="2">
        <v>2012</v>
      </c>
      <c r="CH36" s="1">
        <v>2013</v>
      </c>
      <c r="CI36" s="1">
        <v>2014</v>
      </c>
      <c r="CJ36" s="1">
        <v>2015</v>
      </c>
      <c r="CK36" s="1">
        <v>2016</v>
      </c>
      <c r="CL36" s="1">
        <v>2017</v>
      </c>
      <c r="CM36" s="1">
        <v>2018</v>
      </c>
      <c r="CN36" s="1">
        <v>2019</v>
      </c>
      <c r="CO36" s="1">
        <v>2020</v>
      </c>
      <c r="CP36" s="1">
        <v>2021</v>
      </c>
      <c r="CQ36" s="1">
        <v>2022</v>
      </c>
      <c r="CR36" s="1">
        <v>2023</v>
      </c>
      <c r="CS36" s="2">
        <v>2005</v>
      </c>
      <c r="CT36" s="2">
        <v>2006</v>
      </c>
      <c r="CU36" s="2">
        <v>2007</v>
      </c>
      <c r="CV36" s="2">
        <v>2008</v>
      </c>
      <c r="CW36" s="2">
        <v>2009</v>
      </c>
      <c r="CX36" s="2">
        <v>2010</v>
      </c>
      <c r="CY36" s="2">
        <v>2011</v>
      </c>
      <c r="CZ36" s="2">
        <v>2012</v>
      </c>
      <c r="DA36" s="1">
        <v>2013</v>
      </c>
      <c r="DB36" s="1">
        <v>2014</v>
      </c>
      <c r="DC36" s="1">
        <v>2015</v>
      </c>
      <c r="DD36" s="1">
        <v>2016</v>
      </c>
      <c r="DE36" s="1">
        <v>2017</v>
      </c>
      <c r="DF36" s="1">
        <v>2018</v>
      </c>
      <c r="DG36" s="1">
        <v>2019</v>
      </c>
      <c r="DH36" s="1">
        <v>2020</v>
      </c>
      <c r="DI36" s="1">
        <v>2021</v>
      </c>
      <c r="DJ36" s="1">
        <v>2022</v>
      </c>
      <c r="DK36" s="1">
        <v>2023</v>
      </c>
      <c r="DL36" s="2">
        <v>2005</v>
      </c>
      <c r="DM36" s="2">
        <v>2006</v>
      </c>
      <c r="DN36" s="2">
        <v>2007</v>
      </c>
      <c r="DO36" s="2">
        <v>2008</v>
      </c>
      <c r="DP36" s="2">
        <v>2009</v>
      </c>
      <c r="DQ36" s="2">
        <v>2010</v>
      </c>
      <c r="DR36" s="2">
        <v>2011</v>
      </c>
      <c r="DS36" s="2">
        <v>2012</v>
      </c>
      <c r="DT36" s="1">
        <v>2013</v>
      </c>
      <c r="DU36" s="1">
        <v>2014</v>
      </c>
      <c r="DV36" s="1">
        <v>2015</v>
      </c>
      <c r="DW36" s="1">
        <v>2016</v>
      </c>
      <c r="DX36" s="1">
        <v>2017</v>
      </c>
      <c r="DY36" s="1">
        <v>2018</v>
      </c>
      <c r="DZ36" s="1">
        <v>2019</v>
      </c>
      <c r="EA36" s="1">
        <v>2020</v>
      </c>
      <c r="EB36" s="1">
        <v>2021</v>
      </c>
      <c r="EC36" s="1">
        <v>2022</v>
      </c>
      <c r="ED36" s="1">
        <v>2023</v>
      </c>
    </row>
    <row r="37" spans="1:134">
      <c r="A37" t="s">
        <v>106</v>
      </c>
      <c r="B37" s="151">
        <v>7188.5119999999997</v>
      </c>
      <c r="C37" s="151">
        <v>7354.402</v>
      </c>
      <c r="D37" s="151">
        <v>7429.8310000000001</v>
      </c>
      <c r="E37" s="151">
        <v>7365.5569999999998</v>
      </c>
      <c r="F37" s="151">
        <v>7125.4139999999998</v>
      </c>
      <c r="G37" s="151">
        <v>7565.7169999999996</v>
      </c>
      <c r="H37" s="151">
        <v>7594.3130000000001</v>
      </c>
      <c r="I37" s="151">
        <v>7652.5959999999995</v>
      </c>
      <c r="J37" s="3">
        <v>7494.58</v>
      </c>
      <c r="K37" s="3">
        <v>7340.5519999999997</v>
      </c>
      <c r="L37" s="3">
        <v>7363.8969999999999</v>
      </c>
      <c r="M37" s="3">
        <v>7608.4470000000001</v>
      </c>
      <c r="N37" s="3">
        <v>7629.1559999999999</v>
      </c>
      <c r="O37" s="3">
        <v>7563.2910000000002</v>
      </c>
      <c r="P37" s="3">
        <v>7542.2849999999999</v>
      </c>
      <c r="Q37" s="3">
        <v>7247.23</v>
      </c>
      <c r="R37" s="3">
        <v>7540.0479999999998</v>
      </c>
      <c r="S37" s="3">
        <v>7619.808</v>
      </c>
      <c r="T37" s="3">
        <v>7227.5408637137552</v>
      </c>
      <c r="U37" s="151">
        <v>11605.6800278017</v>
      </c>
      <c r="V37" s="151">
        <v>11572.4157527467</v>
      </c>
      <c r="W37" s="151">
        <v>11042.450028757001</v>
      </c>
      <c r="X37" s="151">
        <v>11534.225372790699</v>
      </c>
      <c r="Y37" s="151">
        <v>10740.128565778199</v>
      </c>
      <c r="Z37" s="151">
        <v>11620.810657112799</v>
      </c>
      <c r="AA37" s="151">
        <v>11009.400012133399</v>
      </c>
      <c r="AB37" s="151">
        <v>11092.554035826901</v>
      </c>
      <c r="AC37" s="3">
        <v>11436.5452136238</v>
      </c>
      <c r="AD37" s="3">
        <v>10569.3857516958</v>
      </c>
      <c r="AE37" s="3">
        <v>10977.0154500812</v>
      </c>
      <c r="AF37" s="3">
        <v>11104.4027935416</v>
      </c>
      <c r="AG37" s="3">
        <v>11439.7707529378</v>
      </c>
      <c r="AH37" s="3">
        <v>10622.6008631891</v>
      </c>
      <c r="AI37" s="3">
        <v>11002.472851820001</v>
      </c>
      <c r="AJ37" s="3">
        <v>10860.3773624725</v>
      </c>
      <c r="AK37" s="3">
        <v>11987.685821056601</v>
      </c>
      <c r="AL37" s="3">
        <v>10583.402493073499</v>
      </c>
      <c r="AM37" s="3">
        <v>9966.8852870742539</v>
      </c>
      <c r="AN37" s="151">
        <v>8985.5499999999993</v>
      </c>
      <c r="AO37" s="151">
        <v>8692.0990000000002</v>
      </c>
      <c r="AP37" s="151">
        <v>8791.9629999999997</v>
      </c>
      <c r="AQ37" s="151">
        <v>8450.0509999999995</v>
      </c>
      <c r="AR37" s="151">
        <v>8021.6640000000007</v>
      </c>
      <c r="AS37" s="151">
        <v>8335.0190000000002</v>
      </c>
      <c r="AT37" s="151">
        <v>8077.476999999999</v>
      </c>
      <c r="AU37" s="151">
        <v>7981.835</v>
      </c>
      <c r="AV37" s="3">
        <v>8440.8829999999998</v>
      </c>
      <c r="AW37" s="3">
        <v>8280.1859999999997</v>
      </c>
      <c r="AX37" s="3">
        <v>8509.4840000000004</v>
      </c>
      <c r="AY37" s="3">
        <v>8818.2690000000002</v>
      </c>
      <c r="AZ37" s="3">
        <v>8983.3220000000001</v>
      </c>
      <c r="BA37" s="3">
        <v>9173.7030000000013</v>
      </c>
      <c r="BB37" s="3">
        <v>9305.7710000000006</v>
      </c>
      <c r="BC37" s="3">
        <v>7622.5</v>
      </c>
      <c r="BD37" s="3">
        <v>7960.1710000000003</v>
      </c>
      <c r="BE37" s="3">
        <v>7733.3519999999999</v>
      </c>
      <c r="BF37" s="3">
        <v>7727.1623681365791</v>
      </c>
      <c r="BG37" s="151">
        <v>73.775999999999996</v>
      </c>
      <c r="BH37" s="151">
        <v>256.08100000000002</v>
      </c>
      <c r="BI37" s="151">
        <v>322.10399999999998</v>
      </c>
      <c r="BJ37" s="151">
        <v>395.21600000000001</v>
      </c>
      <c r="BK37" s="151">
        <v>511.12299999999999</v>
      </c>
      <c r="BL37" s="151">
        <v>495.43</v>
      </c>
      <c r="BM37" s="151">
        <v>497.78699999999998</v>
      </c>
      <c r="BN37" s="151">
        <v>490.97</v>
      </c>
      <c r="BO37" s="3">
        <v>502.298</v>
      </c>
      <c r="BP37" s="3">
        <v>597.00099999999998</v>
      </c>
      <c r="BQ37" s="3">
        <v>653.56899999999996</v>
      </c>
      <c r="BR37" s="3">
        <v>543.51599999999996</v>
      </c>
      <c r="BS37" s="3">
        <v>478.43400000000003</v>
      </c>
      <c r="BT37" s="3">
        <v>493.52300000000002</v>
      </c>
      <c r="BU37" s="3">
        <v>484.45299999999997</v>
      </c>
      <c r="BV37" s="3">
        <v>409.476</v>
      </c>
      <c r="BW37" s="3">
        <v>422.01900000000001</v>
      </c>
      <c r="BX37" s="3">
        <v>403.12799999999999</v>
      </c>
      <c r="BY37" s="3">
        <v>405.21432333689279</v>
      </c>
      <c r="BZ37" s="151">
        <v>9059.3259999999991</v>
      </c>
      <c r="CA37" s="151">
        <v>8948.18</v>
      </c>
      <c r="CB37" s="151">
        <v>9114.0669999999991</v>
      </c>
      <c r="CC37" s="151">
        <v>8845.2669999999998</v>
      </c>
      <c r="CD37" s="151">
        <v>8532.7870000000003</v>
      </c>
      <c r="CE37" s="151">
        <v>8830.4490000000005</v>
      </c>
      <c r="CF37" s="151">
        <v>8575.2639999999992</v>
      </c>
      <c r="CG37" s="151">
        <v>8472.8050000000003</v>
      </c>
      <c r="CH37" s="3">
        <v>8943.1810000000005</v>
      </c>
      <c r="CI37" s="3">
        <v>8877.1869999999999</v>
      </c>
      <c r="CJ37" s="3">
        <v>9163.0529999999999</v>
      </c>
      <c r="CK37" s="3">
        <v>9361.7849999999999</v>
      </c>
      <c r="CL37" s="3">
        <v>9461.7559999999994</v>
      </c>
      <c r="CM37" s="3">
        <v>9667.2260000000006</v>
      </c>
      <c r="CN37" s="3">
        <v>9790.2240000000002</v>
      </c>
      <c r="CO37" s="3">
        <v>8031.9759999999997</v>
      </c>
      <c r="CP37" s="3">
        <v>8382.19</v>
      </c>
      <c r="CQ37" s="3">
        <v>8136.48</v>
      </c>
      <c r="CR37" s="3">
        <v>8132.3766914734715</v>
      </c>
      <c r="CS37" s="151">
        <v>27853.5180278017</v>
      </c>
      <c r="CT37" s="151">
        <v>27874.997752746698</v>
      </c>
      <c r="CU37" s="151">
        <v>27586.348028757002</v>
      </c>
      <c r="CV37" s="151">
        <v>27745.049372790701</v>
      </c>
      <c r="CW37" s="151">
        <v>26398.3295657782</v>
      </c>
      <c r="CX37" s="151">
        <v>28016.976657112798</v>
      </c>
      <c r="CY37" s="151">
        <v>27178.9770121334</v>
      </c>
      <c r="CZ37" s="151">
        <v>27217.955035826901</v>
      </c>
      <c r="DA37" s="3">
        <v>27874.3062136238</v>
      </c>
      <c r="DB37" s="3">
        <v>26787.124751695799</v>
      </c>
      <c r="DC37" s="3">
        <v>27503.965450081203</v>
      </c>
      <c r="DD37" s="3">
        <v>28074.634793541598</v>
      </c>
      <c r="DE37" s="3">
        <v>28530.682752937799</v>
      </c>
      <c r="DF37" s="3">
        <v>27853.117863189102</v>
      </c>
      <c r="DG37" s="3">
        <v>28334.981851819997</v>
      </c>
      <c r="DH37" s="3">
        <v>26139.583362472498</v>
      </c>
      <c r="DI37" s="3">
        <v>27909.923821056604</v>
      </c>
      <c r="DJ37" s="3">
        <v>26339.6904930735</v>
      </c>
      <c r="DK37" s="3">
        <v>25326.802842261481</v>
      </c>
      <c r="DL37" s="151">
        <v>27347.629000000001</v>
      </c>
      <c r="DM37" s="151">
        <v>28494.317562703851</v>
      </c>
      <c r="DN37" s="151">
        <v>28199.254690494694</v>
      </c>
      <c r="DO37" s="151">
        <v>28361.482021762498</v>
      </c>
      <c r="DP37" s="151">
        <v>26984.841126958618</v>
      </c>
      <c r="DQ37" s="151">
        <v>28639.450919272957</v>
      </c>
      <c r="DR37" s="151">
        <v>27782.832805317303</v>
      </c>
      <c r="DS37" s="151">
        <v>27822.676833106674</v>
      </c>
      <c r="DT37" s="3">
        <v>28493.610659135655</v>
      </c>
      <c r="DU37" s="3">
        <v>27382.274468214939</v>
      </c>
      <c r="DV37" s="3">
        <v>28115.041756049119</v>
      </c>
      <c r="DW37" s="3">
        <v>28698.390089925055</v>
      </c>
      <c r="DX37" s="3">
        <v>29164.570410157652</v>
      </c>
      <c r="DY37" s="3">
        <v>28471.951551168313</v>
      </c>
      <c r="DZ37" s="3">
        <v>28964.521474791964</v>
      </c>
      <c r="EA37" s="3">
        <v>26720.346164464489</v>
      </c>
      <c r="EB37" s="3">
        <v>28530.019609766478</v>
      </c>
      <c r="EC37" s="3">
        <v>26924.899225830908</v>
      </c>
      <c r="ED37" s="3">
        <v>25889.507487557679</v>
      </c>
    </row>
    <row r="38" spans="1:134">
      <c r="A38" t="s">
        <v>177</v>
      </c>
      <c r="B38" s="151">
        <v>10571.234</v>
      </c>
      <c r="C38" s="151">
        <v>10661.995999999999</v>
      </c>
      <c r="D38" s="151">
        <v>10153.681</v>
      </c>
      <c r="E38" s="151">
        <v>9954.6170000000002</v>
      </c>
      <c r="F38" s="151">
        <v>9645.9639999999999</v>
      </c>
      <c r="G38" s="151">
        <v>10955.68</v>
      </c>
      <c r="H38" s="151">
        <v>10559.995999999999</v>
      </c>
      <c r="I38" s="151">
        <v>10534.388000000001</v>
      </c>
      <c r="J38" s="3">
        <v>10771.87</v>
      </c>
      <c r="K38" s="3">
        <v>10565.653</v>
      </c>
      <c r="L38" s="3">
        <v>10577.956</v>
      </c>
      <c r="M38" s="3">
        <v>10631.382</v>
      </c>
      <c r="N38" s="3">
        <v>10443.973</v>
      </c>
      <c r="O38" s="3">
        <v>10680.29</v>
      </c>
      <c r="P38" s="3">
        <v>10310.040999999999</v>
      </c>
      <c r="Q38" s="3">
        <v>10003.808999999999</v>
      </c>
      <c r="R38" s="3">
        <v>10578.786</v>
      </c>
      <c r="S38" s="3">
        <v>9580.5740000000005</v>
      </c>
      <c r="T38" s="3">
        <v>9272.5843464413574</v>
      </c>
      <c r="U38" s="151">
        <v>16386.108</v>
      </c>
      <c r="V38" s="151">
        <v>15756.111000000001</v>
      </c>
      <c r="W38" s="151">
        <v>14647.385</v>
      </c>
      <c r="X38" s="151">
        <v>16415.848999999998</v>
      </c>
      <c r="Y38" s="151">
        <v>14837.978999999999</v>
      </c>
      <c r="Z38" s="151">
        <v>16864.3027152002</v>
      </c>
      <c r="AA38" s="151">
        <v>14549.7410247444</v>
      </c>
      <c r="AB38" s="151">
        <v>15080.0031461737</v>
      </c>
      <c r="AC38" s="3">
        <v>16257.2468833477</v>
      </c>
      <c r="AD38" s="3">
        <v>13951.354509983799</v>
      </c>
      <c r="AE38" s="3">
        <v>15017.1714742524</v>
      </c>
      <c r="AF38" s="3">
        <v>15356.212655011001</v>
      </c>
      <c r="AG38" s="3">
        <v>15233.581846565399</v>
      </c>
      <c r="AH38" s="3">
        <v>15124.909039075201</v>
      </c>
      <c r="AI38" s="3">
        <v>14953.8432912965</v>
      </c>
      <c r="AJ38" s="3">
        <v>14275.120845514501</v>
      </c>
      <c r="AK38" s="3">
        <v>15235.847766217599</v>
      </c>
      <c r="AL38" s="3">
        <v>13426.7887862807</v>
      </c>
      <c r="AM38" s="3">
        <v>13426.7887862807</v>
      </c>
      <c r="AN38" s="151">
        <v>9884.009</v>
      </c>
      <c r="AO38" s="151">
        <v>10067.156000000001</v>
      </c>
      <c r="AP38" s="151">
        <v>10429.254000000001</v>
      </c>
      <c r="AQ38" s="151">
        <v>10557.437</v>
      </c>
      <c r="AR38" s="151">
        <v>10156.166999999999</v>
      </c>
      <c r="AS38" s="151">
        <v>9966.107</v>
      </c>
      <c r="AT38" s="151">
        <v>9915.9599999999991</v>
      </c>
      <c r="AU38" s="151">
        <v>9545.2379999999994</v>
      </c>
      <c r="AV38" s="3">
        <v>9321.1560000000009</v>
      </c>
      <c r="AW38" s="3">
        <v>9438.9279999999999</v>
      </c>
      <c r="AX38" s="3">
        <v>10096.337</v>
      </c>
      <c r="AY38" s="3">
        <v>10004.874</v>
      </c>
      <c r="AZ38" s="3">
        <v>9961.9740000000002</v>
      </c>
      <c r="BA38" s="3">
        <v>10109.033000000001</v>
      </c>
      <c r="BB38" s="3">
        <v>10039.273999999999</v>
      </c>
      <c r="BC38" s="3">
        <v>8212.9930000000004</v>
      </c>
      <c r="BD38" s="3">
        <v>9268.0390000000007</v>
      </c>
      <c r="BE38" s="3">
        <v>9609.857</v>
      </c>
      <c r="BF38" s="3">
        <v>9759.8716410786219</v>
      </c>
      <c r="BG38" s="151">
        <v>0</v>
      </c>
      <c r="BH38" s="151">
        <v>0</v>
      </c>
      <c r="BI38" s="151">
        <v>0</v>
      </c>
      <c r="BJ38" s="151">
        <v>0</v>
      </c>
      <c r="BK38" s="151">
        <v>134.54</v>
      </c>
      <c r="BL38" s="151">
        <v>364.91</v>
      </c>
      <c r="BM38" s="151">
        <v>353.19200000000001</v>
      </c>
      <c r="BN38" s="151">
        <v>351.52</v>
      </c>
      <c r="BO38" s="3">
        <v>348.899</v>
      </c>
      <c r="BP38" s="3">
        <v>418.85899999999998</v>
      </c>
      <c r="BQ38" s="3">
        <v>260.91899999999998</v>
      </c>
      <c r="BR38" s="3">
        <v>440.67099999999999</v>
      </c>
      <c r="BS38" s="3">
        <v>477.55399999999997</v>
      </c>
      <c r="BT38" s="3">
        <v>477.69400000000002</v>
      </c>
      <c r="BU38" s="3">
        <v>484.27699999999999</v>
      </c>
      <c r="BV38" s="3">
        <v>700.60500000000002</v>
      </c>
      <c r="BW38" s="3">
        <v>772.07799999999997</v>
      </c>
      <c r="BX38" s="3">
        <v>802.17100000000005</v>
      </c>
      <c r="BY38" s="3">
        <v>928.3914999999688</v>
      </c>
      <c r="BZ38" s="151">
        <v>9884.009</v>
      </c>
      <c r="CA38" s="151">
        <v>10067.156000000001</v>
      </c>
      <c r="CB38" s="151">
        <v>10429.254000000001</v>
      </c>
      <c r="CC38" s="151">
        <v>10557.437</v>
      </c>
      <c r="CD38" s="151">
        <v>10290.707</v>
      </c>
      <c r="CE38" s="151">
        <v>10331.017</v>
      </c>
      <c r="CF38" s="151">
        <v>10269.152</v>
      </c>
      <c r="CG38" s="151">
        <v>9896.7579999999998</v>
      </c>
      <c r="CH38" s="3">
        <v>9670.0550000000003</v>
      </c>
      <c r="CI38" s="3">
        <v>9857.7870000000003</v>
      </c>
      <c r="CJ38" s="3">
        <v>10357.255999999999</v>
      </c>
      <c r="CK38" s="3">
        <v>10445.545</v>
      </c>
      <c r="CL38" s="3">
        <v>10439.528</v>
      </c>
      <c r="CM38" s="3">
        <v>10586.727000000001</v>
      </c>
      <c r="CN38" s="3">
        <v>10523.550999999999</v>
      </c>
      <c r="CO38" s="3">
        <v>8913.598</v>
      </c>
      <c r="CP38" s="3">
        <v>10040.117</v>
      </c>
      <c r="CQ38" s="3">
        <v>10412.028</v>
      </c>
      <c r="CR38" s="3">
        <v>10688.263141078591</v>
      </c>
      <c r="CS38" s="151">
        <v>36841.351000000002</v>
      </c>
      <c r="CT38" s="151">
        <v>36485.263000000006</v>
      </c>
      <c r="CU38" s="151">
        <v>35230.32</v>
      </c>
      <c r="CV38" s="151">
        <v>36927.902999999998</v>
      </c>
      <c r="CW38" s="151">
        <v>34774.65</v>
      </c>
      <c r="CX38" s="151">
        <v>38150.999715200203</v>
      </c>
      <c r="CY38" s="151">
        <v>35378.8890247444</v>
      </c>
      <c r="CZ38" s="151">
        <v>35511.149146173702</v>
      </c>
      <c r="DA38" s="3">
        <v>36699.171883347706</v>
      </c>
      <c r="DB38" s="3">
        <v>34374.794509983803</v>
      </c>
      <c r="DC38" s="3">
        <v>35952.383474252398</v>
      </c>
      <c r="DD38" s="3">
        <v>36433.139655011</v>
      </c>
      <c r="DE38" s="3">
        <v>36117.082846565398</v>
      </c>
      <c r="DF38" s="3">
        <v>36391.926039075202</v>
      </c>
      <c r="DG38" s="3">
        <v>35787.435291296497</v>
      </c>
      <c r="DH38" s="3">
        <v>33192.527845514502</v>
      </c>
      <c r="DI38" s="3">
        <v>35854.750766217599</v>
      </c>
      <c r="DJ38" s="3">
        <v>33419.390786280695</v>
      </c>
      <c r="DK38" s="3">
        <v>33387.636273800643</v>
      </c>
      <c r="DL38" s="151">
        <v>37223.040324080866</v>
      </c>
      <c r="DM38" s="151">
        <v>36863.263127448714</v>
      </c>
      <c r="DN38" s="151">
        <v>35595.318477606117</v>
      </c>
      <c r="DO38" s="151">
        <v>37310.489033172169</v>
      </c>
      <c r="DP38" s="151">
        <v>35134.927576510388</v>
      </c>
      <c r="DQ38" s="151">
        <v>38546.257459529501</v>
      </c>
      <c r="DR38" s="151">
        <v>35745.426729580104</v>
      </c>
      <c r="DS38" s="151">
        <v>35879.05711227782</v>
      </c>
      <c r="DT38" s="3">
        <v>37079.388181889051</v>
      </c>
      <c r="DU38" s="3">
        <v>34730.929443307345</v>
      </c>
      <c r="DV38" s="3">
        <v>36324.862782825621</v>
      </c>
      <c r="DW38" s="3">
        <v>36810.599766315412</v>
      </c>
      <c r="DX38" s="3">
        <v>36491.268498429199</v>
      </c>
      <c r="DY38" s="3">
        <v>36768.959162856561</v>
      </c>
      <c r="DZ38" s="3">
        <v>36158.205678813574</v>
      </c>
      <c r="EA38" s="3">
        <v>33536.41408133386</v>
      </c>
      <c r="EB38" s="3">
        <v>36226.218565676027</v>
      </c>
      <c r="EC38" s="3">
        <v>33765.627401773156</v>
      </c>
      <c r="ED38" s="3">
        <v>33733.54390140107</v>
      </c>
    </row>
    <row r="39" spans="1:134">
      <c r="A39" t="s">
        <v>178</v>
      </c>
      <c r="B39" s="151">
        <v>3649.8989999999999</v>
      </c>
      <c r="C39" s="151">
        <v>3680.9520000000002</v>
      </c>
      <c r="D39" s="151">
        <v>3811.018</v>
      </c>
      <c r="E39" s="151">
        <v>3453.8420000000001</v>
      </c>
      <c r="F39" s="151">
        <v>2442.0630000000001</v>
      </c>
      <c r="G39" s="151">
        <v>2549.9609999999998</v>
      </c>
      <c r="H39" s="151">
        <v>2696.44</v>
      </c>
      <c r="I39" s="151">
        <v>2566.576</v>
      </c>
      <c r="J39" s="3">
        <v>2595.527</v>
      </c>
      <c r="K39" s="3">
        <v>2617.5230000000001</v>
      </c>
      <c r="L39" s="3">
        <v>2719.6410000000001</v>
      </c>
      <c r="M39" s="3">
        <v>2655.4589999999998</v>
      </c>
      <c r="N39" s="3">
        <v>2757.5160000000001</v>
      </c>
      <c r="O39" s="3">
        <v>2736.1439999999998</v>
      </c>
      <c r="P39" s="3">
        <v>2678.806</v>
      </c>
      <c r="Q39" s="3">
        <v>2646.35</v>
      </c>
      <c r="R39" s="3">
        <v>2823.82</v>
      </c>
      <c r="S39" s="3">
        <v>2700.703</v>
      </c>
      <c r="T39" s="3">
        <v>2700.703</v>
      </c>
      <c r="U39" s="151">
        <v>3582.0812150000002</v>
      </c>
      <c r="V39" s="151">
        <v>3795.728063</v>
      </c>
      <c r="W39" s="151">
        <v>3575.041647</v>
      </c>
      <c r="X39" s="151">
        <v>3424.7777639999999</v>
      </c>
      <c r="Y39" s="151">
        <v>3236.0938116938901</v>
      </c>
      <c r="Z39" s="151">
        <v>3416.8888022356</v>
      </c>
      <c r="AA39" s="151">
        <v>3626.2838426483199</v>
      </c>
      <c r="AB39" s="151">
        <v>3575.4372536543401</v>
      </c>
      <c r="AC39" s="3">
        <v>3400.4006079105802</v>
      </c>
      <c r="AD39" s="3">
        <v>3282.4867007738599</v>
      </c>
      <c r="AE39" s="3">
        <v>3382.4677789242401</v>
      </c>
      <c r="AF39" s="3">
        <v>3513.22834823732</v>
      </c>
      <c r="AG39" s="3">
        <v>3576.0639525174302</v>
      </c>
      <c r="AH39" s="3">
        <v>3554.3950173879798</v>
      </c>
      <c r="AI39" s="3">
        <v>3521.71054896341</v>
      </c>
      <c r="AJ39" s="3">
        <v>3531.9525477214102</v>
      </c>
      <c r="AK39" s="3">
        <v>3775.1566397248498</v>
      </c>
      <c r="AL39" s="3">
        <v>3531.4227280022901</v>
      </c>
      <c r="AM39" s="3">
        <v>3531.4227280022901</v>
      </c>
      <c r="AN39" s="151">
        <v>2905.752</v>
      </c>
      <c r="AO39" s="151">
        <v>3030.598</v>
      </c>
      <c r="AP39" s="151">
        <v>2946.5240000000003</v>
      </c>
      <c r="AQ39" s="151">
        <v>3091.6600000000003</v>
      </c>
      <c r="AR39" s="151">
        <v>2909.7560000000003</v>
      </c>
      <c r="AS39" s="151">
        <v>2848.7509999999997</v>
      </c>
      <c r="AT39" s="151">
        <v>2912.1969999999997</v>
      </c>
      <c r="AU39" s="151">
        <v>2991.761</v>
      </c>
      <c r="AV39" s="3">
        <v>2675.2710000000002</v>
      </c>
      <c r="AW39" s="3">
        <v>2975.2379999999998</v>
      </c>
      <c r="AX39" s="3">
        <v>3242.0230000000001</v>
      </c>
      <c r="AY39" s="3">
        <v>3317.5360000000001</v>
      </c>
      <c r="AZ39" s="3">
        <v>3396.6369999999997</v>
      </c>
      <c r="BA39" s="3">
        <v>3467.1689999999999</v>
      </c>
      <c r="BB39" s="3">
        <v>3472.29</v>
      </c>
      <c r="BC39" s="3">
        <v>3175.2610000000004</v>
      </c>
      <c r="BD39" s="3">
        <v>3430.9340000000002</v>
      </c>
      <c r="BE39" s="3">
        <v>3496.8159999999998</v>
      </c>
      <c r="BF39" s="3">
        <v>3642.9729549759313</v>
      </c>
      <c r="BG39" s="151">
        <v>0</v>
      </c>
      <c r="BH39" s="151">
        <v>5.4279999999999999</v>
      </c>
      <c r="BI39" s="151">
        <v>2.323</v>
      </c>
      <c r="BJ39" s="151">
        <v>4.18</v>
      </c>
      <c r="BK39" s="151">
        <v>3.7469999999999999</v>
      </c>
      <c r="BL39" s="151">
        <v>13.409000000000001</v>
      </c>
      <c r="BM39" s="151">
        <v>17.186</v>
      </c>
      <c r="BN39" s="151">
        <v>85.927999999999997</v>
      </c>
      <c r="BO39" s="3">
        <v>104.261</v>
      </c>
      <c r="BP39" s="3">
        <v>110.71</v>
      </c>
      <c r="BQ39" s="3">
        <v>146.21199999999999</v>
      </c>
      <c r="BR39" s="3">
        <v>163.13800000000001</v>
      </c>
      <c r="BS39" s="3">
        <v>166.244</v>
      </c>
      <c r="BT39" s="3">
        <v>163.62700000000001</v>
      </c>
      <c r="BU39" s="3">
        <v>179.43299999999999</v>
      </c>
      <c r="BV39" s="3">
        <v>172.05699999999999</v>
      </c>
      <c r="BW39" s="3">
        <v>167.518</v>
      </c>
      <c r="BX39" s="3">
        <v>190.148</v>
      </c>
      <c r="BY39" s="3">
        <v>188.00080642999279</v>
      </c>
      <c r="BZ39" s="151">
        <v>2905.752</v>
      </c>
      <c r="CA39" s="151">
        <v>3036.0259999999998</v>
      </c>
      <c r="CB39" s="151">
        <v>2948.8470000000002</v>
      </c>
      <c r="CC39" s="151">
        <v>3095.84</v>
      </c>
      <c r="CD39" s="151">
        <v>2913.5030000000002</v>
      </c>
      <c r="CE39" s="151">
        <v>2862.16</v>
      </c>
      <c r="CF39" s="151">
        <v>2929.3829999999998</v>
      </c>
      <c r="CG39" s="151">
        <v>3077.6889999999999</v>
      </c>
      <c r="CH39" s="3">
        <v>2779.5320000000002</v>
      </c>
      <c r="CI39" s="3">
        <v>3085.9479999999999</v>
      </c>
      <c r="CJ39" s="3">
        <v>3388.2350000000001</v>
      </c>
      <c r="CK39" s="3">
        <v>3480.674</v>
      </c>
      <c r="CL39" s="3">
        <v>3562.8809999999999</v>
      </c>
      <c r="CM39" s="3">
        <v>3630.7959999999998</v>
      </c>
      <c r="CN39" s="3">
        <v>3651.723</v>
      </c>
      <c r="CO39" s="3">
        <v>3347.3180000000002</v>
      </c>
      <c r="CP39" s="3">
        <v>3598.4520000000002</v>
      </c>
      <c r="CQ39" s="3">
        <v>3686.9639999999999</v>
      </c>
      <c r="CR39" s="3">
        <v>3830.9737614059241</v>
      </c>
      <c r="CS39" s="151">
        <v>10137.732215</v>
      </c>
      <c r="CT39" s="151">
        <v>10512.706063</v>
      </c>
      <c r="CU39" s="151">
        <v>10334.906647</v>
      </c>
      <c r="CV39" s="151">
        <v>9974.4597640000011</v>
      </c>
      <c r="CW39" s="151">
        <v>8591.6598116938912</v>
      </c>
      <c r="CX39" s="151">
        <v>8829.0098022355996</v>
      </c>
      <c r="CY39" s="151">
        <v>9252.1068426483198</v>
      </c>
      <c r="CZ39" s="151">
        <v>9219.7022536543391</v>
      </c>
      <c r="DA39" s="3">
        <v>8775.4596079105795</v>
      </c>
      <c r="DB39" s="3">
        <v>8985.957700773859</v>
      </c>
      <c r="DC39" s="3">
        <v>9490.3437789242398</v>
      </c>
      <c r="DD39" s="3">
        <v>9649.3613482373203</v>
      </c>
      <c r="DE39" s="3">
        <v>9896.460952517431</v>
      </c>
      <c r="DF39" s="3">
        <v>9921.335017387979</v>
      </c>
      <c r="DG39" s="3">
        <v>9852.2395489634109</v>
      </c>
      <c r="DH39" s="3">
        <v>9525.6205477214098</v>
      </c>
      <c r="DI39" s="3">
        <v>10197.428639724851</v>
      </c>
      <c r="DJ39" s="3">
        <v>9919.0897280022891</v>
      </c>
      <c r="DK39" s="3">
        <v>10063.099489408214</v>
      </c>
      <c r="DL39" s="151">
        <v>10550.30111307116</v>
      </c>
      <c r="DM39" s="151">
        <v>10940.535035414609</v>
      </c>
      <c r="DN39" s="151">
        <v>10755.499828649858</v>
      </c>
      <c r="DO39" s="151">
        <v>10380.384066044569</v>
      </c>
      <c r="DP39" s="151">
        <v>8941.3091756678277</v>
      </c>
      <c r="DQ39" s="151">
        <v>9188.3184491712709</v>
      </c>
      <c r="DR39" s="151">
        <v>9628.6340031566779</v>
      </c>
      <c r="DS39" s="151">
        <v>9594.910665029247</v>
      </c>
      <c r="DT39" s="3">
        <v>9132.5889563408637</v>
      </c>
      <c r="DU39" s="3">
        <v>9351.6535574109967</v>
      </c>
      <c r="DV39" s="3">
        <v>9876.5663178658324</v>
      </c>
      <c r="DW39" s="3">
        <v>10042.055324967374</v>
      </c>
      <c r="DX39" s="3">
        <v>10299.210986094284</v>
      </c>
      <c r="DY39" s="3">
        <v>10325.097335104572</v>
      </c>
      <c r="DZ39" s="3">
        <v>10253.189931952882</v>
      </c>
      <c r="EA39" s="3">
        <v>9913.2787230875492</v>
      </c>
      <c r="EB39" s="3">
        <v>10612.42696556597</v>
      </c>
      <c r="EC39" s="3">
        <v>10322.760670591975</v>
      </c>
      <c r="ED39" s="3">
        <v>10472.63110648749</v>
      </c>
    </row>
    <row r="40" spans="1:134">
      <c r="A40" t="s">
        <v>179</v>
      </c>
      <c r="B40" s="151">
        <v>320.37299999999999</v>
      </c>
      <c r="C40" s="151">
        <v>286.12</v>
      </c>
      <c r="D40" s="151">
        <v>294.96699999999998</v>
      </c>
      <c r="E40" s="151">
        <v>297.13200000000001</v>
      </c>
      <c r="F40" s="151">
        <v>261.12900000000002</v>
      </c>
      <c r="G40" s="151">
        <v>236.322</v>
      </c>
      <c r="H40" s="151">
        <v>210.304</v>
      </c>
      <c r="I40" s="151">
        <v>173.464</v>
      </c>
      <c r="J40" s="3">
        <v>186.089</v>
      </c>
      <c r="K40" s="3">
        <v>225.53899999999999</v>
      </c>
      <c r="L40" s="3">
        <v>211.59200000000001</v>
      </c>
      <c r="M40" s="3">
        <v>215.369</v>
      </c>
      <c r="N40" s="3">
        <v>234.2</v>
      </c>
      <c r="O40" s="3">
        <v>227.68799999999999</v>
      </c>
      <c r="P40" s="3">
        <v>228.648</v>
      </c>
      <c r="Q40" s="3">
        <v>244.584</v>
      </c>
      <c r="R40" s="3">
        <v>246.34399999999999</v>
      </c>
      <c r="S40" s="3">
        <v>248.447</v>
      </c>
      <c r="T40" s="3">
        <v>256.90639999999985</v>
      </c>
      <c r="U40" s="151">
        <v>531.15899999999999</v>
      </c>
      <c r="V40" s="151">
        <v>589.61900000000003</v>
      </c>
      <c r="W40" s="151">
        <v>611.21403900000007</v>
      </c>
      <c r="X40" s="151">
        <v>629.19227000000001</v>
      </c>
      <c r="Y40" s="151">
        <v>650.84273115505903</v>
      </c>
      <c r="Z40" s="151">
        <v>643.25469313079202</v>
      </c>
      <c r="AA40" s="151">
        <v>658.54307805483904</v>
      </c>
      <c r="AB40" s="151">
        <v>629.91415544090898</v>
      </c>
      <c r="AC40" s="3">
        <v>564.94915544090895</v>
      </c>
      <c r="AD40" s="3">
        <v>550.71350167192099</v>
      </c>
      <c r="AE40" s="3">
        <v>588.82950167192098</v>
      </c>
      <c r="AF40" s="3">
        <v>615.53750167192095</v>
      </c>
      <c r="AG40" s="3">
        <v>634.64050797745301</v>
      </c>
      <c r="AH40" s="3">
        <v>621.17059692366399</v>
      </c>
      <c r="AI40" s="3">
        <v>654.88980366867202</v>
      </c>
      <c r="AJ40" s="3">
        <v>615.42161536256697</v>
      </c>
      <c r="AK40" s="3">
        <v>627.25163905607997</v>
      </c>
      <c r="AL40" s="3">
        <v>656.34869122002397</v>
      </c>
      <c r="AM40" s="3">
        <v>656.34869122002397</v>
      </c>
      <c r="AN40" s="151">
        <v>982.46799999999996</v>
      </c>
      <c r="AO40" s="151">
        <v>989.48800000000006</v>
      </c>
      <c r="AP40" s="151">
        <v>1020.8579999999999</v>
      </c>
      <c r="AQ40" s="151">
        <v>1034.694</v>
      </c>
      <c r="AR40" s="151">
        <v>1013.6239999999999</v>
      </c>
      <c r="AS40" s="151">
        <v>1034.818</v>
      </c>
      <c r="AT40" s="151">
        <v>1038.0810000000001</v>
      </c>
      <c r="AU40" s="151">
        <v>950.10799999999995</v>
      </c>
      <c r="AV40" s="3">
        <v>852.44100000000003</v>
      </c>
      <c r="AW40" s="3">
        <v>833.13599999999997</v>
      </c>
      <c r="AX40" s="3">
        <v>857.649</v>
      </c>
      <c r="AY40" s="3">
        <v>926.33100000000002</v>
      </c>
      <c r="AZ40" s="3">
        <v>986.26699999999994</v>
      </c>
      <c r="BA40" s="3">
        <v>1000.486</v>
      </c>
      <c r="BB40" s="3">
        <v>992.48899999999992</v>
      </c>
      <c r="BC40" s="3">
        <v>688.00800000000004</v>
      </c>
      <c r="BD40" s="3">
        <v>794.91499999999996</v>
      </c>
      <c r="BE40" s="3">
        <v>895.56299999999999</v>
      </c>
      <c r="BF40" s="3">
        <v>898.54527569817583</v>
      </c>
      <c r="BG40" s="151">
        <v>0</v>
      </c>
      <c r="BH40" s="151">
        <v>0</v>
      </c>
      <c r="BI40" s="151">
        <v>0.88400000000000001</v>
      </c>
      <c r="BJ40" s="151">
        <v>14.14</v>
      </c>
      <c r="BK40" s="151">
        <v>15.023</v>
      </c>
      <c r="BL40" s="151">
        <v>15.023</v>
      </c>
      <c r="BM40" s="151">
        <v>15.907</v>
      </c>
      <c r="BN40" s="151">
        <v>15.907</v>
      </c>
      <c r="BO40" s="3">
        <v>15.023</v>
      </c>
      <c r="BP40" s="3">
        <v>9.7210000000000001</v>
      </c>
      <c r="BQ40" s="3">
        <v>9.7210000000000001</v>
      </c>
      <c r="BR40" s="3">
        <v>8.8369999999999997</v>
      </c>
      <c r="BS40" s="3">
        <v>8.57</v>
      </c>
      <c r="BT40" s="3">
        <v>8.9499999999999993</v>
      </c>
      <c r="BU40" s="3">
        <v>10.739000000000001</v>
      </c>
      <c r="BV40" s="3">
        <v>24.738</v>
      </c>
      <c r="BW40" s="3">
        <v>24.369</v>
      </c>
      <c r="BX40" s="3">
        <v>23.273</v>
      </c>
      <c r="BY40" s="3">
        <v>21.44751577941879</v>
      </c>
      <c r="BZ40" s="151">
        <v>982.46799999999996</v>
      </c>
      <c r="CA40" s="151">
        <v>989.48800000000006</v>
      </c>
      <c r="CB40" s="151">
        <v>1021.742</v>
      </c>
      <c r="CC40" s="151">
        <v>1048.8340000000001</v>
      </c>
      <c r="CD40" s="151">
        <v>1028.6469999999999</v>
      </c>
      <c r="CE40" s="151">
        <v>1049.8409999999999</v>
      </c>
      <c r="CF40" s="151">
        <v>1053.9880000000001</v>
      </c>
      <c r="CG40" s="151">
        <v>966.01499999999999</v>
      </c>
      <c r="CH40" s="3">
        <v>867.46400000000006</v>
      </c>
      <c r="CI40" s="3">
        <v>842.85699999999997</v>
      </c>
      <c r="CJ40" s="3">
        <v>867.37</v>
      </c>
      <c r="CK40" s="3">
        <v>935.16800000000001</v>
      </c>
      <c r="CL40" s="3">
        <v>994.83699999999999</v>
      </c>
      <c r="CM40" s="3">
        <v>1009.436</v>
      </c>
      <c r="CN40" s="3">
        <v>1003.228</v>
      </c>
      <c r="CO40" s="3">
        <v>712.74599999999998</v>
      </c>
      <c r="CP40" s="3">
        <v>819.28399999999999</v>
      </c>
      <c r="CQ40" s="3">
        <v>918.83600000000001</v>
      </c>
      <c r="CR40" s="3">
        <v>919.99279147759466</v>
      </c>
      <c r="CS40" s="151">
        <v>1834</v>
      </c>
      <c r="CT40" s="151">
        <v>1865.2270000000003</v>
      </c>
      <c r="CU40" s="151">
        <v>1927.9230389999998</v>
      </c>
      <c r="CV40" s="151">
        <v>1975.1582700000001</v>
      </c>
      <c r="CW40" s="151">
        <v>1940.6187311550589</v>
      </c>
      <c r="CX40" s="151">
        <v>1929.417693130792</v>
      </c>
      <c r="CY40" s="151">
        <v>1922.8350780548392</v>
      </c>
      <c r="CZ40" s="151">
        <v>1769.3931554409091</v>
      </c>
      <c r="DA40" s="3">
        <v>1618.5021554409091</v>
      </c>
      <c r="DB40" s="3">
        <v>1619.109501671921</v>
      </c>
      <c r="DC40" s="3">
        <v>1667.791501671921</v>
      </c>
      <c r="DD40" s="3">
        <v>1766.0745016719211</v>
      </c>
      <c r="DE40" s="3">
        <v>1863.6775079774529</v>
      </c>
      <c r="DF40" s="3">
        <v>1858.2945969236639</v>
      </c>
      <c r="DG40" s="3">
        <v>1886.7658036686721</v>
      </c>
      <c r="DH40" s="3">
        <v>1572.751615362567</v>
      </c>
      <c r="DI40" s="3">
        <v>1692.8796390560799</v>
      </c>
      <c r="DJ40" s="3">
        <v>1823.6316912200239</v>
      </c>
      <c r="DK40" s="3">
        <v>1833.2478826976185</v>
      </c>
      <c r="DL40" s="151">
        <v>1854.9163529599173</v>
      </c>
      <c r="DM40" s="151">
        <v>1886.4994897940937</v>
      </c>
      <c r="DN40" s="151">
        <v>1949.9105628622028</v>
      </c>
      <c r="DO40" s="151">
        <v>1997.6845009307631</v>
      </c>
      <c r="DP40" s="151">
        <v>1962.7510464993695</v>
      </c>
      <c r="DQ40" s="151">
        <v>1951.4222631834816</v>
      </c>
      <c r="DR40" s="151">
        <v>1944.764574879433</v>
      </c>
      <c r="DS40" s="151">
        <v>1789.5726820298207</v>
      </c>
      <c r="DT40" s="3">
        <v>1636.9608044864863</v>
      </c>
      <c r="DU40" s="3">
        <v>1637.5750773631562</v>
      </c>
      <c r="DV40" s="3">
        <v>1686.8122845031751</v>
      </c>
      <c r="DW40" s="3">
        <v>1786.2161797692384</v>
      </c>
      <c r="DX40" s="3">
        <v>1884.932326167374</v>
      </c>
      <c r="DY40" s="3">
        <v>1879.4880242370566</v>
      </c>
      <c r="DZ40" s="3">
        <v>1908.2839386208182</v>
      </c>
      <c r="EA40" s="3">
        <v>1590.6884899019362</v>
      </c>
      <c r="EB40" s="3">
        <v>1712.1865463893155</v>
      </c>
      <c r="EC40" s="3">
        <v>1844.4297959759938</v>
      </c>
      <c r="ED40" s="3">
        <v>1854.1556579307287</v>
      </c>
    </row>
    <row r="41" spans="1:134">
      <c r="A41" t="s">
        <v>180</v>
      </c>
      <c r="B41" s="151">
        <v>8685.3690000000006</v>
      </c>
      <c r="C41" s="151">
        <v>8627.3209999999999</v>
      </c>
      <c r="D41" s="151">
        <v>8303.8979999999992</v>
      </c>
      <c r="E41" s="151">
        <v>7946.5230000000001</v>
      </c>
      <c r="F41" s="151">
        <v>7355.3630000000003</v>
      </c>
      <c r="G41" s="151">
        <v>6888.6980000000003</v>
      </c>
      <c r="H41" s="151">
        <v>6771.9880000000003</v>
      </c>
      <c r="I41" s="151">
        <v>6726.299</v>
      </c>
      <c r="J41" s="3">
        <v>6426.7439999999997</v>
      </c>
      <c r="K41" s="3">
        <v>6331.7550000000001</v>
      </c>
      <c r="L41" s="3">
        <v>6477.94</v>
      </c>
      <c r="M41" s="3">
        <v>6412.09</v>
      </c>
      <c r="N41" s="3">
        <v>6734.1210000000001</v>
      </c>
      <c r="O41" s="3">
        <v>6699.1059999999998</v>
      </c>
      <c r="P41" s="3">
        <v>6618.6189999999997</v>
      </c>
      <c r="Q41" s="3">
        <v>6567.0690000000004</v>
      </c>
      <c r="R41" s="3">
        <v>7013.2709999999997</v>
      </c>
      <c r="S41" s="3">
        <v>6613.95</v>
      </c>
      <c r="T41" s="3">
        <v>6821.0112999583926</v>
      </c>
      <c r="U41" s="151">
        <v>11400.8546509028</v>
      </c>
      <c r="V41" s="151">
        <v>11614.833067259</v>
      </c>
      <c r="W41" s="151">
        <v>11141.2028984427</v>
      </c>
      <c r="X41" s="151">
        <v>11303.0127350721</v>
      </c>
      <c r="Y41" s="151">
        <v>11026.9346477501</v>
      </c>
      <c r="Z41" s="151">
        <v>12135.225657208401</v>
      </c>
      <c r="AA41" s="151">
        <v>11438.8658223942</v>
      </c>
      <c r="AB41" s="151">
        <v>11608.494952613</v>
      </c>
      <c r="AC41" s="3">
        <v>11767.451761918401</v>
      </c>
      <c r="AD41" s="3">
        <v>11011.8649173593</v>
      </c>
      <c r="AE41" s="3">
        <v>11233.260733448</v>
      </c>
      <c r="AF41" s="3">
        <v>11680.2164702398</v>
      </c>
      <c r="AG41" s="3">
        <v>11796.5570870354</v>
      </c>
      <c r="AH41" s="3">
        <v>11560.928956338999</v>
      </c>
      <c r="AI41" s="3">
        <v>11453.609920512101</v>
      </c>
      <c r="AJ41" s="3">
        <v>11433.3102866151</v>
      </c>
      <c r="AK41" s="3">
        <v>12171.9491447406</v>
      </c>
      <c r="AL41" s="3">
        <v>11114.4324899207</v>
      </c>
      <c r="AM41" s="3">
        <v>11114.4324899207</v>
      </c>
      <c r="AN41" s="151">
        <v>6059.6580000000004</v>
      </c>
      <c r="AO41" s="151">
        <v>6281.3249999999998</v>
      </c>
      <c r="AP41" s="151">
        <v>6605.8810000000003</v>
      </c>
      <c r="AQ41" s="151">
        <v>6570.8559999999998</v>
      </c>
      <c r="AR41" s="151">
        <v>6366.3130000000001</v>
      </c>
      <c r="AS41" s="151">
        <v>5998.2219999999998</v>
      </c>
      <c r="AT41" s="151">
        <v>5945.7430000000004</v>
      </c>
      <c r="AU41" s="151">
        <v>5807.3330000000005</v>
      </c>
      <c r="AV41" s="3">
        <v>5744.9439999999995</v>
      </c>
      <c r="AW41" s="3">
        <v>5924.6900000000005</v>
      </c>
      <c r="AX41" s="3">
        <v>6193.4650000000001</v>
      </c>
      <c r="AY41" s="3">
        <v>6432.4459999999999</v>
      </c>
      <c r="AZ41" s="3">
        <v>6658.152</v>
      </c>
      <c r="BA41" s="3">
        <v>6760.7270000000008</v>
      </c>
      <c r="BB41" s="3">
        <v>6857.2269999999999</v>
      </c>
      <c r="BC41" s="3">
        <v>6118.8310000000001</v>
      </c>
      <c r="BD41" s="3">
        <v>6559.0199999999995</v>
      </c>
      <c r="BE41" s="3">
        <v>6827.9179999999997</v>
      </c>
      <c r="BF41" s="3">
        <v>7374.5793117360217</v>
      </c>
      <c r="BG41" s="151">
        <v>2.6509999999999998</v>
      </c>
      <c r="BH41" s="151">
        <v>18.081</v>
      </c>
      <c r="BI41" s="151">
        <v>30.047000000000001</v>
      </c>
      <c r="BJ41" s="151">
        <v>109.941</v>
      </c>
      <c r="BK41" s="151">
        <v>194.779</v>
      </c>
      <c r="BL41" s="151">
        <v>231.251</v>
      </c>
      <c r="BM41" s="151">
        <v>300.11</v>
      </c>
      <c r="BN41" s="151">
        <v>275.27</v>
      </c>
      <c r="BO41" s="3">
        <v>277.10899999999998</v>
      </c>
      <c r="BP41" s="3">
        <v>316.75700000000001</v>
      </c>
      <c r="BQ41" s="3">
        <v>296.50299999999999</v>
      </c>
      <c r="BR41" s="3">
        <v>301.113</v>
      </c>
      <c r="BS41" s="3">
        <v>313.84399999999999</v>
      </c>
      <c r="BT41" s="3">
        <v>308.70800000000003</v>
      </c>
      <c r="BU41" s="3">
        <v>340.40300000000002</v>
      </c>
      <c r="BV41" s="3">
        <v>373.61</v>
      </c>
      <c r="BW41" s="3">
        <v>361.613</v>
      </c>
      <c r="BX41" s="3">
        <v>362.12200000000001</v>
      </c>
      <c r="BY41" s="3">
        <v>340.12321226289458</v>
      </c>
      <c r="BZ41" s="151">
        <v>6062.3090000000002</v>
      </c>
      <c r="CA41" s="151">
        <v>6299.4059999999999</v>
      </c>
      <c r="CB41" s="151">
        <v>6635.9279999999999</v>
      </c>
      <c r="CC41" s="151">
        <v>6680.7969999999996</v>
      </c>
      <c r="CD41" s="151">
        <v>6561.0919999999996</v>
      </c>
      <c r="CE41" s="151">
        <v>6229.473</v>
      </c>
      <c r="CF41" s="151">
        <v>6245.8530000000001</v>
      </c>
      <c r="CG41" s="151">
        <v>6082.6030000000001</v>
      </c>
      <c r="CH41" s="3">
        <v>6022.0529999999999</v>
      </c>
      <c r="CI41" s="3">
        <v>6241.4470000000001</v>
      </c>
      <c r="CJ41" s="3">
        <v>6489.9679999999998</v>
      </c>
      <c r="CK41" s="3">
        <v>6733.5590000000002</v>
      </c>
      <c r="CL41" s="3">
        <v>6971.9960000000001</v>
      </c>
      <c r="CM41" s="3">
        <v>7069.4350000000004</v>
      </c>
      <c r="CN41" s="3">
        <v>7197.63</v>
      </c>
      <c r="CO41" s="3">
        <v>6492.4409999999998</v>
      </c>
      <c r="CP41" s="3">
        <v>6920.6329999999998</v>
      </c>
      <c r="CQ41" s="3">
        <v>7190.04</v>
      </c>
      <c r="CR41" s="3">
        <v>7714.7025239989161</v>
      </c>
      <c r="CS41" s="151">
        <v>26148.532650902802</v>
      </c>
      <c r="CT41" s="151">
        <v>26541.560067259001</v>
      </c>
      <c r="CU41" s="151">
        <v>26081.028898442699</v>
      </c>
      <c r="CV41" s="151">
        <v>25930.332735072101</v>
      </c>
      <c r="CW41" s="151">
        <v>24943.3896477501</v>
      </c>
      <c r="CX41" s="151">
        <v>25253.396657208403</v>
      </c>
      <c r="CY41" s="151">
        <v>24456.706822394201</v>
      </c>
      <c r="CZ41" s="151">
        <v>24417.396952613002</v>
      </c>
      <c r="DA41" s="3">
        <v>24216.248761918399</v>
      </c>
      <c r="DB41" s="3">
        <v>23585.066917359301</v>
      </c>
      <c r="DC41" s="3">
        <v>24201.168733448001</v>
      </c>
      <c r="DD41" s="3">
        <v>24825.865470239802</v>
      </c>
      <c r="DE41" s="3">
        <v>25502.674087035401</v>
      </c>
      <c r="DF41" s="3">
        <v>25329.469956339002</v>
      </c>
      <c r="DG41" s="3">
        <v>25269.858920512102</v>
      </c>
      <c r="DH41" s="3">
        <v>24492.8202866151</v>
      </c>
      <c r="DI41" s="3">
        <v>26105.853144740599</v>
      </c>
      <c r="DJ41" s="3">
        <v>24918.4224899207</v>
      </c>
      <c r="DK41" s="3">
        <v>25650.146313878009</v>
      </c>
      <c r="DL41" s="151">
        <v>26729.444502483053</v>
      </c>
      <c r="DM41" s="151">
        <v>27131.203356553382</v>
      </c>
      <c r="DN41" s="151">
        <v>26660.441096854884</v>
      </c>
      <c r="DO41" s="151">
        <v>26506.397090281822</v>
      </c>
      <c r="DP41" s="151">
        <v>25497.528224411759</v>
      </c>
      <c r="DQ41" s="151">
        <v>25814.42230276496</v>
      </c>
      <c r="DR41" s="151">
        <v>25000.033326922239</v>
      </c>
      <c r="DS41" s="151">
        <v>24959.850155011824</v>
      </c>
      <c r="DT41" s="3">
        <v>24754.233286496616</v>
      </c>
      <c r="DU41" s="3">
        <v>24109.029201420173</v>
      </c>
      <c r="DV41" s="3">
        <v>24738.81824239159</v>
      </c>
      <c r="DW41" s="3">
        <v>25377.393147526171</v>
      </c>
      <c r="DX41" s="3">
        <v>26069.237642319102</v>
      </c>
      <c r="DY41" s="3">
        <v>25892.185634818008</v>
      </c>
      <c r="DZ41" s="3">
        <v>25831.250289223553</v>
      </c>
      <c r="EA41" s="3">
        <v>25036.949082409254</v>
      </c>
      <c r="EB41" s="3">
        <v>26685.816834858779</v>
      </c>
      <c r="EC41" s="3">
        <v>25472.006399975362</v>
      </c>
      <c r="ED41" s="3">
        <v>26219.986089877246</v>
      </c>
    </row>
    <row r="42" spans="1:134">
      <c r="A42" t="s">
        <v>91</v>
      </c>
      <c r="B42" s="151">
        <v>54516.457000000002</v>
      </c>
      <c r="C42" s="151">
        <v>55561.963000000003</v>
      </c>
      <c r="D42" s="151">
        <v>57769.582000000002</v>
      </c>
      <c r="E42" s="151">
        <v>57047.381000000001</v>
      </c>
      <c r="F42" s="151">
        <v>50487.292000000001</v>
      </c>
      <c r="G42" s="151">
        <v>56668.913999999997</v>
      </c>
      <c r="H42" s="151">
        <v>57409.743999999999</v>
      </c>
      <c r="I42" s="151">
        <v>56712.955000000002</v>
      </c>
      <c r="J42" s="3">
        <v>56347.485999999997</v>
      </c>
      <c r="K42" s="3">
        <v>55725.644</v>
      </c>
      <c r="L42" s="3">
        <v>56067.59</v>
      </c>
      <c r="M42" s="3">
        <v>56677.082000000002</v>
      </c>
      <c r="N42" s="3">
        <v>57146.089</v>
      </c>
      <c r="O42" s="3">
        <v>57090.091999999997</v>
      </c>
      <c r="P42" s="3">
        <v>55649.345999999998</v>
      </c>
      <c r="Q42" s="3">
        <v>54762.64</v>
      </c>
      <c r="R42" s="3">
        <v>56214.334000000003</v>
      </c>
      <c r="S42" s="3">
        <v>53449.375</v>
      </c>
      <c r="T42" s="3">
        <v>53449.375</v>
      </c>
      <c r="U42" s="151">
        <v>102894.2516</v>
      </c>
      <c r="V42" s="151">
        <v>106396.1102</v>
      </c>
      <c r="W42" s="151">
        <v>92782.565199999997</v>
      </c>
      <c r="X42" s="151">
        <v>102976.7277</v>
      </c>
      <c r="Y42" s="151">
        <v>97177.083318047196</v>
      </c>
      <c r="Z42" s="151">
        <v>105264.60312677899</v>
      </c>
      <c r="AA42" s="151">
        <v>93007.550746727793</v>
      </c>
      <c r="AB42" s="151">
        <v>97642.078642208799</v>
      </c>
      <c r="AC42" s="3">
        <v>102090.477923951</v>
      </c>
      <c r="AD42" s="3">
        <v>90803.660354447304</v>
      </c>
      <c r="AE42" s="3">
        <v>93523.169780930504</v>
      </c>
      <c r="AF42" s="3">
        <v>95016.431902550801</v>
      </c>
      <c r="AG42" s="3">
        <v>94704.943148944294</v>
      </c>
      <c r="AH42" s="3">
        <v>92788.233442724697</v>
      </c>
      <c r="AI42" s="3">
        <v>93089.016818572607</v>
      </c>
      <c r="AJ42" s="3">
        <v>91949.112139772595</v>
      </c>
      <c r="AK42" s="3">
        <v>95806.144104709994</v>
      </c>
      <c r="AL42" s="3">
        <v>89962.108302092296</v>
      </c>
      <c r="AM42" s="3">
        <v>85113.150664609522</v>
      </c>
      <c r="AN42" s="151">
        <v>60459.726999999999</v>
      </c>
      <c r="AO42" s="151">
        <v>60051.179000000004</v>
      </c>
      <c r="AP42" s="151">
        <v>58611.276999999995</v>
      </c>
      <c r="AQ42" s="151">
        <v>58770.46</v>
      </c>
      <c r="AR42" s="151">
        <v>57954.326999999997</v>
      </c>
      <c r="AS42" s="151">
        <v>58199.547000000006</v>
      </c>
      <c r="AT42" s="151">
        <v>58498.428</v>
      </c>
      <c r="AU42" s="151">
        <v>58478.441000000006</v>
      </c>
      <c r="AV42" s="3">
        <v>59874.856999999996</v>
      </c>
      <c r="AW42" s="3">
        <v>60671.020000000004</v>
      </c>
      <c r="AX42" s="3">
        <v>60589.708999999995</v>
      </c>
      <c r="AY42" s="3">
        <v>62601.203999999998</v>
      </c>
      <c r="AZ42" s="3">
        <v>64169.716</v>
      </c>
      <c r="BA42" s="3">
        <v>62599.843999999997</v>
      </c>
      <c r="BB42" s="3">
        <v>63285.678</v>
      </c>
      <c r="BC42" s="3">
        <v>52205.896000000001</v>
      </c>
      <c r="BD42" s="3">
        <v>53033.525999999998</v>
      </c>
      <c r="BE42" s="3">
        <v>56484.409999999996</v>
      </c>
      <c r="BF42" s="3">
        <v>55388.612445999999</v>
      </c>
      <c r="BG42" s="151">
        <v>1824.2570000000001</v>
      </c>
      <c r="BH42" s="151">
        <v>3341.6239999999998</v>
      </c>
      <c r="BI42" s="151">
        <v>3788.027</v>
      </c>
      <c r="BJ42" s="151">
        <v>2918.174</v>
      </c>
      <c r="BK42" s="151">
        <v>2628.6019999999999</v>
      </c>
      <c r="BL42" s="151">
        <v>2889.8589999999999</v>
      </c>
      <c r="BM42" s="151">
        <v>2795.9540000000002</v>
      </c>
      <c r="BN42" s="151">
        <v>2948.518</v>
      </c>
      <c r="BO42" s="3">
        <v>2696.6080000000002</v>
      </c>
      <c r="BP42" s="3">
        <v>2774.9650000000001</v>
      </c>
      <c r="BQ42" s="3">
        <v>2565.48</v>
      </c>
      <c r="BR42" s="3">
        <v>2572.018</v>
      </c>
      <c r="BS42" s="3">
        <v>2603.9540000000002</v>
      </c>
      <c r="BT42" s="3">
        <v>2695.4989999999998</v>
      </c>
      <c r="BU42" s="3">
        <v>2678.97</v>
      </c>
      <c r="BV42" s="3">
        <v>3348.248</v>
      </c>
      <c r="BW42" s="3">
        <v>2887.2979999999998</v>
      </c>
      <c r="BX42" s="3">
        <v>2940.9679999999998</v>
      </c>
      <c r="BY42" s="3">
        <v>3080.6639800000003</v>
      </c>
      <c r="BZ42" s="151">
        <v>62283.983999999997</v>
      </c>
      <c r="CA42" s="151">
        <v>63392.803</v>
      </c>
      <c r="CB42" s="151">
        <v>62399.303999999996</v>
      </c>
      <c r="CC42" s="151">
        <v>61688.633999999998</v>
      </c>
      <c r="CD42" s="151">
        <v>60582.928999999996</v>
      </c>
      <c r="CE42" s="151">
        <v>61089.406000000003</v>
      </c>
      <c r="CF42" s="151">
        <v>61294.381999999998</v>
      </c>
      <c r="CG42" s="151">
        <v>61426.959000000003</v>
      </c>
      <c r="CH42" s="3">
        <v>62571.464999999997</v>
      </c>
      <c r="CI42" s="3">
        <v>63445.985000000001</v>
      </c>
      <c r="CJ42" s="3">
        <v>63155.188999999998</v>
      </c>
      <c r="CK42" s="3">
        <v>65173.222000000002</v>
      </c>
      <c r="CL42" s="3">
        <v>66773.67</v>
      </c>
      <c r="CM42" s="3">
        <v>65295.343000000001</v>
      </c>
      <c r="CN42" s="3">
        <v>65964.648000000001</v>
      </c>
      <c r="CO42" s="3">
        <v>55554.144</v>
      </c>
      <c r="CP42" s="3">
        <v>55920.824000000001</v>
      </c>
      <c r="CQ42" s="3">
        <v>59425.377999999997</v>
      </c>
      <c r="CR42" s="3">
        <v>58469.276425999997</v>
      </c>
      <c r="CS42" s="151">
        <v>219694.69260000001</v>
      </c>
      <c r="CT42" s="151">
        <v>225350.8762</v>
      </c>
      <c r="CU42" s="151">
        <v>212951.45120000001</v>
      </c>
      <c r="CV42" s="151">
        <v>221712.7427</v>
      </c>
      <c r="CW42" s="151">
        <v>208247.30431804719</v>
      </c>
      <c r="CX42" s="151">
        <v>223022.923126779</v>
      </c>
      <c r="CY42" s="151">
        <v>211711.67674672778</v>
      </c>
      <c r="CZ42" s="151">
        <v>215781.99264220882</v>
      </c>
      <c r="DA42" s="3">
        <v>221009.428923951</v>
      </c>
      <c r="DB42" s="3">
        <v>209975.2893544473</v>
      </c>
      <c r="DC42" s="3">
        <v>212745.94878093048</v>
      </c>
      <c r="DD42" s="3">
        <v>216866.7359025508</v>
      </c>
      <c r="DE42" s="3">
        <v>218624.70214894428</v>
      </c>
      <c r="DF42" s="3">
        <v>215173.66844272468</v>
      </c>
      <c r="DG42" s="3">
        <v>214703.0108185726</v>
      </c>
      <c r="DH42" s="3">
        <v>202265.89613977261</v>
      </c>
      <c r="DI42" s="3">
        <v>207941.30210470999</v>
      </c>
      <c r="DJ42" s="3">
        <v>202836.86130209229</v>
      </c>
      <c r="DK42" s="3">
        <v>197031.8020906095</v>
      </c>
      <c r="DL42" s="151">
        <v>223567.10227438362</v>
      </c>
      <c r="DM42" s="151">
        <v>229322.98359504095</v>
      </c>
      <c r="DN42" s="151">
        <v>216705.00232152088</v>
      </c>
      <c r="DO42" s="151">
        <v>225620.72317783887</v>
      </c>
      <c r="DP42" s="151">
        <v>211917.93862587624</v>
      </c>
      <c r="DQ42" s="151">
        <v>226953.9972683737</v>
      </c>
      <c r="DR42" s="151">
        <v>215443.37520294258</v>
      </c>
      <c r="DS42" s="151">
        <v>219585.43580224382</v>
      </c>
      <c r="DT42" s="3">
        <v>224905.01256580683</v>
      </c>
      <c r="DU42" s="3">
        <v>213676.38168514872</v>
      </c>
      <c r="DV42" s="3">
        <v>216495.87765037827</v>
      </c>
      <c r="DW42" s="3">
        <v>220689.29909796701</v>
      </c>
      <c r="DX42" s="3">
        <v>222478.25182573247</v>
      </c>
      <c r="DY42" s="3">
        <v>218966.38908376131</v>
      </c>
      <c r="DZ42" s="3">
        <v>218487.43549617234</v>
      </c>
      <c r="EA42" s="3">
        <v>205831.10021338949</v>
      </c>
      <c r="EB42" s="3">
        <v>211606.54271860275</v>
      </c>
      <c r="EC42" s="3">
        <v>206412.1293922411</v>
      </c>
      <c r="ED42" s="3">
        <v>200504.74833044468</v>
      </c>
    </row>
    <row r="43" spans="1:134">
      <c r="A43" t="s">
        <v>115</v>
      </c>
      <c r="B43" s="151">
        <v>2873.232</v>
      </c>
      <c r="C43" s="151">
        <v>2914.1709999999998</v>
      </c>
      <c r="D43" s="151">
        <v>2832.3589999999999</v>
      </c>
      <c r="E43" s="151">
        <v>2716.491</v>
      </c>
      <c r="F43" s="151">
        <v>2352.5039999999999</v>
      </c>
      <c r="G43" s="151">
        <v>2446.4949999999999</v>
      </c>
      <c r="H43" s="151">
        <v>2442.2840000000001</v>
      </c>
      <c r="I43" s="151">
        <v>2303.364</v>
      </c>
      <c r="J43" s="3">
        <v>2179.3850000000002</v>
      </c>
      <c r="K43" s="3">
        <v>2120.5990000000002</v>
      </c>
      <c r="L43" s="3">
        <v>2109.3850000000002</v>
      </c>
      <c r="M43" s="3">
        <v>2165.623</v>
      </c>
      <c r="N43" s="3">
        <v>2284.7649999999999</v>
      </c>
      <c r="O43" s="3">
        <v>2314.636</v>
      </c>
      <c r="P43" s="3">
        <v>2257.7159999999999</v>
      </c>
      <c r="Q43" s="3">
        <v>2304.3739999999998</v>
      </c>
      <c r="R43" s="3">
        <v>2474.7359999999999</v>
      </c>
      <c r="S43" s="3">
        <v>2368.076</v>
      </c>
      <c r="T43" s="3">
        <v>2364.2443354938664</v>
      </c>
      <c r="U43" s="151">
        <v>7362.8174805579401</v>
      </c>
      <c r="V43" s="151">
        <v>7386.6104532339696</v>
      </c>
      <c r="W43" s="151">
        <v>7322.8566527180601</v>
      </c>
      <c r="X43" s="151">
        <v>7299.0190476736398</v>
      </c>
      <c r="Y43" s="151">
        <v>7280.4813652431403</v>
      </c>
      <c r="Z43" s="151">
        <v>7917.0286111588803</v>
      </c>
      <c r="AA43" s="151">
        <v>7188.6400600936204</v>
      </c>
      <c r="AB43" s="151">
        <v>7088.83230428967</v>
      </c>
      <c r="AC43" s="3">
        <v>7119.3029777395604</v>
      </c>
      <c r="AD43" s="3">
        <v>6607.1505791535301</v>
      </c>
      <c r="AE43" s="3">
        <v>6944.6232912964497</v>
      </c>
      <c r="AF43" s="3">
        <v>7112.14418458011</v>
      </c>
      <c r="AG43" s="3">
        <v>7050.4627750071604</v>
      </c>
      <c r="AH43" s="3">
        <v>6919.9899395242101</v>
      </c>
      <c r="AI43" s="3">
        <v>6769.1337801662303</v>
      </c>
      <c r="AJ43" s="3">
        <v>6511.5389719117202</v>
      </c>
      <c r="AK43" s="3">
        <v>6954.0839229005396</v>
      </c>
      <c r="AL43" s="3">
        <v>6263.3746295022402</v>
      </c>
      <c r="AM43" s="3">
        <v>6263.3746295022402</v>
      </c>
      <c r="AN43" s="151">
        <v>5265.6750000000002</v>
      </c>
      <c r="AO43" s="151">
        <v>5361.89</v>
      </c>
      <c r="AP43" s="151">
        <v>5560.308</v>
      </c>
      <c r="AQ43" s="151">
        <v>5506.576</v>
      </c>
      <c r="AR43" s="151">
        <v>5154.0369999999994</v>
      </c>
      <c r="AS43" s="151">
        <v>5132.1060000000007</v>
      </c>
      <c r="AT43" s="151">
        <v>5039.402</v>
      </c>
      <c r="AU43" s="151">
        <v>4695.9830000000002</v>
      </c>
      <c r="AV43" s="3">
        <v>4618.0309999999999</v>
      </c>
      <c r="AW43" s="3">
        <v>4715.6710000000003</v>
      </c>
      <c r="AX43" s="3">
        <v>4882.7049999999999</v>
      </c>
      <c r="AY43" s="3">
        <v>5003.0029999999997</v>
      </c>
      <c r="AZ43" s="3">
        <v>5024.9779999999992</v>
      </c>
      <c r="BA43" s="3">
        <v>5117.4150000000009</v>
      </c>
      <c r="BB43" s="3">
        <v>5055.3249999999998</v>
      </c>
      <c r="BC43" s="3">
        <v>4018.7919999999995</v>
      </c>
      <c r="BD43" s="3">
        <v>4193.3230000000003</v>
      </c>
      <c r="BE43" s="3">
        <v>4484.4569999999994</v>
      </c>
      <c r="BF43" s="3">
        <v>4331.1485804349923</v>
      </c>
      <c r="BG43" s="151">
        <v>0</v>
      </c>
      <c r="BH43" s="151">
        <v>3.8260000000000001</v>
      </c>
      <c r="BI43" s="151">
        <v>5.7389999999999999</v>
      </c>
      <c r="BJ43" s="151">
        <v>5.1020000000000003</v>
      </c>
      <c r="BK43" s="151">
        <v>8.6839999999999993</v>
      </c>
      <c r="BL43" s="151">
        <v>26.783999999999999</v>
      </c>
      <c r="BM43" s="151">
        <v>130.489</v>
      </c>
      <c r="BN43" s="151">
        <v>206.227</v>
      </c>
      <c r="BO43" s="3">
        <v>208.03200000000001</v>
      </c>
      <c r="BP43" s="3">
        <v>213.34700000000001</v>
      </c>
      <c r="BQ43" s="3">
        <v>214.28299999999999</v>
      </c>
      <c r="BR43" s="3">
        <v>217.46600000000001</v>
      </c>
      <c r="BS43" s="3">
        <v>215.77</v>
      </c>
      <c r="BT43" s="3">
        <v>213.91300000000001</v>
      </c>
      <c r="BU43" s="3">
        <v>227.15799999999999</v>
      </c>
      <c r="BV43" s="3">
        <v>251.47399999999999</v>
      </c>
      <c r="BW43" s="3">
        <v>256.63200000000001</v>
      </c>
      <c r="BX43" s="3">
        <v>233.63499999999999</v>
      </c>
      <c r="BY43" s="3">
        <v>238.65501783786087</v>
      </c>
      <c r="BZ43" s="151">
        <v>5265.6750000000002</v>
      </c>
      <c r="CA43" s="151">
        <v>5365.7160000000003</v>
      </c>
      <c r="CB43" s="151">
        <v>5566.0469999999996</v>
      </c>
      <c r="CC43" s="151">
        <v>5511.6779999999999</v>
      </c>
      <c r="CD43" s="151">
        <v>5162.7209999999995</v>
      </c>
      <c r="CE43" s="151">
        <v>5158.8900000000003</v>
      </c>
      <c r="CF43" s="151">
        <v>5169.8909999999996</v>
      </c>
      <c r="CG43" s="151">
        <v>4902.21</v>
      </c>
      <c r="CH43" s="3">
        <v>4826.0630000000001</v>
      </c>
      <c r="CI43" s="3">
        <v>4929.018</v>
      </c>
      <c r="CJ43" s="3">
        <v>5096.9880000000003</v>
      </c>
      <c r="CK43" s="3">
        <v>5220.4690000000001</v>
      </c>
      <c r="CL43" s="3">
        <v>5240.7479999999996</v>
      </c>
      <c r="CM43" s="3">
        <v>5331.3280000000004</v>
      </c>
      <c r="CN43" s="3">
        <v>5282.4830000000002</v>
      </c>
      <c r="CO43" s="3">
        <v>4270.2659999999996</v>
      </c>
      <c r="CP43" s="3">
        <v>4449.9549999999999</v>
      </c>
      <c r="CQ43" s="3">
        <v>4718.0919999999996</v>
      </c>
      <c r="CR43" s="3">
        <v>4569.8035982728534</v>
      </c>
      <c r="CS43" s="151">
        <v>15501.724480557939</v>
      </c>
      <c r="CT43" s="151">
        <v>15666.497453233969</v>
      </c>
      <c r="CU43" s="151">
        <v>15721.262652718058</v>
      </c>
      <c r="CV43" s="151">
        <v>15527.188047673641</v>
      </c>
      <c r="CW43" s="151">
        <v>14795.706365243139</v>
      </c>
      <c r="CX43" s="151">
        <v>15522.413611158881</v>
      </c>
      <c r="CY43" s="151">
        <v>14800.815060093621</v>
      </c>
      <c r="CZ43" s="151">
        <v>14294.406304289671</v>
      </c>
      <c r="DA43" s="3">
        <v>14124.750977739561</v>
      </c>
      <c r="DB43" s="3">
        <v>13656.767579153529</v>
      </c>
      <c r="DC43" s="3">
        <v>14150.996291296451</v>
      </c>
      <c r="DD43" s="3">
        <v>14498.23618458011</v>
      </c>
      <c r="DE43" s="3">
        <v>14575.975775007159</v>
      </c>
      <c r="DF43" s="3">
        <v>14565.95393952421</v>
      </c>
      <c r="DG43" s="3">
        <v>14309.332780166231</v>
      </c>
      <c r="DH43" s="3">
        <v>13086.178971911719</v>
      </c>
      <c r="DI43" s="3">
        <v>13878.774922900539</v>
      </c>
      <c r="DJ43" s="3">
        <v>13349.542629502241</v>
      </c>
      <c r="DK43" s="3">
        <v>13197.422563268959</v>
      </c>
      <c r="DL43" s="151">
        <v>16439.519328510025</v>
      </c>
      <c r="DM43" s="151">
        <v>16614.260433767118</v>
      </c>
      <c r="DN43" s="151">
        <v>16672.338717675309</v>
      </c>
      <c r="DO43" s="151">
        <v>16466.523343727586</v>
      </c>
      <c r="DP43" s="151">
        <v>15690.789826347042</v>
      </c>
      <c r="DQ43" s="151">
        <v>16461.460072124119</v>
      </c>
      <c r="DR43" s="151">
        <v>15696.207577632926</v>
      </c>
      <c r="DS43" s="151">
        <v>15159.163035291394</v>
      </c>
      <c r="DT43" s="3">
        <v>14979.244212485377</v>
      </c>
      <c r="DU43" s="3">
        <v>14482.949614027904</v>
      </c>
      <c r="DV43" s="3">
        <v>15007.077266804103</v>
      </c>
      <c r="DW43" s="3">
        <v>15375.323841204645</v>
      </c>
      <c r="DX43" s="3">
        <v>15457.766378550652</v>
      </c>
      <c r="DY43" s="3">
        <v>15447.13826047671</v>
      </c>
      <c r="DZ43" s="3">
        <v>15174.992505682705</v>
      </c>
      <c r="EA43" s="3">
        <v>13877.842585507053</v>
      </c>
      <c r="EB43" s="3">
        <v>14718.387550186395</v>
      </c>
      <c r="EC43" s="3">
        <v>14157.138733804397</v>
      </c>
      <c r="ED43" s="3">
        <v>13995.815987278182</v>
      </c>
    </row>
    <row r="44" spans="1:134">
      <c r="A44" t="s">
        <v>120</v>
      </c>
      <c r="B44" s="151">
        <v>710.31399999999996</v>
      </c>
      <c r="C44" s="151">
        <v>684.66</v>
      </c>
      <c r="D44" s="151">
        <v>755.28599999999994</v>
      </c>
      <c r="E44" s="151">
        <v>732.029</v>
      </c>
      <c r="F44" s="151">
        <v>529.85400000000004</v>
      </c>
      <c r="G44" s="151">
        <v>577.67100000000005</v>
      </c>
      <c r="H44" s="151">
        <v>586.04499999999996</v>
      </c>
      <c r="I44" s="151">
        <v>564.24699999999996</v>
      </c>
      <c r="J44" s="3">
        <v>639.59699999999998</v>
      </c>
      <c r="K44" s="3">
        <v>555.81899999999996</v>
      </c>
      <c r="L44" s="3">
        <v>535.03300000000002</v>
      </c>
      <c r="M44" s="3">
        <v>457.75700000000001</v>
      </c>
      <c r="N44" s="3">
        <v>462.92599999999999</v>
      </c>
      <c r="O44" s="3">
        <v>485.92099999999999</v>
      </c>
      <c r="P44" s="3">
        <v>459.30700000000002</v>
      </c>
      <c r="Q44" s="3">
        <v>408.03699999999998</v>
      </c>
      <c r="R44" s="3">
        <v>383.584</v>
      </c>
      <c r="S44" s="3">
        <v>358.4</v>
      </c>
      <c r="T44" s="3">
        <v>319.82029999999213</v>
      </c>
      <c r="U44" s="151">
        <v>1381.921</v>
      </c>
      <c r="V44" s="151">
        <v>1376.9159999999999</v>
      </c>
      <c r="W44" s="151">
        <v>1464.675</v>
      </c>
      <c r="X44" s="151">
        <v>1480.088</v>
      </c>
      <c r="Y44" s="151">
        <v>1481.4369999999999</v>
      </c>
      <c r="Z44" s="151">
        <v>1546.21</v>
      </c>
      <c r="AA44" s="151">
        <v>1446.3810000000001</v>
      </c>
      <c r="AB44" s="151">
        <v>1505.1659999999999</v>
      </c>
      <c r="AC44" s="3">
        <v>1461.521</v>
      </c>
      <c r="AD44" s="3">
        <v>1477.019</v>
      </c>
      <c r="AE44" s="3">
        <v>1455.308</v>
      </c>
      <c r="AF44" s="3">
        <v>1560.182</v>
      </c>
      <c r="AG44" s="3">
        <v>1540.625</v>
      </c>
      <c r="AH44" s="3">
        <v>1567.3810000000001</v>
      </c>
      <c r="AI44" s="3">
        <v>1526.913</v>
      </c>
      <c r="AJ44" s="3">
        <v>1521.8309999999999</v>
      </c>
      <c r="AK44" s="3">
        <v>1565.825</v>
      </c>
      <c r="AL44" s="3">
        <v>1516.5920000000001</v>
      </c>
      <c r="AM44" s="3">
        <v>1516.5920000000001</v>
      </c>
      <c r="AN44" s="151">
        <v>768.47</v>
      </c>
      <c r="AO44" s="151">
        <v>818.63700000000006</v>
      </c>
      <c r="AP44" s="151">
        <v>862.19400000000007</v>
      </c>
      <c r="AQ44" s="151">
        <v>841.15600000000006</v>
      </c>
      <c r="AR44" s="151">
        <v>748.16600000000005</v>
      </c>
      <c r="AS44" s="151">
        <v>780.51099999999997</v>
      </c>
      <c r="AT44" s="151">
        <v>790.149</v>
      </c>
      <c r="AU44" s="151">
        <v>813.69200000000001</v>
      </c>
      <c r="AV44" s="3">
        <v>783.64300000000003</v>
      </c>
      <c r="AW44" s="3">
        <v>784.05899999999997</v>
      </c>
      <c r="AX44" s="3">
        <v>807.42700000000002</v>
      </c>
      <c r="AY44" s="3">
        <v>820.81000000000006</v>
      </c>
      <c r="AZ44" s="3">
        <v>861.04399999999998</v>
      </c>
      <c r="BA44" s="3">
        <v>885.52300000000002</v>
      </c>
      <c r="BB44" s="3">
        <v>878.428</v>
      </c>
      <c r="BC44" s="3">
        <v>777.63300000000004</v>
      </c>
      <c r="BD44" s="3">
        <v>832.88200000000006</v>
      </c>
      <c r="BE44" s="3">
        <v>869.99099999999999</v>
      </c>
      <c r="BF44" s="3">
        <v>901.44191528866224</v>
      </c>
      <c r="BG44" s="151">
        <v>0.155</v>
      </c>
      <c r="BH44" s="151">
        <v>1.121</v>
      </c>
      <c r="BI44" s="151">
        <v>0.51600000000000001</v>
      </c>
      <c r="BJ44" s="151">
        <v>4.1559999999999997</v>
      </c>
      <c r="BK44" s="151">
        <v>1.7609999999999999</v>
      </c>
      <c r="BL44" s="151">
        <v>7.7389999999999999</v>
      </c>
      <c r="BM44" s="151">
        <v>4.4969999999999999</v>
      </c>
      <c r="BN44" s="151">
        <v>3.8410000000000002</v>
      </c>
      <c r="BO44" s="3">
        <v>3.2010000000000001</v>
      </c>
      <c r="BP44" s="3">
        <v>5.1210000000000004</v>
      </c>
      <c r="BQ44" s="3">
        <v>2.56</v>
      </c>
      <c r="BR44" s="3">
        <v>1.92</v>
      </c>
      <c r="BS44" s="3">
        <v>2.4710000000000001</v>
      </c>
      <c r="BT44" s="3">
        <v>18.678999999999998</v>
      </c>
      <c r="BU44" s="3">
        <v>29.893000000000001</v>
      </c>
      <c r="BV44" s="3">
        <v>41.997</v>
      </c>
      <c r="BW44" s="3">
        <v>50.405999999999999</v>
      </c>
      <c r="BX44" s="3">
        <v>33.097000000000001</v>
      </c>
      <c r="BY44" s="3">
        <v>48.613035716935549</v>
      </c>
      <c r="BZ44" s="151">
        <v>768.625</v>
      </c>
      <c r="CA44" s="151">
        <v>819.75800000000004</v>
      </c>
      <c r="CB44" s="151">
        <v>862.71</v>
      </c>
      <c r="CC44" s="151">
        <v>845.31200000000001</v>
      </c>
      <c r="CD44" s="151">
        <v>749.92700000000002</v>
      </c>
      <c r="CE44" s="151">
        <v>788.25</v>
      </c>
      <c r="CF44" s="151">
        <v>794.64599999999996</v>
      </c>
      <c r="CG44" s="151">
        <v>817.53300000000002</v>
      </c>
      <c r="CH44" s="3">
        <v>786.84400000000005</v>
      </c>
      <c r="CI44" s="3">
        <v>789.18</v>
      </c>
      <c r="CJ44" s="3">
        <v>809.98699999999997</v>
      </c>
      <c r="CK44" s="3">
        <v>822.73</v>
      </c>
      <c r="CL44" s="3">
        <v>863.51499999999999</v>
      </c>
      <c r="CM44" s="3">
        <v>904.202</v>
      </c>
      <c r="CN44" s="3">
        <v>908.32100000000003</v>
      </c>
      <c r="CO44" s="3">
        <v>819.63</v>
      </c>
      <c r="CP44" s="3">
        <v>883.28800000000001</v>
      </c>
      <c r="CQ44" s="3">
        <v>903.08799999999997</v>
      </c>
      <c r="CR44" s="3">
        <v>950.05495100559779</v>
      </c>
      <c r="CS44" s="151">
        <v>2860.8599999999997</v>
      </c>
      <c r="CT44" s="151">
        <v>2881.3339999999998</v>
      </c>
      <c r="CU44" s="151">
        <v>3082.6710000000003</v>
      </c>
      <c r="CV44" s="151">
        <v>3057.4290000000001</v>
      </c>
      <c r="CW44" s="151">
        <v>2761.2179999999998</v>
      </c>
      <c r="CX44" s="151">
        <v>2912.1310000000003</v>
      </c>
      <c r="CY44" s="151">
        <v>2827.0720000000001</v>
      </c>
      <c r="CZ44" s="151">
        <v>2886.9459999999999</v>
      </c>
      <c r="DA44" s="3">
        <v>2887.962</v>
      </c>
      <c r="DB44" s="3">
        <v>2822.018</v>
      </c>
      <c r="DC44" s="3">
        <v>2800.328</v>
      </c>
      <c r="DD44" s="3">
        <v>2840.6689999999999</v>
      </c>
      <c r="DE44" s="3">
        <v>2867.0659999999998</v>
      </c>
      <c r="DF44" s="3">
        <v>2957.5039999999999</v>
      </c>
      <c r="DG44" s="3">
        <v>2894.5410000000002</v>
      </c>
      <c r="DH44" s="3">
        <v>2749.4979999999996</v>
      </c>
      <c r="DI44" s="3">
        <v>2832.6970000000001</v>
      </c>
      <c r="DJ44" s="3">
        <v>2778.08</v>
      </c>
      <c r="DK44" s="3">
        <v>2786.4672510055898</v>
      </c>
      <c r="DL44" s="151">
        <v>2952.7976193291033</v>
      </c>
      <c r="DM44" s="151">
        <v>2973.9295791097793</v>
      </c>
      <c r="DN44" s="151">
        <v>3181.7368168924272</v>
      </c>
      <c r="DO44" s="151">
        <v>3155.6836309598384</v>
      </c>
      <c r="DP44" s="151">
        <v>2849.9534884086147</v>
      </c>
      <c r="DQ44" s="151">
        <v>3005.716282507527</v>
      </c>
      <c r="DR44" s="151">
        <v>2917.9237960864807</v>
      </c>
      <c r="DS44" s="151">
        <v>2979.7219283473078</v>
      </c>
      <c r="DT44" s="3">
        <v>2980.77057888639</v>
      </c>
      <c r="DU44" s="3">
        <v>2912.7073789363617</v>
      </c>
      <c r="DV44" s="3">
        <v>2890.3203413451306</v>
      </c>
      <c r="DW44" s="3">
        <v>2931.957754137562</v>
      </c>
      <c r="DX44" s="3">
        <v>2959.2030575629065</v>
      </c>
      <c r="DY44" s="3">
        <v>3052.5474054502147</v>
      </c>
      <c r="DZ44" s="3">
        <v>2987.5610039814896</v>
      </c>
      <c r="EA44" s="3">
        <v>2837.8568503003053</v>
      </c>
      <c r="EB44" s="3">
        <v>2923.7295630966546</v>
      </c>
      <c r="EC44" s="3">
        <v>2867.357371666491</v>
      </c>
      <c r="ED44" s="3">
        <v>2876.0141583677</v>
      </c>
    </row>
    <row r="45" spans="1:134">
      <c r="A45" t="s">
        <v>85</v>
      </c>
      <c r="B45" s="151">
        <v>29937.214</v>
      </c>
      <c r="C45" s="151">
        <v>24473.267</v>
      </c>
      <c r="D45" s="151">
        <v>26483.143</v>
      </c>
      <c r="E45" s="151">
        <v>24964.963</v>
      </c>
      <c r="F45" s="151">
        <v>20698.891</v>
      </c>
      <c r="G45" s="151">
        <v>20781.483</v>
      </c>
      <c r="H45" s="151">
        <v>20627.827000000001</v>
      </c>
      <c r="I45" s="151">
        <v>20107.727999999999</v>
      </c>
      <c r="J45" s="3">
        <v>19601.616999999998</v>
      </c>
      <c r="K45" s="3">
        <v>19311.864000000001</v>
      </c>
      <c r="L45" s="3">
        <v>18691.280999999999</v>
      </c>
      <c r="M45" s="3">
        <v>19897.234</v>
      </c>
      <c r="N45" s="3">
        <v>20394.456999999999</v>
      </c>
      <c r="O45" s="3">
        <v>20666.438999999998</v>
      </c>
      <c r="P45" s="3">
        <v>20642.725999999999</v>
      </c>
      <c r="Q45" s="3">
        <v>18838.477999999999</v>
      </c>
      <c r="R45" s="3">
        <v>20164.098000000002</v>
      </c>
      <c r="S45" s="3">
        <v>17946.562999999998</v>
      </c>
      <c r="T45" s="3">
        <v>16867.928204262997</v>
      </c>
      <c r="U45" s="151">
        <v>28011.563999999998</v>
      </c>
      <c r="V45" s="151">
        <v>30128.84</v>
      </c>
      <c r="W45" s="151">
        <v>29512.846000000001</v>
      </c>
      <c r="X45" s="151">
        <v>29337.120999999999</v>
      </c>
      <c r="Y45" s="151">
        <v>29373.125</v>
      </c>
      <c r="Z45" s="151">
        <v>31414.866999999998</v>
      </c>
      <c r="AA45" s="151">
        <v>30223.287</v>
      </c>
      <c r="AB45" s="151">
        <v>29939.992999999999</v>
      </c>
      <c r="AC45" s="3">
        <v>29446.364000000001</v>
      </c>
      <c r="AD45" s="3">
        <v>28058.844196617902</v>
      </c>
      <c r="AE45" s="3">
        <v>28399.138052832699</v>
      </c>
      <c r="AF45" s="3">
        <v>27481.909902646399</v>
      </c>
      <c r="AG45" s="3">
        <v>28027.6672195471</v>
      </c>
      <c r="AH45" s="3">
        <v>28767.4346613165</v>
      </c>
      <c r="AI45" s="3">
        <v>28034.766051017501</v>
      </c>
      <c r="AJ45" s="3">
        <v>27283.816574185501</v>
      </c>
      <c r="AK45" s="3">
        <v>27967.567816566301</v>
      </c>
      <c r="AL45" s="3">
        <v>27138.1442806917</v>
      </c>
      <c r="AM45" s="3">
        <v>27138.1442806917</v>
      </c>
      <c r="AN45" s="151">
        <v>39907.572</v>
      </c>
      <c r="AO45" s="151">
        <v>41046.256000000001</v>
      </c>
      <c r="AP45" s="151">
        <v>42088.477999999996</v>
      </c>
      <c r="AQ45" s="151">
        <v>40073.876000000004</v>
      </c>
      <c r="AR45" s="151">
        <v>36984.177000000003</v>
      </c>
      <c r="AS45" s="151">
        <v>35928.415000000001</v>
      </c>
      <c r="AT45" s="151">
        <v>34470.649999999994</v>
      </c>
      <c r="AU45" s="151">
        <v>31337.944</v>
      </c>
      <c r="AV45" s="3">
        <v>30975.037</v>
      </c>
      <c r="AW45" s="3">
        <v>31194.933000000001</v>
      </c>
      <c r="AX45" s="3">
        <v>32412.53</v>
      </c>
      <c r="AY45" s="3">
        <v>33706.735000000001</v>
      </c>
      <c r="AZ45" s="3">
        <v>35040.573000000004</v>
      </c>
      <c r="BA45" s="3">
        <v>35604.265999999996</v>
      </c>
      <c r="BB45" s="3">
        <v>36174.631999999998</v>
      </c>
      <c r="BC45" s="3">
        <v>26232.352999999999</v>
      </c>
      <c r="BD45" s="3">
        <v>30796.064000000002</v>
      </c>
      <c r="BE45" s="3">
        <v>34770.008999999998</v>
      </c>
      <c r="BF45" s="3">
        <v>34627.904517263378</v>
      </c>
      <c r="BG45" s="151">
        <v>261.30200000000002</v>
      </c>
      <c r="BH45" s="151">
        <v>172.66200000000001</v>
      </c>
      <c r="BI45" s="151">
        <v>389.38299999999998</v>
      </c>
      <c r="BJ45" s="151">
        <v>626.99</v>
      </c>
      <c r="BK45" s="151">
        <v>1085.742</v>
      </c>
      <c r="BL45" s="151">
        <v>1453.019</v>
      </c>
      <c r="BM45" s="151">
        <v>1742.175</v>
      </c>
      <c r="BN45" s="151">
        <v>2152.02</v>
      </c>
      <c r="BO45" s="3">
        <v>908.64300000000003</v>
      </c>
      <c r="BP45" s="3">
        <v>977.76900000000001</v>
      </c>
      <c r="BQ45" s="3">
        <v>985.22</v>
      </c>
      <c r="BR45" s="3">
        <v>1121.617</v>
      </c>
      <c r="BS45" s="3">
        <v>1289.829</v>
      </c>
      <c r="BT45" s="3">
        <v>1681.883</v>
      </c>
      <c r="BU45" s="3">
        <v>1630.9939999999999</v>
      </c>
      <c r="BV45" s="3">
        <v>1402.4659999999999</v>
      </c>
      <c r="BW45" s="3">
        <v>1401.3</v>
      </c>
      <c r="BX45" s="3">
        <v>1373.3530000000001</v>
      </c>
      <c r="BY45" s="3">
        <v>1243.9729999999981</v>
      </c>
      <c r="BZ45" s="151">
        <v>40168.874000000003</v>
      </c>
      <c r="CA45" s="151">
        <v>41218.917999999998</v>
      </c>
      <c r="CB45" s="151">
        <v>42477.860999999997</v>
      </c>
      <c r="CC45" s="151">
        <v>40700.866000000002</v>
      </c>
      <c r="CD45" s="151">
        <v>38069.919000000002</v>
      </c>
      <c r="CE45" s="151">
        <v>37381.434000000001</v>
      </c>
      <c r="CF45" s="151">
        <v>36212.824999999997</v>
      </c>
      <c r="CG45" s="151">
        <v>33489.964</v>
      </c>
      <c r="CH45" s="3">
        <v>31883.68</v>
      </c>
      <c r="CI45" s="3">
        <v>32172.702000000001</v>
      </c>
      <c r="CJ45" s="3">
        <v>33397.75</v>
      </c>
      <c r="CK45" s="3">
        <v>34828.351999999999</v>
      </c>
      <c r="CL45" s="3">
        <v>36330.402000000002</v>
      </c>
      <c r="CM45" s="3">
        <v>37286.148999999998</v>
      </c>
      <c r="CN45" s="3">
        <v>37805.625999999997</v>
      </c>
      <c r="CO45" s="3">
        <v>27634.819</v>
      </c>
      <c r="CP45" s="3">
        <v>32197.364000000001</v>
      </c>
      <c r="CQ45" s="3">
        <v>36143.362000000001</v>
      </c>
      <c r="CR45" s="3">
        <v>35871.877517263376</v>
      </c>
      <c r="CS45" s="151">
        <v>98117.652000000002</v>
      </c>
      <c r="CT45" s="151">
        <v>95821.024999999994</v>
      </c>
      <c r="CU45" s="151">
        <v>98473.85</v>
      </c>
      <c r="CV45" s="151">
        <v>95002.95</v>
      </c>
      <c r="CW45" s="151">
        <v>88141.934999999998</v>
      </c>
      <c r="CX45" s="151">
        <v>89577.784</v>
      </c>
      <c r="CY45" s="151">
        <v>87063.938999999998</v>
      </c>
      <c r="CZ45" s="151">
        <v>83537.684999999998</v>
      </c>
      <c r="DA45" s="3">
        <v>80931.660999999993</v>
      </c>
      <c r="DB45" s="3">
        <v>79543.410196617915</v>
      </c>
      <c r="DC45" s="3">
        <v>80488.169052832702</v>
      </c>
      <c r="DD45" s="3">
        <v>82207.495902646391</v>
      </c>
      <c r="DE45" s="3">
        <v>84752.5262195471</v>
      </c>
      <c r="DF45" s="3">
        <v>86720.0226613165</v>
      </c>
      <c r="DG45" s="3">
        <v>86483.118051017504</v>
      </c>
      <c r="DH45" s="3">
        <v>73757.113574185496</v>
      </c>
      <c r="DI45" s="3">
        <v>80329.029816566297</v>
      </c>
      <c r="DJ45" s="3">
        <v>81228.069280691707</v>
      </c>
      <c r="DK45" s="3">
        <v>79877.950002218073</v>
      </c>
      <c r="DL45" s="151">
        <v>101166.35074893417</v>
      </c>
      <c r="DM45" s="151">
        <v>98798.363257534831</v>
      </c>
      <c r="DN45" s="151">
        <v>101533.61648623565</v>
      </c>
      <c r="DO45" s="151">
        <v>97954.869138974667</v>
      </c>
      <c r="DP45" s="151">
        <v>90880.669585323514</v>
      </c>
      <c r="DQ45" s="151">
        <v>92361.133096175836</v>
      </c>
      <c r="DR45" s="151">
        <v>89769.178235714498</v>
      </c>
      <c r="DS45" s="151">
        <v>86133.356936262368</v>
      </c>
      <c r="DT45" s="3">
        <v>83446.358902064181</v>
      </c>
      <c r="DU45" s="3">
        <v>82014.972552720632</v>
      </c>
      <c r="DV45" s="3">
        <v>82989.086831576264</v>
      </c>
      <c r="DW45" s="3">
        <v>84761.836378623222</v>
      </c>
      <c r="DX45" s="3">
        <v>87385.945542041125</v>
      </c>
      <c r="DY45" s="3">
        <v>89414.575773890974</v>
      </c>
      <c r="DZ45" s="3">
        <v>89170.310094769869</v>
      </c>
      <c r="EA45" s="3">
        <v>76048.884884393934</v>
      </c>
      <c r="EB45" s="3">
        <v>82825.002841938549</v>
      </c>
      <c r="EC45" s="3">
        <v>83751.97714178059</v>
      </c>
      <c r="ED45" s="3">
        <v>82359.907135060887</v>
      </c>
    </row>
    <row r="46" spans="1:134">
      <c r="A46" t="s">
        <v>2</v>
      </c>
      <c r="B46" s="151">
        <v>11123.59</v>
      </c>
      <c r="C46" s="151">
        <v>12152.857</v>
      </c>
      <c r="D46" s="151">
        <v>11888.177</v>
      </c>
      <c r="E46" s="151">
        <v>11245.535</v>
      </c>
      <c r="F46" s="151">
        <v>9374.2090000000007</v>
      </c>
      <c r="G46" s="151">
        <v>10715.222</v>
      </c>
      <c r="H46" s="151">
        <v>10517.329</v>
      </c>
      <c r="I46" s="151">
        <v>10233.196</v>
      </c>
      <c r="J46" s="3">
        <v>10270.023999999999</v>
      </c>
      <c r="K46" s="3">
        <v>10218.642</v>
      </c>
      <c r="L46" s="3">
        <v>10156.882</v>
      </c>
      <c r="M46" s="3">
        <v>10500.773999999999</v>
      </c>
      <c r="N46" s="3">
        <v>10699.834999999999</v>
      </c>
      <c r="O46" s="3">
        <v>11038.16</v>
      </c>
      <c r="P46" s="3">
        <v>10980.155000000001</v>
      </c>
      <c r="Q46" s="3">
        <v>10257.530000000001</v>
      </c>
      <c r="R46" s="3">
        <v>10760.748</v>
      </c>
      <c r="S46" s="3">
        <v>9751.5229999999992</v>
      </c>
      <c r="T46" s="3">
        <v>9552.9962587410118</v>
      </c>
      <c r="U46" s="151">
        <v>9450.527</v>
      </c>
      <c r="V46" s="151">
        <v>9605.8109999999997</v>
      </c>
      <c r="W46" s="151">
        <v>9720.8539999999994</v>
      </c>
      <c r="X46" s="151">
        <v>9556.0249999999996</v>
      </c>
      <c r="Y46" s="151">
        <v>9808.4249999999993</v>
      </c>
      <c r="Z46" s="151">
        <v>10665.416999999999</v>
      </c>
      <c r="AA46" s="151">
        <v>9546.3130000000001</v>
      </c>
      <c r="AB46" s="151">
        <v>10115.406999999999</v>
      </c>
      <c r="AC46" s="3">
        <v>9565.7060000000001</v>
      </c>
      <c r="AD46" s="3">
        <v>9567.357</v>
      </c>
      <c r="AE46" s="3">
        <v>9308.866</v>
      </c>
      <c r="AF46" s="3">
        <v>9869.6810000000005</v>
      </c>
      <c r="AG46" s="3">
        <v>9745.3445524983199</v>
      </c>
      <c r="AH46" s="3">
        <v>9720.4696132607096</v>
      </c>
      <c r="AI46" s="3">
        <v>9470.0804145409293</v>
      </c>
      <c r="AJ46" s="3">
        <v>8955.1268794305797</v>
      </c>
      <c r="AK46" s="3">
        <v>9864.9689705741694</v>
      </c>
      <c r="AL46" s="3">
        <v>9199.5666198528597</v>
      </c>
      <c r="AM46" s="3">
        <v>9278.2407332436942</v>
      </c>
      <c r="AN46" s="151">
        <v>4644.433</v>
      </c>
      <c r="AO46" s="151">
        <v>4751.2749999999996</v>
      </c>
      <c r="AP46" s="151">
        <v>4935.4389999999994</v>
      </c>
      <c r="AQ46" s="151">
        <v>4771.1329999999998</v>
      </c>
      <c r="AR46" s="151">
        <v>4511.8379999999997</v>
      </c>
      <c r="AS46" s="151">
        <v>4704.3359999999993</v>
      </c>
      <c r="AT46" s="151">
        <v>4741.2809999999999</v>
      </c>
      <c r="AU46" s="151">
        <v>4619.7349999999997</v>
      </c>
      <c r="AV46" s="3">
        <v>4623.6859999999997</v>
      </c>
      <c r="AW46" s="3">
        <v>4244.1630000000005</v>
      </c>
      <c r="AX46" s="3">
        <v>4249.665</v>
      </c>
      <c r="AY46" s="3">
        <v>4646.058</v>
      </c>
      <c r="AZ46" s="3">
        <v>4484.1469999999999</v>
      </c>
      <c r="BA46" s="3">
        <v>4653.4900000000007</v>
      </c>
      <c r="BB46" s="3">
        <v>4588.5659999999998</v>
      </c>
      <c r="BC46" s="3">
        <v>3766.817</v>
      </c>
      <c r="BD46" s="3">
        <v>3624.4399999999996</v>
      </c>
      <c r="BE46" s="3">
        <v>3824.8670000000002</v>
      </c>
      <c r="BF46" s="3">
        <v>3741.0454168221563</v>
      </c>
      <c r="BG46" s="151">
        <v>0</v>
      </c>
      <c r="BH46" s="151">
        <v>0.69299999999999995</v>
      </c>
      <c r="BI46" s="151">
        <v>1.385</v>
      </c>
      <c r="BJ46" s="151">
        <v>72.260000000000005</v>
      </c>
      <c r="BK46" s="151">
        <v>132.215</v>
      </c>
      <c r="BL46" s="151">
        <v>140.256</v>
      </c>
      <c r="BM46" s="151">
        <v>197.33199999999999</v>
      </c>
      <c r="BN46" s="151">
        <v>194.34399999999999</v>
      </c>
      <c r="BO46" s="3">
        <v>222.32599999999999</v>
      </c>
      <c r="BP46" s="3">
        <v>496.35500000000002</v>
      </c>
      <c r="BQ46" s="3">
        <v>496.02499999999998</v>
      </c>
      <c r="BR46" s="3">
        <v>176.67699999999999</v>
      </c>
      <c r="BS46" s="3">
        <v>391.17599999999999</v>
      </c>
      <c r="BT46" s="3">
        <v>366.83300000000003</v>
      </c>
      <c r="BU46" s="3">
        <v>429.22800000000001</v>
      </c>
      <c r="BV46" s="3">
        <v>399.048</v>
      </c>
      <c r="BW46" s="3">
        <v>676.21500000000003</v>
      </c>
      <c r="BX46" s="3">
        <v>563.61599999999999</v>
      </c>
      <c r="BY46" s="3">
        <v>574.9584483133716</v>
      </c>
      <c r="BZ46" s="151">
        <v>4644.433</v>
      </c>
      <c r="CA46" s="151">
        <v>4751.9679999999998</v>
      </c>
      <c r="CB46" s="151">
        <v>4936.8239999999996</v>
      </c>
      <c r="CC46" s="151">
        <v>4843.393</v>
      </c>
      <c r="CD46" s="151">
        <v>4644.0529999999999</v>
      </c>
      <c r="CE46" s="151">
        <v>4844.5919999999996</v>
      </c>
      <c r="CF46" s="151">
        <v>4938.6130000000003</v>
      </c>
      <c r="CG46" s="151">
        <v>4814.0789999999997</v>
      </c>
      <c r="CH46" s="3">
        <v>4846.0119999999997</v>
      </c>
      <c r="CI46" s="3">
        <v>4740.518</v>
      </c>
      <c r="CJ46" s="3">
        <v>4745.6899999999996</v>
      </c>
      <c r="CK46" s="3">
        <v>4822.7349999999997</v>
      </c>
      <c r="CL46" s="3">
        <v>4875.3230000000003</v>
      </c>
      <c r="CM46" s="3">
        <v>5020.3230000000003</v>
      </c>
      <c r="CN46" s="3">
        <v>5017.7939999999999</v>
      </c>
      <c r="CO46" s="3">
        <v>4165.8649999999998</v>
      </c>
      <c r="CP46" s="3">
        <v>4300.6549999999997</v>
      </c>
      <c r="CQ46" s="3">
        <v>4388.4830000000002</v>
      </c>
      <c r="CR46" s="3">
        <v>4316.003865135528</v>
      </c>
      <c r="CS46" s="151">
        <v>25218.550000000003</v>
      </c>
      <c r="CT46" s="151">
        <v>26510.635999999999</v>
      </c>
      <c r="CU46" s="151">
        <v>26545.855</v>
      </c>
      <c r="CV46" s="151">
        <v>25644.953000000001</v>
      </c>
      <c r="CW46" s="151">
        <v>23826.686999999998</v>
      </c>
      <c r="CX46" s="151">
        <v>26225.231</v>
      </c>
      <c r="CY46" s="151">
        <v>25002.254999999997</v>
      </c>
      <c r="CZ46" s="151">
        <v>25162.682000000001</v>
      </c>
      <c r="DA46" s="3">
        <v>24681.741999999998</v>
      </c>
      <c r="DB46" s="3">
        <v>24526.517</v>
      </c>
      <c r="DC46" s="3">
        <v>24211.438000000002</v>
      </c>
      <c r="DD46" s="3">
        <v>25193.19</v>
      </c>
      <c r="DE46" s="3">
        <v>25320.502552498321</v>
      </c>
      <c r="DF46" s="3">
        <v>25778.95261326071</v>
      </c>
      <c r="DG46" s="3">
        <v>25468.029414540928</v>
      </c>
      <c r="DH46" s="3">
        <v>23378.52187943058</v>
      </c>
      <c r="DI46" s="3">
        <v>24926.371970574168</v>
      </c>
      <c r="DJ46" s="3">
        <v>23339.572619852857</v>
      </c>
      <c r="DK46" s="3">
        <v>23147.240857120232</v>
      </c>
      <c r="DL46" s="151">
        <v>25893.719897991999</v>
      </c>
      <c r="DM46" s="151">
        <v>27220.398591577348</v>
      </c>
      <c r="DN46" s="151">
        <v>27256.560501008596</v>
      </c>
      <c r="DO46" s="151">
        <v>26331.538878292748</v>
      </c>
      <c r="DP46" s="151">
        <v>24464.592899874384</v>
      </c>
      <c r="DQ46" s="151">
        <v>26927.352515276911</v>
      </c>
      <c r="DR46" s="151">
        <v>25671.634086343973</v>
      </c>
      <c r="DS46" s="151">
        <v>25836.356158075901</v>
      </c>
      <c r="DT46" s="3">
        <v>25342.540072387379</v>
      </c>
      <c r="DU46" s="3">
        <v>25183.15927249342</v>
      </c>
      <c r="DV46" s="3">
        <v>24859.644741652457</v>
      </c>
      <c r="DW46" s="3">
        <v>25867.680941088718</v>
      </c>
      <c r="DX46" s="3">
        <v>25998.402000542574</v>
      </c>
      <c r="DY46" s="3">
        <v>26469.126029505329</v>
      </c>
      <c r="DZ46" s="3">
        <v>26149.878562167287</v>
      </c>
      <c r="EA46" s="3">
        <v>24004.429167222257</v>
      </c>
      <c r="EB46" s="3">
        <v>25593.719459651973</v>
      </c>
      <c r="EC46" s="3">
        <v>23964.437128911581</v>
      </c>
      <c r="ED46" s="3">
        <v>23766.956116256781</v>
      </c>
    </row>
    <row r="47" spans="1:134">
      <c r="A47" t="s">
        <v>82</v>
      </c>
      <c r="B47" s="151">
        <v>32516.391</v>
      </c>
      <c r="C47" s="151">
        <v>31298.83</v>
      </c>
      <c r="D47" s="151">
        <v>32212.924999999999</v>
      </c>
      <c r="E47" s="151">
        <v>31702.967000000001</v>
      </c>
      <c r="F47" s="151">
        <v>26277.824000000001</v>
      </c>
      <c r="G47" s="151">
        <v>27739.167000000001</v>
      </c>
      <c r="H47" s="151">
        <v>29453.648000000001</v>
      </c>
      <c r="I47" s="151">
        <v>29303.530999999999</v>
      </c>
      <c r="J47" s="3">
        <v>29273.927</v>
      </c>
      <c r="K47" s="3">
        <v>27952.957999999999</v>
      </c>
      <c r="L47" s="3">
        <v>27584.304</v>
      </c>
      <c r="M47" s="3">
        <v>28228.524000000001</v>
      </c>
      <c r="N47" s="3">
        <v>27216.28</v>
      </c>
      <c r="O47" s="3">
        <v>27264.789000000001</v>
      </c>
      <c r="P47" s="3">
        <v>26954.699000000001</v>
      </c>
      <c r="Q47" s="3">
        <v>24767.383999999998</v>
      </c>
      <c r="R47" s="3">
        <v>26707.221000000001</v>
      </c>
      <c r="S47" s="3">
        <v>25302.136999999999</v>
      </c>
      <c r="T47" s="3">
        <v>24001.635837505102</v>
      </c>
      <c r="U47" s="151">
        <v>77806.554512563307</v>
      </c>
      <c r="V47" s="151">
        <v>76189.915946976194</v>
      </c>
      <c r="W47" s="151">
        <v>70744.3661669055</v>
      </c>
      <c r="X47" s="151">
        <v>74307.558165185794</v>
      </c>
      <c r="Y47" s="151">
        <v>74301.4983182383</v>
      </c>
      <c r="Z47" s="151">
        <v>77148.236373841602</v>
      </c>
      <c r="AA47" s="151">
        <v>68665.417711283095</v>
      </c>
      <c r="AB47" s="151">
        <v>73413.711330085003</v>
      </c>
      <c r="AC47" s="3">
        <v>76591.479640680205</v>
      </c>
      <c r="AD47" s="3">
        <v>66682.839912677897</v>
      </c>
      <c r="AE47" s="3">
        <v>69400.825827744295</v>
      </c>
      <c r="AF47" s="3">
        <v>70563.940842361699</v>
      </c>
      <c r="AG47" s="3">
        <v>70196.349340403103</v>
      </c>
      <c r="AH47" s="3">
        <v>68474.613914588699</v>
      </c>
      <c r="AI47" s="3">
        <v>67310.718914397599</v>
      </c>
      <c r="AJ47" s="3">
        <v>64274.485120378296</v>
      </c>
      <c r="AK47" s="3">
        <v>70981.206508072893</v>
      </c>
      <c r="AL47" s="3">
        <v>63924.839849718097</v>
      </c>
      <c r="AM47" s="3">
        <v>62303.138074876828</v>
      </c>
      <c r="AN47" s="151">
        <v>49220.794999999998</v>
      </c>
      <c r="AO47" s="151">
        <v>49542.712999999996</v>
      </c>
      <c r="AP47" s="151">
        <v>49438.159000000007</v>
      </c>
      <c r="AQ47" s="151">
        <v>47514.074000000001</v>
      </c>
      <c r="AR47" s="151">
        <v>46485.023000000001</v>
      </c>
      <c r="AS47" s="151">
        <v>46656.787000000004</v>
      </c>
      <c r="AT47" s="151">
        <v>48299.847999999998</v>
      </c>
      <c r="AU47" s="151">
        <v>47765.794999999998</v>
      </c>
      <c r="AV47" s="3">
        <v>47385.506000000001</v>
      </c>
      <c r="AW47" s="3">
        <v>47436.436000000002</v>
      </c>
      <c r="AX47" s="3">
        <v>48197.168000000005</v>
      </c>
      <c r="AY47" s="3">
        <v>48262.678999999996</v>
      </c>
      <c r="AZ47" s="3">
        <v>48588.028999999995</v>
      </c>
      <c r="BA47" s="3">
        <v>47898.172000000006</v>
      </c>
      <c r="BB47" s="3">
        <v>48105.869000000006</v>
      </c>
      <c r="BC47" s="3">
        <v>38046.747000000003</v>
      </c>
      <c r="BD47" s="3">
        <v>42461.167999999998</v>
      </c>
      <c r="BE47" s="3">
        <v>46229.445</v>
      </c>
      <c r="BF47" s="3">
        <v>44637.660102599613</v>
      </c>
      <c r="BG47" s="151">
        <v>584.88599999999997</v>
      </c>
      <c r="BH47" s="151">
        <v>707.86800000000005</v>
      </c>
      <c r="BI47" s="151">
        <v>1426.6980000000001</v>
      </c>
      <c r="BJ47" s="151">
        <v>2295.0700000000002</v>
      </c>
      <c r="BK47" s="151">
        <v>2462.3820000000001</v>
      </c>
      <c r="BL47" s="151">
        <v>2419.556</v>
      </c>
      <c r="BM47" s="151">
        <v>2432.8020000000001</v>
      </c>
      <c r="BN47" s="151">
        <v>2678.5360000000001</v>
      </c>
      <c r="BO47" s="3">
        <v>2688.3470000000002</v>
      </c>
      <c r="BP47" s="3">
        <v>2954.5320000000002</v>
      </c>
      <c r="BQ47" s="3">
        <v>2994.433</v>
      </c>
      <c r="BR47" s="3">
        <v>2991.125</v>
      </c>
      <c r="BS47" s="3">
        <v>3132.0709999999999</v>
      </c>
      <c r="BT47" s="3">
        <v>3133.1640000000002</v>
      </c>
      <c r="BU47" s="3">
        <v>3158.893</v>
      </c>
      <c r="BV47" s="3">
        <v>2629.6990000000001</v>
      </c>
      <c r="BW47" s="3">
        <v>2884.788</v>
      </c>
      <c r="BX47" s="3">
        <v>3077.0239999999999</v>
      </c>
      <c r="BY47" s="3">
        <v>3226.5544087334342</v>
      </c>
      <c r="BZ47" s="151">
        <v>49805.680999999997</v>
      </c>
      <c r="CA47" s="151">
        <v>50250.580999999998</v>
      </c>
      <c r="CB47" s="151">
        <v>50864.857000000004</v>
      </c>
      <c r="CC47" s="151">
        <v>49809.144</v>
      </c>
      <c r="CD47" s="151">
        <v>48947.404999999999</v>
      </c>
      <c r="CE47" s="151">
        <v>49076.343000000001</v>
      </c>
      <c r="CF47" s="151">
        <v>50732.65</v>
      </c>
      <c r="CG47" s="151">
        <v>50444.330999999998</v>
      </c>
      <c r="CH47" s="3">
        <v>50073.853000000003</v>
      </c>
      <c r="CI47" s="3">
        <v>50390.968000000001</v>
      </c>
      <c r="CJ47" s="3">
        <v>51191.601000000002</v>
      </c>
      <c r="CK47" s="3">
        <v>51253.803999999996</v>
      </c>
      <c r="CL47" s="3">
        <v>51720.1</v>
      </c>
      <c r="CM47" s="3">
        <v>51031.336000000003</v>
      </c>
      <c r="CN47" s="3">
        <v>51264.762000000002</v>
      </c>
      <c r="CO47" s="3">
        <v>40676.446000000004</v>
      </c>
      <c r="CP47" s="3">
        <v>45345.955999999998</v>
      </c>
      <c r="CQ47" s="3">
        <v>49306.468999999997</v>
      </c>
      <c r="CR47" s="3">
        <v>47864.214511333048</v>
      </c>
      <c r="CS47" s="151">
        <v>160128.62651256332</v>
      </c>
      <c r="CT47" s="151">
        <v>157739.32694697619</v>
      </c>
      <c r="CU47" s="151">
        <v>153822.14816690551</v>
      </c>
      <c r="CV47" s="151">
        <v>155819.6691651858</v>
      </c>
      <c r="CW47" s="151">
        <v>149526.72731823829</v>
      </c>
      <c r="CX47" s="151">
        <v>153963.7463738416</v>
      </c>
      <c r="CY47" s="151">
        <v>148851.71571128309</v>
      </c>
      <c r="CZ47" s="151">
        <v>153161.573330085</v>
      </c>
      <c r="DA47" s="3">
        <v>155939.25964068022</v>
      </c>
      <c r="DB47" s="3">
        <v>145026.76591267792</v>
      </c>
      <c r="DC47" s="3">
        <v>148176.73082774429</v>
      </c>
      <c r="DD47" s="3">
        <v>150046.26884236169</v>
      </c>
      <c r="DE47" s="3">
        <v>149132.72934040311</v>
      </c>
      <c r="DF47" s="3">
        <v>146770.7389145887</v>
      </c>
      <c r="DG47" s="3">
        <v>145530.17991439759</v>
      </c>
      <c r="DH47" s="3">
        <v>129718.31512037831</v>
      </c>
      <c r="DI47" s="3">
        <v>143034.38350807287</v>
      </c>
      <c r="DJ47" s="3">
        <v>138533.44584971809</v>
      </c>
      <c r="DK47" s="3">
        <v>134168.988423715</v>
      </c>
      <c r="DL47" s="151">
        <v>164696.39476359953</v>
      </c>
      <c r="DM47" s="151">
        <v>162238.93894803015</v>
      </c>
      <c r="DN47" s="151">
        <v>158210.02021705298</v>
      </c>
      <c r="DO47" s="151">
        <v>160264.52173902499</v>
      </c>
      <c r="DP47" s="151">
        <v>153792.06982819861</v>
      </c>
      <c r="DQ47" s="151">
        <v>158355.65760054439</v>
      </c>
      <c r="DR47" s="151">
        <v>153097.80309706929</v>
      </c>
      <c r="DS47" s="151">
        <v>157530.60207386821</v>
      </c>
      <c r="DT47" s="3">
        <v>160387.52360690432</v>
      </c>
      <c r="DU47" s="3">
        <v>149163.74423637832</v>
      </c>
      <c r="DV47" s="3">
        <v>152403.5638516584</v>
      </c>
      <c r="DW47" s="3">
        <v>154326.43159608898</v>
      </c>
      <c r="DX47" s="3">
        <v>153386.83281401295</v>
      </c>
      <c r="DY47" s="3">
        <v>150957.46514834295</v>
      </c>
      <c r="DZ47" s="3">
        <v>149681.51843429939</v>
      </c>
      <c r="EA47" s="3">
        <v>133418.61040354735</v>
      </c>
      <c r="EB47" s="3">
        <v>147114.52788964886</v>
      </c>
      <c r="EC47" s="3">
        <v>142485.1981968185</v>
      </c>
      <c r="ED47" s="3">
        <v>137996.2419195002</v>
      </c>
    </row>
    <row r="48" spans="1:134">
      <c r="A48" t="s">
        <v>181</v>
      </c>
      <c r="B48" s="151">
        <v>4168.76</v>
      </c>
      <c r="C48" s="151">
        <v>4241.8980000000001</v>
      </c>
      <c r="D48" s="151">
        <v>4617.99</v>
      </c>
      <c r="E48" s="151">
        <v>4231.4799999999996</v>
      </c>
      <c r="F48" s="151">
        <v>3462.364</v>
      </c>
      <c r="G48" s="151">
        <v>3472.8110000000001</v>
      </c>
      <c r="H48" s="151">
        <v>3322.8229999999999</v>
      </c>
      <c r="I48" s="151">
        <v>2995.491</v>
      </c>
      <c r="J48" s="3">
        <v>2835.5309999999999</v>
      </c>
      <c r="K48" s="3">
        <v>3088.3</v>
      </c>
      <c r="L48" s="3">
        <v>3128.4459999999999</v>
      </c>
      <c r="M48" s="3">
        <v>3073.1219999999998</v>
      </c>
      <c r="N48" s="3">
        <v>2762.817</v>
      </c>
      <c r="O48" s="3">
        <v>2738.8539999999998</v>
      </c>
      <c r="P48" s="3">
        <v>2587.6060000000002</v>
      </c>
      <c r="Q48" s="3">
        <v>2523.498</v>
      </c>
      <c r="R48" s="3">
        <v>2565.4009999999998</v>
      </c>
      <c r="S48" s="3">
        <v>2565.529</v>
      </c>
      <c r="T48" s="3">
        <v>2552.6787632919318</v>
      </c>
      <c r="U48" s="151">
        <v>8682.2849999999999</v>
      </c>
      <c r="V48" s="151">
        <v>8845.9850000000006</v>
      </c>
      <c r="W48" s="151">
        <v>8673.6749999999993</v>
      </c>
      <c r="X48" s="151">
        <v>8599.2270000000008</v>
      </c>
      <c r="Y48" s="151">
        <v>7915.76</v>
      </c>
      <c r="Z48" s="151">
        <v>7424.1019999999999</v>
      </c>
      <c r="AA48" s="151">
        <v>8156.9840000000004</v>
      </c>
      <c r="AB48" s="151">
        <v>7791.9480000000003</v>
      </c>
      <c r="AC48" s="3">
        <v>6224.0349999999999</v>
      </c>
      <c r="AD48" s="3">
        <v>6080.3140000000003</v>
      </c>
      <c r="AE48" s="3">
        <v>6859.1769999999997</v>
      </c>
      <c r="AF48" s="3">
        <v>6897.78</v>
      </c>
      <c r="AG48" s="3">
        <v>6840.9197128116903</v>
      </c>
      <c r="AH48" s="3">
        <v>6181.9843871214198</v>
      </c>
      <c r="AI48" s="3">
        <v>6410.4605626253897</v>
      </c>
      <c r="AJ48" s="3">
        <v>6418.2176087704102</v>
      </c>
      <c r="AK48" s="3">
        <v>6376.5945450463296</v>
      </c>
      <c r="AL48" s="3">
        <v>6523.4481801853399</v>
      </c>
      <c r="AM48" s="3">
        <v>6523.4481801853399</v>
      </c>
      <c r="AN48" s="151">
        <v>8171.3580000000002</v>
      </c>
      <c r="AO48" s="151">
        <v>8495.4030000000002</v>
      </c>
      <c r="AP48" s="151">
        <v>8723.64</v>
      </c>
      <c r="AQ48" s="151">
        <v>8537.8959999999988</v>
      </c>
      <c r="AR48" s="151">
        <v>9130.4979999999996</v>
      </c>
      <c r="AS48" s="151">
        <v>8034.2340000000004</v>
      </c>
      <c r="AT48" s="151">
        <v>7341.5960000000005</v>
      </c>
      <c r="AU48" s="151">
        <v>6170.4810000000007</v>
      </c>
      <c r="AV48" s="3">
        <v>6161.2109999999993</v>
      </c>
      <c r="AW48" s="3">
        <v>6278.4840000000004</v>
      </c>
      <c r="AX48" s="3">
        <v>6435.5719999999992</v>
      </c>
      <c r="AY48" s="3">
        <v>6626.77</v>
      </c>
      <c r="AZ48" s="3">
        <v>6636.058</v>
      </c>
      <c r="BA48" s="3">
        <v>6827.777</v>
      </c>
      <c r="BB48" s="3">
        <v>6989.6959999999999</v>
      </c>
      <c r="BC48" s="3">
        <v>5297.7429999999995</v>
      </c>
      <c r="BD48" s="3">
        <v>6010.3949999999995</v>
      </c>
      <c r="BE48" s="3">
        <v>6806.2469999999994</v>
      </c>
      <c r="BF48" s="3">
        <v>6806.2469999999994</v>
      </c>
      <c r="BG48" s="151">
        <v>0</v>
      </c>
      <c r="BH48" s="151">
        <v>45.07</v>
      </c>
      <c r="BI48" s="151">
        <v>83.070999999999998</v>
      </c>
      <c r="BJ48" s="151">
        <v>67.162999999999997</v>
      </c>
      <c r="BK48" s="151">
        <v>76.001000000000005</v>
      </c>
      <c r="BL48" s="151">
        <v>124.60599999999999</v>
      </c>
      <c r="BM48" s="151">
        <v>103.396</v>
      </c>
      <c r="BN48" s="151">
        <v>103.396</v>
      </c>
      <c r="BO48" s="3">
        <v>121.29600000000001</v>
      </c>
      <c r="BP48" s="3">
        <v>134.47999999999999</v>
      </c>
      <c r="BQ48" s="3">
        <v>141.511</v>
      </c>
      <c r="BR48" s="3">
        <v>149.422</v>
      </c>
      <c r="BS48" s="3">
        <v>165.81200000000001</v>
      </c>
      <c r="BT48" s="3">
        <v>158.785</v>
      </c>
      <c r="BU48" s="3">
        <v>186.11199999999999</v>
      </c>
      <c r="BV48" s="3">
        <v>199.53200000000001</v>
      </c>
      <c r="BW48" s="3">
        <v>216.524</v>
      </c>
      <c r="BX48" s="3">
        <v>216.524</v>
      </c>
      <c r="BY48" s="3">
        <v>239.26239999999962</v>
      </c>
      <c r="BZ48" s="151">
        <v>8171.3580000000002</v>
      </c>
      <c r="CA48" s="151">
        <v>8540.473</v>
      </c>
      <c r="CB48" s="151">
        <v>8806.7109999999993</v>
      </c>
      <c r="CC48" s="151">
        <v>8605.0589999999993</v>
      </c>
      <c r="CD48" s="151">
        <v>9206.4989999999998</v>
      </c>
      <c r="CE48" s="151">
        <v>8158.84</v>
      </c>
      <c r="CF48" s="151">
        <v>7444.9920000000002</v>
      </c>
      <c r="CG48" s="151">
        <v>6273.8770000000004</v>
      </c>
      <c r="CH48" s="3">
        <v>6282.5069999999996</v>
      </c>
      <c r="CI48" s="3">
        <v>6412.9639999999999</v>
      </c>
      <c r="CJ48" s="3">
        <v>6577.0829999999996</v>
      </c>
      <c r="CK48" s="3">
        <v>6776.192</v>
      </c>
      <c r="CL48" s="3">
        <v>6801.87</v>
      </c>
      <c r="CM48" s="3">
        <v>6986.5619999999999</v>
      </c>
      <c r="CN48" s="3">
        <v>7175.808</v>
      </c>
      <c r="CO48" s="3">
        <v>5497.2749999999996</v>
      </c>
      <c r="CP48" s="3">
        <v>6226.9189999999999</v>
      </c>
      <c r="CQ48" s="3">
        <v>7022.7709999999997</v>
      </c>
      <c r="CR48" s="3">
        <v>7045.509399999999</v>
      </c>
      <c r="CS48" s="151">
        <v>21022.402999999998</v>
      </c>
      <c r="CT48" s="151">
        <v>21628.356</v>
      </c>
      <c r="CU48" s="151">
        <v>22098.375999999997</v>
      </c>
      <c r="CV48" s="151">
        <v>21435.766</v>
      </c>
      <c r="CW48" s="151">
        <v>20584.623</v>
      </c>
      <c r="CX48" s="151">
        <v>19055.753000000001</v>
      </c>
      <c r="CY48" s="151">
        <v>18924.798999999999</v>
      </c>
      <c r="CZ48" s="151">
        <v>17061.315999999999</v>
      </c>
      <c r="DA48" s="3">
        <v>15342.073</v>
      </c>
      <c r="DB48" s="3">
        <v>15581.578</v>
      </c>
      <c r="DC48" s="3">
        <v>16564.705999999998</v>
      </c>
      <c r="DD48" s="3">
        <v>16747.094000000001</v>
      </c>
      <c r="DE48" s="3">
        <v>16405.606712811692</v>
      </c>
      <c r="DF48" s="3">
        <v>15907.400387121419</v>
      </c>
      <c r="DG48" s="3">
        <v>16173.874562625391</v>
      </c>
      <c r="DH48" s="3">
        <v>14438.990608770409</v>
      </c>
      <c r="DI48" s="3">
        <v>15168.914545046329</v>
      </c>
      <c r="DJ48" s="3">
        <v>16111.748180185339</v>
      </c>
      <c r="DK48" s="3">
        <v>16121.63634347727</v>
      </c>
      <c r="DL48" s="151">
        <v>21732.734175224206</v>
      </c>
      <c r="DM48" s="151">
        <v>22359.161871034226</v>
      </c>
      <c r="DN48" s="151">
        <v>22845.063493081849</v>
      </c>
      <c r="DO48" s="151">
        <v>22160.06439988374</v>
      </c>
      <c r="DP48" s="151">
        <v>21280.161918511705</v>
      </c>
      <c r="DQ48" s="151">
        <v>19699.63255188911</v>
      </c>
      <c r="DR48" s="151">
        <v>19564.253714789356</v>
      </c>
      <c r="DS48" s="151">
        <v>17637.805026737409</v>
      </c>
      <c r="DT48" s="3">
        <v>15860.470099725735</v>
      </c>
      <c r="DU48" s="3">
        <v>16108.067793416465</v>
      </c>
      <c r="DV48" s="3">
        <v>17124.414948602283</v>
      </c>
      <c r="DW48" s="3">
        <v>17312.965701851132</v>
      </c>
      <c r="DX48" s="3">
        <v>16959.939816243193</v>
      </c>
      <c r="DY48" s="3">
        <v>16444.899473774167</v>
      </c>
      <c r="DZ48" s="3">
        <v>16720.377611111267</v>
      </c>
      <c r="EA48" s="3">
        <v>14926.873234185743</v>
      </c>
      <c r="EB48" s="3">
        <v>15681.460750903878</v>
      </c>
      <c r="EC48" s="3">
        <v>16656.152024966905</v>
      </c>
      <c r="ED48" s="3">
        <v>16666.374301854317</v>
      </c>
    </row>
    <row r="49" spans="1:134">
      <c r="A49" t="s">
        <v>183</v>
      </c>
      <c r="B49" s="151">
        <v>1535.9970000000001</v>
      </c>
      <c r="C49" s="151">
        <v>1600.307</v>
      </c>
      <c r="D49" s="151">
        <v>1623.3320000000001</v>
      </c>
      <c r="E49" s="151">
        <v>1628.4749999999999</v>
      </c>
      <c r="F49" s="151">
        <v>1371.2850000000001</v>
      </c>
      <c r="G49" s="151">
        <v>1329.126</v>
      </c>
      <c r="H49" s="151">
        <v>1246.1110000000001</v>
      </c>
      <c r="I49" s="151">
        <v>1099.202</v>
      </c>
      <c r="J49" s="3">
        <v>1075.1410000000001</v>
      </c>
      <c r="K49" s="3">
        <v>1066.433</v>
      </c>
      <c r="L49" s="3">
        <v>1056.1410000000001</v>
      </c>
      <c r="M49" s="3">
        <v>1057.4269999999999</v>
      </c>
      <c r="N49" s="3">
        <v>1148.1179999999999</v>
      </c>
      <c r="O49" s="3">
        <v>1161.8530000000001</v>
      </c>
      <c r="P49" s="3">
        <v>1172.434</v>
      </c>
      <c r="Q49" s="3">
        <v>1171.2719999999999</v>
      </c>
      <c r="R49" s="3">
        <v>1191.3589999999999</v>
      </c>
      <c r="S49" s="3">
        <v>1128.479</v>
      </c>
      <c r="T49" s="3">
        <v>1095.3662825808619</v>
      </c>
      <c r="U49" s="151">
        <v>3790.247167</v>
      </c>
      <c r="V49" s="151">
        <v>3619.5458250000001</v>
      </c>
      <c r="W49" s="151">
        <v>3474.8281360000001</v>
      </c>
      <c r="X49" s="151">
        <v>3594.2190190000001</v>
      </c>
      <c r="Y49" s="151">
        <v>3647.7084410000002</v>
      </c>
      <c r="Z49" s="151">
        <v>3805.0414850000002</v>
      </c>
      <c r="AA49" s="151">
        <v>3672.8458919999998</v>
      </c>
      <c r="AB49" s="151">
        <v>3541.9158539999999</v>
      </c>
      <c r="AC49" s="3">
        <v>3453.0617010000001</v>
      </c>
      <c r="AD49" s="3">
        <v>3150.7947330000002</v>
      </c>
      <c r="AE49" s="3">
        <v>3416.189116</v>
      </c>
      <c r="AF49" s="3">
        <v>3414.882494</v>
      </c>
      <c r="AG49" s="3">
        <v>3432.3906320000001</v>
      </c>
      <c r="AH49" s="3">
        <v>3359.1294280000002</v>
      </c>
      <c r="AI49" s="3">
        <v>3304.8142619999999</v>
      </c>
      <c r="AJ49" s="3">
        <v>3277.9638539999996</v>
      </c>
      <c r="AK49" s="3">
        <v>3532.4517056463201</v>
      </c>
      <c r="AL49" s="3">
        <v>3341.69743059138</v>
      </c>
      <c r="AM49" s="3">
        <v>3341.69743059138</v>
      </c>
      <c r="AN49" s="151">
        <v>1919.2329999999999</v>
      </c>
      <c r="AO49" s="151">
        <v>2038.3109999999999</v>
      </c>
      <c r="AP49" s="151">
        <v>2185.8500000000004</v>
      </c>
      <c r="AQ49" s="151">
        <v>2179.6440000000002</v>
      </c>
      <c r="AR49" s="151">
        <v>2151.2810000000004</v>
      </c>
      <c r="AS49" s="151">
        <v>2076.6610000000001</v>
      </c>
      <c r="AT49" s="151">
        <v>2042.3319999999999</v>
      </c>
      <c r="AU49" s="151">
        <v>1976.1969999999999</v>
      </c>
      <c r="AV49" s="3">
        <v>2012.6480000000001</v>
      </c>
      <c r="AW49" s="3">
        <v>1991.845</v>
      </c>
      <c r="AX49" s="3">
        <v>2090.0619999999999</v>
      </c>
      <c r="AY49" s="3">
        <v>2168.1419999999998</v>
      </c>
      <c r="AZ49" s="3">
        <v>2343.9160000000002</v>
      </c>
      <c r="BA49" s="3">
        <v>2304.1280000000002</v>
      </c>
      <c r="BB49" s="3">
        <v>2372.1669999999999</v>
      </c>
      <c r="BC49" s="3">
        <v>1957.0049999999999</v>
      </c>
      <c r="BD49" s="3">
        <v>2154.962</v>
      </c>
      <c r="BE49" s="3">
        <v>2399.8249999999998</v>
      </c>
      <c r="BF49" s="3">
        <v>2399.8249999999998</v>
      </c>
      <c r="BG49" s="151">
        <v>0</v>
      </c>
      <c r="BH49" s="151">
        <v>0</v>
      </c>
      <c r="BI49" s="151">
        <v>2.6509999999999998</v>
      </c>
      <c r="BJ49" s="151">
        <v>3.5350000000000001</v>
      </c>
      <c r="BK49" s="151">
        <v>7.8360000000000003</v>
      </c>
      <c r="BL49" s="151">
        <v>2.6440000000000001</v>
      </c>
      <c r="BM49" s="151">
        <v>3.94</v>
      </c>
      <c r="BN49" s="151">
        <v>36.94</v>
      </c>
      <c r="BO49" s="3">
        <v>32.734000000000002</v>
      </c>
      <c r="BP49" s="3">
        <v>29.824999999999999</v>
      </c>
      <c r="BQ49" s="3">
        <v>24.286000000000001</v>
      </c>
      <c r="BR49" s="3">
        <v>0.85299999999999998</v>
      </c>
      <c r="BS49" s="3">
        <v>0.59299999999999997</v>
      </c>
      <c r="BT49" s="3">
        <v>27.004000000000001</v>
      </c>
      <c r="BU49" s="3">
        <v>62.582000000000001</v>
      </c>
      <c r="BV49" s="3">
        <v>65.554000000000002</v>
      </c>
      <c r="BW49" s="3">
        <v>91.192999999999998</v>
      </c>
      <c r="BX49" s="3">
        <v>21.001000000000001</v>
      </c>
      <c r="BY49" s="3">
        <v>8.2200874372604336</v>
      </c>
      <c r="BZ49" s="151">
        <v>1919.2329999999999</v>
      </c>
      <c r="CA49" s="151">
        <v>2038.3109999999999</v>
      </c>
      <c r="CB49" s="151">
        <v>2188.5010000000002</v>
      </c>
      <c r="CC49" s="151">
        <v>2183.1790000000001</v>
      </c>
      <c r="CD49" s="151">
        <v>2159.1170000000002</v>
      </c>
      <c r="CE49" s="151">
        <v>2079.3049999999998</v>
      </c>
      <c r="CF49" s="151">
        <v>2046.2719999999999</v>
      </c>
      <c r="CG49" s="151">
        <v>2013.1369999999999</v>
      </c>
      <c r="CH49" s="3">
        <v>2045.3820000000001</v>
      </c>
      <c r="CI49" s="3">
        <v>2021.67</v>
      </c>
      <c r="CJ49" s="3">
        <v>2114.348</v>
      </c>
      <c r="CK49" s="3">
        <v>2168.9949999999999</v>
      </c>
      <c r="CL49" s="3">
        <v>2344.509</v>
      </c>
      <c r="CM49" s="3">
        <v>2331.1320000000001</v>
      </c>
      <c r="CN49" s="3">
        <v>2434.7489999999998</v>
      </c>
      <c r="CO49" s="3">
        <v>2022.559</v>
      </c>
      <c r="CP49" s="3">
        <v>2246.1550000000002</v>
      </c>
      <c r="CQ49" s="3">
        <v>2420.826</v>
      </c>
      <c r="CR49" s="3">
        <v>2408.0450874372605</v>
      </c>
      <c r="CS49" s="151">
        <v>7245.477167</v>
      </c>
      <c r="CT49" s="151">
        <v>7258.1638249999996</v>
      </c>
      <c r="CU49" s="151">
        <v>7286.6611360000006</v>
      </c>
      <c r="CV49" s="151">
        <v>7405.8730190000006</v>
      </c>
      <c r="CW49" s="151">
        <v>7178.1104410000007</v>
      </c>
      <c r="CX49" s="151">
        <v>7213.4724850000002</v>
      </c>
      <c r="CY49" s="151">
        <v>6965.2288919999992</v>
      </c>
      <c r="CZ49" s="151">
        <v>6654.2548539999998</v>
      </c>
      <c r="DA49" s="3">
        <v>6573.5847009999998</v>
      </c>
      <c r="DB49" s="3">
        <v>6238.8977329999998</v>
      </c>
      <c r="DC49" s="3">
        <v>6586.678116</v>
      </c>
      <c r="DD49" s="3">
        <v>6641.304494</v>
      </c>
      <c r="DE49" s="3">
        <v>6925.017632</v>
      </c>
      <c r="DF49" s="3">
        <v>6852.1144280000008</v>
      </c>
      <c r="DG49" s="3">
        <v>6911.9972619999999</v>
      </c>
      <c r="DH49" s="3">
        <v>6471.7948539999998</v>
      </c>
      <c r="DI49" s="3">
        <v>6969.9657056463202</v>
      </c>
      <c r="DJ49" s="3">
        <v>6891.0024305913803</v>
      </c>
      <c r="DK49" s="3">
        <v>6845.1088006095024</v>
      </c>
      <c r="DL49" s="151">
        <v>7496.2394692212611</v>
      </c>
      <c r="DM49" s="151">
        <v>7509.3652060416398</v>
      </c>
      <c r="DN49" s="151">
        <v>7538.8487945701963</v>
      </c>
      <c r="DO49" s="151">
        <v>7662.1865405802082</v>
      </c>
      <c r="DP49" s="151">
        <v>7426.5412148877231</v>
      </c>
      <c r="DQ49" s="151">
        <v>7463.1271213553418</v>
      </c>
      <c r="DR49" s="151">
        <v>7206.2919430866887</v>
      </c>
      <c r="DS49" s="151">
        <v>6884.5552508263054</v>
      </c>
      <c r="DT49" s="3">
        <v>6801.093144609069</v>
      </c>
      <c r="DU49" s="3">
        <v>6454.8228298280756</v>
      </c>
      <c r="DV49" s="3">
        <v>6814.6397160836068</v>
      </c>
      <c r="DW49" s="3">
        <v>6871.1566854130051</v>
      </c>
      <c r="DX49" s="3">
        <v>7164.6889917045473</v>
      </c>
      <c r="DY49" s="3">
        <v>7089.2626446660734</v>
      </c>
      <c r="DZ49" s="3">
        <v>7151.2179932805366</v>
      </c>
      <c r="EA49" s="3">
        <v>6695.780402458322</v>
      </c>
      <c r="EB49" s="3">
        <v>7211.1926954588889</v>
      </c>
      <c r="EC49" s="3">
        <v>7129.4965413695782</v>
      </c>
      <c r="ED49" s="3">
        <v>7082.0145560528763</v>
      </c>
    </row>
    <row r="50" spans="1:134">
      <c r="A50" t="s">
        <v>88</v>
      </c>
      <c r="B50" s="151">
        <v>3097.9520000000002</v>
      </c>
      <c r="C50" s="151">
        <v>3117.723</v>
      </c>
      <c r="D50" s="151">
        <v>3073.7249999999999</v>
      </c>
      <c r="E50" s="151">
        <v>3081.38</v>
      </c>
      <c r="F50" s="151">
        <v>2424.5700000000002</v>
      </c>
      <c r="G50" s="151">
        <v>2604.7910000000002</v>
      </c>
      <c r="H50" s="151">
        <v>2998.1489999999999</v>
      </c>
      <c r="I50" s="151">
        <v>3182.3919999999998</v>
      </c>
      <c r="J50" s="3">
        <v>3725.701</v>
      </c>
      <c r="K50" s="3">
        <v>3705.0250000000001</v>
      </c>
      <c r="L50" s="3">
        <v>3867.221</v>
      </c>
      <c r="M50" s="3">
        <v>3988.299</v>
      </c>
      <c r="N50" s="3">
        <v>4282.7740000000003</v>
      </c>
      <c r="O50" s="3">
        <v>4453.8779999999997</v>
      </c>
      <c r="P50" s="3">
        <v>4459.6170000000002</v>
      </c>
      <c r="Q50" s="3">
        <v>4421.598</v>
      </c>
      <c r="R50" s="3">
        <v>4729.2860000000001</v>
      </c>
      <c r="S50" s="3">
        <v>4308.4350000000004</v>
      </c>
      <c r="T50" s="3">
        <v>3942.8905631787648</v>
      </c>
      <c r="U50" s="151">
        <v>11346.694</v>
      </c>
      <c r="V50" s="151">
        <v>10757.300999999999</v>
      </c>
      <c r="W50" s="151">
        <v>9729.3919999999998</v>
      </c>
      <c r="X50" s="151">
        <v>9587.2430000000004</v>
      </c>
      <c r="Y50" s="151">
        <v>9932.5439999999999</v>
      </c>
      <c r="Z50" s="151">
        <v>10526.186</v>
      </c>
      <c r="AA50" s="151">
        <v>10449.439</v>
      </c>
      <c r="AB50" s="151">
        <v>9431.4089999999997</v>
      </c>
      <c r="AC50" s="3">
        <v>9236.2630000000008</v>
      </c>
      <c r="AD50" s="3">
        <v>8471.8469999999998</v>
      </c>
      <c r="AE50" s="3">
        <v>9176.6409999999996</v>
      </c>
      <c r="AF50" s="3">
        <v>9302.0580000000009</v>
      </c>
      <c r="AG50" s="3">
        <v>9495.1053155631998</v>
      </c>
      <c r="AH50" s="3">
        <v>9007.3187024935505</v>
      </c>
      <c r="AI50" s="3">
        <v>8792.9170520684092</v>
      </c>
      <c r="AJ50" s="3">
        <v>9030.1403276010296</v>
      </c>
      <c r="AK50" s="3">
        <v>9344.8732208846795</v>
      </c>
      <c r="AL50" s="3">
        <v>8468.5488881245801</v>
      </c>
      <c r="AM50" s="3">
        <v>8468.5488881245801</v>
      </c>
      <c r="AN50" s="151">
        <v>4294.3489999999993</v>
      </c>
      <c r="AO50" s="151">
        <v>4572.7380000000003</v>
      </c>
      <c r="AP50" s="151">
        <v>4612.7420000000002</v>
      </c>
      <c r="AQ50" s="151">
        <v>4606.3029999999999</v>
      </c>
      <c r="AR50" s="151">
        <v>4542.1729999999998</v>
      </c>
      <c r="AS50" s="151">
        <v>4144.3229999999994</v>
      </c>
      <c r="AT50" s="151">
        <v>3886.2380000000003</v>
      </c>
      <c r="AU50" s="151">
        <v>3704.9269999999997</v>
      </c>
      <c r="AV50" s="3">
        <v>3485.6769999999997</v>
      </c>
      <c r="AW50" s="3">
        <v>3855.58</v>
      </c>
      <c r="AX50" s="3">
        <v>4180.8419999999996</v>
      </c>
      <c r="AY50" s="3">
        <v>4266.7249999999995</v>
      </c>
      <c r="AZ50" s="3">
        <v>4556.0460000000003</v>
      </c>
      <c r="BA50" s="3">
        <v>4873.2619999999997</v>
      </c>
      <c r="BB50" s="3">
        <v>5147.3450000000003</v>
      </c>
      <c r="BC50" s="3">
        <v>4281.817</v>
      </c>
      <c r="BD50" s="3">
        <v>4735.7669999999998</v>
      </c>
      <c r="BE50" s="3">
        <v>5232.0079999999998</v>
      </c>
      <c r="BF50" s="3">
        <v>4921.9597931134031</v>
      </c>
      <c r="BG50" s="151">
        <v>2.56</v>
      </c>
      <c r="BH50" s="151">
        <v>10.882</v>
      </c>
      <c r="BI50" s="151">
        <v>28.652000000000001</v>
      </c>
      <c r="BJ50" s="151">
        <v>164.608</v>
      </c>
      <c r="BK50" s="151">
        <v>169.08600000000001</v>
      </c>
      <c r="BL50" s="151">
        <v>174.773</v>
      </c>
      <c r="BM50" s="151">
        <v>159.43199999999999</v>
      </c>
      <c r="BN50" s="151">
        <v>153.82900000000001</v>
      </c>
      <c r="BO50" s="3">
        <v>136.82</v>
      </c>
      <c r="BP50" s="3">
        <v>188.43700000000001</v>
      </c>
      <c r="BQ50" s="3">
        <v>175.12700000000001</v>
      </c>
      <c r="BR50" s="3">
        <v>187.14500000000001</v>
      </c>
      <c r="BS50" s="3">
        <v>164.233</v>
      </c>
      <c r="BT50" s="3">
        <v>193.238</v>
      </c>
      <c r="BU50" s="3">
        <v>202.48599999999999</v>
      </c>
      <c r="BV50" s="3">
        <v>279.12</v>
      </c>
      <c r="BW50" s="3">
        <v>284.98399999999998</v>
      </c>
      <c r="BX50" s="3">
        <v>304.28300000000002</v>
      </c>
      <c r="BY50" s="3">
        <v>344.19860000000335</v>
      </c>
      <c r="BZ50" s="151">
        <v>4296.9089999999997</v>
      </c>
      <c r="CA50" s="151">
        <v>4583.62</v>
      </c>
      <c r="CB50" s="151">
        <v>4641.3940000000002</v>
      </c>
      <c r="CC50" s="151">
        <v>4770.9110000000001</v>
      </c>
      <c r="CD50" s="151">
        <v>4711.259</v>
      </c>
      <c r="CE50" s="151">
        <v>4319.0959999999995</v>
      </c>
      <c r="CF50" s="151">
        <v>4045.67</v>
      </c>
      <c r="CG50" s="151">
        <v>3858.7559999999999</v>
      </c>
      <c r="CH50" s="3">
        <v>3622.4969999999998</v>
      </c>
      <c r="CI50" s="3">
        <v>4044.0169999999998</v>
      </c>
      <c r="CJ50" s="3">
        <v>4355.9690000000001</v>
      </c>
      <c r="CK50" s="3">
        <v>4453.87</v>
      </c>
      <c r="CL50" s="3">
        <v>4720.2790000000005</v>
      </c>
      <c r="CM50" s="3">
        <v>5066.5</v>
      </c>
      <c r="CN50" s="3">
        <v>5349.8310000000001</v>
      </c>
      <c r="CO50" s="3">
        <v>4560.9369999999999</v>
      </c>
      <c r="CP50" s="3">
        <v>5020.7510000000002</v>
      </c>
      <c r="CQ50" s="3">
        <v>5536.2910000000002</v>
      </c>
      <c r="CR50" s="3">
        <v>5266.1583931134064</v>
      </c>
      <c r="CS50" s="151">
        <v>18741.555</v>
      </c>
      <c r="CT50" s="151">
        <v>18458.644</v>
      </c>
      <c r="CU50" s="151">
        <v>17444.510999999999</v>
      </c>
      <c r="CV50" s="151">
        <v>17439.534</v>
      </c>
      <c r="CW50" s="151">
        <v>17068.373</v>
      </c>
      <c r="CX50" s="151">
        <v>17450.073</v>
      </c>
      <c r="CY50" s="151">
        <v>17493.258000000002</v>
      </c>
      <c r="CZ50" s="151">
        <v>16472.557000000001</v>
      </c>
      <c r="DA50" s="3">
        <v>16584.461000000003</v>
      </c>
      <c r="DB50" s="3">
        <v>16220.888999999999</v>
      </c>
      <c r="DC50" s="3">
        <v>17399.830999999998</v>
      </c>
      <c r="DD50" s="3">
        <v>17744.226999999999</v>
      </c>
      <c r="DE50" s="3">
        <v>18498.1583155632</v>
      </c>
      <c r="DF50" s="3">
        <v>18527.696702493551</v>
      </c>
      <c r="DG50" s="3">
        <v>18602.36505206841</v>
      </c>
      <c r="DH50" s="3">
        <v>18012.675327601028</v>
      </c>
      <c r="DI50" s="3">
        <v>19094.910220884682</v>
      </c>
      <c r="DJ50" s="3">
        <v>18313.274888124579</v>
      </c>
      <c r="DK50" s="3">
        <v>17677.597844416752</v>
      </c>
      <c r="DL50" s="151">
        <v>19210.628946664794</v>
      </c>
      <c r="DM50" s="151">
        <v>18920.637094551676</v>
      </c>
      <c r="DN50" s="151">
        <v>17881.121816039937</v>
      </c>
      <c r="DO50" s="151">
        <v>17876.020248946515</v>
      </c>
      <c r="DP50" s="151">
        <v>17495.56962729463</v>
      </c>
      <c r="DQ50" s="151">
        <v>17886.823024835117</v>
      </c>
      <c r="DR50" s="151">
        <v>17931.08888276749</v>
      </c>
      <c r="DS50" s="151">
        <v>16884.84121673926</v>
      </c>
      <c r="DT50" s="3">
        <v>16999.546011600072</v>
      </c>
      <c r="DU50" s="3">
        <v>16626.874331614239</v>
      </c>
      <c r="DV50" s="3">
        <v>17835.323540425296</v>
      </c>
      <c r="DW50" s="3">
        <v>18188.339272936049</v>
      </c>
      <c r="DX50" s="3">
        <v>18961.140396138231</v>
      </c>
      <c r="DY50" s="3">
        <v>18991.418086063211</v>
      </c>
      <c r="DZ50" s="3">
        <v>19067.955276159897</v>
      </c>
      <c r="EA50" s="3">
        <v>18463.506472930716</v>
      </c>
      <c r="EB50" s="3">
        <v>19572.828136368229</v>
      </c>
      <c r="EC50" s="3">
        <v>18771.629604589132</v>
      </c>
      <c r="ED50" s="3">
        <v>18120.042486199869</v>
      </c>
    </row>
    <row r="51" spans="1:134">
      <c r="A51" t="s">
        <v>133</v>
      </c>
      <c r="B51" s="151">
        <v>2471.5929999999998</v>
      </c>
      <c r="C51" s="151">
        <v>2488.308</v>
      </c>
      <c r="D51" s="151">
        <v>2310.7959999999998</v>
      </c>
      <c r="E51" s="151">
        <v>2230.9490000000001</v>
      </c>
      <c r="F51" s="151">
        <v>1841.221</v>
      </c>
      <c r="G51" s="151">
        <v>1900.3589999999999</v>
      </c>
      <c r="H51" s="151">
        <v>1729.117</v>
      </c>
      <c r="I51" s="151">
        <v>1763.97</v>
      </c>
      <c r="J51" s="3">
        <v>1842.499</v>
      </c>
      <c r="K51" s="3">
        <v>1993.9929999999999</v>
      </c>
      <c r="L51" s="3">
        <v>1994.355</v>
      </c>
      <c r="M51" s="3">
        <v>2059.8290000000002</v>
      </c>
      <c r="N51" s="3">
        <v>2125.1619999999998</v>
      </c>
      <c r="O51" s="3">
        <v>2179.5349999999999</v>
      </c>
      <c r="P51" s="3">
        <v>2167.5859999999998</v>
      </c>
      <c r="Q51" s="3">
        <v>2172.9789999999998</v>
      </c>
      <c r="R51" s="3">
        <v>2245.9140000000002</v>
      </c>
      <c r="S51" s="3">
        <v>2138.4839999999999</v>
      </c>
      <c r="T51" s="3">
        <v>1992.4856314172121</v>
      </c>
      <c r="U51" s="151">
        <v>5055.0903117416601</v>
      </c>
      <c r="V51" s="151">
        <v>5135.7125925289001</v>
      </c>
      <c r="W51" s="151">
        <v>5092.8635809687603</v>
      </c>
      <c r="X51" s="151">
        <v>5488.7758644310697</v>
      </c>
      <c r="Y51" s="151">
        <v>5216.9802634947901</v>
      </c>
      <c r="Z51" s="151">
        <v>5363.8051354733898</v>
      </c>
      <c r="AA51" s="151">
        <v>4910.9379111493299</v>
      </c>
      <c r="AB51" s="151">
        <v>4766.0170670679299</v>
      </c>
      <c r="AC51" s="3">
        <v>4698.4748239228002</v>
      </c>
      <c r="AD51" s="3">
        <v>4334.8799347472996</v>
      </c>
      <c r="AE51" s="3">
        <v>4605.1667646890201</v>
      </c>
      <c r="AF51" s="3">
        <v>4731.4050703162302</v>
      </c>
      <c r="AG51" s="3">
        <v>4655.7104391898301</v>
      </c>
      <c r="AH51" s="3">
        <v>5016.3836678131302</v>
      </c>
      <c r="AI51" s="3">
        <v>4973.4488143689696</v>
      </c>
      <c r="AJ51" s="3">
        <v>5128.8880952517402</v>
      </c>
      <c r="AK51" s="3">
        <v>5023.7963593197701</v>
      </c>
      <c r="AL51" s="3">
        <v>4835.6982718066301</v>
      </c>
      <c r="AM51" s="3">
        <v>4688.0190363217635</v>
      </c>
      <c r="AN51" s="151">
        <v>5087.1210000000001</v>
      </c>
      <c r="AO51" s="151">
        <v>5509.2150000000001</v>
      </c>
      <c r="AP51" s="151">
        <v>5776.317</v>
      </c>
      <c r="AQ51" s="151">
        <v>5437.5619999999999</v>
      </c>
      <c r="AR51" s="151">
        <v>4653.5610000000006</v>
      </c>
      <c r="AS51" s="151">
        <v>4555.777</v>
      </c>
      <c r="AT51" s="151">
        <v>4307.433</v>
      </c>
      <c r="AU51" s="151">
        <v>4122.1009999999997</v>
      </c>
      <c r="AV51" s="3">
        <v>4227.1490000000003</v>
      </c>
      <c r="AW51" s="3">
        <v>4464.8970000000008</v>
      </c>
      <c r="AX51" s="3">
        <v>4602.2659999999996</v>
      </c>
      <c r="AY51" s="3">
        <v>4851.5389999999998</v>
      </c>
      <c r="AZ51" s="3">
        <v>4907.5159999999996</v>
      </c>
      <c r="BA51" s="3">
        <v>5040.8149999999996</v>
      </c>
      <c r="BB51" s="3">
        <v>5046.8059999999996</v>
      </c>
      <c r="BC51" s="3">
        <v>3706.3070000000002</v>
      </c>
      <c r="BD51" s="3">
        <v>3974.4629999999997</v>
      </c>
      <c r="BE51" s="3">
        <v>4764.6130000000003</v>
      </c>
      <c r="BF51" s="3">
        <v>4793.3086677032898</v>
      </c>
      <c r="BG51" s="151">
        <v>1.0880000000000001</v>
      </c>
      <c r="BH51" s="151">
        <v>2.6739999999999999</v>
      </c>
      <c r="BI51" s="151">
        <v>21.565000000000001</v>
      </c>
      <c r="BJ51" s="151">
        <v>55.853999999999999</v>
      </c>
      <c r="BK51" s="151">
        <v>77.459000000000003</v>
      </c>
      <c r="BL51" s="151">
        <v>92.652000000000001</v>
      </c>
      <c r="BM51" s="151">
        <v>91.988</v>
      </c>
      <c r="BN51" s="151">
        <v>84.947999999999993</v>
      </c>
      <c r="BO51" s="3">
        <v>101.44199999999999</v>
      </c>
      <c r="BP51" s="3">
        <v>114.413</v>
      </c>
      <c r="BQ51" s="3">
        <v>122.46599999999999</v>
      </c>
      <c r="BR51" s="3">
        <v>112.536</v>
      </c>
      <c r="BS51" s="3">
        <v>160.714</v>
      </c>
      <c r="BT51" s="3">
        <v>154.31</v>
      </c>
      <c r="BU51" s="3">
        <v>188.17400000000001</v>
      </c>
      <c r="BV51" s="3">
        <v>174.57499999999999</v>
      </c>
      <c r="BW51" s="3">
        <v>178.42400000000001</v>
      </c>
      <c r="BX51" s="3">
        <v>223.84700000000001</v>
      </c>
      <c r="BY51" s="3">
        <v>301.04431136750065</v>
      </c>
      <c r="BZ51" s="151">
        <v>5088.2089999999998</v>
      </c>
      <c r="CA51" s="151">
        <v>5511.8890000000001</v>
      </c>
      <c r="CB51" s="151">
        <v>5797.8819999999996</v>
      </c>
      <c r="CC51" s="151">
        <v>5493.4160000000002</v>
      </c>
      <c r="CD51" s="151">
        <v>4731.0200000000004</v>
      </c>
      <c r="CE51" s="151">
        <v>4648.4290000000001</v>
      </c>
      <c r="CF51" s="151">
        <v>4399.4210000000003</v>
      </c>
      <c r="CG51" s="151">
        <v>4207.049</v>
      </c>
      <c r="CH51" s="3">
        <v>4328.5910000000003</v>
      </c>
      <c r="CI51" s="3">
        <v>4579.3100000000004</v>
      </c>
      <c r="CJ51" s="3">
        <v>4724.732</v>
      </c>
      <c r="CK51" s="3">
        <v>4964.0749999999998</v>
      </c>
      <c r="CL51" s="3">
        <v>5068.2299999999996</v>
      </c>
      <c r="CM51" s="3">
        <v>5195.125</v>
      </c>
      <c r="CN51" s="3">
        <v>5234.9799999999996</v>
      </c>
      <c r="CO51" s="3">
        <v>3880.8820000000001</v>
      </c>
      <c r="CP51" s="3">
        <v>4152.8869999999997</v>
      </c>
      <c r="CQ51" s="3">
        <v>4988.46</v>
      </c>
      <c r="CR51" s="3">
        <v>5094.3529790707908</v>
      </c>
      <c r="CS51" s="151">
        <v>12614.89231174166</v>
      </c>
      <c r="CT51" s="151">
        <v>13135.9095925289</v>
      </c>
      <c r="CU51" s="151">
        <v>13201.54158096876</v>
      </c>
      <c r="CV51" s="151">
        <v>13213.140864431069</v>
      </c>
      <c r="CW51" s="151">
        <v>11789.22126349479</v>
      </c>
      <c r="CX51" s="151">
        <v>11912.593135473391</v>
      </c>
      <c r="CY51" s="151">
        <v>11039.475911149329</v>
      </c>
      <c r="CZ51" s="151">
        <v>10737.036067067929</v>
      </c>
      <c r="DA51" s="3">
        <v>10869.564823922799</v>
      </c>
      <c r="DB51" s="3">
        <v>10908.182934747299</v>
      </c>
      <c r="DC51" s="3">
        <v>11324.25376468902</v>
      </c>
      <c r="DD51" s="3">
        <v>11755.309070316231</v>
      </c>
      <c r="DE51" s="3">
        <v>11849.10243918983</v>
      </c>
      <c r="DF51" s="3">
        <v>12391.04366781313</v>
      </c>
      <c r="DG51" s="3">
        <v>12376.014814368969</v>
      </c>
      <c r="DH51" s="3">
        <v>11182.74909525174</v>
      </c>
      <c r="DI51" s="3">
        <v>11422.59735931977</v>
      </c>
      <c r="DJ51" s="3">
        <v>11962.64227180663</v>
      </c>
      <c r="DK51" s="3">
        <v>11774.857646809767</v>
      </c>
      <c r="DL51" s="151">
        <v>12904.057965519494</v>
      </c>
      <c r="DM51" s="151">
        <v>13437.01829733763</v>
      </c>
      <c r="DN51" s="151">
        <v>13504.154739115414</v>
      </c>
      <c r="DO51" s="151">
        <v>13516.01990787447</v>
      </c>
      <c r="DP51" s="151">
        <v>12059.460421304877</v>
      </c>
      <c r="DQ51" s="151">
        <v>12185.660292693768</v>
      </c>
      <c r="DR51" s="151">
        <v>11292.528984479244</v>
      </c>
      <c r="DS51" s="151">
        <v>10983.156444257358</v>
      </c>
      <c r="DT51" s="3">
        <v>11118.723099785737</v>
      </c>
      <c r="DU51" s="3">
        <v>11158.226436658013</v>
      </c>
      <c r="DV51" s="3">
        <v>11583.834676082492</v>
      </c>
      <c r="DW51" s="3">
        <v>12024.770873768533</v>
      </c>
      <c r="DX51" s="3">
        <v>12120.714226974944</v>
      </c>
      <c r="DY51" s="3">
        <v>12675.078137125074</v>
      </c>
      <c r="DZ51" s="3">
        <v>12659.704783852907</v>
      </c>
      <c r="EA51" s="3">
        <v>11439.086357057147</v>
      </c>
      <c r="EB51" s="3">
        <v>11684.432557879038</v>
      </c>
      <c r="EC51" s="3">
        <v>12236.856683468121</v>
      </c>
      <c r="ED51" s="3">
        <v>12044.767553722842</v>
      </c>
    </row>
    <row r="52" spans="1:134">
      <c r="A52" t="s">
        <v>157</v>
      </c>
      <c r="B52" s="151">
        <v>37211.521000000001</v>
      </c>
      <c r="C52" s="151">
        <v>36144.576999999997</v>
      </c>
      <c r="D52" s="151">
        <v>35907.652000000002</v>
      </c>
      <c r="E52" s="151">
        <v>34528.294999999998</v>
      </c>
      <c r="F52" s="151">
        <v>28552.886999999999</v>
      </c>
      <c r="G52" s="151">
        <v>29014.718000000001</v>
      </c>
      <c r="H52" s="151">
        <v>27744.858</v>
      </c>
      <c r="I52" s="151">
        <v>26948.704000000002</v>
      </c>
      <c r="J52" s="3">
        <v>25353.587</v>
      </c>
      <c r="K52" s="3">
        <v>24739.084999999999</v>
      </c>
      <c r="L52" s="3">
        <v>24853.371999999999</v>
      </c>
      <c r="M52" s="3">
        <v>25088.949000000001</v>
      </c>
      <c r="N52" s="3">
        <v>24925.749</v>
      </c>
      <c r="O52" s="3">
        <v>24663.853999999999</v>
      </c>
      <c r="P52" s="3">
        <v>24928.486000000001</v>
      </c>
      <c r="Q52" s="3">
        <v>23861.102999999999</v>
      </c>
      <c r="R52" s="3">
        <v>28632.287</v>
      </c>
      <c r="S52" s="3">
        <v>24753.782999999999</v>
      </c>
      <c r="T52" s="3">
        <v>24531.127103506784</v>
      </c>
      <c r="U52" s="151">
        <v>55168.425999999999</v>
      </c>
      <c r="V52" s="151">
        <v>54086.652999999998</v>
      </c>
      <c r="W52" s="151">
        <v>52989.716999999997</v>
      </c>
      <c r="X52" s="151">
        <v>55750.659</v>
      </c>
      <c r="Y52" s="151">
        <v>55492.392</v>
      </c>
      <c r="Z52" s="151">
        <v>57757.504000000001</v>
      </c>
      <c r="AA52" s="151">
        <v>53617.983</v>
      </c>
      <c r="AB52" s="151">
        <v>55418.411</v>
      </c>
      <c r="AC52" s="3">
        <v>54498.171999999999</v>
      </c>
      <c r="AD52" s="3">
        <v>48485.313000000002</v>
      </c>
      <c r="AE52" s="3">
        <v>51830.267</v>
      </c>
      <c r="AF52" s="3">
        <v>51721.002999999997</v>
      </c>
      <c r="AG52" s="3">
        <v>52315.185571223803</v>
      </c>
      <c r="AH52" s="3">
        <v>52247.398033629499</v>
      </c>
      <c r="AI52" s="3">
        <v>50597.3405051113</v>
      </c>
      <c r="AJ52" s="3">
        <v>48405.567769465903</v>
      </c>
      <c r="AK52" s="3">
        <v>49214.401980796698</v>
      </c>
      <c r="AL52" s="3">
        <v>47843.995672112302</v>
      </c>
      <c r="AM52" s="3">
        <v>46604.817818018608</v>
      </c>
      <c r="AN52" s="151">
        <v>44659.038</v>
      </c>
      <c r="AO52" s="151">
        <v>45269.148999999998</v>
      </c>
      <c r="AP52" s="151">
        <v>45586.983</v>
      </c>
      <c r="AQ52" s="151">
        <v>43271.205000000002</v>
      </c>
      <c r="AR52" s="151">
        <v>40983.756000000001</v>
      </c>
      <c r="AS52" s="151">
        <v>40314.247000000003</v>
      </c>
      <c r="AT52" s="151">
        <v>40420.640999999996</v>
      </c>
      <c r="AU52" s="151">
        <v>38081.404000000002</v>
      </c>
      <c r="AV52" s="3">
        <v>37449.921000000002</v>
      </c>
      <c r="AW52" s="3">
        <v>39020.151000000005</v>
      </c>
      <c r="AX52" s="3">
        <v>38374.126000000004</v>
      </c>
      <c r="AY52" s="3">
        <v>38069.361000000004</v>
      </c>
      <c r="AZ52" s="3">
        <v>36882.812999999995</v>
      </c>
      <c r="BA52" s="3">
        <v>38164.629999999997</v>
      </c>
      <c r="BB52" s="3">
        <v>38553.595999999998</v>
      </c>
      <c r="BC52" s="3">
        <v>29206.651999999998</v>
      </c>
      <c r="BD52" s="3">
        <v>35084.943999999996</v>
      </c>
      <c r="BE52" s="3">
        <v>37956.072999999997</v>
      </c>
      <c r="BF52" s="3">
        <v>37664.440349496501</v>
      </c>
      <c r="BG52" s="151">
        <v>176.74600000000001</v>
      </c>
      <c r="BH52" s="151">
        <v>159.071</v>
      </c>
      <c r="BI52" s="151">
        <v>139.62899999999999</v>
      </c>
      <c r="BJ52" s="151">
        <v>728.88599999999997</v>
      </c>
      <c r="BK52" s="151">
        <v>1144.502</v>
      </c>
      <c r="BL52" s="151">
        <v>1419.424</v>
      </c>
      <c r="BM52" s="151">
        <v>1401.002</v>
      </c>
      <c r="BN52" s="151">
        <v>1367.9559999999999</v>
      </c>
      <c r="BO52" s="3">
        <v>1252.354</v>
      </c>
      <c r="BP52" s="3">
        <v>1065.1980000000001</v>
      </c>
      <c r="BQ52" s="3">
        <v>1166.604</v>
      </c>
      <c r="BR52" s="3">
        <v>1040.903</v>
      </c>
      <c r="BS52" s="3">
        <v>1061.7660000000001</v>
      </c>
      <c r="BT52" s="3">
        <v>1249.712</v>
      </c>
      <c r="BU52" s="3">
        <v>1276.1189999999999</v>
      </c>
      <c r="BV52" s="3">
        <v>1264.7380000000001</v>
      </c>
      <c r="BW52" s="3">
        <v>1415.5060000000001</v>
      </c>
      <c r="BX52" s="3">
        <v>1389.097</v>
      </c>
      <c r="BY52" s="3">
        <v>1720.2058079163376</v>
      </c>
      <c r="BZ52" s="151">
        <v>44835.784</v>
      </c>
      <c r="CA52" s="151">
        <v>45428.22</v>
      </c>
      <c r="CB52" s="151">
        <v>45726.612000000001</v>
      </c>
      <c r="CC52" s="151">
        <v>44000.091</v>
      </c>
      <c r="CD52" s="151">
        <v>42128.258000000002</v>
      </c>
      <c r="CE52" s="151">
        <v>41733.671000000002</v>
      </c>
      <c r="CF52" s="151">
        <v>41821.642999999996</v>
      </c>
      <c r="CG52" s="151">
        <v>39449.360000000001</v>
      </c>
      <c r="CH52" s="3">
        <v>38702.275000000001</v>
      </c>
      <c r="CI52" s="3">
        <v>40085.349000000002</v>
      </c>
      <c r="CJ52" s="3">
        <v>39540.730000000003</v>
      </c>
      <c r="CK52" s="3">
        <v>39110.264000000003</v>
      </c>
      <c r="CL52" s="3">
        <v>37944.578999999998</v>
      </c>
      <c r="CM52" s="3">
        <v>39414.341999999997</v>
      </c>
      <c r="CN52" s="3">
        <v>39829.714999999997</v>
      </c>
      <c r="CO52" s="3">
        <v>30471.39</v>
      </c>
      <c r="CP52" s="3">
        <v>36500.449999999997</v>
      </c>
      <c r="CQ52" s="3">
        <v>39345.17</v>
      </c>
      <c r="CR52" s="3">
        <v>39384.646157412841</v>
      </c>
      <c r="CS52" s="151">
        <v>137215.731</v>
      </c>
      <c r="CT52" s="151">
        <v>135659.44999999998</v>
      </c>
      <c r="CU52" s="151">
        <v>134623.981</v>
      </c>
      <c r="CV52" s="151">
        <v>134279.04499999998</v>
      </c>
      <c r="CW52" s="151">
        <v>126173.53700000001</v>
      </c>
      <c r="CX52" s="151">
        <v>128505.893</v>
      </c>
      <c r="CY52" s="151">
        <v>123184.484</v>
      </c>
      <c r="CZ52" s="151">
        <v>121816.47500000001</v>
      </c>
      <c r="DA52" s="3">
        <v>118554.034</v>
      </c>
      <c r="DB52" s="3">
        <v>113309.747</v>
      </c>
      <c r="DC52" s="3">
        <v>116224.36900000001</v>
      </c>
      <c r="DD52" s="3">
        <v>115920.216</v>
      </c>
      <c r="DE52" s="3">
        <v>115185.5135712238</v>
      </c>
      <c r="DF52" s="3">
        <v>116325.59403362949</v>
      </c>
      <c r="DG52" s="3">
        <v>115355.54150511129</v>
      </c>
      <c r="DH52" s="3">
        <v>102738.0607694659</v>
      </c>
      <c r="DI52" s="3">
        <v>114347.13898079669</v>
      </c>
      <c r="DJ52" s="3">
        <v>111942.9486721123</v>
      </c>
      <c r="DK52" s="3">
        <v>110520.59107893823</v>
      </c>
      <c r="DL52" s="151">
        <v>140596.69982910244</v>
      </c>
      <c r="DM52" s="151">
        <v>139002.07236902835</v>
      </c>
      <c r="DN52" s="151">
        <v>137941.08961497855</v>
      </c>
      <c r="DO52" s="151">
        <v>137587.65445926558</v>
      </c>
      <c r="DP52" s="151">
        <v>129282.42832423603</v>
      </c>
      <c r="DQ52" s="151">
        <v>131672.25312083025</v>
      </c>
      <c r="DR52" s="151">
        <v>126219.72564174053</v>
      </c>
      <c r="DS52" s="151">
        <v>124818.00916699822</v>
      </c>
      <c r="DT52" s="3">
        <v>121475.18225754454</v>
      </c>
      <c r="DU52" s="3">
        <v>116101.6770494816</v>
      </c>
      <c r="DV52" s="3">
        <v>119088.11476666505</v>
      </c>
      <c r="DW52" s="3">
        <v>118776.46749611177</v>
      </c>
      <c r="DX52" s="3">
        <v>118023.66214289494</v>
      </c>
      <c r="DY52" s="3">
        <v>119191.83396536534</v>
      </c>
      <c r="DZ52" s="3">
        <v>118197.87953188618</v>
      </c>
      <c r="EA52" s="3">
        <v>105269.50653368367</v>
      </c>
      <c r="EB52" s="3">
        <v>117164.63016619961</v>
      </c>
      <c r="EC52" s="3">
        <v>114701.2010775761</v>
      </c>
      <c r="ED52" s="3">
        <v>113243.79687093206</v>
      </c>
    </row>
    <row r="53" spans="1:134">
      <c r="A53" t="s">
        <v>137</v>
      </c>
      <c r="B53" s="151">
        <v>1057.5909999999999</v>
      </c>
      <c r="C53" s="151">
        <v>1088.0409999999999</v>
      </c>
      <c r="D53" s="151">
        <v>1116.5360000000001</v>
      </c>
      <c r="E53" s="151">
        <v>1010.085</v>
      </c>
      <c r="F53" s="151">
        <v>872.14099999999996</v>
      </c>
      <c r="G53" s="151">
        <v>949.62900000000002</v>
      </c>
      <c r="H53" s="151">
        <v>1013.346</v>
      </c>
      <c r="I53" s="151">
        <v>1071.759</v>
      </c>
      <c r="J53" s="3">
        <v>1037.327</v>
      </c>
      <c r="K53" s="3">
        <v>1033.722</v>
      </c>
      <c r="L53" s="3">
        <v>982.755</v>
      </c>
      <c r="M53" s="3">
        <v>988.96900000000005</v>
      </c>
      <c r="N53" s="3">
        <v>1070.9269999999999</v>
      </c>
      <c r="O53" s="3">
        <v>1106.588</v>
      </c>
      <c r="P53" s="3">
        <v>1113.7629999999999</v>
      </c>
      <c r="Q53" s="3">
        <v>1024.3399999999999</v>
      </c>
      <c r="R53" s="3">
        <v>1109.164</v>
      </c>
      <c r="S53" s="3">
        <v>953.87199999999996</v>
      </c>
      <c r="T53" s="3">
        <v>905.07502899967415</v>
      </c>
      <c r="U53" s="151">
        <v>2178.3809999999999</v>
      </c>
      <c r="V53" s="151">
        <v>2294.5070000000001</v>
      </c>
      <c r="W53" s="151">
        <v>2258.326</v>
      </c>
      <c r="X53" s="151">
        <v>2276.1019999999999</v>
      </c>
      <c r="Y53" s="151">
        <v>2268.4639999999999</v>
      </c>
      <c r="Z53" s="151">
        <v>2310.576</v>
      </c>
      <c r="AA53" s="151">
        <v>2231.2559999999999</v>
      </c>
      <c r="AB53" s="151">
        <v>2258.7860000000001</v>
      </c>
      <c r="AC53" s="3">
        <v>2172.9110000000001</v>
      </c>
      <c r="AD53" s="3">
        <v>2104.1909999999998</v>
      </c>
      <c r="AE53" s="3">
        <v>2046.569</v>
      </c>
      <c r="AF53" s="3">
        <v>2149.7330000000002</v>
      </c>
      <c r="AG53" s="3">
        <v>2208.13</v>
      </c>
      <c r="AH53" s="3">
        <v>2254.0411801853402</v>
      </c>
      <c r="AI53" s="3">
        <v>2169.8871815228799</v>
      </c>
      <c r="AJ53" s="3">
        <v>2103.2726478456102</v>
      </c>
      <c r="AK53" s="3">
        <v>2344.8252990350602</v>
      </c>
      <c r="AL53" s="3">
        <v>2235.1950135664501</v>
      </c>
      <c r="AM53" s="3">
        <v>2187.0247629860269</v>
      </c>
      <c r="AN53" s="151">
        <v>1429.5739999999998</v>
      </c>
      <c r="AO53" s="151">
        <v>1527.008</v>
      </c>
      <c r="AP53" s="151">
        <v>1784.06</v>
      </c>
      <c r="AQ53" s="151">
        <v>1782.915</v>
      </c>
      <c r="AR53" s="151">
        <v>1450.1390000000001</v>
      </c>
      <c r="AS53" s="151">
        <v>1500.7199999999998</v>
      </c>
      <c r="AT53" s="151">
        <v>1494.2860000000001</v>
      </c>
      <c r="AU53" s="151">
        <v>1510.7820000000002</v>
      </c>
      <c r="AV53" s="3">
        <v>1514.461</v>
      </c>
      <c r="AW53" s="3">
        <v>1676.6909999999998</v>
      </c>
      <c r="AX53" s="3">
        <v>1763.7760000000001</v>
      </c>
      <c r="AY53" s="3">
        <v>1903.6510000000001</v>
      </c>
      <c r="AZ53" s="3">
        <v>1994.1780000000001</v>
      </c>
      <c r="BA53" s="3">
        <v>2129.694</v>
      </c>
      <c r="BB53" s="3">
        <v>2198.86</v>
      </c>
      <c r="BC53" s="3">
        <v>2077.752</v>
      </c>
      <c r="BD53" s="3">
        <v>2079.9900000000002</v>
      </c>
      <c r="BE53" s="3">
        <v>2085.4090000000001</v>
      </c>
      <c r="BF53" s="3">
        <v>2135.6754094792614</v>
      </c>
      <c r="BG53" s="151">
        <v>3.2959999999999998</v>
      </c>
      <c r="BH53" s="151">
        <v>19.298999999999999</v>
      </c>
      <c r="BI53" s="151">
        <v>53.143000000000001</v>
      </c>
      <c r="BJ53" s="151">
        <v>61.430999999999997</v>
      </c>
      <c r="BK53" s="151">
        <v>51.542999999999999</v>
      </c>
      <c r="BL53" s="151">
        <v>44.783999999999999</v>
      </c>
      <c r="BM53" s="151">
        <v>45.021999999999998</v>
      </c>
      <c r="BN53" s="151">
        <v>60.524000000000001</v>
      </c>
      <c r="BO53" s="3">
        <v>57.704999999999998</v>
      </c>
      <c r="BP53" s="3">
        <v>63.246000000000002</v>
      </c>
      <c r="BQ53" s="3">
        <v>67.998999999999995</v>
      </c>
      <c r="BR53" s="3">
        <v>56.820999999999998</v>
      </c>
      <c r="BS53" s="3">
        <v>71.706000000000003</v>
      </c>
      <c r="BT53" s="3">
        <v>77.811000000000007</v>
      </c>
      <c r="BU53" s="3">
        <v>75.134</v>
      </c>
      <c r="BV53" s="3">
        <v>102.871</v>
      </c>
      <c r="BW53" s="3">
        <v>126.79900000000001</v>
      </c>
      <c r="BX53" s="3">
        <v>119.70699999999999</v>
      </c>
      <c r="BY53" s="3">
        <v>141.10150000000067</v>
      </c>
      <c r="BZ53" s="151">
        <v>1432.87</v>
      </c>
      <c r="CA53" s="151">
        <v>1546.307</v>
      </c>
      <c r="CB53" s="151">
        <v>1837.203</v>
      </c>
      <c r="CC53" s="151">
        <v>1844.346</v>
      </c>
      <c r="CD53" s="151">
        <v>1501.682</v>
      </c>
      <c r="CE53" s="151">
        <v>1545.5039999999999</v>
      </c>
      <c r="CF53" s="151">
        <v>1539.308</v>
      </c>
      <c r="CG53" s="151">
        <v>1571.306</v>
      </c>
      <c r="CH53" s="3">
        <v>1572.1659999999999</v>
      </c>
      <c r="CI53" s="3">
        <v>1739.9369999999999</v>
      </c>
      <c r="CJ53" s="3">
        <v>1831.7750000000001</v>
      </c>
      <c r="CK53" s="3">
        <v>1960.472</v>
      </c>
      <c r="CL53" s="3">
        <v>2065.884</v>
      </c>
      <c r="CM53" s="3">
        <v>2207.5050000000001</v>
      </c>
      <c r="CN53" s="3">
        <v>2273.9940000000001</v>
      </c>
      <c r="CO53" s="3">
        <v>2180.623</v>
      </c>
      <c r="CP53" s="3">
        <v>2206.7890000000002</v>
      </c>
      <c r="CQ53" s="3">
        <v>2205.116</v>
      </c>
      <c r="CR53" s="3">
        <v>2276.776909479262</v>
      </c>
      <c r="CS53" s="151">
        <v>4668.8419999999996</v>
      </c>
      <c r="CT53" s="151">
        <v>4928.8549999999996</v>
      </c>
      <c r="CU53" s="151">
        <v>5212.0650000000005</v>
      </c>
      <c r="CV53" s="151">
        <v>5130.5329999999994</v>
      </c>
      <c r="CW53" s="151">
        <v>4642.2870000000003</v>
      </c>
      <c r="CX53" s="151">
        <v>4805.7089999999998</v>
      </c>
      <c r="CY53" s="151">
        <v>4783.91</v>
      </c>
      <c r="CZ53" s="151">
        <v>4901.8510000000006</v>
      </c>
      <c r="DA53" s="3">
        <v>4782.4040000000005</v>
      </c>
      <c r="DB53" s="3">
        <v>4877.8499999999995</v>
      </c>
      <c r="DC53" s="3">
        <v>4861.0990000000002</v>
      </c>
      <c r="DD53" s="3">
        <v>5099.174</v>
      </c>
      <c r="DE53" s="3">
        <v>5344.9409999999998</v>
      </c>
      <c r="DF53" s="3">
        <v>5568.1341801853396</v>
      </c>
      <c r="DG53" s="3">
        <v>5557.64418152288</v>
      </c>
      <c r="DH53" s="3">
        <v>5308.2356478456095</v>
      </c>
      <c r="DI53" s="3">
        <v>5660.7782990350606</v>
      </c>
      <c r="DJ53" s="3">
        <v>5394.1830135664495</v>
      </c>
      <c r="DK53" s="3">
        <v>5368.8767014649629</v>
      </c>
      <c r="DL53" s="151">
        <v>4825.7644612948952</v>
      </c>
      <c r="DM53" s="151">
        <v>5094.5166475703509</v>
      </c>
      <c r="DN53" s="151">
        <v>5387.2454983396274</v>
      </c>
      <c r="DO53" s="151">
        <v>5302.9731609895307</v>
      </c>
      <c r="DP53" s="151">
        <v>4798.3169324923183</v>
      </c>
      <c r="DQ53" s="151">
        <v>4967.231639778136</v>
      </c>
      <c r="DR53" s="151">
        <v>4944.6999628672947</v>
      </c>
      <c r="DS53" s="151">
        <v>5066.6050276198785</v>
      </c>
      <c r="DT53" s="3">
        <v>4943.1433453422833</v>
      </c>
      <c r="DU53" s="3">
        <v>5041.7973402242578</v>
      </c>
      <c r="DV53" s="3">
        <v>5024.4833294928712</v>
      </c>
      <c r="DW53" s="3">
        <v>5270.5601669876469</v>
      </c>
      <c r="DX53" s="3">
        <v>5524.5875370205295</v>
      </c>
      <c r="DY53" s="3">
        <v>5755.2823681889004</v>
      </c>
      <c r="DZ53" s="3">
        <v>5744.4397946461831</v>
      </c>
      <c r="EA53" s="3">
        <v>5486.6484968975237</v>
      </c>
      <c r="EB53" s="3">
        <v>5851.0403090858008</v>
      </c>
      <c r="EC53" s="3">
        <v>5575.4846029464215</v>
      </c>
      <c r="ED53" s="3">
        <v>5549.3277311598431</v>
      </c>
    </row>
    <row r="54" spans="1:134">
      <c r="A54" t="s">
        <v>184</v>
      </c>
      <c r="B54" s="151">
        <v>780.78700000000003</v>
      </c>
      <c r="C54" s="151">
        <v>849.33600000000001</v>
      </c>
      <c r="D54" s="151">
        <v>807.23199999999997</v>
      </c>
      <c r="E54" s="151">
        <v>786.68600000000004</v>
      </c>
      <c r="F54" s="151">
        <v>675.08399999999995</v>
      </c>
      <c r="G54" s="151">
        <v>753.21199999999999</v>
      </c>
      <c r="H54" s="151">
        <v>738.94100000000003</v>
      </c>
      <c r="I54" s="151">
        <v>693.13300000000004</v>
      </c>
      <c r="J54" s="3">
        <v>662.24099999999999</v>
      </c>
      <c r="K54" s="3">
        <v>662.99099999999999</v>
      </c>
      <c r="L54" s="3">
        <v>645.85199999999998</v>
      </c>
      <c r="M54" s="3">
        <v>672.673</v>
      </c>
      <c r="N54" s="3">
        <v>630.69500000000005</v>
      </c>
      <c r="O54" s="3">
        <v>648.87099999999998</v>
      </c>
      <c r="P54" s="3">
        <v>631.73099999999999</v>
      </c>
      <c r="Q54" s="3">
        <v>580.65499999999997</v>
      </c>
      <c r="R54" s="3">
        <v>607.07600000000002</v>
      </c>
      <c r="S54" s="3">
        <v>542.79200000000003</v>
      </c>
      <c r="T54" s="3">
        <v>542.79200000000003</v>
      </c>
      <c r="U54" s="151">
        <v>914.93085182000596</v>
      </c>
      <c r="V54" s="151">
        <v>907.27543183338105</v>
      </c>
      <c r="W54" s="151">
        <v>895.197819432502</v>
      </c>
      <c r="X54" s="151">
        <v>923.993593770899</v>
      </c>
      <c r="Y54" s="151">
        <v>923.45436046622694</v>
      </c>
      <c r="Z54" s="151">
        <v>965.53227228432195</v>
      </c>
      <c r="AA54" s="151">
        <v>841.96594573421203</v>
      </c>
      <c r="AB54" s="151">
        <v>898.22120426101105</v>
      </c>
      <c r="AC54" s="3">
        <v>923.41855335817297</v>
      </c>
      <c r="AD54" s="3">
        <v>845.78609783127899</v>
      </c>
      <c r="AE54" s="3">
        <v>929.27432530811097</v>
      </c>
      <c r="AF54" s="3">
        <v>952.11422069360799</v>
      </c>
      <c r="AG54" s="3">
        <v>1008.97495414159</v>
      </c>
      <c r="AH54" s="3">
        <v>984.674414158785</v>
      </c>
      <c r="AI54" s="3">
        <v>1003.16736476545</v>
      </c>
      <c r="AJ54" s="3">
        <v>1017.74569122002</v>
      </c>
      <c r="AK54" s="3">
        <v>1056.6830839782201</v>
      </c>
      <c r="AL54" s="3">
        <v>931.15375991210499</v>
      </c>
      <c r="AM54" s="3">
        <v>927.19670567320179</v>
      </c>
      <c r="AN54" s="151">
        <v>2782.125</v>
      </c>
      <c r="AO54" s="151">
        <v>2653.7200000000003</v>
      </c>
      <c r="AP54" s="151">
        <v>2594.643</v>
      </c>
      <c r="AQ54" s="151">
        <v>2627.3050000000003</v>
      </c>
      <c r="AR54" s="151">
        <v>2438.2350000000001</v>
      </c>
      <c r="AS54" s="151">
        <v>2564.9070000000002</v>
      </c>
      <c r="AT54" s="151">
        <v>2664.3739999999998</v>
      </c>
      <c r="AU54" s="151">
        <v>2530.9830000000002</v>
      </c>
      <c r="AV54" s="3">
        <v>2485.4159999999997</v>
      </c>
      <c r="AW54" s="3">
        <v>2422.261</v>
      </c>
      <c r="AX54" s="3">
        <v>2332.576</v>
      </c>
      <c r="AY54" s="3">
        <v>2325.6730000000002</v>
      </c>
      <c r="AZ54" s="3">
        <v>2427.2540000000004</v>
      </c>
      <c r="BA54" s="3">
        <v>2592.4989999999998</v>
      </c>
      <c r="BB54" s="3">
        <v>2624.4450000000002</v>
      </c>
      <c r="BC54" s="3">
        <v>2071.8480000000004</v>
      </c>
      <c r="BD54" s="3">
        <v>2256.0389999999998</v>
      </c>
      <c r="BE54" s="3">
        <v>2069.2950000000001</v>
      </c>
      <c r="BF54" s="3">
        <v>1998.2026227309143</v>
      </c>
      <c r="BG54" s="151">
        <v>0.54100000000000004</v>
      </c>
      <c r="BH54" s="151">
        <v>0.51100000000000001</v>
      </c>
      <c r="BI54" s="151">
        <v>45.768999999999998</v>
      </c>
      <c r="BJ54" s="151">
        <v>45.35</v>
      </c>
      <c r="BK54" s="151">
        <v>42.432000000000002</v>
      </c>
      <c r="BL54" s="151">
        <v>42.347999999999999</v>
      </c>
      <c r="BM54" s="151">
        <v>46.841999999999999</v>
      </c>
      <c r="BN54" s="151">
        <v>48.475000000000001</v>
      </c>
      <c r="BO54" s="3">
        <v>55.146000000000001</v>
      </c>
      <c r="BP54" s="3">
        <v>70.674000000000007</v>
      </c>
      <c r="BQ54" s="3">
        <v>83.304000000000002</v>
      </c>
      <c r="BR54" s="3">
        <v>89.399000000000001</v>
      </c>
      <c r="BS54" s="3">
        <v>113.383</v>
      </c>
      <c r="BT54" s="3">
        <v>122.83799999999999</v>
      </c>
      <c r="BU54" s="3">
        <v>129.59399999999999</v>
      </c>
      <c r="BV54" s="3">
        <v>142.47900000000001</v>
      </c>
      <c r="BW54" s="3">
        <v>138.62799999999999</v>
      </c>
      <c r="BX54" s="3">
        <v>129.64699999999999</v>
      </c>
      <c r="BY54" s="3">
        <v>129.49652063426669</v>
      </c>
      <c r="BZ54" s="151">
        <v>2782.6660000000002</v>
      </c>
      <c r="CA54" s="151">
        <v>2654.2310000000002</v>
      </c>
      <c r="CB54" s="151">
        <v>2640.4119999999998</v>
      </c>
      <c r="CC54" s="151">
        <v>2672.6550000000002</v>
      </c>
      <c r="CD54" s="151">
        <v>2480.6669999999999</v>
      </c>
      <c r="CE54" s="151">
        <v>2607.2550000000001</v>
      </c>
      <c r="CF54" s="151">
        <v>2711.2159999999999</v>
      </c>
      <c r="CG54" s="151">
        <v>2579.4580000000001</v>
      </c>
      <c r="CH54" s="3">
        <v>2540.5619999999999</v>
      </c>
      <c r="CI54" s="3">
        <v>2492.9349999999999</v>
      </c>
      <c r="CJ54" s="3">
        <v>2415.88</v>
      </c>
      <c r="CK54" s="3">
        <v>2415.0720000000001</v>
      </c>
      <c r="CL54" s="3">
        <v>2540.6370000000002</v>
      </c>
      <c r="CM54" s="3">
        <v>2715.337</v>
      </c>
      <c r="CN54" s="3">
        <v>2754.0390000000002</v>
      </c>
      <c r="CO54" s="3">
        <v>2214.3270000000002</v>
      </c>
      <c r="CP54" s="3">
        <v>2394.6669999999999</v>
      </c>
      <c r="CQ54" s="3">
        <v>2198.942</v>
      </c>
      <c r="CR54" s="3">
        <v>2127.699143365181</v>
      </c>
      <c r="CS54" s="151">
        <v>4478.3838518200064</v>
      </c>
      <c r="CT54" s="151">
        <v>4410.8424318333809</v>
      </c>
      <c r="CU54" s="151">
        <v>4342.8418194325022</v>
      </c>
      <c r="CV54" s="151">
        <v>4383.3345937708991</v>
      </c>
      <c r="CW54" s="151">
        <v>4079.2053604662269</v>
      </c>
      <c r="CX54" s="151">
        <v>4325.9992722843217</v>
      </c>
      <c r="CY54" s="151">
        <v>4292.1229457342124</v>
      </c>
      <c r="CZ54" s="151">
        <v>4170.8122042610112</v>
      </c>
      <c r="DA54" s="3">
        <v>4126.221553358173</v>
      </c>
      <c r="DB54" s="3">
        <v>4001.7120978312787</v>
      </c>
      <c r="DC54" s="3">
        <v>3991.0063253081107</v>
      </c>
      <c r="DD54" s="3">
        <v>4039.8592206936078</v>
      </c>
      <c r="DE54" s="3">
        <v>4180.3069541415907</v>
      </c>
      <c r="DF54" s="3">
        <v>4348.8824141587847</v>
      </c>
      <c r="DG54" s="3">
        <v>4388.9373647654502</v>
      </c>
      <c r="DH54" s="3">
        <v>3812.72769122002</v>
      </c>
      <c r="DI54" s="3">
        <v>4058.42608397822</v>
      </c>
      <c r="DJ54" s="3">
        <v>3672.8877599121051</v>
      </c>
      <c r="DK54" s="3">
        <v>3597.6878490383829</v>
      </c>
      <c r="DL54" s="151">
        <v>4511.3155440868859</v>
      </c>
      <c r="DM54" s="151">
        <v>4443.2774598276419</v>
      </c>
      <c r="DN54" s="151">
        <v>4374.776806493328</v>
      </c>
      <c r="DO54" s="151">
        <v>4415.5673435130111</v>
      </c>
      <c r="DP54" s="151">
        <v>4109.2017029123272</v>
      </c>
      <c r="DQ54" s="151">
        <v>4357.8104080635185</v>
      </c>
      <c r="DR54" s="151">
        <v>4323.6849727281888</v>
      </c>
      <c r="DS54" s="151">
        <v>4201.482175518131</v>
      </c>
      <c r="DT54" s="3">
        <v>4156.5636282932928</v>
      </c>
      <c r="DU54" s="3">
        <v>4031.1385953595936</v>
      </c>
      <c r="DV54" s="3">
        <v>4020.3540981853289</v>
      </c>
      <c r="DW54" s="3">
        <v>4069.5662322092307</v>
      </c>
      <c r="DX54" s="3">
        <v>4211.0467448227619</v>
      </c>
      <c r="DY54" s="3">
        <v>4380.8618205934781</v>
      </c>
      <c r="DZ54" s="3">
        <v>4421.2113143547258</v>
      </c>
      <c r="EA54" s="3">
        <v>3840.7644962771924</v>
      </c>
      <c r="EB54" s="3">
        <v>4088.2696264943738</v>
      </c>
      <c r="EC54" s="3">
        <v>3699.896255262734</v>
      </c>
      <c r="ED54" s="3">
        <v>3624.1433635804588</v>
      </c>
    </row>
    <row r="55" spans="1:134">
      <c r="A55" t="s">
        <v>93</v>
      </c>
      <c r="B55" s="151">
        <v>698.62699999999995</v>
      </c>
      <c r="C55" s="151">
        <v>741.13099999999997</v>
      </c>
      <c r="D55" s="151">
        <v>722.77499999999998</v>
      </c>
      <c r="E55" s="151">
        <v>679.17600000000004</v>
      </c>
      <c r="F55" s="151">
        <v>651.71500000000003</v>
      </c>
      <c r="G55" s="151">
        <v>773.84699999999998</v>
      </c>
      <c r="H55" s="151">
        <v>747.755</v>
      </c>
      <c r="I55" s="151">
        <v>827.43600000000004</v>
      </c>
      <c r="J55" s="3">
        <v>767.64300000000003</v>
      </c>
      <c r="K55" s="3">
        <v>791.15800000000002</v>
      </c>
      <c r="L55" s="3">
        <v>787.78</v>
      </c>
      <c r="M55" s="3">
        <v>748.95399999999995</v>
      </c>
      <c r="N55" s="3">
        <v>793.35599999999999</v>
      </c>
      <c r="O55" s="3">
        <v>897.89200000000005</v>
      </c>
      <c r="P55" s="3">
        <v>852.75800000000004</v>
      </c>
      <c r="Q55" s="3">
        <v>870.923</v>
      </c>
      <c r="R55" s="3">
        <v>894.16200000000003</v>
      </c>
      <c r="S55" s="3">
        <v>906.00099999999998</v>
      </c>
      <c r="T55" s="3">
        <v>929.20799282786879</v>
      </c>
      <c r="U55" s="151">
        <v>2252.9160000000002</v>
      </c>
      <c r="V55" s="151">
        <v>2273.9740000000002</v>
      </c>
      <c r="W55" s="151">
        <v>2298.7930000000001</v>
      </c>
      <c r="X55" s="151">
        <v>2194.1559999999999</v>
      </c>
      <c r="Y55" s="151">
        <v>2246.8130000000001</v>
      </c>
      <c r="Z55" s="151">
        <v>2144.9369999999999</v>
      </c>
      <c r="AA55" s="151">
        <v>2038.6510000000001</v>
      </c>
      <c r="AB55" s="151">
        <v>2151.21</v>
      </c>
      <c r="AC55" s="3">
        <v>2025.0619999999999</v>
      </c>
      <c r="AD55" s="3">
        <v>2002.54</v>
      </c>
      <c r="AE55" s="3">
        <v>1854.7370000000001</v>
      </c>
      <c r="AF55" s="3">
        <v>1914.9280000000001</v>
      </c>
      <c r="AG55" s="3">
        <v>1999.99990493933</v>
      </c>
      <c r="AH55" s="3">
        <v>2017.13290493933</v>
      </c>
      <c r="AI55" s="3">
        <v>1972.0449049393301</v>
      </c>
      <c r="AJ55" s="3">
        <v>1880.7469049393301</v>
      </c>
      <c r="AK55" s="3">
        <v>2007.98787035445</v>
      </c>
      <c r="AL55" s="3">
        <v>1891.8668703544499</v>
      </c>
      <c r="AM55" s="3">
        <v>1806.827904738306</v>
      </c>
      <c r="AN55" s="151">
        <v>1064.0610000000001</v>
      </c>
      <c r="AO55" s="151">
        <v>1175.394</v>
      </c>
      <c r="AP55" s="151">
        <v>1331.1009999999999</v>
      </c>
      <c r="AQ55" s="151">
        <v>1278.192</v>
      </c>
      <c r="AR55" s="151">
        <v>1136.7819999999999</v>
      </c>
      <c r="AS55" s="151">
        <v>1174.127</v>
      </c>
      <c r="AT55" s="151">
        <v>1057.846</v>
      </c>
      <c r="AU55" s="151">
        <v>1028.5929999999998</v>
      </c>
      <c r="AV55" s="3">
        <v>1043.5140000000001</v>
      </c>
      <c r="AW55" s="3">
        <v>1069.3710000000001</v>
      </c>
      <c r="AX55" s="3">
        <v>1122.1979999999999</v>
      </c>
      <c r="AY55" s="3">
        <v>1145.3889999999999</v>
      </c>
      <c r="AZ55" s="3">
        <v>1211.4769999999999</v>
      </c>
      <c r="BA55" s="3">
        <v>1224.1569999999999</v>
      </c>
      <c r="BB55" s="3">
        <v>1220.8240000000001</v>
      </c>
      <c r="BC55" s="3">
        <v>1058.5160000000001</v>
      </c>
      <c r="BD55" s="3">
        <v>1108.5339999999999</v>
      </c>
      <c r="BE55" s="3">
        <v>1148.3390000000002</v>
      </c>
      <c r="BF55" s="3">
        <v>1148.3390000000002</v>
      </c>
      <c r="BG55" s="151">
        <v>2.6659999999999999</v>
      </c>
      <c r="BH55" s="151">
        <v>3.0569999999999999</v>
      </c>
      <c r="BI55" s="151">
        <v>1.7769999999999999</v>
      </c>
      <c r="BJ55" s="151">
        <v>1.7769999999999999</v>
      </c>
      <c r="BK55" s="151">
        <v>4.3369999999999997</v>
      </c>
      <c r="BL55" s="151">
        <v>26.98</v>
      </c>
      <c r="BM55" s="151">
        <v>24.562999999999999</v>
      </c>
      <c r="BN55" s="151">
        <v>19.728999999999999</v>
      </c>
      <c r="BO55" s="3">
        <v>18.84</v>
      </c>
      <c r="BP55" s="3">
        <v>22.393999999999998</v>
      </c>
      <c r="BQ55" s="3">
        <v>22.786000000000001</v>
      </c>
      <c r="BR55" s="3">
        <v>10.987</v>
      </c>
      <c r="BS55" s="3">
        <v>9.2759999999999998</v>
      </c>
      <c r="BT55" s="3">
        <v>37.834000000000003</v>
      </c>
      <c r="BU55" s="3">
        <v>34.927</v>
      </c>
      <c r="BV55" s="3">
        <v>45.109000000000002</v>
      </c>
      <c r="BW55" s="3">
        <v>46.758000000000003</v>
      </c>
      <c r="BX55" s="3">
        <v>16.032</v>
      </c>
      <c r="BY55" s="3">
        <v>14.696</v>
      </c>
      <c r="BZ55" s="151">
        <v>1066.7270000000001</v>
      </c>
      <c r="CA55" s="151">
        <v>1178.451</v>
      </c>
      <c r="CB55" s="151">
        <v>1332.8779999999999</v>
      </c>
      <c r="CC55" s="151">
        <v>1279.9690000000001</v>
      </c>
      <c r="CD55" s="151">
        <v>1141.1189999999999</v>
      </c>
      <c r="CE55" s="151">
        <v>1201.107</v>
      </c>
      <c r="CF55" s="151">
        <v>1082.4090000000001</v>
      </c>
      <c r="CG55" s="151">
        <v>1048.3219999999999</v>
      </c>
      <c r="CH55" s="3">
        <v>1062.354</v>
      </c>
      <c r="CI55" s="3">
        <v>1091.7650000000001</v>
      </c>
      <c r="CJ55" s="3">
        <v>1144.9839999999999</v>
      </c>
      <c r="CK55" s="3">
        <v>1156.376</v>
      </c>
      <c r="CL55" s="3">
        <v>1220.7529999999999</v>
      </c>
      <c r="CM55" s="3">
        <v>1261.991</v>
      </c>
      <c r="CN55" s="3">
        <v>1255.751</v>
      </c>
      <c r="CO55" s="3">
        <v>1103.625</v>
      </c>
      <c r="CP55" s="3">
        <v>1155.2919999999999</v>
      </c>
      <c r="CQ55" s="3">
        <v>1164.3710000000001</v>
      </c>
      <c r="CR55" s="3">
        <v>1163.0350000000001</v>
      </c>
      <c r="CS55" s="151">
        <v>4018.2700000000004</v>
      </c>
      <c r="CT55" s="151">
        <v>4193.5560000000005</v>
      </c>
      <c r="CU55" s="151">
        <v>4354.4459999999999</v>
      </c>
      <c r="CV55" s="151">
        <v>4153.3009999999995</v>
      </c>
      <c r="CW55" s="151">
        <v>4039.6469999999999</v>
      </c>
      <c r="CX55" s="151">
        <v>4119.8909999999996</v>
      </c>
      <c r="CY55" s="151">
        <v>3868.8150000000005</v>
      </c>
      <c r="CZ55" s="151">
        <v>4026.9679999999998</v>
      </c>
      <c r="DA55" s="3">
        <v>3855.0590000000002</v>
      </c>
      <c r="DB55" s="3">
        <v>3885.4630000000002</v>
      </c>
      <c r="DC55" s="3">
        <v>3787.5010000000002</v>
      </c>
      <c r="DD55" s="3">
        <v>3820.2579999999998</v>
      </c>
      <c r="DE55" s="3">
        <v>4014.1089049393299</v>
      </c>
      <c r="DF55" s="3">
        <v>4177.0159049393296</v>
      </c>
      <c r="DG55" s="3">
        <v>4080.5539049393301</v>
      </c>
      <c r="DH55" s="3">
        <v>3855.2949049393301</v>
      </c>
      <c r="DI55" s="3">
        <v>4057.4418703544497</v>
      </c>
      <c r="DJ55" s="3">
        <v>3962.2388703544502</v>
      </c>
      <c r="DK55" s="3">
        <v>3899.0708975661746</v>
      </c>
      <c r="DL55" s="151">
        <v>4139.0327177510571</v>
      </c>
      <c r="DM55" s="151">
        <v>4319.5866598613966</v>
      </c>
      <c r="DN55" s="151">
        <v>4485.311953074387</v>
      </c>
      <c r="DO55" s="151">
        <v>4278.1218598223068</v>
      </c>
      <c r="DP55" s="151">
        <v>4161.0521695070029</v>
      </c>
      <c r="DQ55" s="151">
        <v>4243.7077753779904</v>
      </c>
      <c r="DR55" s="151">
        <v>3985.086085286966</v>
      </c>
      <c r="DS55" s="151">
        <v>4147.9921223154579</v>
      </c>
      <c r="DT55" s="3">
        <v>3970.9166705723287</v>
      </c>
      <c r="DU55" s="3">
        <v>4002.2344144647259</v>
      </c>
      <c r="DV55" s="3">
        <v>3901.3283222667583</v>
      </c>
      <c r="DW55" s="3">
        <v>3935.0697818340268</v>
      </c>
      <c r="DX55" s="3">
        <v>4134.7465675924595</v>
      </c>
      <c r="DY55" s="3">
        <v>4302.5494785343999</v>
      </c>
      <c r="DZ55" s="3">
        <v>4203.1884664521604</v>
      </c>
      <c r="EA55" s="3">
        <v>3971.1596652596359</v>
      </c>
      <c r="EB55" s="3">
        <v>4179.3818364047484</v>
      </c>
      <c r="EC55" s="3">
        <v>4081.3176615663101</v>
      </c>
      <c r="ED55" s="3">
        <v>4016.2512757622994</v>
      </c>
    </row>
    <row r="56" spans="1:134">
      <c r="A56" t="s">
        <v>141</v>
      </c>
      <c r="B56" s="151">
        <v>50.344000000000001</v>
      </c>
      <c r="C56" s="151">
        <v>55.484000000000002</v>
      </c>
      <c r="D56" s="151">
        <v>57.395000000000003</v>
      </c>
      <c r="E56" s="151">
        <v>59.802</v>
      </c>
      <c r="F56" s="151">
        <v>51.93</v>
      </c>
      <c r="G56" s="151">
        <v>44.12</v>
      </c>
      <c r="H56" s="151">
        <v>39.866999999999997</v>
      </c>
      <c r="I56" s="151">
        <v>43.762</v>
      </c>
      <c r="J56" s="3">
        <v>52.23</v>
      </c>
      <c r="K56" s="3">
        <v>55.494999999999997</v>
      </c>
      <c r="L56" s="3">
        <v>55.139000000000003</v>
      </c>
      <c r="M56" s="3">
        <v>54.924999999999997</v>
      </c>
      <c r="N56" s="3">
        <v>57.155999999999999</v>
      </c>
      <c r="O56" s="3">
        <v>58.835000000000001</v>
      </c>
      <c r="P56" s="3">
        <v>61.017000000000003</v>
      </c>
      <c r="Q56" s="3">
        <v>66.241</v>
      </c>
      <c r="R56" s="3">
        <v>70.031999999999996</v>
      </c>
      <c r="S56" s="3">
        <v>73.998000000000005</v>
      </c>
      <c r="T56" s="3">
        <v>65</v>
      </c>
      <c r="U56" s="151">
        <v>160.53800000000001</v>
      </c>
      <c r="V56" s="151">
        <v>151.17500000000001</v>
      </c>
      <c r="W56" s="151">
        <v>154.065</v>
      </c>
      <c r="X56" s="151">
        <v>153.048</v>
      </c>
      <c r="Y56" s="151">
        <v>141.17699999999999</v>
      </c>
      <c r="Z56" s="151">
        <v>172.04300000000001</v>
      </c>
      <c r="AA56" s="151">
        <v>165.35499999999999</v>
      </c>
      <c r="AB56" s="151">
        <v>182.30099999999999</v>
      </c>
      <c r="AC56" s="3">
        <v>185.17500000000001</v>
      </c>
      <c r="AD56" s="3">
        <v>192.279</v>
      </c>
      <c r="AE56" s="3">
        <v>207.44</v>
      </c>
      <c r="AF56" s="3">
        <v>204.09200000000001</v>
      </c>
      <c r="AG56" s="3">
        <v>218.399149613069</v>
      </c>
      <c r="AH56" s="3">
        <v>217.25764087131</v>
      </c>
      <c r="AI56" s="3">
        <v>230.141205598548</v>
      </c>
      <c r="AJ56" s="3">
        <v>214.781364096685</v>
      </c>
      <c r="AK56" s="3">
        <v>223.419553358173</v>
      </c>
      <c r="AL56" s="3">
        <v>246.84175685487699</v>
      </c>
      <c r="AM56" s="3">
        <v>246.84175685487699</v>
      </c>
      <c r="AN56" s="151">
        <v>253.46299999999999</v>
      </c>
      <c r="AO56" s="151">
        <v>259.625</v>
      </c>
      <c r="AP56" s="151">
        <v>268.86799999999999</v>
      </c>
      <c r="AQ56" s="151">
        <v>288.31099999999998</v>
      </c>
      <c r="AR56" s="151">
        <v>259.76900000000001</v>
      </c>
      <c r="AS56" s="151">
        <v>286.32900000000001</v>
      </c>
      <c r="AT56" s="151">
        <v>286.47200000000004</v>
      </c>
      <c r="AU56" s="151">
        <v>278.18400000000003</v>
      </c>
      <c r="AV56" s="3">
        <v>283.46199999999999</v>
      </c>
      <c r="AW56" s="3">
        <v>292.70600000000002</v>
      </c>
      <c r="AX56" s="3">
        <v>309.13800000000003</v>
      </c>
      <c r="AY56" s="3">
        <v>317.42700000000002</v>
      </c>
      <c r="AZ56" s="3">
        <v>339.29400000000004</v>
      </c>
      <c r="BA56" s="3">
        <v>374.55099999999999</v>
      </c>
      <c r="BB56" s="3">
        <v>395.86</v>
      </c>
      <c r="BC56" s="3">
        <v>250.43800000000002</v>
      </c>
      <c r="BD56" s="3">
        <v>281.67499999999995</v>
      </c>
      <c r="BE56" s="3">
        <v>365.28200000000004</v>
      </c>
      <c r="BF56" s="3">
        <v>353.43847761062403</v>
      </c>
      <c r="BG56" s="151">
        <v>0</v>
      </c>
      <c r="BH56" s="151">
        <v>0</v>
      </c>
      <c r="BI56" s="151">
        <v>0</v>
      </c>
      <c r="BJ56" s="151">
        <v>0</v>
      </c>
      <c r="BK56" s="151">
        <v>0</v>
      </c>
      <c r="BL56" s="151">
        <v>0.53600000000000003</v>
      </c>
      <c r="BM56" s="151">
        <v>1.5249999999999999</v>
      </c>
      <c r="BN56" s="151">
        <v>2.633</v>
      </c>
      <c r="BO56" s="3">
        <v>5.0049999999999999</v>
      </c>
      <c r="BP56" s="3">
        <v>7.1829999999999998</v>
      </c>
      <c r="BQ56" s="3">
        <v>6.681</v>
      </c>
      <c r="BR56" s="3">
        <v>6.5869999999999997</v>
      </c>
      <c r="BS56" s="3">
        <v>7.4169999999999998</v>
      </c>
      <c r="BT56" s="3">
        <v>10.021000000000001</v>
      </c>
      <c r="BU56" s="3">
        <v>10.673</v>
      </c>
      <c r="BV56" s="3">
        <v>14.013</v>
      </c>
      <c r="BW56" s="3">
        <v>10.629</v>
      </c>
      <c r="BX56" s="3">
        <v>12.609</v>
      </c>
      <c r="BY56" s="3">
        <v>13.052155960286775</v>
      </c>
      <c r="BZ56" s="151">
        <v>253.46299999999999</v>
      </c>
      <c r="CA56" s="151">
        <v>259.625</v>
      </c>
      <c r="CB56" s="151">
        <v>268.86799999999999</v>
      </c>
      <c r="CC56" s="151">
        <v>288.31099999999998</v>
      </c>
      <c r="CD56" s="151">
        <v>259.76900000000001</v>
      </c>
      <c r="CE56" s="151">
        <v>286.86500000000001</v>
      </c>
      <c r="CF56" s="151">
        <v>287.99700000000001</v>
      </c>
      <c r="CG56" s="151">
        <v>280.81700000000001</v>
      </c>
      <c r="CH56" s="3">
        <v>288.46699999999998</v>
      </c>
      <c r="CI56" s="3">
        <v>299.88900000000001</v>
      </c>
      <c r="CJ56" s="3">
        <v>315.81900000000002</v>
      </c>
      <c r="CK56" s="3">
        <v>324.01400000000001</v>
      </c>
      <c r="CL56" s="3">
        <v>346.71100000000001</v>
      </c>
      <c r="CM56" s="3">
        <v>384.572</v>
      </c>
      <c r="CN56" s="3">
        <v>406.53300000000002</v>
      </c>
      <c r="CO56" s="3">
        <v>264.45100000000002</v>
      </c>
      <c r="CP56" s="3">
        <v>292.30399999999997</v>
      </c>
      <c r="CQ56" s="3">
        <v>377.89100000000002</v>
      </c>
      <c r="CR56" s="3">
        <v>366.4906335709108</v>
      </c>
      <c r="CS56" s="151">
        <v>464.34500000000003</v>
      </c>
      <c r="CT56" s="151">
        <v>466.28399999999999</v>
      </c>
      <c r="CU56" s="151">
        <v>480.32799999999997</v>
      </c>
      <c r="CV56" s="151">
        <v>501.161</v>
      </c>
      <c r="CW56" s="151">
        <v>452.87599999999998</v>
      </c>
      <c r="CX56" s="151">
        <v>503.02800000000002</v>
      </c>
      <c r="CY56" s="151">
        <v>493.21900000000005</v>
      </c>
      <c r="CZ56" s="151">
        <v>506.88</v>
      </c>
      <c r="DA56" s="3">
        <v>525.87200000000007</v>
      </c>
      <c r="DB56" s="3">
        <v>547.66300000000001</v>
      </c>
      <c r="DC56" s="3">
        <v>578.39800000000002</v>
      </c>
      <c r="DD56" s="3">
        <v>583.03100000000006</v>
      </c>
      <c r="DE56" s="3">
        <v>622.26614961306905</v>
      </c>
      <c r="DF56" s="3">
        <v>660.66464087130998</v>
      </c>
      <c r="DG56" s="3">
        <v>697.69120559854798</v>
      </c>
      <c r="DH56" s="3">
        <v>545.47336409668503</v>
      </c>
      <c r="DI56" s="3">
        <v>585.75555335817296</v>
      </c>
      <c r="DJ56" s="3">
        <v>698.73075685487697</v>
      </c>
      <c r="DK56" s="3">
        <v>678.33239042578782</v>
      </c>
      <c r="DL56" s="151">
        <v>470.88108419960878</v>
      </c>
      <c r="DM56" s="151">
        <v>472.84737741319566</v>
      </c>
      <c r="DN56" s="151">
        <v>487.0890596677678</v>
      </c>
      <c r="DO56" s="151">
        <v>508.21530335970044</v>
      </c>
      <c r="DP56" s="151">
        <v>459.25064744528743</v>
      </c>
      <c r="DQ56" s="151">
        <v>510.10858310687269</v>
      </c>
      <c r="DR56" s="151">
        <v>500.16151238378109</v>
      </c>
      <c r="DS56" s="151">
        <v>514.01480356006346</v>
      </c>
      <c r="DT56" s="3">
        <v>533.27413347880713</v>
      </c>
      <c r="DU56" s="3">
        <v>555.37186190442515</v>
      </c>
      <c r="DV56" s="3">
        <v>586.53948538023519</v>
      </c>
      <c r="DW56" s="3">
        <v>591.23769912884188</v>
      </c>
      <c r="DX56" s="3">
        <v>631.02511966429677</v>
      </c>
      <c r="DY56" s="3">
        <v>673.21364087130996</v>
      </c>
      <c r="DZ56" s="3">
        <v>711.59520559854798</v>
      </c>
      <c r="EA56" s="3">
        <v>556.561364096685</v>
      </c>
      <c r="EB56" s="3">
        <v>596.84355335817293</v>
      </c>
      <c r="EC56" s="3">
        <v>708.56603678609144</v>
      </c>
      <c r="ED56" s="3">
        <v>687.88054453349832</v>
      </c>
    </row>
    <row r="57" spans="1:134">
      <c r="A57" t="s">
        <v>145</v>
      </c>
      <c r="B57" s="151">
        <v>15602.056</v>
      </c>
      <c r="C57" s="151">
        <v>15275.199000000001</v>
      </c>
      <c r="D57" s="151">
        <v>15356.204</v>
      </c>
      <c r="E57" s="151">
        <v>14766.636</v>
      </c>
      <c r="F57" s="151">
        <v>13311.772999999999</v>
      </c>
      <c r="G57" s="151">
        <v>14322.874</v>
      </c>
      <c r="H57" s="151">
        <v>13779.768</v>
      </c>
      <c r="I57" s="151">
        <v>13558.768</v>
      </c>
      <c r="J57" s="3">
        <v>13350.828</v>
      </c>
      <c r="K57" s="3">
        <v>13080.793</v>
      </c>
      <c r="L57" s="3">
        <v>13102.771000000001</v>
      </c>
      <c r="M57" s="3">
        <v>13757.587</v>
      </c>
      <c r="N57" s="3">
        <v>13725.511</v>
      </c>
      <c r="O57" s="3">
        <v>13606.539000000001</v>
      </c>
      <c r="P57" s="3">
        <v>13225.130999999999</v>
      </c>
      <c r="Q57" s="3">
        <v>13208.424999999999</v>
      </c>
      <c r="R57" s="3">
        <v>13221.254999999999</v>
      </c>
      <c r="S57" s="3">
        <v>12260.566000000001</v>
      </c>
      <c r="T57" s="3">
        <v>12165.079476325171</v>
      </c>
      <c r="U57" s="151">
        <v>23779.833091334702</v>
      </c>
      <c r="V57" s="151">
        <v>23383.293479411499</v>
      </c>
      <c r="W57" s="151">
        <v>22430.991926148901</v>
      </c>
      <c r="X57" s="151">
        <v>23691.2643266456</v>
      </c>
      <c r="Y57" s="151">
        <v>23584.699818572699</v>
      </c>
      <c r="Z57" s="151">
        <v>26245.148270278001</v>
      </c>
      <c r="AA57" s="151">
        <v>22868.476984618301</v>
      </c>
      <c r="AB57" s="151">
        <v>23844.517798223002</v>
      </c>
      <c r="AC57" s="3">
        <v>24318.531878379701</v>
      </c>
      <c r="AD57" s="3">
        <v>20906.034601318399</v>
      </c>
      <c r="AE57" s="3">
        <v>21683.787631413001</v>
      </c>
      <c r="AF57" s="3">
        <v>21977.177243909398</v>
      </c>
      <c r="AG57" s="3">
        <v>21910.613008120799</v>
      </c>
      <c r="AH57" s="3">
        <v>22090.528849813702</v>
      </c>
      <c r="AI57" s="3">
        <v>21668.276255851699</v>
      </c>
      <c r="AJ57" s="3">
        <v>20660.573938473299</v>
      </c>
      <c r="AK57" s="3">
        <v>21899.7283789051</v>
      </c>
      <c r="AL57" s="3">
        <v>18807.9405040604</v>
      </c>
      <c r="AM57" s="3">
        <v>18078.316629677891</v>
      </c>
      <c r="AN57" s="151">
        <v>15025.343000000001</v>
      </c>
      <c r="AO57" s="151">
        <v>15380.912</v>
      </c>
      <c r="AP57" s="151">
        <v>15237.51</v>
      </c>
      <c r="AQ57" s="151">
        <v>15444.348</v>
      </c>
      <c r="AR57" s="151">
        <v>14717.22</v>
      </c>
      <c r="AS57" s="151">
        <v>14837.74</v>
      </c>
      <c r="AT57" s="151">
        <v>15014.063</v>
      </c>
      <c r="AU57" s="151">
        <v>14376.609</v>
      </c>
      <c r="AV57" s="3">
        <v>13947.25</v>
      </c>
      <c r="AW57" s="3">
        <v>13187.704000000002</v>
      </c>
      <c r="AX57" s="3">
        <v>13544.155999999999</v>
      </c>
      <c r="AY57" s="3">
        <v>13694.202000000001</v>
      </c>
      <c r="AZ57" s="3">
        <v>14093.705</v>
      </c>
      <c r="BA57" s="3">
        <v>14194.878000000001</v>
      </c>
      <c r="BB57" s="3">
        <v>13976.537</v>
      </c>
      <c r="BC57" s="3">
        <v>10749.386</v>
      </c>
      <c r="BD57" s="3">
        <v>11069.674999999999</v>
      </c>
      <c r="BE57" s="3">
        <v>11821.234</v>
      </c>
      <c r="BF57" s="3">
        <v>12333.680652087414</v>
      </c>
      <c r="BG57" s="151">
        <v>0</v>
      </c>
      <c r="BH57" s="151">
        <v>40.819000000000003</v>
      </c>
      <c r="BI57" s="151">
        <v>330.41899999999998</v>
      </c>
      <c r="BJ57" s="151">
        <v>287.238</v>
      </c>
      <c r="BK57" s="151">
        <v>373.45</v>
      </c>
      <c r="BL57" s="151">
        <v>228.69499999999999</v>
      </c>
      <c r="BM57" s="151">
        <v>321.29599999999999</v>
      </c>
      <c r="BN57" s="151">
        <v>312.697</v>
      </c>
      <c r="BO57" s="3">
        <v>299.202</v>
      </c>
      <c r="BP57" s="3">
        <v>349.26400000000001</v>
      </c>
      <c r="BQ57" s="3">
        <v>294.37</v>
      </c>
      <c r="BR57" s="3">
        <v>235.92500000000001</v>
      </c>
      <c r="BS57" s="3">
        <v>303.173</v>
      </c>
      <c r="BT57" s="3">
        <v>493.79599999999999</v>
      </c>
      <c r="BU57" s="3">
        <v>610.37599999999998</v>
      </c>
      <c r="BV57" s="3">
        <v>520.91</v>
      </c>
      <c r="BW57" s="3">
        <v>594.04899999999998</v>
      </c>
      <c r="BX57" s="3">
        <v>552.24099999999999</v>
      </c>
      <c r="BY57" s="3">
        <v>574.23072784905457</v>
      </c>
      <c r="BZ57" s="151">
        <v>15025.343000000001</v>
      </c>
      <c r="CA57" s="151">
        <v>15421.731</v>
      </c>
      <c r="CB57" s="151">
        <v>15567.929</v>
      </c>
      <c r="CC57" s="151">
        <v>15731.585999999999</v>
      </c>
      <c r="CD57" s="151">
        <v>15090.67</v>
      </c>
      <c r="CE57" s="151">
        <v>15066.434999999999</v>
      </c>
      <c r="CF57" s="151">
        <v>15335.359</v>
      </c>
      <c r="CG57" s="151">
        <v>14689.306</v>
      </c>
      <c r="CH57" s="3">
        <v>14246.451999999999</v>
      </c>
      <c r="CI57" s="3">
        <v>13536.968000000001</v>
      </c>
      <c r="CJ57" s="3">
        <v>13838.526</v>
      </c>
      <c r="CK57" s="3">
        <v>13930.127</v>
      </c>
      <c r="CL57" s="3">
        <v>14396.878000000001</v>
      </c>
      <c r="CM57" s="3">
        <v>14688.674000000001</v>
      </c>
      <c r="CN57" s="3">
        <v>14586.913</v>
      </c>
      <c r="CO57" s="3">
        <v>11270.296</v>
      </c>
      <c r="CP57" s="3">
        <v>11663.724</v>
      </c>
      <c r="CQ57" s="3">
        <v>12373.475</v>
      </c>
      <c r="CR57" s="3">
        <v>12907.91137993647</v>
      </c>
      <c r="CS57" s="151">
        <v>54407.232091334707</v>
      </c>
      <c r="CT57" s="151">
        <v>54080.223479411499</v>
      </c>
      <c r="CU57" s="151">
        <v>53355.124926148899</v>
      </c>
      <c r="CV57" s="151">
        <v>54189.486326645601</v>
      </c>
      <c r="CW57" s="151">
        <v>51987.142818572698</v>
      </c>
      <c r="CX57" s="151">
        <v>55634.457270277999</v>
      </c>
      <c r="CY57" s="151">
        <v>51983.603984618298</v>
      </c>
      <c r="CZ57" s="151">
        <v>52092.591798223002</v>
      </c>
      <c r="DA57" s="3">
        <v>51915.811878379696</v>
      </c>
      <c r="DB57" s="3">
        <v>47523.795601318401</v>
      </c>
      <c r="DC57" s="3">
        <v>48625.084631413003</v>
      </c>
      <c r="DD57" s="3">
        <v>49664.891243909398</v>
      </c>
      <c r="DE57" s="3">
        <v>50033.002008120806</v>
      </c>
      <c r="DF57" s="3">
        <v>50385.741849813705</v>
      </c>
      <c r="DG57" s="3">
        <v>49480.3202558517</v>
      </c>
      <c r="DH57" s="3">
        <v>45139.294938473293</v>
      </c>
      <c r="DI57" s="3">
        <v>46784.707378905099</v>
      </c>
      <c r="DJ57" s="3">
        <v>43441.981504060401</v>
      </c>
      <c r="DK57" s="3">
        <v>43151.307485939527</v>
      </c>
      <c r="DL57" s="151">
        <v>55125.698687307035</v>
      </c>
      <c r="DM57" s="151">
        <v>54794.371811887759</v>
      </c>
      <c r="DN57" s="151">
        <v>54059.698077729488</v>
      </c>
      <c r="DO57" s="151">
        <v>54905.077513369375</v>
      </c>
      <c r="DP57" s="151">
        <v>52673.651286279433</v>
      </c>
      <c r="DQ57" s="151">
        <v>56369.129805477794</v>
      </c>
      <c r="DR57" s="151">
        <v>52670.065720780585</v>
      </c>
      <c r="DS57" s="151">
        <v>52780.492756717191</v>
      </c>
      <c r="DT57" s="3">
        <v>52601.378395984982</v>
      </c>
      <c r="DU57" s="3">
        <v>48151.364002446491</v>
      </c>
      <c r="DV57" s="3">
        <v>49267.195940721118</v>
      </c>
      <c r="DW57" s="3">
        <v>50320.733564493654</v>
      </c>
      <c r="DX57" s="3">
        <v>50693.705360548403</v>
      </c>
      <c r="DY57" s="3">
        <v>51051.103255657792</v>
      </c>
      <c r="DZ57" s="3">
        <v>50133.725251756725</v>
      </c>
      <c r="EA57" s="3">
        <v>45735.37517142087</v>
      </c>
      <c r="EB57" s="3">
        <v>47402.515860646199</v>
      </c>
      <c r="EC57" s="3">
        <v>44015.648117372381</v>
      </c>
      <c r="ED57" s="3">
        <v>43721.135646819552</v>
      </c>
    </row>
    <row r="58" spans="1:134">
      <c r="A58" t="s">
        <v>185</v>
      </c>
      <c r="B58" s="151">
        <v>14617.708000000001</v>
      </c>
      <c r="C58" s="151">
        <v>14653.888000000001</v>
      </c>
      <c r="D58" s="151">
        <v>15249.796</v>
      </c>
      <c r="E58" s="151">
        <v>13982.544</v>
      </c>
      <c r="F58" s="151">
        <v>12823.317999999999</v>
      </c>
      <c r="G58" s="151">
        <v>13499.29</v>
      </c>
      <c r="H58" s="151">
        <v>13961.482</v>
      </c>
      <c r="I58" s="151">
        <v>13733.263999999999</v>
      </c>
      <c r="J58" s="3">
        <v>14210.705</v>
      </c>
      <c r="K58" s="3">
        <v>14153.252</v>
      </c>
      <c r="L58" s="3">
        <v>14095.62</v>
      </c>
      <c r="M58" s="3">
        <v>14652.42</v>
      </c>
      <c r="N58" s="3">
        <v>15819.88</v>
      </c>
      <c r="O58" s="3">
        <v>16327.934999999999</v>
      </c>
      <c r="P58" s="3">
        <v>16492.204000000002</v>
      </c>
      <c r="Q58" s="3">
        <v>15921.165000000001</v>
      </c>
      <c r="R58" s="3">
        <v>16274.111999999999</v>
      </c>
      <c r="S58" s="3">
        <v>15074.146000000001</v>
      </c>
      <c r="T58" s="3">
        <v>13679.633770983331</v>
      </c>
      <c r="U58" s="151">
        <v>31320.721000000001</v>
      </c>
      <c r="V58" s="151">
        <v>32628.112000000001</v>
      </c>
      <c r="W58" s="151">
        <v>31069.383999999998</v>
      </c>
      <c r="X58" s="151">
        <v>32152.132000000001</v>
      </c>
      <c r="Y58" s="151">
        <v>32050.104049488898</v>
      </c>
      <c r="Z58" s="151">
        <v>35087.770608197199</v>
      </c>
      <c r="AA58" s="151">
        <v>32804.202979841401</v>
      </c>
      <c r="AB58" s="151">
        <v>33475.128749307303</v>
      </c>
      <c r="AC58" s="3">
        <v>32766.296797458701</v>
      </c>
      <c r="AD58" s="3">
        <v>31004.837980605698</v>
      </c>
      <c r="AE58" s="3">
        <v>30992.7383832999</v>
      </c>
      <c r="AF58" s="3">
        <v>32708.776248017599</v>
      </c>
      <c r="AG58" s="3">
        <v>32796.287258526798</v>
      </c>
      <c r="AH58" s="3">
        <v>35195.494477022999</v>
      </c>
      <c r="AI58" s="3">
        <v>33379.842557561897</v>
      </c>
      <c r="AJ58" s="3">
        <v>32968.482098309003</v>
      </c>
      <c r="AK58" s="3">
        <v>34786.6675133276</v>
      </c>
      <c r="AL58" s="3">
        <v>32480.2934409095</v>
      </c>
      <c r="AM58" s="3">
        <v>32480.2934409095</v>
      </c>
      <c r="AN58" s="151">
        <v>12502.725999999999</v>
      </c>
      <c r="AO58" s="151">
        <v>13844.712</v>
      </c>
      <c r="AP58" s="151">
        <v>15200.548999999999</v>
      </c>
      <c r="AQ58" s="151">
        <v>15915.203000000001</v>
      </c>
      <c r="AR58" s="151">
        <v>16008.913999999999</v>
      </c>
      <c r="AS58" s="151">
        <v>16828.276000000002</v>
      </c>
      <c r="AT58" s="151">
        <v>16991.04</v>
      </c>
      <c r="AU58" s="151">
        <v>16411.186000000002</v>
      </c>
      <c r="AV58" s="3">
        <v>15522.346000000001</v>
      </c>
      <c r="AW58" s="3">
        <v>15683.977000000001</v>
      </c>
      <c r="AX58" s="3">
        <v>16556.733</v>
      </c>
      <c r="AY58" s="3">
        <v>18782.749</v>
      </c>
      <c r="AZ58" s="3">
        <v>21677.482</v>
      </c>
      <c r="BA58" s="3">
        <v>22443.383000000002</v>
      </c>
      <c r="BB58" s="3">
        <v>22833.304</v>
      </c>
      <c r="BC58" s="3">
        <v>21196.263000000003</v>
      </c>
      <c r="BD58" s="3">
        <v>22981.512000000002</v>
      </c>
      <c r="BE58" s="3">
        <v>23674.309000000001</v>
      </c>
      <c r="BF58" s="3">
        <v>24152.654680216139</v>
      </c>
      <c r="BG58" s="151">
        <v>49.664000000000001</v>
      </c>
      <c r="BH58" s="151">
        <v>90.591999999999999</v>
      </c>
      <c r="BI58" s="151">
        <v>96.698999999999998</v>
      </c>
      <c r="BJ58" s="151">
        <v>437.06</v>
      </c>
      <c r="BK58" s="151">
        <v>635.88800000000003</v>
      </c>
      <c r="BL58" s="151">
        <v>867.42499999999995</v>
      </c>
      <c r="BM58" s="151">
        <v>915.53499999999997</v>
      </c>
      <c r="BN58" s="151">
        <v>807.34900000000005</v>
      </c>
      <c r="BO58" s="3">
        <v>747.53099999999995</v>
      </c>
      <c r="BP58" s="3">
        <v>705.37</v>
      </c>
      <c r="BQ58" s="3">
        <v>653.428</v>
      </c>
      <c r="BR58" s="3">
        <v>457.41699999999997</v>
      </c>
      <c r="BS58" s="3">
        <v>604.88699999999994</v>
      </c>
      <c r="BT58" s="3">
        <v>912.404</v>
      </c>
      <c r="BU58" s="3">
        <v>1025.104</v>
      </c>
      <c r="BV58" s="3">
        <v>1039.5309999999999</v>
      </c>
      <c r="BW58" s="3">
        <v>1119.6869999999999</v>
      </c>
      <c r="BX58" s="3">
        <v>1203.421</v>
      </c>
      <c r="BY58" s="3">
        <v>1263.0144999999902</v>
      </c>
      <c r="BZ58" s="151">
        <v>12552.39</v>
      </c>
      <c r="CA58" s="151">
        <v>13935.304</v>
      </c>
      <c r="CB58" s="151">
        <v>15297.248</v>
      </c>
      <c r="CC58" s="151">
        <v>16352.263000000001</v>
      </c>
      <c r="CD58" s="151">
        <v>16644.802</v>
      </c>
      <c r="CE58" s="151">
        <v>17695.701000000001</v>
      </c>
      <c r="CF58" s="151">
        <v>17906.575000000001</v>
      </c>
      <c r="CG58" s="151">
        <v>17218.535</v>
      </c>
      <c r="CH58" s="3">
        <v>16269.877</v>
      </c>
      <c r="CI58" s="3">
        <v>16389.347000000002</v>
      </c>
      <c r="CJ58" s="3">
        <v>17210.161</v>
      </c>
      <c r="CK58" s="3">
        <v>19240.166000000001</v>
      </c>
      <c r="CL58" s="3">
        <v>22282.368999999999</v>
      </c>
      <c r="CM58" s="3">
        <v>23355.787</v>
      </c>
      <c r="CN58" s="3">
        <v>23858.407999999999</v>
      </c>
      <c r="CO58" s="3">
        <v>22235.794000000002</v>
      </c>
      <c r="CP58" s="3">
        <v>24101.199000000001</v>
      </c>
      <c r="CQ58" s="3">
        <v>24877.73</v>
      </c>
      <c r="CR58" s="3">
        <v>25415.669180216129</v>
      </c>
      <c r="CS58" s="151">
        <v>58490.819000000003</v>
      </c>
      <c r="CT58" s="151">
        <v>61217.304000000004</v>
      </c>
      <c r="CU58" s="151">
        <v>61616.428</v>
      </c>
      <c r="CV58" s="151">
        <v>62486.938999999998</v>
      </c>
      <c r="CW58" s="151">
        <v>61518.224049488897</v>
      </c>
      <c r="CX58" s="151">
        <v>66282.761608197208</v>
      </c>
      <c r="CY58" s="151">
        <v>64672.259979841401</v>
      </c>
      <c r="CZ58" s="151">
        <v>64426.927749307302</v>
      </c>
      <c r="DA58" s="3">
        <v>63246.878797458703</v>
      </c>
      <c r="DB58" s="3">
        <v>61547.4369806057</v>
      </c>
      <c r="DC58" s="3">
        <v>62298.519383299907</v>
      </c>
      <c r="DD58" s="3">
        <v>66601.362248017598</v>
      </c>
      <c r="DE58" s="3">
        <v>70898.536258526787</v>
      </c>
      <c r="DF58" s="3">
        <v>74879.216477023001</v>
      </c>
      <c r="DG58" s="3">
        <v>73730.454557561898</v>
      </c>
      <c r="DH58" s="3">
        <v>71125.441098309006</v>
      </c>
      <c r="DI58" s="3">
        <v>75161.978513327602</v>
      </c>
      <c r="DJ58" s="3">
        <v>72432.169440909507</v>
      </c>
      <c r="DK58" s="3">
        <v>71575.596392108957</v>
      </c>
      <c r="DL58" s="151">
        <v>59683.892610019517</v>
      </c>
      <c r="DM58" s="151">
        <v>62465.99142013926</v>
      </c>
      <c r="DN58" s="151">
        <v>62873.256600578621</v>
      </c>
      <c r="DO58" s="151">
        <v>63761.523954808021</v>
      </c>
      <c r="DP58" s="151">
        <v>62773.04952301686</v>
      </c>
      <c r="DQ58" s="151">
        <v>67634.77231733012</v>
      </c>
      <c r="DR58" s="151">
        <v>65991.420285705302</v>
      </c>
      <c r="DS58" s="151">
        <v>65741.083861095249</v>
      </c>
      <c r="DT58" s="3">
        <v>64536.964716914728</v>
      </c>
      <c r="DU58" s="3">
        <v>62802.858328456889</v>
      </c>
      <c r="DV58" s="3">
        <v>63569.261026009757</v>
      </c>
      <c r="DW58" s="3">
        <v>67959.871652535599</v>
      </c>
      <c r="DX58" s="3">
        <v>72344.697793708227</v>
      </c>
      <c r="DY58" s="3">
        <v>76406.574422167774</v>
      </c>
      <c r="DZ58" s="3">
        <v>75234.380491431453</v>
      </c>
      <c r="EA58" s="3">
        <v>72576.230952617421</v>
      </c>
      <c r="EB58" s="3">
        <v>76695.104131573855</v>
      </c>
      <c r="EC58" s="3">
        <v>73909.61344586371</v>
      </c>
      <c r="ED58" s="3">
        <v>73035.568343892242</v>
      </c>
    </row>
    <row r="59" spans="1:134">
      <c r="A59" t="s">
        <v>149</v>
      </c>
      <c r="B59" s="151">
        <v>5797.28</v>
      </c>
      <c r="C59" s="151">
        <v>5764.9210000000003</v>
      </c>
      <c r="D59" s="151">
        <v>5846.3680000000004</v>
      </c>
      <c r="E59" s="151">
        <v>5525.8729999999996</v>
      </c>
      <c r="F59" s="151">
        <v>5213.5959999999995</v>
      </c>
      <c r="G59" s="151">
        <v>5456.0219999999999</v>
      </c>
      <c r="H59" s="151">
        <v>5351.6409999999996</v>
      </c>
      <c r="I59" s="151">
        <v>4606.1710000000003</v>
      </c>
      <c r="J59" s="3">
        <v>4598.6469999999999</v>
      </c>
      <c r="K59" s="3">
        <v>4405.4989999999998</v>
      </c>
      <c r="L59" s="3">
        <v>4411.5209999999997</v>
      </c>
      <c r="M59" s="3">
        <v>4381.4470000000001</v>
      </c>
      <c r="N59" s="3">
        <v>4525.2969999999996</v>
      </c>
      <c r="O59" s="3">
        <v>4553.9009999999998</v>
      </c>
      <c r="P59" s="3">
        <v>4618.1279999999997</v>
      </c>
      <c r="Q59" s="3">
        <v>4447.5389999999998</v>
      </c>
      <c r="R59" s="3">
        <v>4531.067</v>
      </c>
      <c r="S59" s="3">
        <v>4496.5420000000004</v>
      </c>
      <c r="T59" s="3">
        <v>4496.5420000000004</v>
      </c>
      <c r="U59" s="151">
        <v>6025.8270000000002</v>
      </c>
      <c r="V59" s="151">
        <v>5733.1559999999999</v>
      </c>
      <c r="W59" s="151">
        <v>5766.25</v>
      </c>
      <c r="X59" s="151">
        <v>5525.6469999999999</v>
      </c>
      <c r="Y59" s="151">
        <v>5698.2560000000003</v>
      </c>
      <c r="Z59" s="151">
        <v>5347.8339999999998</v>
      </c>
      <c r="AA59" s="151">
        <v>5087.3549999999996</v>
      </c>
      <c r="AB59" s="151">
        <v>4974.1080000000002</v>
      </c>
      <c r="AC59" s="3">
        <v>4874.2020000000002</v>
      </c>
      <c r="AD59" s="3">
        <v>4921.6116337059202</v>
      </c>
      <c r="AE59" s="3">
        <v>4983.2884373746001</v>
      </c>
      <c r="AF59" s="3">
        <v>4963.8891729244197</v>
      </c>
      <c r="AG59" s="3">
        <v>4962.1843562625299</v>
      </c>
      <c r="AH59" s="3">
        <v>5101.3333984904802</v>
      </c>
      <c r="AI59" s="3">
        <v>5072.7305114168203</v>
      </c>
      <c r="AJ59" s="3">
        <v>4987.4981199961703</v>
      </c>
      <c r="AK59" s="3">
        <v>5018.1014899206903</v>
      </c>
      <c r="AL59" s="3">
        <v>5030.0931776057896</v>
      </c>
      <c r="AM59" s="3">
        <v>5030.0931776057896</v>
      </c>
      <c r="AN59" s="151">
        <v>7188.2039999999997</v>
      </c>
      <c r="AO59" s="151">
        <v>7174.0170000000007</v>
      </c>
      <c r="AP59" s="151">
        <v>7224.2339999999995</v>
      </c>
      <c r="AQ59" s="151">
        <v>7268.5650000000005</v>
      </c>
      <c r="AR59" s="151">
        <v>7118.0429999999997</v>
      </c>
      <c r="AS59" s="151">
        <v>7034.6980000000003</v>
      </c>
      <c r="AT59" s="151">
        <v>6624.2709999999997</v>
      </c>
      <c r="AU59" s="151">
        <v>6181.3779999999997</v>
      </c>
      <c r="AV59" s="3">
        <v>6107.7440000000006</v>
      </c>
      <c r="AW59" s="3">
        <v>6169.5060000000003</v>
      </c>
      <c r="AX59" s="3">
        <v>6274.991</v>
      </c>
      <c r="AY59" s="3">
        <v>6575.1270000000004</v>
      </c>
      <c r="AZ59" s="3">
        <v>6826.47</v>
      </c>
      <c r="BA59" s="3">
        <v>6949.0529999999999</v>
      </c>
      <c r="BB59" s="3">
        <v>7168.7219999999998</v>
      </c>
      <c r="BC59" s="3">
        <v>5282.83</v>
      </c>
      <c r="BD59" s="3">
        <v>5793.701</v>
      </c>
      <c r="BE59" s="3">
        <v>6843.0239999999994</v>
      </c>
      <c r="BF59" s="3">
        <v>7254.4725861451707</v>
      </c>
      <c r="BG59" s="151">
        <v>0</v>
      </c>
      <c r="BH59" s="151">
        <v>71.628</v>
      </c>
      <c r="BI59" s="151">
        <v>121.876</v>
      </c>
      <c r="BJ59" s="151">
        <v>125.566</v>
      </c>
      <c r="BK59" s="151">
        <v>208.095</v>
      </c>
      <c r="BL59" s="151">
        <v>309.13</v>
      </c>
      <c r="BM59" s="151">
        <v>293.07600000000002</v>
      </c>
      <c r="BN59" s="151">
        <v>273.238</v>
      </c>
      <c r="BO59" s="3">
        <v>261.30200000000002</v>
      </c>
      <c r="BP59" s="3">
        <v>261.16399999999999</v>
      </c>
      <c r="BQ59" s="3">
        <v>326.74299999999999</v>
      </c>
      <c r="BR59" s="3">
        <v>265.101</v>
      </c>
      <c r="BS59" s="3">
        <v>242.86199999999999</v>
      </c>
      <c r="BT59" s="3">
        <v>262.399</v>
      </c>
      <c r="BU59" s="3">
        <v>272.09300000000002</v>
      </c>
      <c r="BV59" s="3">
        <v>243.22900000000001</v>
      </c>
      <c r="BW59" s="3">
        <v>340.233</v>
      </c>
      <c r="BX59" s="3">
        <v>341.113</v>
      </c>
      <c r="BY59" s="3">
        <v>342.08266267308755</v>
      </c>
      <c r="BZ59" s="151">
        <v>7188.2039999999997</v>
      </c>
      <c r="CA59" s="151">
        <v>7245.6450000000004</v>
      </c>
      <c r="CB59" s="151">
        <v>7346.11</v>
      </c>
      <c r="CC59" s="151">
        <v>7394.1310000000003</v>
      </c>
      <c r="CD59" s="151">
        <v>7326.1379999999999</v>
      </c>
      <c r="CE59" s="151">
        <v>7343.8280000000004</v>
      </c>
      <c r="CF59" s="151">
        <v>6917.3469999999998</v>
      </c>
      <c r="CG59" s="151">
        <v>6454.616</v>
      </c>
      <c r="CH59" s="3">
        <v>6369.0460000000003</v>
      </c>
      <c r="CI59" s="3">
        <v>6430.67</v>
      </c>
      <c r="CJ59" s="3">
        <v>6601.7340000000004</v>
      </c>
      <c r="CK59" s="3">
        <v>6840.2280000000001</v>
      </c>
      <c r="CL59" s="3">
        <v>7069.3320000000003</v>
      </c>
      <c r="CM59" s="3">
        <v>7211.4520000000002</v>
      </c>
      <c r="CN59" s="3">
        <v>7440.8149999999996</v>
      </c>
      <c r="CO59" s="3">
        <v>5526.0590000000002</v>
      </c>
      <c r="CP59" s="3">
        <v>6133.9340000000002</v>
      </c>
      <c r="CQ59" s="3">
        <v>7184.1369999999997</v>
      </c>
      <c r="CR59" s="3">
        <v>7596.5552488182584</v>
      </c>
      <c r="CS59" s="151">
        <v>19011.311000000002</v>
      </c>
      <c r="CT59" s="151">
        <v>18743.722000000002</v>
      </c>
      <c r="CU59" s="151">
        <v>18958.727999999999</v>
      </c>
      <c r="CV59" s="151">
        <v>18445.651000000002</v>
      </c>
      <c r="CW59" s="151">
        <v>18237.990000000002</v>
      </c>
      <c r="CX59" s="151">
        <v>18147.684000000001</v>
      </c>
      <c r="CY59" s="151">
        <v>17356.343000000001</v>
      </c>
      <c r="CZ59" s="151">
        <v>16034.895</v>
      </c>
      <c r="DA59" s="3">
        <v>15841.895</v>
      </c>
      <c r="DB59" s="3">
        <v>15757.780633705919</v>
      </c>
      <c r="DC59" s="3">
        <v>15996.543437374601</v>
      </c>
      <c r="DD59" s="3">
        <v>16185.56417292442</v>
      </c>
      <c r="DE59" s="3">
        <v>16556.81335626253</v>
      </c>
      <c r="DF59" s="3">
        <v>16866.686398490478</v>
      </c>
      <c r="DG59" s="3">
        <v>17131.673511416819</v>
      </c>
      <c r="DH59" s="3">
        <v>14961.096119996171</v>
      </c>
      <c r="DI59" s="3">
        <v>15683.10248992069</v>
      </c>
      <c r="DJ59" s="3">
        <v>16710.772177605788</v>
      </c>
      <c r="DK59" s="3">
        <v>17123.190426424051</v>
      </c>
      <c r="DL59" s="151">
        <v>19535.246586040786</v>
      </c>
      <c r="DM59" s="151">
        <v>19260.283060447415</v>
      </c>
      <c r="DN59" s="151">
        <v>19481.214443216242</v>
      </c>
      <c r="DO59" s="151">
        <v>18953.997476820499</v>
      </c>
      <c r="DP59" s="151">
        <v>18740.613516014018</v>
      </c>
      <c r="DQ59" s="151">
        <v>18647.818759345268</v>
      </c>
      <c r="DR59" s="151">
        <v>17834.669073421759</v>
      </c>
      <c r="DS59" s="151">
        <v>16476.803088765024</v>
      </c>
      <c r="DT59" s="3">
        <v>16278.484172667871</v>
      </c>
      <c r="DU59" s="3">
        <v>16192.051685871804</v>
      </c>
      <c r="DV59" s="3">
        <v>16437.394589643256</v>
      </c>
      <c r="DW59" s="3">
        <v>16631.624576141319</v>
      </c>
      <c r="DX59" s="3">
        <v>17013.105071693481</v>
      </c>
      <c r="DY59" s="3">
        <v>17331.517951809408</v>
      </c>
      <c r="DZ59" s="3">
        <v>17603.80788453099</v>
      </c>
      <c r="EA59" s="3">
        <v>15373.411223538622</v>
      </c>
      <c r="EB59" s="3">
        <v>16115.315475863337</v>
      </c>
      <c r="EC59" s="3">
        <v>17171.306867405347</v>
      </c>
      <c r="ED59" s="3">
        <v>17595.091012919976</v>
      </c>
    </row>
    <row r="60" spans="1:134">
      <c r="A60" t="s">
        <v>186</v>
      </c>
      <c r="B60" s="151">
        <v>8997.6509999999998</v>
      </c>
      <c r="C60" s="151">
        <v>8653.8019999999997</v>
      </c>
      <c r="D60" s="151">
        <v>8336.5709999999999</v>
      </c>
      <c r="E60" s="151">
        <v>8318.6810000000005</v>
      </c>
      <c r="F60" s="151">
        <v>6144.6260000000002</v>
      </c>
      <c r="G60" s="151">
        <v>6484.1949999999997</v>
      </c>
      <c r="H60" s="151">
        <v>7059.692</v>
      </c>
      <c r="I60" s="151">
        <v>6748.2550000000001</v>
      </c>
      <c r="J60" s="3">
        <v>6272.8450000000003</v>
      </c>
      <c r="K60" s="3">
        <v>6427.4250000000002</v>
      </c>
      <c r="L60" s="3">
        <v>6418.8980000000001</v>
      </c>
      <c r="M60" s="3">
        <v>6263.7960000000003</v>
      </c>
      <c r="N60" s="3">
        <v>6437.7290000000003</v>
      </c>
      <c r="O60" s="3">
        <v>6612.433</v>
      </c>
      <c r="P60" s="3">
        <v>6661.0630000000001</v>
      </c>
      <c r="Q60" s="3">
        <v>6437.0309999999999</v>
      </c>
      <c r="R60" s="3">
        <v>6856.3429999999998</v>
      </c>
      <c r="S60" s="3">
        <v>5739.7460000000001</v>
      </c>
      <c r="T60" s="3">
        <v>5382.4664773236309</v>
      </c>
      <c r="U60" s="151">
        <v>11321.284</v>
      </c>
      <c r="V60" s="151">
        <v>11690.213</v>
      </c>
      <c r="W60" s="151">
        <v>11097.148999999999</v>
      </c>
      <c r="X60" s="151">
        <v>11069.286</v>
      </c>
      <c r="Y60" s="151">
        <v>10682.331</v>
      </c>
      <c r="Z60" s="151">
        <v>10923.544</v>
      </c>
      <c r="AA60" s="151">
        <v>10318.379000000001</v>
      </c>
      <c r="AB60" s="151">
        <v>10566.513000000001</v>
      </c>
      <c r="AC60" s="3">
        <v>10169.469999999999</v>
      </c>
      <c r="AD60" s="3">
        <v>9785.1650000000009</v>
      </c>
      <c r="AE60" s="3">
        <v>9853.9240000000009</v>
      </c>
      <c r="AF60" s="3">
        <v>9944.125</v>
      </c>
      <c r="AG60" s="3">
        <v>10402.558999999999</v>
      </c>
      <c r="AH60" s="3">
        <v>10538.656000000001</v>
      </c>
      <c r="AI60" s="3">
        <v>10489.942999999999</v>
      </c>
      <c r="AJ60" s="3">
        <v>10584.203</v>
      </c>
      <c r="AK60" s="3">
        <v>11554.844999999999</v>
      </c>
      <c r="AL60" s="3">
        <v>10747.066000000001</v>
      </c>
      <c r="AM60" s="3">
        <v>10747.066000000001</v>
      </c>
      <c r="AN60" s="151">
        <v>4280.4340000000002</v>
      </c>
      <c r="AO60" s="151">
        <v>4423.6000000000004</v>
      </c>
      <c r="AP60" s="151">
        <v>4660.3059999999996</v>
      </c>
      <c r="AQ60" s="151">
        <v>5187.7079999999996</v>
      </c>
      <c r="AR60" s="151">
        <v>5254.1219999999994</v>
      </c>
      <c r="AS60" s="151">
        <v>5015.9229999999998</v>
      </c>
      <c r="AT60" s="151">
        <v>5161.8239999999996</v>
      </c>
      <c r="AU60" s="151">
        <v>5260.268</v>
      </c>
      <c r="AV60" s="3">
        <v>5150.3860000000004</v>
      </c>
      <c r="AW60" s="3">
        <v>5306.0739999999996</v>
      </c>
      <c r="AX60" s="3">
        <v>5374.4570000000003</v>
      </c>
      <c r="AY60" s="3">
        <v>5771.2910000000002</v>
      </c>
      <c r="AZ60" s="3">
        <v>6187.7710000000006</v>
      </c>
      <c r="BA60" s="3">
        <v>6144.0019999999995</v>
      </c>
      <c r="BB60" s="3">
        <v>6312.1449999999995</v>
      </c>
      <c r="BC60" s="3">
        <v>6024.8209999999999</v>
      </c>
      <c r="BD60" s="3">
        <v>6465.7089999999998</v>
      </c>
      <c r="BE60" s="3">
        <v>6974.05</v>
      </c>
      <c r="BF60" s="3">
        <v>6677.8979015467394</v>
      </c>
      <c r="BG60" s="151">
        <v>0.66900000000000004</v>
      </c>
      <c r="BH60" s="151">
        <v>0.59699999999999998</v>
      </c>
      <c r="BI60" s="151">
        <v>41.817</v>
      </c>
      <c r="BJ60" s="151">
        <v>107.265</v>
      </c>
      <c r="BK60" s="151">
        <v>163.01499999999999</v>
      </c>
      <c r="BL60" s="151">
        <v>116.08499999999999</v>
      </c>
      <c r="BM60" s="151">
        <v>196.01400000000001</v>
      </c>
      <c r="BN60" s="151">
        <v>187.61199999999999</v>
      </c>
      <c r="BO60" s="3">
        <v>203.75299999999999</v>
      </c>
      <c r="BP60" s="3">
        <v>166.96100000000001</v>
      </c>
      <c r="BQ60" s="3">
        <v>202.52600000000001</v>
      </c>
      <c r="BR60" s="3">
        <v>257.30200000000002</v>
      </c>
      <c r="BS60" s="3">
        <v>297.36</v>
      </c>
      <c r="BT60" s="3">
        <v>297.11200000000002</v>
      </c>
      <c r="BU60" s="3">
        <v>412.38</v>
      </c>
      <c r="BV60" s="3">
        <v>483.28899999999999</v>
      </c>
      <c r="BW60" s="3">
        <v>495.79199999999997</v>
      </c>
      <c r="BX60" s="3">
        <v>558.71799999999996</v>
      </c>
      <c r="BY60" s="3">
        <v>631.44539999999688</v>
      </c>
      <c r="BZ60" s="151">
        <v>4281.1030000000001</v>
      </c>
      <c r="CA60" s="151">
        <v>4424.1970000000001</v>
      </c>
      <c r="CB60" s="151">
        <v>4702.1229999999996</v>
      </c>
      <c r="CC60" s="151">
        <v>5294.973</v>
      </c>
      <c r="CD60" s="151">
        <v>5417.1369999999997</v>
      </c>
      <c r="CE60" s="151">
        <v>5132.0079999999998</v>
      </c>
      <c r="CF60" s="151">
        <v>5357.8379999999997</v>
      </c>
      <c r="CG60" s="151">
        <v>5447.88</v>
      </c>
      <c r="CH60" s="3">
        <v>5354.1390000000001</v>
      </c>
      <c r="CI60" s="3">
        <v>5473.0349999999999</v>
      </c>
      <c r="CJ60" s="3">
        <v>5576.9830000000002</v>
      </c>
      <c r="CK60" s="3">
        <v>6028.5929999999998</v>
      </c>
      <c r="CL60" s="3">
        <v>6485.1310000000003</v>
      </c>
      <c r="CM60" s="3">
        <v>6441.1139999999996</v>
      </c>
      <c r="CN60" s="3">
        <v>6724.5249999999996</v>
      </c>
      <c r="CO60" s="3">
        <v>6508.11</v>
      </c>
      <c r="CP60" s="3">
        <v>6961.5010000000002</v>
      </c>
      <c r="CQ60" s="3">
        <v>7532.768</v>
      </c>
      <c r="CR60" s="3">
        <v>7309.3433015467363</v>
      </c>
      <c r="CS60" s="151">
        <v>24600.038</v>
      </c>
      <c r="CT60" s="151">
        <v>24768.212</v>
      </c>
      <c r="CU60" s="151">
        <v>24135.843000000001</v>
      </c>
      <c r="CV60" s="151">
        <v>24682.940000000002</v>
      </c>
      <c r="CW60" s="151">
        <v>22244.093999999997</v>
      </c>
      <c r="CX60" s="151">
        <v>22539.746999999999</v>
      </c>
      <c r="CY60" s="151">
        <v>22735.909</v>
      </c>
      <c r="CZ60" s="151">
        <v>22762.648000000001</v>
      </c>
      <c r="DA60" s="3">
        <v>21796.453999999998</v>
      </c>
      <c r="DB60" s="3">
        <v>21685.625</v>
      </c>
      <c r="DC60" s="3">
        <v>21849.805</v>
      </c>
      <c r="DD60" s="3">
        <v>22236.513999999999</v>
      </c>
      <c r="DE60" s="3">
        <v>23325.419000000002</v>
      </c>
      <c r="DF60" s="3">
        <v>23592.203000000001</v>
      </c>
      <c r="DG60" s="3">
        <v>23875.530999999999</v>
      </c>
      <c r="DH60" s="3">
        <v>23529.343999999997</v>
      </c>
      <c r="DI60" s="3">
        <v>25372.688999999998</v>
      </c>
      <c r="DJ60" s="3">
        <v>24019.58</v>
      </c>
      <c r="DK60" s="3">
        <v>23438.875778870366</v>
      </c>
      <c r="DL60" s="151">
        <v>25433.262672806053</v>
      </c>
      <c r="DM60" s="151">
        <v>25607.132872386086</v>
      </c>
      <c r="DN60" s="151">
        <v>24953.344984613734</v>
      </c>
      <c r="DO60" s="151">
        <v>25518.972635615908</v>
      </c>
      <c r="DP60" s="151">
        <v>22997.520801414576</v>
      </c>
      <c r="DQ60" s="151">
        <v>23303.187825546942</v>
      </c>
      <c r="DR60" s="151">
        <v>23505.994003018008</v>
      </c>
      <c r="DS60" s="151">
        <v>23533.638676193237</v>
      </c>
      <c r="DT60" s="3">
        <v>22534.718845464144</v>
      </c>
      <c r="DU60" s="3">
        <v>22420.135970886295</v>
      </c>
      <c r="DV60" s="3">
        <v>22589.876890214196</v>
      </c>
      <c r="DW60" s="3">
        <v>22989.684060224994</v>
      </c>
      <c r="DX60" s="3">
        <v>24115.471219201412</v>
      </c>
      <c r="DY60" s="3">
        <v>24391.291425206862</v>
      </c>
      <c r="DZ60" s="3">
        <v>24684.215990874636</v>
      </c>
      <c r="EA60" s="3">
        <v>24326.303336231147</v>
      </c>
      <c r="EB60" s="3">
        <v>26232.084033870869</v>
      </c>
      <c r="EC60" s="3">
        <v>24833.144055731897</v>
      </c>
      <c r="ED60" s="3">
        <v>24232.770877804396</v>
      </c>
    </row>
    <row r="61" spans="1:134">
      <c r="A61" t="s">
        <v>187</v>
      </c>
      <c r="B61" s="151">
        <v>11706.592000000001</v>
      </c>
      <c r="C61" s="151">
        <v>11936.579</v>
      </c>
      <c r="D61" s="151">
        <v>12042.933999999999</v>
      </c>
      <c r="E61" s="151">
        <v>11713.184999999999</v>
      </c>
      <c r="F61" s="151">
        <v>10894.581</v>
      </c>
      <c r="G61" s="151">
        <v>11649.777</v>
      </c>
      <c r="H61" s="151">
        <v>11290.404</v>
      </c>
      <c r="I61" s="151">
        <v>11244.099</v>
      </c>
      <c r="J61" s="3">
        <v>11029.727999999999</v>
      </c>
      <c r="K61" s="3">
        <v>10799.075000000001</v>
      </c>
      <c r="L61" s="3">
        <v>11019.17</v>
      </c>
      <c r="M61" s="3">
        <v>10971.244000000001</v>
      </c>
      <c r="N61" s="3">
        <v>10917.194</v>
      </c>
      <c r="O61" s="3">
        <v>11013.378000000001</v>
      </c>
      <c r="P61" s="3">
        <v>10891.752</v>
      </c>
      <c r="Q61" s="3">
        <v>11154.427</v>
      </c>
      <c r="R61" s="3">
        <v>11120.715</v>
      </c>
      <c r="S61" s="3">
        <v>11178.307000000001</v>
      </c>
      <c r="T61" s="3">
        <v>11097.550952666727</v>
      </c>
      <c r="U61" s="151">
        <v>13415.764999999999</v>
      </c>
      <c r="V61" s="151">
        <v>12972.31</v>
      </c>
      <c r="W61" s="151">
        <v>12911.200999999999</v>
      </c>
      <c r="X61" s="151">
        <v>12639.826999999999</v>
      </c>
      <c r="Y61" s="151">
        <v>12393.666999999999</v>
      </c>
      <c r="Z61" s="151">
        <v>14132.816000000001</v>
      </c>
      <c r="AA61" s="151">
        <v>12980.2935398872</v>
      </c>
      <c r="AB61" s="151">
        <v>13374.9008639534</v>
      </c>
      <c r="AC61" s="3">
        <v>13035.6364965128</v>
      </c>
      <c r="AD61" s="3">
        <v>12534.2024758765</v>
      </c>
      <c r="AE61" s="3">
        <v>12729.153475876499</v>
      </c>
      <c r="AF61" s="3">
        <v>13220.334705646301</v>
      </c>
      <c r="AG61" s="3">
        <v>12998.0593843508</v>
      </c>
      <c r="AH61" s="3">
        <v>12851.630724754001</v>
      </c>
      <c r="AI61" s="3">
        <v>12721.517724754</v>
      </c>
      <c r="AJ61" s="3">
        <v>12418.9356903602</v>
      </c>
      <c r="AK61" s="3">
        <v>13400.1433181427</v>
      </c>
      <c r="AL61" s="3">
        <v>12572.491597783501</v>
      </c>
      <c r="AM61" s="3">
        <v>12572.491597783501</v>
      </c>
      <c r="AN61" s="151">
        <v>7976.665</v>
      </c>
      <c r="AO61" s="151">
        <v>8045.5820000000003</v>
      </c>
      <c r="AP61" s="151">
        <v>8081.6350000000002</v>
      </c>
      <c r="AQ61" s="151">
        <v>8009.393</v>
      </c>
      <c r="AR61" s="151">
        <v>7768.0540000000001</v>
      </c>
      <c r="AS61" s="151">
        <v>7850.081000000001</v>
      </c>
      <c r="AT61" s="151">
        <v>7816.4560000000001</v>
      </c>
      <c r="AU61" s="151">
        <v>7435.8249999999998</v>
      </c>
      <c r="AV61" s="3">
        <v>7361.8010000000004</v>
      </c>
      <c r="AW61" s="3">
        <v>7110.2280000000001</v>
      </c>
      <c r="AX61" s="3">
        <v>7136.366</v>
      </c>
      <c r="AY61" s="3">
        <v>6953.8029999999999</v>
      </c>
      <c r="AZ61" s="3">
        <v>6826.73</v>
      </c>
      <c r="BA61" s="3">
        <v>6586.9220000000005</v>
      </c>
      <c r="BB61" s="3">
        <v>6523.527</v>
      </c>
      <c r="BC61" s="3">
        <v>5548.0190000000002</v>
      </c>
      <c r="BD61" s="3">
        <v>5731.92</v>
      </c>
      <c r="BE61" s="3">
        <v>5542.8950000000004</v>
      </c>
      <c r="BF61" s="3">
        <v>5578.1406506494977</v>
      </c>
      <c r="BG61" s="151">
        <v>144.816</v>
      </c>
      <c r="BH61" s="151">
        <v>194.91900000000001</v>
      </c>
      <c r="BI61" s="151">
        <v>255.43700000000001</v>
      </c>
      <c r="BJ61" s="151">
        <v>326.42700000000002</v>
      </c>
      <c r="BK61" s="151">
        <v>338.13</v>
      </c>
      <c r="BL61" s="151">
        <v>359.28</v>
      </c>
      <c r="BM61" s="151">
        <v>453.911</v>
      </c>
      <c r="BN61" s="151">
        <v>519.21900000000005</v>
      </c>
      <c r="BO61" s="3">
        <v>601.96299999999997</v>
      </c>
      <c r="BP61" s="3">
        <v>776.16899999999998</v>
      </c>
      <c r="BQ61" s="3">
        <v>917.51700000000005</v>
      </c>
      <c r="BR61" s="3">
        <v>1113.6769999999999</v>
      </c>
      <c r="BS61" s="3">
        <v>1375.7139999999999</v>
      </c>
      <c r="BT61" s="3">
        <v>1482.348</v>
      </c>
      <c r="BU61" s="3">
        <v>1397.93</v>
      </c>
      <c r="BV61" s="3">
        <v>1406.15</v>
      </c>
      <c r="BW61" s="3">
        <v>1451.444</v>
      </c>
      <c r="BX61" s="3">
        <v>1675.864</v>
      </c>
      <c r="BY61" s="3">
        <v>1676.5329676805043</v>
      </c>
      <c r="BZ61" s="151">
        <v>8121.4809999999998</v>
      </c>
      <c r="CA61" s="151">
        <v>8240.5010000000002</v>
      </c>
      <c r="CB61" s="151">
        <v>8337.0720000000001</v>
      </c>
      <c r="CC61" s="151">
        <v>8335.82</v>
      </c>
      <c r="CD61" s="151">
        <v>8106.1840000000002</v>
      </c>
      <c r="CE61" s="151">
        <v>8209.3610000000008</v>
      </c>
      <c r="CF61" s="151">
        <v>8270.3670000000002</v>
      </c>
      <c r="CG61" s="151">
        <v>7955.0439999999999</v>
      </c>
      <c r="CH61" s="3">
        <v>7963.7640000000001</v>
      </c>
      <c r="CI61" s="3">
        <v>7886.3969999999999</v>
      </c>
      <c r="CJ61" s="3">
        <v>8053.8829999999998</v>
      </c>
      <c r="CK61" s="3">
        <v>8067.48</v>
      </c>
      <c r="CL61" s="3">
        <v>8202.4439999999995</v>
      </c>
      <c r="CM61" s="3">
        <v>8069.27</v>
      </c>
      <c r="CN61" s="3">
        <v>7921.4570000000003</v>
      </c>
      <c r="CO61" s="3">
        <v>6954.1689999999999</v>
      </c>
      <c r="CP61" s="3">
        <v>7183.3639999999996</v>
      </c>
      <c r="CQ61" s="3">
        <v>7218.759</v>
      </c>
      <c r="CR61" s="3">
        <v>7254.6736183300018</v>
      </c>
      <c r="CS61" s="151">
        <v>33243.838000000003</v>
      </c>
      <c r="CT61" s="151">
        <v>33149.39</v>
      </c>
      <c r="CU61" s="151">
        <v>33291.207000000002</v>
      </c>
      <c r="CV61" s="151">
        <v>32688.831999999995</v>
      </c>
      <c r="CW61" s="151">
        <v>31394.432000000001</v>
      </c>
      <c r="CX61" s="151">
        <v>33991.953999999998</v>
      </c>
      <c r="CY61" s="151">
        <v>32541.0645398872</v>
      </c>
      <c r="CZ61" s="151">
        <v>32574.0438639534</v>
      </c>
      <c r="DA61" s="3">
        <v>32029.1284965128</v>
      </c>
      <c r="DB61" s="3">
        <v>31219.674475876502</v>
      </c>
      <c r="DC61" s="3">
        <v>31802.206475876497</v>
      </c>
      <c r="DD61" s="3">
        <v>32259.058705646305</v>
      </c>
      <c r="DE61" s="3">
        <v>32117.697384350799</v>
      </c>
      <c r="DF61" s="3">
        <v>31934.278724754004</v>
      </c>
      <c r="DG61" s="3">
        <v>31534.726724754</v>
      </c>
      <c r="DH61" s="3">
        <v>30527.5316903602</v>
      </c>
      <c r="DI61" s="3">
        <v>31704.222318142696</v>
      </c>
      <c r="DJ61" s="3">
        <v>30969.5575977835</v>
      </c>
      <c r="DK61" s="3">
        <v>30924.716168780229</v>
      </c>
      <c r="DL61" s="151">
        <v>34953.494194787971</v>
      </c>
      <c r="DM61" s="151">
        <v>34854.188945505099</v>
      </c>
      <c r="DN61" s="151">
        <v>35003.299276454927</v>
      </c>
      <c r="DO61" s="151">
        <v>34369.945478208596</v>
      </c>
      <c r="DP61" s="151">
        <v>33008.977382836056</v>
      </c>
      <c r="DQ61" s="151">
        <v>35740.084126522925</v>
      </c>
      <c r="DR61" s="151">
        <v>34214.578668298403</v>
      </c>
      <c r="DS61" s="151">
        <v>34249.254045199712</v>
      </c>
      <c r="DT61" s="3">
        <v>33676.314899831305</v>
      </c>
      <c r="DU61" s="3">
        <v>32825.232470321855</v>
      </c>
      <c r="DV61" s="3">
        <v>33437.72278748313</v>
      </c>
      <c r="DW61" s="3">
        <v>33918.069905079326</v>
      </c>
      <c r="DX61" s="3">
        <v>33769.438687370042</v>
      </c>
      <c r="DY61" s="3">
        <v>33576.587216567175</v>
      </c>
      <c r="DZ61" s="3">
        <v>33156.487151330541</v>
      </c>
      <c r="EA61" s="3">
        <v>32097.494330233803</v>
      </c>
      <c r="EB61" s="3">
        <v>33334.699523787473</v>
      </c>
      <c r="EC61" s="3">
        <v>32562.252640903775</v>
      </c>
      <c r="ED61" s="3">
        <v>32515.105117553678</v>
      </c>
    </row>
    <row r="62" spans="1:134">
      <c r="A62" t="s">
        <v>79</v>
      </c>
      <c r="B62" s="151">
        <v>1645.8720000000001</v>
      </c>
      <c r="C62" s="151">
        <v>1701.2719999999999</v>
      </c>
      <c r="D62" s="151">
        <v>1607.556</v>
      </c>
      <c r="E62" s="151">
        <v>1485.338</v>
      </c>
      <c r="F62" s="151">
        <v>1221.1079999999999</v>
      </c>
      <c r="G62" s="151">
        <v>1274.056</v>
      </c>
      <c r="H62" s="151">
        <v>1236.8920000000001</v>
      </c>
      <c r="I62" s="151">
        <v>1207.414</v>
      </c>
      <c r="J62" s="3">
        <v>1197.6510000000001</v>
      </c>
      <c r="K62" s="3">
        <v>1231.213</v>
      </c>
      <c r="L62" s="3">
        <v>1228.021</v>
      </c>
      <c r="M62" s="3">
        <v>1242.337</v>
      </c>
      <c r="N62" s="3">
        <v>1295.6120000000001</v>
      </c>
      <c r="O62" s="3">
        <v>1319.1759999999999</v>
      </c>
      <c r="P62" s="3">
        <v>1322.08</v>
      </c>
      <c r="Q62" s="3">
        <v>1256.4079999999999</v>
      </c>
      <c r="R62" s="3">
        <v>1294.2629999999999</v>
      </c>
      <c r="S62" s="3">
        <v>1180.886</v>
      </c>
      <c r="T62" s="3">
        <v>1142.0740232814337</v>
      </c>
      <c r="U62" s="151">
        <v>1999.8473003726001</v>
      </c>
      <c r="V62" s="151">
        <v>1865.46529578676</v>
      </c>
      <c r="W62" s="151">
        <v>1773.7042792586201</v>
      </c>
      <c r="X62" s="151">
        <v>1945.733361135</v>
      </c>
      <c r="Y62" s="151">
        <v>1895.33558956721</v>
      </c>
      <c r="Z62" s="151">
        <v>1986.2825289958901</v>
      </c>
      <c r="AA62" s="151">
        <v>1907.2823490016201</v>
      </c>
      <c r="AB62" s="151">
        <v>1787.2684723416401</v>
      </c>
      <c r="AC62" s="3">
        <v>1776.96676421133</v>
      </c>
      <c r="AD62" s="3">
        <v>1561.08612314894</v>
      </c>
      <c r="AE62" s="3">
        <v>1685.9321662367399</v>
      </c>
      <c r="AF62" s="3">
        <v>1734.7510235024399</v>
      </c>
      <c r="AG62" s="3">
        <v>1692.80575188688</v>
      </c>
      <c r="AH62" s="3">
        <v>1620.7715977835101</v>
      </c>
      <c r="AI62" s="3">
        <v>1574.3986027515</v>
      </c>
      <c r="AJ62" s="3">
        <v>1557.9158377758699</v>
      </c>
      <c r="AK62" s="3">
        <v>1615.42333543518</v>
      </c>
      <c r="AL62" s="3">
        <v>1542.22667096589</v>
      </c>
      <c r="AM62" s="3">
        <v>1542.22667096589</v>
      </c>
      <c r="AN62" s="151">
        <v>1485.97</v>
      </c>
      <c r="AO62" s="151">
        <v>1549.9930000000002</v>
      </c>
      <c r="AP62" s="151">
        <v>1749.472</v>
      </c>
      <c r="AQ62" s="151">
        <v>2046.549</v>
      </c>
      <c r="AR62" s="151">
        <v>1716.867</v>
      </c>
      <c r="AS62" s="151">
        <v>1760.7280000000001</v>
      </c>
      <c r="AT62" s="151">
        <v>1869.3280000000002</v>
      </c>
      <c r="AU62" s="151">
        <v>1871.191</v>
      </c>
      <c r="AV62" s="3">
        <v>1775.1890000000001</v>
      </c>
      <c r="AW62" s="3">
        <v>1777.174</v>
      </c>
      <c r="AX62" s="3">
        <v>1769.135</v>
      </c>
      <c r="AY62" s="3">
        <v>1885.9250000000002</v>
      </c>
      <c r="AZ62" s="3">
        <v>1935.521</v>
      </c>
      <c r="BA62" s="3">
        <v>1936.402</v>
      </c>
      <c r="BB62" s="3">
        <v>1859.008</v>
      </c>
      <c r="BC62" s="3">
        <v>1499.951</v>
      </c>
      <c r="BD62" s="3">
        <v>1707.0119999999999</v>
      </c>
      <c r="BE62" s="3">
        <v>1913.942</v>
      </c>
      <c r="BF62" s="3">
        <v>1744.067701986276</v>
      </c>
      <c r="BG62" s="151">
        <v>0</v>
      </c>
      <c r="BH62" s="151">
        <v>4.407</v>
      </c>
      <c r="BI62" s="151">
        <v>13.856999999999999</v>
      </c>
      <c r="BJ62" s="151">
        <v>24.591999999999999</v>
      </c>
      <c r="BK62" s="151">
        <v>30.797999999999998</v>
      </c>
      <c r="BL62" s="151">
        <v>45.741999999999997</v>
      </c>
      <c r="BM62" s="151">
        <v>36.792999999999999</v>
      </c>
      <c r="BN62" s="151">
        <v>51.831000000000003</v>
      </c>
      <c r="BO62" s="3">
        <v>60.475000000000001</v>
      </c>
      <c r="BP62" s="3">
        <v>43.723999999999997</v>
      </c>
      <c r="BQ62" s="3">
        <v>29.433</v>
      </c>
      <c r="BR62" s="3">
        <v>18.446999999999999</v>
      </c>
      <c r="BS62" s="3">
        <v>25.045000000000002</v>
      </c>
      <c r="BT62" s="3">
        <v>73.775999999999996</v>
      </c>
      <c r="BU62" s="3">
        <v>95.075999999999993</v>
      </c>
      <c r="BV62" s="3">
        <v>93.287999999999997</v>
      </c>
      <c r="BW62" s="3">
        <v>103.28400000000001</v>
      </c>
      <c r="BX62" s="3">
        <v>79.367999999999995</v>
      </c>
      <c r="BY62" s="3">
        <v>92.732362965129397</v>
      </c>
      <c r="BZ62" s="151">
        <v>1485.97</v>
      </c>
      <c r="CA62" s="151">
        <v>1554.4</v>
      </c>
      <c r="CB62" s="151">
        <v>1763.329</v>
      </c>
      <c r="CC62" s="151">
        <v>2071.1410000000001</v>
      </c>
      <c r="CD62" s="151">
        <v>1747.665</v>
      </c>
      <c r="CE62" s="151">
        <v>1806.47</v>
      </c>
      <c r="CF62" s="151">
        <v>1906.1210000000001</v>
      </c>
      <c r="CG62" s="151">
        <v>1923.0219999999999</v>
      </c>
      <c r="CH62" s="3">
        <v>1835.664</v>
      </c>
      <c r="CI62" s="3">
        <v>1820.8979999999999</v>
      </c>
      <c r="CJ62" s="3">
        <v>1798.568</v>
      </c>
      <c r="CK62" s="3">
        <v>1904.3720000000001</v>
      </c>
      <c r="CL62" s="3">
        <v>1960.566</v>
      </c>
      <c r="CM62" s="3">
        <v>2010.1780000000001</v>
      </c>
      <c r="CN62" s="3">
        <v>1954.0840000000001</v>
      </c>
      <c r="CO62" s="3">
        <v>1593.239</v>
      </c>
      <c r="CP62" s="3">
        <v>1810.296</v>
      </c>
      <c r="CQ62" s="3">
        <v>1993.31</v>
      </c>
      <c r="CR62" s="3">
        <v>1836.8000649514054</v>
      </c>
      <c r="CS62" s="151">
        <v>5131.6893003726</v>
      </c>
      <c r="CT62" s="151">
        <v>5121.1372957867598</v>
      </c>
      <c r="CU62" s="151">
        <v>5144.5892792586201</v>
      </c>
      <c r="CV62" s="151">
        <v>5502.2123611349998</v>
      </c>
      <c r="CW62" s="151">
        <v>4864.1085895672104</v>
      </c>
      <c r="CX62" s="151">
        <v>5066.8085289958899</v>
      </c>
      <c r="CY62" s="151">
        <v>5050.2953490016198</v>
      </c>
      <c r="CZ62" s="151">
        <v>4917.7044723416402</v>
      </c>
      <c r="DA62" s="3">
        <v>4810.2817642113296</v>
      </c>
      <c r="DB62" s="3">
        <v>4613.1971231489397</v>
      </c>
      <c r="DC62" s="3">
        <v>4712.5211662367401</v>
      </c>
      <c r="DD62" s="3">
        <v>4881.46002350244</v>
      </c>
      <c r="DE62" s="3">
        <v>4948.9837518868799</v>
      </c>
      <c r="DF62" s="3">
        <v>4950.1255977835099</v>
      </c>
      <c r="DG62" s="3">
        <v>4850.5626027515</v>
      </c>
      <c r="DH62" s="3">
        <v>4407.5628377758694</v>
      </c>
      <c r="DI62" s="3">
        <v>4719.9823354351802</v>
      </c>
      <c r="DJ62" s="3">
        <v>4716.4226709658897</v>
      </c>
      <c r="DK62" s="3">
        <v>4521.1007591987291</v>
      </c>
      <c r="DL62" s="151">
        <v>5239.063785128008</v>
      </c>
      <c r="DM62" s="151">
        <v>5228.2909924177857</v>
      </c>
      <c r="DN62" s="151">
        <v>5252.2336807032834</v>
      </c>
      <c r="DO62" s="151">
        <v>5617.3395994985558</v>
      </c>
      <c r="DP62" s="151">
        <v>4965.8842667426024</v>
      </c>
      <c r="DQ62" s="151">
        <v>5172.8254609086889</v>
      </c>
      <c r="DR62" s="151">
        <v>5155.9667622967136</v>
      </c>
      <c r="DS62" s="151">
        <v>5020.6015795103676</v>
      </c>
      <c r="DT62" s="3">
        <v>4910.9311791950122</v>
      </c>
      <c r="DU62" s="3">
        <v>4709.722776823507</v>
      </c>
      <c r="DV62" s="3">
        <v>4811.1250571790242</v>
      </c>
      <c r="DW62" s="3">
        <v>4983.5987587605623</v>
      </c>
      <c r="DX62" s="3">
        <v>5052.5353407141993</v>
      </c>
      <c r="DY62" s="3">
        <v>5053.7010783758305</v>
      </c>
      <c r="DZ62" s="3">
        <v>4952.0548462913566</v>
      </c>
      <c r="EA62" s="3">
        <v>4499.7858390201</v>
      </c>
      <c r="EB62" s="3">
        <v>4818.7423424537619</v>
      </c>
      <c r="EC62" s="3">
        <v>4815.1081962464086</v>
      </c>
      <c r="ED62" s="3">
        <v>4615.6994061805326</v>
      </c>
    </row>
    <row r="63" spans="1:134">
      <c r="A63" t="s">
        <v>188</v>
      </c>
      <c r="B63" s="151">
        <v>3590.7959999999998</v>
      </c>
      <c r="C63" s="151">
        <v>3565.9940000000001</v>
      </c>
      <c r="D63" s="151">
        <v>3662.817</v>
      </c>
      <c r="E63" s="151">
        <v>3651.5720000000001</v>
      </c>
      <c r="F63" s="151">
        <v>3118.5430000000001</v>
      </c>
      <c r="G63" s="151">
        <v>3224.0859999999998</v>
      </c>
      <c r="H63" s="151">
        <v>3255.3310000000001</v>
      </c>
      <c r="I63" s="151">
        <v>3233.817</v>
      </c>
      <c r="J63" s="3">
        <v>3114.817</v>
      </c>
      <c r="K63" s="3">
        <v>3241.6280000000002</v>
      </c>
      <c r="L63" s="3">
        <v>3333.3710000000001</v>
      </c>
      <c r="M63" s="3">
        <v>3308.576</v>
      </c>
      <c r="N63" s="3">
        <v>3452.442</v>
      </c>
      <c r="O63" s="3">
        <v>3662.5390000000002</v>
      </c>
      <c r="P63" s="3">
        <v>3463.68</v>
      </c>
      <c r="Q63" s="3">
        <v>3138.1770000000001</v>
      </c>
      <c r="R63" s="3">
        <v>3382.3919999999998</v>
      </c>
      <c r="S63" s="3">
        <v>3167.9589999999998</v>
      </c>
      <c r="T63" s="3">
        <v>3119.5266411054454</v>
      </c>
      <c r="U63" s="151">
        <v>5572.5990000000002</v>
      </c>
      <c r="V63" s="151">
        <v>5546.9589999999998</v>
      </c>
      <c r="W63" s="151">
        <v>5061.41</v>
      </c>
      <c r="X63" s="151">
        <v>5063.8689999999997</v>
      </c>
      <c r="Y63" s="151">
        <v>5147.2489999999998</v>
      </c>
      <c r="Z63" s="151">
        <v>6394.402</v>
      </c>
      <c r="AA63" s="151">
        <v>5539.9059999999999</v>
      </c>
      <c r="AB63" s="151">
        <v>5519.5619999999999</v>
      </c>
      <c r="AC63" s="3">
        <v>5820.7169999999996</v>
      </c>
      <c r="AD63" s="3">
        <v>4876.7449999999999</v>
      </c>
      <c r="AE63" s="3">
        <v>5104.8590000000004</v>
      </c>
      <c r="AF63" s="3">
        <v>5273.4560000000001</v>
      </c>
      <c r="AG63" s="3">
        <v>5497.0720000000001</v>
      </c>
      <c r="AH63" s="3">
        <v>5147.3500000000004</v>
      </c>
      <c r="AI63" s="3">
        <v>4864.5625350148102</v>
      </c>
      <c r="AJ63" s="3">
        <v>4715.9205305245096</v>
      </c>
      <c r="AK63" s="3">
        <v>5562.5211765548802</v>
      </c>
      <c r="AL63" s="3">
        <v>4780.9863295118002</v>
      </c>
      <c r="AM63" s="3">
        <v>4780.9863295118002</v>
      </c>
      <c r="AN63" s="151">
        <v>2382.9589999999998</v>
      </c>
      <c r="AO63" s="151">
        <v>2210.9809999999998</v>
      </c>
      <c r="AP63" s="151">
        <v>2418.4659999999999</v>
      </c>
      <c r="AQ63" s="151">
        <v>2657.886</v>
      </c>
      <c r="AR63" s="151">
        <v>2274.9940000000001</v>
      </c>
      <c r="AS63" s="151">
        <v>2539.0589999999997</v>
      </c>
      <c r="AT63" s="151">
        <v>2542.5439999999999</v>
      </c>
      <c r="AU63" s="151">
        <v>2246.1349999999998</v>
      </c>
      <c r="AV63" s="3">
        <v>2251.0229999999997</v>
      </c>
      <c r="AW63" s="3">
        <v>2077.7200000000003</v>
      </c>
      <c r="AX63" s="3">
        <v>2068.3269999999998</v>
      </c>
      <c r="AY63" s="3">
        <v>2334.7639999999997</v>
      </c>
      <c r="AZ63" s="3">
        <v>2663.5250000000001</v>
      </c>
      <c r="BA63" s="3">
        <v>2641.712</v>
      </c>
      <c r="BB63" s="3">
        <v>2678.2750000000001</v>
      </c>
      <c r="BC63" s="3">
        <v>2361.5929999999998</v>
      </c>
      <c r="BD63" s="3">
        <v>2480.518</v>
      </c>
      <c r="BE63" s="3">
        <v>2522.741</v>
      </c>
      <c r="BF63" s="3">
        <v>2546.7207508804263</v>
      </c>
      <c r="BG63" s="151">
        <v>11.166</v>
      </c>
      <c r="BH63" s="151">
        <v>44.372999999999998</v>
      </c>
      <c r="BI63" s="151">
        <v>61.069000000000003</v>
      </c>
      <c r="BJ63" s="151">
        <v>74.143000000000001</v>
      </c>
      <c r="BK63" s="151">
        <v>84.710999999999999</v>
      </c>
      <c r="BL63" s="151">
        <v>97.688000000000002</v>
      </c>
      <c r="BM63" s="151">
        <v>97.659000000000006</v>
      </c>
      <c r="BN63" s="151">
        <v>90.936000000000007</v>
      </c>
      <c r="BO63" s="3">
        <v>99.061000000000007</v>
      </c>
      <c r="BP63" s="3">
        <v>133.86500000000001</v>
      </c>
      <c r="BQ63" s="3">
        <v>143.90899999999999</v>
      </c>
      <c r="BR63" s="3">
        <v>144.755</v>
      </c>
      <c r="BS63" s="3">
        <v>149.464</v>
      </c>
      <c r="BT63" s="3">
        <v>149.91200000000001</v>
      </c>
      <c r="BU63" s="3">
        <v>156.959</v>
      </c>
      <c r="BV63" s="3">
        <v>155.251</v>
      </c>
      <c r="BW63" s="3">
        <v>161.49299999999999</v>
      </c>
      <c r="BX63" s="3">
        <v>171.34899999999999</v>
      </c>
      <c r="BY63" s="3">
        <v>173.21519999999873</v>
      </c>
      <c r="BZ63" s="151">
        <v>2394.125</v>
      </c>
      <c r="CA63" s="151">
        <v>2255.3539999999998</v>
      </c>
      <c r="CB63" s="151">
        <v>2479.5349999999999</v>
      </c>
      <c r="CC63" s="151">
        <v>2732.029</v>
      </c>
      <c r="CD63" s="151">
        <v>2359.7049999999999</v>
      </c>
      <c r="CE63" s="151">
        <v>2636.7469999999998</v>
      </c>
      <c r="CF63" s="151">
        <v>2640.203</v>
      </c>
      <c r="CG63" s="151">
        <v>2337.0709999999999</v>
      </c>
      <c r="CH63" s="3">
        <v>2350.0839999999998</v>
      </c>
      <c r="CI63" s="3">
        <v>2211.585</v>
      </c>
      <c r="CJ63" s="3">
        <v>2212.2359999999999</v>
      </c>
      <c r="CK63" s="3">
        <v>2479.5189999999998</v>
      </c>
      <c r="CL63" s="3">
        <v>2812.989</v>
      </c>
      <c r="CM63" s="3">
        <v>2791.6239999999998</v>
      </c>
      <c r="CN63" s="3">
        <v>2835.2339999999999</v>
      </c>
      <c r="CO63" s="3">
        <v>2516.8440000000001</v>
      </c>
      <c r="CP63" s="3">
        <v>2642.011</v>
      </c>
      <c r="CQ63" s="3">
        <v>2694.09</v>
      </c>
      <c r="CR63" s="3">
        <v>2719.935950880425</v>
      </c>
      <c r="CS63" s="151">
        <v>11557.52</v>
      </c>
      <c r="CT63" s="151">
        <v>11368.307000000001</v>
      </c>
      <c r="CU63" s="151">
        <v>11203.761999999999</v>
      </c>
      <c r="CV63" s="151">
        <v>11447.470000000001</v>
      </c>
      <c r="CW63" s="151">
        <v>10625.496999999999</v>
      </c>
      <c r="CX63" s="151">
        <v>12255.235000000001</v>
      </c>
      <c r="CY63" s="151">
        <v>11435.439999999999</v>
      </c>
      <c r="CZ63" s="151">
        <v>11090.45</v>
      </c>
      <c r="DA63" s="3">
        <v>11285.617999999999</v>
      </c>
      <c r="DB63" s="3">
        <v>10329.957999999999</v>
      </c>
      <c r="DC63" s="3">
        <v>10650.466</v>
      </c>
      <c r="DD63" s="3">
        <v>11061.550999999999</v>
      </c>
      <c r="DE63" s="3">
        <v>11762.503000000001</v>
      </c>
      <c r="DF63" s="3">
        <v>11601.513000000001</v>
      </c>
      <c r="DG63" s="3">
        <v>11163.47653501481</v>
      </c>
      <c r="DH63" s="3">
        <v>10370.941530524509</v>
      </c>
      <c r="DI63" s="3">
        <v>11586.92417655488</v>
      </c>
      <c r="DJ63" s="3">
        <v>10643.0353295118</v>
      </c>
      <c r="DK63" s="3">
        <v>10620.448921497671</v>
      </c>
      <c r="DL63" s="151">
        <v>11920.148824637377</v>
      </c>
      <c r="DM63" s="151">
        <v>11724.999076286857</v>
      </c>
      <c r="DN63" s="151">
        <v>11555.291311268931</v>
      </c>
      <c r="DO63" s="151">
        <v>11806.645895103071</v>
      </c>
      <c r="DP63" s="151">
        <v>10958.882664770466</v>
      </c>
      <c r="DQ63" s="151">
        <v>12639.75533513287</v>
      </c>
      <c r="DR63" s="151">
        <v>11794.238441742798</v>
      </c>
      <c r="DS63" s="151">
        <v>11438.424033200861</v>
      </c>
      <c r="DT63" s="3">
        <v>11639.715625671113</v>
      </c>
      <c r="DU63" s="3">
        <v>10654.070831134488</v>
      </c>
      <c r="DV63" s="3">
        <v>10984.635092281074</v>
      </c>
      <c r="DW63" s="3">
        <v>11408.618297984031</v>
      </c>
      <c r="DX63" s="3">
        <v>12131.563372613124</v>
      </c>
      <c r="DY63" s="3">
        <v>11965.52214929892</v>
      </c>
      <c r="DZ63" s="3">
        <v>11513.741849265563</v>
      </c>
      <c r="EA63" s="3">
        <v>10696.340261186197</v>
      </c>
      <c r="EB63" s="3">
        <v>11950.475586832041</v>
      </c>
      <c r="EC63" s="3">
        <v>10976.971277026054</v>
      </c>
      <c r="ED63" s="3">
        <v>10953.676197723367</v>
      </c>
    </row>
    <row r="64" spans="1:134">
      <c r="A64" t="s">
        <v>163</v>
      </c>
      <c r="B64" s="151">
        <v>30518.379000000001</v>
      </c>
      <c r="C64" s="151">
        <v>29672.120999999999</v>
      </c>
      <c r="D64" s="151">
        <v>29123.891</v>
      </c>
      <c r="E64" s="151">
        <v>28572.685000000001</v>
      </c>
      <c r="F64" s="151">
        <v>24360.055</v>
      </c>
      <c r="G64" s="151">
        <v>25596.576000000001</v>
      </c>
      <c r="H64" s="151">
        <v>23952.179</v>
      </c>
      <c r="I64" s="151">
        <v>23613.279999999999</v>
      </c>
      <c r="J64" s="3">
        <v>23643.761999999999</v>
      </c>
      <c r="K64" s="3">
        <v>22967.703000000001</v>
      </c>
      <c r="L64" s="3">
        <v>23060.44</v>
      </c>
      <c r="M64" s="3">
        <v>21304.966</v>
      </c>
      <c r="N64" s="3">
        <v>21625.724999999999</v>
      </c>
      <c r="O64" s="3">
        <v>21689.348000000002</v>
      </c>
      <c r="P64" s="3">
        <v>21118.795999999998</v>
      </c>
      <c r="Q64" s="3">
        <v>0</v>
      </c>
      <c r="R64" s="3">
        <v>0</v>
      </c>
      <c r="S64" s="3">
        <v>0</v>
      </c>
      <c r="T64" s="3">
        <v>0</v>
      </c>
      <c r="U64" s="151">
        <v>66910.687999999995</v>
      </c>
      <c r="V64" s="151">
        <v>64940.006999999998</v>
      </c>
      <c r="W64" s="151">
        <v>63005.523999999998</v>
      </c>
      <c r="X64" s="151">
        <v>65301.3264637432</v>
      </c>
      <c r="Y64" s="151">
        <v>61217.203870545498</v>
      </c>
      <c r="Z64" s="151">
        <v>66124.3347215057</v>
      </c>
      <c r="AA64" s="151">
        <v>56891.076770612402</v>
      </c>
      <c r="AB64" s="151">
        <v>61339.349839782197</v>
      </c>
      <c r="AC64" s="3">
        <v>62808.212534345999</v>
      </c>
      <c r="AD64" s="3">
        <v>56069.007373459397</v>
      </c>
      <c r="AE64" s="3">
        <v>57605.727038979603</v>
      </c>
      <c r="AF64" s="3">
        <v>59567.305388554501</v>
      </c>
      <c r="AG64" s="3">
        <v>58137.1076879717</v>
      </c>
      <c r="AH64" s="3">
        <v>59697.078056272097</v>
      </c>
      <c r="AI64" s="3">
        <v>59445.675581350901</v>
      </c>
      <c r="AJ64" s="3">
        <v>0</v>
      </c>
      <c r="AK64" s="3">
        <v>0</v>
      </c>
      <c r="AL64" s="3">
        <v>0</v>
      </c>
      <c r="AM64" s="3">
        <v>0</v>
      </c>
      <c r="AN64" s="151">
        <v>55477.006000000001</v>
      </c>
      <c r="AO64" s="151">
        <v>56098.988000000005</v>
      </c>
      <c r="AP64" s="151">
        <v>56252.067999999999</v>
      </c>
      <c r="AQ64" s="151">
        <v>53617.389000000003</v>
      </c>
      <c r="AR64" s="151">
        <v>51446.305999999997</v>
      </c>
      <c r="AS64" s="151">
        <v>50237.765999999996</v>
      </c>
      <c r="AT64" s="151">
        <v>50256.18</v>
      </c>
      <c r="AU64" s="151">
        <v>49916.150999999998</v>
      </c>
      <c r="AV64" s="3">
        <v>49437.646000000001</v>
      </c>
      <c r="AW64" s="3">
        <v>49912.091</v>
      </c>
      <c r="AX64" s="3">
        <v>51026.371999999996</v>
      </c>
      <c r="AY64" s="3">
        <v>51944.478999999999</v>
      </c>
      <c r="AZ64" s="3">
        <v>52907.262999999999</v>
      </c>
      <c r="BA64" s="3">
        <v>52475.396000000001</v>
      </c>
      <c r="BB64" s="3">
        <v>51897.303999999996</v>
      </c>
      <c r="BC64" s="3">
        <v>0</v>
      </c>
      <c r="BD64" s="3">
        <v>0</v>
      </c>
      <c r="BE64" s="3">
        <v>0</v>
      </c>
      <c r="BF64" s="3">
        <v>0</v>
      </c>
      <c r="BG64" s="151">
        <v>68.558000000000007</v>
      </c>
      <c r="BH64" s="151">
        <v>180.494</v>
      </c>
      <c r="BI64" s="151">
        <v>348.721</v>
      </c>
      <c r="BJ64" s="151">
        <v>797.947</v>
      </c>
      <c r="BK64" s="151">
        <v>987.96799999999996</v>
      </c>
      <c r="BL64" s="151">
        <v>1150.6690000000001</v>
      </c>
      <c r="BM64" s="151">
        <v>1062.961</v>
      </c>
      <c r="BN64" s="151">
        <v>895.04399999999998</v>
      </c>
      <c r="BO64" s="3">
        <v>1023.57</v>
      </c>
      <c r="BP64" s="3">
        <v>1168.07</v>
      </c>
      <c r="BQ64" s="3">
        <v>932.83600000000001</v>
      </c>
      <c r="BR64" s="3">
        <v>951.11199999999997</v>
      </c>
      <c r="BS64" s="3">
        <v>921.42</v>
      </c>
      <c r="BT64" s="3">
        <v>1270.1110000000001</v>
      </c>
      <c r="BU64" s="3">
        <v>1653.067</v>
      </c>
      <c r="BV64" s="3">
        <v>0</v>
      </c>
      <c r="BW64" s="3">
        <v>0</v>
      </c>
      <c r="BX64" s="3">
        <v>0</v>
      </c>
      <c r="BY64" s="3">
        <v>0</v>
      </c>
      <c r="BZ64" s="151">
        <v>55545.563999999998</v>
      </c>
      <c r="CA64" s="151">
        <v>56279.482000000004</v>
      </c>
      <c r="CB64" s="151">
        <v>56600.788999999997</v>
      </c>
      <c r="CC64" s="151">
        <v>54415.336000000003</v>
      </c>
      <c r="CD64" s="151">
        <v>52434.273999999998</v>
      </c>
      <c r="CE64" s="151">
        <v>51388.434999999998</v>
      </c>
      <c r="CF64" s="151">
        <v>51319.141000000003</v>
      </c>
      <c r="CG64" s="151">
        <v>50811.195</v>
      </c>
      <c r="CH64" s="3">
        <v>50461.216</v>
      </c>
      <c r="CI64" s="3">
        <v>51080.161</v>
      </c>
      <c r="CJ64" s="3">
        <v>51959.207999999999</v>
      </c>
      <c r="CK64" s="3">
        <v>52895.591</v>
      </c>
      <c r="CL64" s="3">
        <v>53828.682999999997</v>
      </c>
      <c r="CM64" s="3">
        <v>53745.506999999998</v>
      </c>
      <c r="CN64" s="3">
        <v>53550.370999999999</v>
      </c>
      <c r="CO64" s="3">
        <v>0</v>
      </c>
      <c r="CP64" s="3">
        <v>0</v>
      </c>
      <c r="CQ64" s="3">
        <v>0</v>
      </c>
      <c r="CR64" s="3">
        <v>0</v>
      </c>
      <c r="CS64" s="151">
        <v>152974.63099999999</v>
      </c>
      <c r="CT64" s="151">
        <v>150891.60999999999</v>
      </c>
      <c r="CU64" s="151">
        <v>148730.204</v>
      </c>
      <c r="CV64" s="151">
        <v>148289.34746374321</v>
      </c>
      <c r="CW64" s="151">
        <v>138011.53287054549</v>
      </c>
      <c r="CX64" s="151">
        <v>143109.3457215057</v>
      </c>
      <c r="CY64" s="151">
        <v>132162.39677061239</v>
      </c>
      <c r="CZ64" s="151">
        <v>135763.8248397822</v>
      </c>
      <c r="DA64" s="3">
        <v>136913.19053434601</v>
      </c>
      <c r="DB64" s="3">
        <v>130116.87137345941</v>
      </c>
      <c r="DC64" s="3">
        <v>132625.3750389796</v>
      </c>
      <c r="DD64" s="3">
        <v>133767.86238855449</v>
      </c>
      <c r="DE64" s="3">
        <v>133591.5156879717</v>
      </c>
      <c r="DF64" s="3">
        <v>135131.9330562721</v>
      </c>
      <c r="DG64" s="3">
        <v>134114.84258135091</v>
      </c>
      <c r="DH64" s="3">
        <v>0</v>
      </c>
      <c r="DI64" s="3">
        <v>0</v>
      </c>
      <c r="DJ64" s="3">
        <v>0</v>
      </c>
      <c r="DK64" s="3">
        <v>0</v>
      </c>
      <c r="DL64" s="151"/>
      <c r="DM64" s="151"/>
      <c r="DN64" s="151"/>
      <c r="DO64" s="151"/>
      <c r="DP64" s="151"/>
      <c r="DQ64" s="151"/>
      <c r="DR64" s="151"/>
      <c r="DS64" s="151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</row>
    <row r="65" spans="1:134">
      <c r="A65" s="40" t="s">
        <v>189</v>
      </c>
      <c r="B65" s="151">
        <v>305642.09100000001</v>
      </c>
      <c r="C65" s="151">
        <v>299247.12</v>
      </c>
      <c r="D65" s="151">
        <v>303398.43699999992</v>
      </c>
      <c r="E65" s="151">
        <v>293679.87899999996</v>
      </c>
      <c r="F65" s="151">
        <v>253541.30399999997</v>
      </c>
      <c r="G65" s="151">
        <v>269474.81900000002</v>
      </c>
      <c r="H65" s="151">
        <v>268338.27400000003</v>
      </c>
      <c r="I65" s="151">
        <v>263449.26099999994</v>
      </c>
      <c r="J65" s="3">
        <v>260557.72900000002</v>
      </c>
      <c r="K65" s="3">
        <v>256409.33799999999</v>
      </c>
      <c r="L65" s="3">
        <v>256536.37400000004</v>
      </c>
      <c r="M65" s="3">
        <v>259065.261</v>
      </c>
      <c r="N65" s="3">
        <v>261599.462</v>
      </c>
      <c r="O65" s="3">
        <v>263461.96499999997</v>
      </c>
      <c r="P65" s="3">
        <v>260090.18</v>
      </c>
      <c r="Q65" s="3">
        <v>230303.26599999995</v>
      </c>
      <c r="R65" s="3">
        <v>243631.818</v>
      </c>
      <c r="S65" s="3">
        <v>226409.08099999995</v>
      </c>
      <c r="T65" s="3">
        <v>220474.24255360535</v>
      </c>
      <c r="U65" s="151">
        <v>520309.59120909474</v>
      </c>
      <c r="V65" s="151">
        <v>521244.55510777625</v>
      </c>
      <c r="W65" s="151">
        <v>491247.92837463191</v>
      </c>
      <c r="X65" s="151">
        <v>514220.10468344798</v>
      </c>
      <c r="Y65" s="151">
        <v>500368.16815104126</v>
      </c>
      <c r="Z65" s="151">
        <v>535348.70365840173</v>
      </c>
      <c r="AA65" s="151">
        <v>485842.81367092417</v>
      </c>
      <c r="AB65" s="151">
        <v>503013.15966922883</v>
      </c>
      <c r="AC65" s="3">
        <v>508688.05171380163</v>
      </c>
      <c r="AD65" s="3">
        <v>459889.31137807469</v>
      </c>
      <c r="AE65" s="3">
        <v>475795.54723035917</v>
      </c>
      <c r="AF65" s="3">
        <v>484551.69816840516</v>
      </c>
      <c r="AG65" s="3">
        <v>484517.51031003532</v>
      </c>
      <c r="AH65" s="3">
        <v>483250.29050767905</v>
      </c>
      <c r="AI65" s="3">
        <v>476458.32401665743</v>
      </c>
      <c r="AJ65" s="3">
        <v>406582.94682199456</v>
      </c>
      <c r="AK65" s="3">
        <v>429900.15116432554</v>
      </c>
      <c r="AL65" s="3">
        <v>399596.56443469948</v>
      </c>
      <c r="AM65" s="3">
        <v>390334.41469537042</v>
      </c>
      <c r="AN65" s="151">
        <v>365063.73799999995</v>
      </c>
      <c r="AO65" s="151">
        <v>370861.96399999992</v>
      </c>
      <c r="AP65" s="151">
        <v>374978.7790000001</v>
      </c>
      <c r="AQ65" s="151">
        <v>367338.34699999995</v>
      </c>
      <c r="AR65" s="151">
        <v>353355.80599999998</v>
      </c>
      <c r="AS65" s="151">
        <v>350340.21500000003</v>
      </c>
      <c r="AT65" s="151">
        <v>349506.13999999996</v>
      </c>
      <c r="AU65" s="151">
        <v>338090.26000000007</v>
      </c>
      <c r="AV65" s="3">
        <v>335512.299</v>
      </c>
      <c r="AW65" s="3">
        <v>338794.92000000004</v>
      </c>
      <c r="AX65" s="3">
        <v>344999.25499999995</v>
      </c>
      <c r="AY65" s="3">
        <v>354156.962</v>
      </c>
      <c r="AZ65" s="3">
        <v>362571.85799999995</v>
      </c>
      <c r="BA65" s="3">
        <v>364173.08899999998</v>
      </c>
      <c r="BB65" s="3">
        <v>366553.97</v>
      </c>
      <c r="BC65" s="3">
        <v>253436.772</v>
      </c>
      <c r="BD65" s="3">
        <v>276871.29799999984</v>
      </c>
      <c r="BE65" s="3">
        <v>297345.97100000002</v>
      </c>
      <c r="BF65" s="3">
        <v>295540.01577367983</v>
      </c>
      <c r="BG65" s="151">
        <v>3208.7970000000005</v>
      </c>
      <c r="BH65" s="151">
        <v>5375.7769999999982</v>
      </c>
      <c r="BI65" s="151">
        <v>7613.2579999999998</v>
      </c>
      <c r="BJ65" s="151">
        <v>9754.0709999999999</v>
      </c>
      <c r="BK65" s="151">
        <v>11573.849</v>
      </c>
      <c r="BL65" s="151">
        <v>13160.696999999996</v>
      </c>
      <c r="BM65" s="151">
        <v>13742.386</v>
      </c>
      <c r="BN65" s="151">
        <v>14419.437</v>
      </c>
      <c r="BO65" s="3">
        <v>13052.946</v>
      </c>
      <c r="BP65" s="3">
        <v>14175.574000000001</v>
      </c>
      <c r="BQ65" s="3">
        <v>13936.451000000001</v>
      </c>
      <c r="BR65" s="3">
        <v>13636.486999999996</v>
      </c>
      <c r="BS65" s="3">
        <v>14754.742000000002</v>
      </c>
      <c r="BT65" s="3">
        <v>16535.883999999998</v>
      </c>
      <c r="BU65" s="3">
        <v>17443.226999999999</v>
      </c>
      <c r="BV65" s="3">
        <v>15983.056999999999</v>
      </c>
      <c r="BW65" s="3">
        <v>16679.662999999997</v>
      </c>
      <c r="BX65" s="3">
        <v>17017.355999999996</v>
      </c>
      <c r="BY65" s="3">
        <v>17961.126452894187</v>
      </c>
      <c r="BZ65" s="151">
        <v>368272.53500000003</v>
      </c>
      <c r="CA65" s="151">
        <v>376237.74100000004</v>
      </c>
      <c r="CB65" s="151">
        <v>382592.03700000007</v>
      </c>
      <c r="CC65" s="151">
        <v>377092.41799999995</v>
      </c>
      <c r="CD65" s="151">
        <v>364929.65499999991</v>
      </c>
      <c r="CE65" s="151">
        <v>363500.91199999984</v>
      </c>
      <c r="CF65" s="151">
        <v>363248.52600000001</v>
      </c>
      <c r="CG65" s="151">
        <v>352509.69699999999</v>
      </c>
      <c r="CH65" s="3">
        <v>348565.245</v>
      </c>
      <c r="CI65" s="3">
        <v>352970.49400000001</v>
      </c>
      <c r="CJ65" s="3">
        <v>358935.70599999995</v>
      </c>
      <c r="CK65" s="3">
        <v>367793.44899999996</v>
      </c>
      <c r="CL65" s="3">
        <v>377326.60000000003</v>
      </c>
      <c r="CM65" s="3">
        <v>380708.97300000006</v>
      </c>
      <c r="CN65" s="3">
        <v>383997.19699999999</v>
      </c>
      <c r="CO65" s="3">
        <v>269419.82899999997</v>
      </c>
      <c r="CP65" s="3">
        <v>293550.96099999989</v>
      </c>
      <c r="CQ65" s="3">
        <v>314363.32700000005</v>
      </c>
      <c r="CR65" s="3">
        <v>313501.14222657401</v>
      </c>
      <c r="CS65" s="151">
        <v>1194224.2172090949</v>
      </c>
      <c r="CT65" s="151">
        <v>1196729.4161077763</v>
      </c>
      <c r="CU65" s="151">
        <v>1177238.402374632</v>
      </c>
      <c r="CV65" s="151">
        <v>1184992.4016834481</v>
      </c>
      <c r="CW65" s="151">
        <v>1118839.1271510413</v>
      </c>
      <c r="CX65" s="151">
        <v>1168324.4346584021</v>
      </c>
      <c r="CY65" s="151">
        <v>1117429.6136709242</v>
      </c>
      <c r="CZ65" s="151">
        <v>1118972.1176692289</v>
      </c>
      <c r="DA65" s="3">
        <v>1117811.0257138016</v>
      </c>
      <c r="DB65" s="3">
        <v>1069269.1433780745</v>
      </c>
      <c r="DC65" s="3">
        <v>1091267.6272303592</v>
      </c>
      <c r="DD65" s="3">
        <v>1111410.4081684053</v>
      </c>
      <c r="DE65" s="3">
        <v>1123443.5723100356</v>
      </c>
      <c r="DF65" s="3">
        <v>1127421.228507679</v>
      </c>
      <c r="DG65" s="3">
        <v>1120545.7010166573</v>
      </c>
      <c r="DH65" s="3">
        <v>906306.0418219947</v>
      </c>
      <c r="DI65" s="3">
        <v>967082.9301643254</v>
      </c>
      <c r="DJ65" s="3">
        <v>940368.97243469942</v>
      </c>
      <c r="DK65" s="3">
        <v>924309.79947554995</v>
      </c>
      <c r="DL65" s="151"/>
      <c r="DM65" s="151"/>
      <c r="DN65" s="151"/>
      <c r="DO65" s="151"/>
      <c r="DP65" s="151"/>
      <c r="DQ65" s="151"/>
      <c r="DR65" s="151"/>
      <c r="DS65" s="151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</row>
    <row r="66" spans="1:134">
      <c r="A66" s="40" t="s">
        <v>190</v>
      </c>
      <c r="B66" s="151">
        <v>275123.712</v>
      </c>
      <c r="C66" s="151">
        <v>269574.99900000001</v>
      </c>
      <c r="D66" s="151">
        <v>274274.54599999991</v>
      </c>
      <c r="E66" s="151">
        <v>265107.19399999996</v>
      </c>
      <c r="F66" s="151">
        <v>229181.24899999998</v>
      </c>
      <c r="G66" s="151">
        <v>243878.24299999999</v>
      </c>
      <c r="H66" s="151">
        <v>244386.09500000003</v>
      </c>
      <c r="I66" s="151">
        <v>239835.98099999997</v>
      </c>
      <c r="J66" s="3">
        <v>236913.96700000003</v>
      </c>
      <c r="K66" s="3">
        <v>233441.63499999998</v>
      </c>
      <c r="L66" s="3">
        <v>233475.93400000004</v>
      </c>
      <c r="M66" s="3">
        <v>237760.29500000001</v>
      </c>
      <c r="N66" s="3">
        <v>239973.73699999999</v>
      </c>
      <c r="O66" s="3">
        <v>241772.61699999997</v>
      </c>
      <c r="P66" s="3">
        <v>238971.38399999999</v>
      </c>
      <c r="Q66" s="3">
        <v>230303.26599999995</v>
      </c>
      <c r="R66" s="3">
        <v>243631.818</v>
      </c>
      <c r="S66" s="3">
        <v>226409.08099999995</v>
      </c>
      <c r="T66" s="3">
        <v>220474.24255360535</v>
      </c>
      <c r="U66" s="151">
        <v>453398.90320909471</v>
      </c>
      <c r="V66" s="151">
        <v>456304.54810777627</v>
      </c>
      <c r="W66" s="151">
        <v>428242.40437463194</v>
      </c>
      <c r="X66" s="151">
        <v>448918.77821970481</v>
      </c>
      <c r="Y66" s="151">
        <v>439150.96428049577</v>
      </c>
      <c r="Z66" s="151">
        <v>469224.36893689603</v>
      </c>
      <c r="AA66" s="151">
        <v>428951.73690031178</v>
      </c>
      <c r="AB66" s="151">
        <v>441673.8098294466</v>
      </c>
      <c r="AC66" s="3">
        <v>445879.83917945565</v>
      </c>
      <c r="AD66" s="3">
        <v>403820.30400461529</v>
      </c>
      <c r="AE66" s="3">
        <v>418189.82019137958</v>
      </c>
      <c r="AF66" s="3">
        <v>424984.39277985063</v>
      </c>
      <c r="AG66" s="3">
        <v>426380.40262206364</v>
      </c>
      <c r="AH66" s="3">
        <v>423553.21245140693</v>
      </c>
      <c r="AI66" s="3">
        <v>417012.6484353065</v>
      </c>
      <c r="AJ66" s="3">
        <v>406582.94682199456</v>
      </c>
      <c r="AK66" s="3">
        <v>429900.15116432554</v>
      </c>
      <c r="AL66" s="3">
        <v>399596.56443469948</v>
      </c>
      <c r="AM66" s="3">
        <v>390334.41469537042</v>
      </c>
      <c r="AN66" s="151">
        <v>309586.73199999996</v>
      </c>
      <c r="AO66" s="151">
        <v>314762.97599999991</v>
      </c>
      <c r="AP66" s="151">
        <v>318726.71100000013</v>
      </c>
      <c r="AQ66" s="151">
        <v>313720.95799999993</v>
      </c>
      <c r="AR66" s="151">
        <v>301909.5</v>
      </c>
      <c r="AS66" s="151">
        <v>300102.44900000002</v>
      </c>
      <c r="AT66" s="151">
        <v>299249.95999999996</v>
      </c>
      <c r="AU66" s="151">
        <v>288174.10900000005</v>
      </c>
      <c r="AV66" s="3">
        <v>286074.65299999999</v>
      </c>
      <c r="AW66" s="3">
        <v>288882.82900000003</v>
      </c>
      <c r="AX66" s="3">
        <v>293972.88299999997</v>
      </c>
      <c r="AY66" s="3">
        <v>302212.48300000001</v>
      </c>
      <c r="AZ66" s="3">
        <v>309664.59499999997</v>
      </c>
      <c r="BA66" s="3">
        <v>311697.69299999997</v>
      </c>
      <c r="BB66" s="3">
        <v>314656.66599999997</v>
      </c>
      <c r="BC66" s="3">
        <v>253436.772</v>
      </c>
      <c r="BD66" s="3">
        <v>276871.29799999984</v>
      </c>
      <c r="BE66" s="3">
        <v>297345.97100000002</v>
      </c>
      <c r="BF66" s="3">
        <v>295540.01577367983</v>
      </c>
      <c r="BG66" s="151">
        <v>3140.2390000000005</v>
      </c>
      <c r="BH66" s="151">
        <v>5195.2829999999985</v>
      </c>
      <c r="BI66" s="151">
        <v>7264.5369999999994</v>
      </c>
      <c r="BJ66" s="151">
        <v>8956.1239999999998</v>
      </c>
      <c r="BK66" s="151">
        <v>10585.880999999999</v>
      </c>
      <c r="BL66" s="151">
        <v>12010.027999999997</v>
      </c>
      <c r="BM66" s="151">
        <v>12679.425000000001</v>
      </c>
      <c r="BN66" s="151">
        <v>13524.393</v>
      </c>
      <c r="BO66" s="3">
        <v>12029.376</v>
      </c>
      <c r="BP66" s="3">
        <v>13007.504000000001</v>
      </c>
      <c r="BQ66" s="3">
        <v>13003.615000000002</v>
      </c>
      <c r="BR66" s="3">
        <v>12685.374999999996</v>
      </c>
      <c r="BS66" s="3">
        <v>13833.322000000002</v>
      </c>
      <c r="BT66" s="3">
        <v>15265.772999999999</v>
      </c>
      <c r="BU66" s="3">
        <v>15790.16</v>
      </c>
      <c r="BV66" s="3">
        <v>15983.056999999999</v>
      </c>
      <c r="BW66" s="3">
        <v>16679.662999999997</v>
      </c>
      <c r="BX66" s="3">
        <v>17017.355999999996</v>
      </c>
      <c r="BY66" s="3">
        <v>17961.126452894187</v>
      </c>
      <c r="BZ66" s="151">
        <v>312726.97100000002</v>
      </c>
      <c r="CA66" s="151">
        <v>319958.25900000002</v>
      </c>
      <c r="CB66" s="151">
        <v>325991.24800000008</v>
      </c>
      <c r="CC66" s="151">
        <v>322677.08199999994</v>
      </c>
      <c r="CD66" s="151">
        <v>312495.38099999994</v>
      </c>
      <c r="CE66" s="151">
        <v>312112.47699999984</v>
      </c>
      <c r="CF66" s="151">
        <v>311929.38500000001</v>
      </c>
      <c r="CG66" s="151">
        <v>301698.50199999998</v>
      </c>
      <c r="CH66" s="3">
        <v>298104.02899999998</v>
      </c>
      <c r="CI66" s="3">
        <v>301890.33299999998</v>
      </c>
      <c r="CJ66" s="3">
        <v>306976.49799999996</v>
      </c>
      <c r="CK66" s="3">
        <v>314897.85799999995</v>
      </c>
      <c r="CL66" s="3">
        <v>323497.91700000002</v>
      </c>
      <c r="CM66" s="3">
        <v>326963.46600000007</v>
      </c>
      <c r="CN66" s="3">
        <v>330446.826</v>
      </c>
      <c r="CO66" s="3">
        <v>269419.82899999997</v>
      </c>
      <c r="CP66" s="3">
        <v>293550.96099999989</v>
      </c>
      <c r="CQ66" s="3">
        <v>314363.32700000005</v>
      </c>
      <c r="CR66" s="3">
        <v>313501.14222657401</v>
      </c>
      <c r="CS66" s="151">
        <v>1041249.586209095</v>
      </c>
      <c r="CT66" s="151">
        <v>1045837.8061077764</v>
      </c>
      <c r="CU66" s="151">
        <v>1028508.1983746319</v>
      </c>
      <c r="CV66" s="151">
        <v>1036703.0542197048</v>
      </c>
      <c r="CW66" s="151">
        <v>980827.59428049577</v>
      </c>
      <c r="CX66" s="151">
        <v>1025215.0889368963</v>
      </c>
      <c r="CY66" s="151">
        <v>985267.21690031188</v>
      </c>
      <c r="CZ66" s="151">
        <v>983208.29282944673</v>
      </c>
      <c r="DA66" s="3">
        <v>980897.83517945569</v>
      </c>
      <c r="DB66" s="3">
        <v>939152.27200461517</v>
      </c>
      <c r="DC66" s="3">
        <v>958642.25219137967</v>
      </c>
      <c r="DD66" s="3">
        <v>977642.54577985068</v>
      </c>
      <c r="DE66" s="3">
        <v>989852.05662206386</v>
      </c>
      <c r="DF66" s="3">
        <v>992289.29545140697</v>
      </c>
      <c r="DG66" s="3">
        <v>986430.85843530635</v>
      </c>
      <c r="DH66" s="3">
        <v>906306.0418219947</v>
      </c>
      <c r="DI66" s="3">
        <v>967082.9301643254</v>
      </c>
      <c r="DJ66" s="3">
        <v>940368.97243469942</v>
      </c>
      <c r="DK66" s="3">
        <v>924309.79947554995</v>
      </c>
      <c r="DL66" s="151">
        <v>1066199.3774791348</v>
      </c>
      <c r="DM66" s="151">
        <v>1071978.4341387111</v>
      </c>
      <c r="DN66" s="151">
        <v>1054342.7398667799</v>
      </c>
      <c r="DO66" s="151">
        <v>1062590.6223986696</v>
      </c>
      <c r="DP66" s="151">
        <v>1005307.9338037426</v>
      </c>
      <c r="DQ66" s="151">
        <v>1050699.1163771194</v>
      </c>
      <c r="DR66" s="151">
        <v>1009832.2680910387</v>
      </c>
      <c r="DS66" s="151">
        <v>1007649.4626567981</v>
      </c>
      <c r="DT66" s="3">
        <v>1005175.6520535641</v>
      </c>
      <c r="DU66" s="3">
        <v>962481.02320631489</v>
      </c>
      <c r="DV66" s="3">
        <v>982463.91633376549</v>
      </c>
      <c r="DW66" s="3">
        <v>1001919.5188430732</v>
      </c>
      <c r="DX66" s="3">
        <v>1014427.6898705151</v>
      </c>
      <c r="DY66" s="3">
        <v>1016925.6205238777</v>
      </c>
      <c r="DZ66" s="3">
        <v>1010923.1308532995</v>
      </c>
      <c r="EA66" s="3">
        <v>928771.22878265218</v>
      </c>
      <c r="EB66" s="3">
        <v>991127.59513256198</v>
      </c>
      <c r="EC66" s="3">
        <v>963812.60654845112</v>
      </c>
      <c r="ED66" s="3">
        <v>947373.1531768546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60"/>
  <sheetViews>
    <sheetView topLeftCell="A11" workbookViewId="0">
      <selection activeCell="L40" sqref="L40"/>
    </sheetView>
  </sheetViews>
  <sheetFormatPr baseColWidth="10" defaultColWidth="11.5" defaultRowHeight="13"/>
  <cols>
    <col min="1" max="1" width="5.6640625" customWidth="1"/>
    <col min="2" max="2" width="10" style="20" customWidth="1"/>
    <col min="3" max="3" width="21.6640625" customWidth="1"/>
    <col min="10" max="10" width="11.5" customWidth="1"/>
    <col min="11" max="11" width="21.83203125" customWidth="1"/>
  </cols>
  <sheetData>
    <row r="2" spans="2:12" ht="25">
      <c r="B2" s="45" t="s">
        <v>21</v>
      </c>
      <c r="C2" s="45"/>
      <c r="G2" s="45">
        <v>2024</v>
      </c>
    </row>
    <row r="4" spans="2:12">
      <c r="C4" s="47" t="s">
        <v>22</v>
      </c>
      <c r="D4" s="48"/>
      <c r="E4" s="48"/>
    </row>
    <row r="6" spans="2:12">
      <c r="B6" s="123" t="s">
        <v>23</v>
      </c>
    </row>
    <row r="7" spans="2:12">
      <c r="B7" s="123" t="s">
        <v>24</v>
      </c>
    </row>
    <row r="10" spans="2:12" ht="14">
      <c r="B10" s="30" t="s">
        <v>25</v>
      </c>
      <c r="J10" s="29" t="s">
        <v>26</v>
      </c>
    </row>
    <row r="12" spans="2:12" s="31" customFormat="1">
      <c r="B12" s="33" t="s">
        <v>27</v>
      </c>
      <c r="C12" s="34" t="s">
        <v>28</v>
      </c>
      <c r="D12" s="34" t="s">
        <v>29</v>
      </c>
      <c r="E12" s="34"/>
      <c r="F12" s="34"/>
      <c r="G12" s="34"/>
      <c r="H12" s="34"/>
      <c r="J12" s="34" t="s">
        <v>30</v>
      </c>
      <c r="K12" s="34" t="s">
        <v>31</v>
      </c>
      <c r="L12" s="31" t="s">
        <v>32</v>
      </c>
    </row>
    <row r="13" spans="2:12">
      <c r="B13" s="20">
        <v>1</v>
      </c>
      <c r="C13" s="118" t="s">
        <v>33</v>
      </c>
      <c r="J13" s="22">
        <v>45406</v>
      </c>
      <c r="K13" t="s">
        <v>34</v>
      </c>
    </row>
    <row r="14" spans="2:12">
      <c r="B14" s="20">
        <v>2</v>
      </c>
      <c r="C14" s="118" t="s">
        <v>35</v>
      </c>
      <c r="D14" t="s">
        <v>36</v>
      </c>
      <c r="J14" s="22">
        <v>45406</v>
      </c>
      <c r="K14" t="s">
        <v>37</v>
      </c>
    </row>
    <row r="15" spans="2:12">
      <c r="B15" s="20">
        <v>3</v>
      </c>
      <c r="C15" s="118" t="s">
        <v>38</v>
      </c>
      <c r="D15" t="s">
        <v>38</v>
      </c>
      <c r="J15" s="22">
        <v>45406</v>
      </c>
      <c r="K15" t="s">
        <v>39</v>
      </c>
    </row>
    <row r="16" spans="2:12">
      <c r="B16" s="20">
        <v>4</v>
      </c>
      <c r="C16" s="118" t="s">
        <v>40</v>
      </c>
      <c r="D16" t="s">
        <v>41</v>
      </c>
      <c r="J16" s="27">
        <v>45467</v>
      </c>
      <c r="K16" t="s">
        <v>42</v>
      </c>
    </row>
    <row r="17" spans="2:11">
      <c r="B17" s="20">
        <v>5</v>
      </c>
      <c r="C17" s="118" t="s">
        <v>43</v>
      </c>
      <c r="D17" t="s">
        <v>44</v>
      </c>
      <c r="J17" s="27"/>
    </row>
    <row r="18" spans="2:11">
      <c r="B18" s="20">
        <v>6</v>
      </c>
      <c r="C18" s="118" t="s">
        <v>45</v>
      </c>
      <c r="D18" t="s">
        <v>46</v>
      </c>
      <c r="J18" s="22"/>
      <c r="K18" s="23"/>
    </row>
    <row r="19" spans="2:11">
      <c r="B19" s="20">
        <v>7</v>
      </c>
      <c r="C19" s="118" t="s">
        <v>47</v>
      </c>
      <c r="D19" t="s">
        <v>48</v>
      </c>
    </row>
    <row r="20" spans="2:11">
      <c r="B20" s="20">
        <v>8</v>
      </c>
      <c r="C20" s="118" t="s">
        <v>49</v>
      </c>
      <c r="D20" t="s">
        <v>50</v>
      </c>
    </row>
    <row r="21" spans="2:11">
      <c r="B21" s="20">
        <v>9</v>
      </c>
      <c r="C21" s="118" t="s">
        <v>51</v>
      </c>
      <c r="D21" t="s">
        <v>52</v>
      </c>
    </row>
    <row r="22" spans="2:11">
      <c r="B22" s="20">
        <v>10</v>
      </c>
      <c r="C22" s="118" t="s">
        <v>53</v>
      </c>
      <c r="D22" t="s">
        <v>54</v>
      </c>
    </row>
    <row r="23" spans="2:11">
      <c r="B23" s="20">
        <v>11</v>
      </c>
      <c r="C23" s="118" t="s">
        <v>55</v>
      </c>
      <c r="D23" t="s">
        <v>56</v>
      </c>
    </row>
    <row r="24" spans="2:11">
      <c r="B24" s="20">
        <v>12</v>
      </c>
      <c r="C24" s="118" t="s">
        <v>57</v>
      </c>
      <c r="D24" t="s">
        <v>58</v>
      </c>
    </row>
    <row r="25" spans="2:11">
      <c r="B25" s="20">
        <v>13</v>
      </c>
      <c r="C25" s="118" t="s">
        <v>59</v>
      </c>
      <c r="D25" t="s">
        <v>60</v>
      </c>
    </row>
    <row r="26" spans="2:11">
      <c r="B26" s="20">
        <v>14</v>
      </c>
      <c r="C26" s="118" t="s">
        <v>61</v>
      </c>
      <c r="D26" t="s">
        <v>62</v>
      </c>
    </row>
    <row r="27" spans="2:11">
      <c r="B27" s="20">
        <v>15</v>
      </c>
      <c r="C27" s="118" t="s">
        <v>63</v>
      </c>
      <c r="D27" t="s">
        <v>64</v>
      </c>
    </row>
    <row r="28" spans="2:11">
      <c r="B28" s="20">
        <v>16</v>
      </c>
      <c r="C28" s="118" t="s">
        <v>65</v>
      </c>
      <c r="D28" t="s">
        <v>66</v>
      </c>
    </row>
    <row r="29" spans="2:11">
      <c r="B29" s="20">
        <v>17</v>
      </c>
      <c r="C29" s="118" t="s">
        <v>67</v>
      </c>
      <c r="D29" t="s">
        <v>68</v>
      </c>
    </row>
    <row r="30" spans="2:11">
      <c r="B30" s="20">
        <v>18</v>
      </c>
      <c r="C30" s="118" t="s">
        <v>69</v>
      </c>
      <c r="D30" t="s">
        <v>70</v>
      </c>
    </row>
    <row r="31" spans="2:11">
      <c r="B31" s="20">
        <v>19</v>
      </c>
      <c r="C31" s="118" t="s">
        <v>71</v>
      </c>
      <c r="D31" t="s">
        <v>72</v>
      </c>
    </row>
    <row r="34" spans="2:17" ht="14">
      <c r="B34" s="28" t="s">
        <v>73</v>
      </c>
      <c r="C34" s="28"/>
      <c r="D34" s="28"/>
      <c r="E34" s="28"/>
      <c r="F34" s="28"/>
      <c r="J34" s="30" t="s">
        <v>74</v>
      </c>
    </row>
    <row r="35" spans="2:17">
      <c r="K35" s="23"/>
    </row>
    <row r="36" spans="2:17" s="31" customFormat="1">
      <c r="B36" s="33" t="s">
        <v>75</v>
      </c>
      <c r="C36" s="34" t="s">
        <v>76</v>
      </c>
      <c r="D36" s="34"/>
      <c r="E36" s="34"/>
      <c r="F36" s="32"/>
      <c r="G36" s="32"/>
      <c r="H36" s="32"/>
      <c r="J36" s="33" t="s">
        <v>75</v>
      </c>
      <c r="K36" s="34" t="s">
        <v>77</v>
      </c>
    </row>
    <row r="37" spans="2:17" ht="12.75" customHeight="1">
      <c r="B37" s="27">
        <v>45463</v>
      </c>
      <c r="C37" s="145" t="s">
        <v>78</v>
      </c>
      <c r="D37" s="145"/>
      <c r="E37" s="145"/>
      <c r="F37" s="145"/>
      <c r="G37" s="145"/>
      <c r="H37" s="145"/>
      <c r="J37" s="20">
        <v>26.9</v>
      </c>
      <c r="K37" t="s">
        <v>79</v>
      </c>
    </row>
    <row r="38" spans="2:17" ht="12" customHeight="1">
      <c r="B38" s="27" t="s">
        <v>80</v>
      </c>
      <c r="C38" s="128" t="s">
        <v>81</v>
      </c>
      <c r="J38" s="20">
        <v>26.9</v>
      </c>
      <c r="K38" t="s">
        <v>82</v>
      </c>
      <c r="L38" s="128"/>
      <c r="M38" s="128"/>
      <c r="N38" s="128"/>
      <c r="O38" s="128"/>
      <c r="P38" s="128"/>
      <c r="Q38" s="128"/>
    </row>
    <row r="39" spans="2:17">
      <c r="B39" s="26" t="s">
        <v>83</v>
      </c>
      <c r="C39" s="23" t="s">
        <v>84</v>
      </c>
      <c r="J39" s="20">
        <v>26.9</v>
      </c>
      <c r="K39" t="s">
        <v>85</v>
      </c>
    </row>
    <row r="40" spans="2:17">
      <c r="B40" s="26" t="s">
        <v>86</v>
      </c>
      <c r="C40" s="23" t="s">
        <v>87</v>
      </c>
      <c r="J40" s="20">
        <v>26.9</v>
      </c>
      <c r="K40" t="s">
        <v>88</v>
      </c>
    </row>
    <row r="41" spans="2:17">
      <c r="B41" s="26" t="s">
        <v>89</v>
      </c>
      <c r="C41" s="23" t="s">
        <v>90</v>
      </c>
      <c r="J41" s="20">
        <v>26.9</v>
      </c>
      <c r="K41" t="s">
        <v>91</v>
      </c>
    </row>
    <row r="42" spans="2:17">
      <c r="B42" s="131" t="s">
        <v>92</v>
      </c>
      <c r="C42" s="5"/>
      <c r="J42" s="20">
        <v>26.9</v>
      </c>
      <c r="K42" t="s">
        <v>93</v>
      </c>
    </row>
    <row r="43" spans="2:17">
      <c r="B43" s="26" t="s">
        <v>94</v>
      </c>
      <c r="C43" s="23" t="s">
        <v>95</v>
      </c>
      <c r="D43" t="s">
        <v>96</v>
      </c>
    </row>
    <row r="44" spans="2:17">
      <c r="B44" s="26" t="s">
        <v>97</v>
      </c>
      <c r="C44" s="23" t="s">
        <v>98</v>
      </c>
    </row>
    <row r="45" spans="2:17">
      <c r="B45" s="22"/>
      <c r="C45" s="23"/>
    </row>
    <row r="46" spans="2:17">
      <c r="B46" s="22"/>
      <c r="C46" s="23"/>
    </row>
    <row r="47" spans="2:17">
      <c r="B47" s="22"/>
      <c r="C47" s="23"/>
    </row>
    <row r="48" spans="2:17">
      <c r="B48" s="22"/>
      <c r="C48" s="23"/>
    </row>
    <row r="49" spans="2:3">
      <c r="C49" s="23"/>
    </row>
    <row r="50" spans="2:3">
      <c r="C50" s="23"/>
    </row>
    <row r="51" spans="2:3">
      <c r="C51" s="23"/>
    </row>
    <row r="52" spans="2:3">
      <c r="C52" s="23"/>
    </row>
    <row r="58" spans="2:3">
      <c r="B58" s="26"/>
    </row>
    <row r="60" spans="2:3">
      <c r="B60" s="26"/>
    </row>
  </sheetData>
  <mergeCells count="1">
    <mergeCell ref="C37:H37"/>
  </mergeCells>
  <hyperlinks>
    <hyperlink ref="C13" location="'Index'!A2" display="Index" xr:uid="{00000000-0004-0000-0100-000000000000}"/>
    <hyperlink ref="C16" location="'PEC Total'!A2" display="PEC Total" xr:uid="{00000000-0004-0000-0100-000001000000}"/>
    <hyperlink ref="C17" location="'PEC Fossil'!A2" display="PEC Fossil" xr:uid="{00000000-0004-0000-0100-000002000000}"/>
    <hyperlink ref="C18" location="'PEC Solid'!A2" display="PEC Solid" xr:uid="{00000000-0004-0000-0100-000003000000}"/>
    <hyperlink ref="C19" location="'PEC Liquid'!A2" display="PEC Liquid" xr:uid="{00000000-0004-0000-0100-000004000000}"/>
    <hyperlink ref="C20" location="'PEC Gaseous'!A2" display="PEC Gaseous" xr:uid="{00000000-0004-0000-0100-000005000000}"/>
    <hyperlink ref="C21" location="'PEC Nuclear'!A2" display="PEC Nuclear" xr:uid="{00000000-0004-0000-0100-000006000000}"/>
    <hyperlink ref="C22" location="'PEC Waste'!A2" display="PEC Waste" xr:uid="{00000000-0004-0000-0100-000007000000}"/>
    <hyperlink ref="C23" location="'PEC Electricity'!A2" display="PEC Electricity" xr:uid="{00000000-0004-0000-0100-000008000000}"/>
    <hyperlink ref="C24" location="'PEC RES'!A2" display="PEC RES" xr:uid="{00000000-0004-0000-0100-000009000000}"/>
    <hyperlink ref="C25" location="'GFEC Total'!A2" display="GFEC Total" xr:uid="{00000000-0004-0000-0100-00000A000000}"/>
    <hyperlink ref="C26" location="'FEC Total'!A2" display="FEC Total" xr:uid="{00000000-0004-0000-0100-00000B000000}"/>
    <hyperlink ref="C27" location="'FEC Industry'!A2" display="FEC Industry" xr:uid="{00000000-0004-0000-0100-00000C000000}"/>
    <hyperlink ref="C28" location="'FEC Transport'!A2" display="FEC Transport" xr:uid="{00000000-0004-0000-0100-00000D000000}"/>
    <hyperlink ref="C29" location="'FEC Other'!A2" display="FEC Other" xr:uid="{00000000-0004-0000-0100-00000E000000}"/>
    <hyperlink ref="C30" location="'FEC Transport foss'!A2" display="FEC Transport foss" xr:uid="{00000000-0004-0000-0100-00000F000000}"/>
    <hyperlink ref="C31" location="'FEC Transport RES'!A2" display="FEC Transport RES" xr:uid="{00000000-0004-0000-0100-000010000000}"/>
    <hyperlink ref="C15" location="Parameters!A1" display="Parameters" xr:uid="{00000000-0004-0000-0100-000011000000}"/>
    <hyperlink ref="C14" location="'MS Stats list'!A1" display="MS Stats list" xr:uid="{00000000-0004-0000-0100-000012000000}"/>
  </hyperlink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26"/>
  <sheetViews>
    <sheetView workbookViewId="0">
      <selection activeCell="A4" sqref="A4:B17"/>
    </sheetView>
  </sheetViews>
  <sheetFormatPr baseColWidth="10" defaultColWidth="8.83203125" defaultRowHeight="13"/>
  <cols>
    <col min="1" max="1" width="13.5" customWidth="1"/>
    <col min="3" max="3" width="6.83203125" customWidth="1"/>
    <col min="4" max="14" width="4.33203125" customWidth="1"/>
    <col min="15" max="15" width="13.5" customWidth="1"/>
    <col min="16" max="16" width="39.5" customWidth="1"/>
    <col min="17" max="17" width="15.5" customWidth="1"/>
  </cols>
  <sheetData>
    <row r="2" spans="1:19" ht="48">
      <c r="A2" t="s">
        <v>99</v>
      </c>
      <c r="B2" s="81"/>
      <c r="C2" s="124" t="s">
        <v>100</v>
      </c>
      <c r="D2" s="82" t="s">
        <v>45</v>
      </c>
      <c r="E2" s="82" t="s">
        <v>47</v>
      </c>
      <c r="F2" s="82" t="s">
        <v>49</v>
      </c>
      <c r="G2" s="82" t="s">
        <v>51</v>
      </c>
      <c r="H2" s="83" t="s">
        <v>53</v>
      </c>
      <c r="I2" s="83" t="s">
        <v>55</v>
      </c>
      <c r="J2" s="82" t="s">
        <v>57</v>
      </c>
      <c r="K2" s="82" t="s">
        <v>63</v>
      </c>
      <c r="L2" s="82" t="s">
        <v>69</v>
      </c>
      <c r="M2" s="82" t="s">
        <v>71</v>
      </c>
      <c r="N2" s="82" t="s">
        <v>67</v>
      </c>
      <c r="O2" s="84" t="s">
        <v>101</v>
      </c>
      <c r="P2" s="84" t="s">
        <v>102</v>
      </c>
      <c r="Q2" s="84" t="s">
        <v>103</v>
      </c>
      <c r="R2" s="85" t="s">
        <v>104</v>
      </c>
    </row>
    <row r="3" spans="1:19" ht="14">
      <c r="A3" t="s">
        <v>105</v>
      </c>
      <c r="B3" s="79" t="s">
        <v>106</v>
      </c>
      <c r="C3" s="79" t="str">
        <f>$C$2&amp;MATCH(B3,'PEC Total'!$C$1:$C$36,0)</f>
        <v>V7</v>
      </c>
      <c r="D3" s="80" t="str">
        <f ca="1">IF(INDIRECT("'"&amp;D$2&amp;"'!"&amp;$C3)="Based on MS Stats","x","")</f>
        <v/>
      </c>
      <c r="E3" s="80" t="str">
        <f t="shared" ref="E3:N16" ca="1" si="0">IF(INDIRECT("'"&amp;E$2&amp;"'!"&amp;$C3)="Based on MS Stats","x","")</f>
        <v/>
      </c>
      <c r="F3" s="80" t="str">
        <f t="shared" ca="1" si="0"/>
        <v/>
      </c>
      <c r="G3" s="80" t="str">
        <f t="shared" ca="1" si="0"/>
        <v/>
      </c>
      <c r="H3" s="80" t="str">
        <f t="shared" ca="1" si="0"/>
        <v/>
      </c>
      <c r="I3" s="80" t="str">
        <f t="shared" ca="1" si="0"/>
        <v/>
      </c>
      <c r="J3" s="80" t="str">
        <f t="shared" ca="1" si="0"/>
        <v/>
      </c>
      <c r="K3" s="80" t="str">
        <f t="shared" ca="1" si="0"/>
        <v/>
      </c>
      <c r="L3" s="80" t="str">
        <f t="shared" ca="1" si="0"/>
        <v/>
      </c>
      <c r="M3" s="80" t="str">
        <f t="shared" ca="1" si="0"/>
        <v/>
      </c>
      <c r="N3" s="80" t="str">
        <f t="shared" ca="1" si="0"/>
        <v/>
      </c>
      <c r="O3" s="78"/>
      <c r="P3" s="51" t="s">
        <v>107</v>
      </c>
      <c r="Q3" s="117"/>
      <c r="R3" s="118" t="s">
        <v>108</v>
      </c>
    </row>
    <row r="4" spans="1:19" ht="42">
      <c r="A4" t="s">
        <v>109</v>
      </c>
      <c r="B4" s="79" t="s">
        <v>91</v>
      </c>
      <c r="C4" s="79" t="str">
        <f>$C$2&amp;MATCH(B4,'PEC Total'!$C$1:$C$36,0)</f>
        <v>V12</v>
      </c>
      <c r="D4" s="80" t="str">
        <f t="shared" ref="D4:D16" ca="1" si="1">IF(INDIRECT("'"&amp;D$2&amp;"'!"&amp;$C4)="Based on MS Stats","x","")</f>
        <v/>
      </c>
      <c r="E4" s="80" t="str">
        <f t="shared" ca="1" si="0"/>
        <v/>
      </c>
      <c r="F4" s="80" t="str">
        <f t="shared" ca="1" si="0"/>
        <v/>
      </c>
      <c r="G4" s="80" t="str">
        <f t="shared" ca="1" si="0"/>
        <v/>
      </c>
      <c r="H4" s="80" t="str">
        <f t="shared" ca="1" si="0"/>
        <v/>
      </c>
      <c r="I4" s="80" t="str">
        <f t="shared" ca="1" si="0"/>
        <v/>
      </c>
      <c r="J4" s="80" t="str">
        <f t="shared" ca="1" si="0"/>
        <v/>
      </c>
      <c r="K4" s="80" t="str">
        <f t="shared" ca="1" si="0"/>
        <v/>
      </c>
      <c r="L4" s="80" t="str">
        <f t="shared" ca="1" si="0"/>
        <v/>
      </c>
      <c r="M4" s="80" t="str">
        <f t="shared" ca="1" si="0"/>
        <v/>
      </c>
      <c r="N4" s="80" t="str">
        <f t="shared" ca="1" si="0"/>
        <v/>
      </c>
      <c r="O4" s="78"/>
      <c r="P4" s="126" t="s">
        <v>110</v>
      </c>
      <c r="Q4" s="125" t="s">
        <v>111</v>
      </c>
      <c r="R4" s="118" t="s">
        <v>112</v>
      </c>
      <c r="S4" s="118" t="s">
        <v>113</v>
      </c>
    </row>
    <row r="5" spans="1:19" ht="14">
      <c r="A5" t="s">
        <v>114</v>
      </c>
      <c r="B5" s="79" t="s">
        <v>115</v>
      </c>
      <c r="C5" s="79" t="str">
        <f>$C$2&amp;MATCH(B5,'PEC Total'!$C$1:$C$36,0)</f>
        <v>V13</v>
      </c>
      <c r="D5" s="80" t="str">
        <f t="shared" ca="1" si="1"/>
        <v/>
      </c>
      <c r="E5" s="80" t="str">
        <f t="shared" ca="1" si="0"/>
        <v/>
      </c>
      <c r="F5" s="80" t="str">
        <f t="shared" ca="1" si="0"/>
        <v/>
      </c>
      <c r="G5" s="80" t="str">
        <f t="shared" ca="1" si="0"/>
        <v/>
      </c>
      <c r="H5" s="80" t="str">
        <f t="shared" ca="1" si="0"/>
        <v/>
      </c>
      <c r="I5" s="80" t="str">
        <f t="shared" ca="1" si="0"/>
        <v/>
      </c>
      <c r="J5" s="80" t="str">
        <f t="shared" ca="1" si="0"/>
        <v/>
      </c>
      <c r="K5" s="80" t="str">
        <f t="shared" ca="1" si="0"/>
        <v/>
      </c>
      <c r="L5" s="80" t="str">
        <f t="shared" ca="1" si="0"/>
        <v/>
      </c>
      <c r="M5" s="80" t="str">
        <f t="shared" ca="1" si="0"/>
        <v/>
      </c>
      <c r="N5" s="80" t="str">
        <f t="shared" ca="1" si="0"/>
        <v/>
      </c>
      <c r="O5" s="78" t="s">
        <v>116</v>
      </c>
      <c r="P5" s="51" t="s">
        <v>117</v>
      </c>
      <c r="Q5" s="117"/>
      <c r="R5" s="118" t="s">
        <v>118</v>
      </c>
    </row>
    <row r="6" spans="1:19" ht="14">
      <c r="A6" t="s">
        <v>119</v>
      </c>
      <c r="B6" s="51" t="s">
        <v>120</v>
      </c>
      <c r="C6" s="79" t="str">
        <f>$C$2&amp;MATCH(B6,'PEC Total'!$C$1:$C$36,0)</f>
        <v>V14</v>
      </c>
      <c r="D6" s="80" t="str">
        <f ca="1">IF(INDIRECT("'"&amp;D$2&amp;"'!"&amp;$C6)="Based on MS Stats","x","")</f>
        <v/>
      </c>
      <c r="E6" s="80" t="str">
        <f t="shared" ca="1" si="0"/>
        <v/>
      </c>
      <c r="F6" s="80" t="str">
        <f t="shared" ca="1" si="0"/>
        <v/>
      </c>
      <c r="G6" s="80" t="str">
        <f t="shared" ca="1" si="0"/>
        <v/>
      </c>
      <c r="H6" s="80" t="str">
        <f t="shared" ca="1" si="0"/>
        <v/>
      </c>
      <c r="I6" s="80" t="str">
        <f t="shared" ca="1" si="0"/>
        <v/>
      </c>
      <c r="J6" s="80" t="str">
        <f t="shared" ca="1" si="0"/>
        <v/>
      </c>
      <c r="K6" s="80" t="str">
        <f t="shared" ca="1" si="0"/>
        <v/>
      </c>
      <c r="L6" s="80" t="str">
        <f t="shared" ca="1" si="0"/>
        <v/>
      </c>
      <c r="M6" s="80" t="str">
        <f t="shared" ca="1" si="0"/>
        <v/>
      </c>
      <c r="N6" s="80" t="str">
        <f t="shared" ca="1" si="0"/>
        <v/>
      </c>
      <c r="O6" s="78"/>
      <c r="P6" s="51"/>
      <c r="Q6" s="117"/>
      <c r="R6" s="118" t="s">
        <v>121</v>
      </c>
    </row>
    <row r="7" spans="1:19" ht="14">
      <c r="A7" t="s">
        <v>122</v>
      </c>
      <c r="B7" s="79" t="s">
        <v>2</v>
      </c>
      <c r="C7" s="79" t="str">
        <f>$C$2&amp;MATCH(B7,'PEC Total'!$C$1:$C$36,0)</f>
        <v>V16</v>
      </c>
      <c r="D7" s="80" t="str">
        <f t="shared" ca="1" si="1"/>
        <v/>
      </c>
      <c r="E7" s="80" t="str">
        <f t="shared" ca="1" si="0"/>
        <v/>
      </c>
      <c r="F7" s="80" t="str">
        <f t="shared" ca="1" si="0"/>
        <v/>
      </c>
      <c r="G7" s="80" t="str">
        <f t="shared" ca="1" si="0"/>
        <v/>
      </c>
      <c r="H7" s="80" t="str">
        <f t="shared" ca="1" si="0"/>
        <v/>
      </c>
      <c r="I7" s="80" t="str">
        <f t="shared" ca="1" si="0"/>
        <v/>
      </c>
      <c r="J7" s="80" t="str">
        <f t="shared" ca="1" si="0"/>
        <v/>
      </c>
      <c r="K7" s="80" t="str">
        <f t="shared" ca="1" si="0"/>
        <v/>
      </c>
      <c r="L7" s="80" t="str">
        <f t="shared" ca="1" si="0"/>
        <v/>
      </c>
      <c r="M7" s="80" t="str">
        <f t="shared" ca="1" si="0"/>
        <v/>
      </c>
      <c r="N7" s="80" t="str">
        <f t="shared" ca="1" si="0"/>
        <v/>
      </c>
      <c r="O7" s="78"/>
      <c r="P7" s="51" t="s">
        <v>123</v>
      </c>
      <c r="Q7" s="117"/>
      <c r="R7" s="118" t="s">
        <v>124</v>
      </c>
    </row>
    <row r="8" spans="1:19" ht="14">
      <c r="A8" t="s">
        <v>125</v>
      </c>
      <c r="B8" s="79" t="s">
        <v>82</v>
      </c>
      <c r="C8" s="79" t="str">
        <f>$C$2&amp;MATCH(B8,'PEC Total'!$C$1:$C$36,0)</f>
        <v>V17</v>
      </c>
      <c r="D8" s="80" t="str">
        <f t="shared" ca="1" si="1"/>
        <v/>
      </c>
      <c r="E8" s="80" t="str">
        <f t="shared" ca="1" si="0"/>
        <v/>
      </c>
      <c r="F8" s="80" t="str">
        <f t="shared" ca="1" si="0"/>
        <v/>
      </c>
      <c r="G8" s="80" t="str">
        <f t="shared" ca="1" si="0"/>
        <v/>
      </c>
      <c r="H8" s="80" t="str">
        <f t="shared" ca="1" si="0"/>
        <v/>
      </c>
      <c r="I8" s="80" t="str">
        <f t="shared" ca="1" si="0"/>
        <v/>
      </c>
      <c r="J8" s="80" t="str">
        <f t="shared" ca="1" si="0"/>
        <v/>
      </c>
      <c r="K8" s="80" t="str">
        <f t="shared" ca="1" si="0"/>
        <v/>
      </c>
      <c r="L8" s="80" t="str">
        <f t="shared" ca="1" si="0"/>
        <v/>
      </c>
      <c r="M8" s="80" t="str">
        <f t="shared" ca="1" si="0"/>
        <v/>
      </c>
      <c r="N8" s="80" t="str">
        <f t="shared" ca="1" si="0"/>
        <v/>
      </c>
      <c r="O8" s="78"/>
      <c r="P8" s="51" t="s">
        <v>126</v>
      </c>
      <c r="Q8" s="117"/>
      <c r="R8" s="118" t="s">
        <v>127</v>
      </c>
    </row>
    <row r="9" spans="1:19">
      <c r="A9" t="s">
        <v>128</v>
      </c>
      <c r="B9" s="79" t="s">
        <v>88</v>
      </c>
      <c r="C9" s="79" t="str">
        <f>$C$2&amp;MATCH(B9,'PEC Total'!$C$1:$C$36,0)</f>
        <v>V20</v>
      </c>
      <c r="D9" s="80" t="str">
        <f t="shared" ca="1" si="1"/>
        <v/>
      </c>
      <c r="E9" s="80" t="str">
        <f t="shared" ca="1" si="0"/>
        <v/>
      </c>
      <c r="F9" s="80" t="str">
        <f t="shared" ca="1" si="0"/>
        <v/>
      </c>
      <c r="G9" s="80" t="str">
        <f t="shared" ca="1" si="0"/>
        <v/>
      </c>
      <c r="H9" s="80" t="str">
        <f t="shared" ca="1" si="0"/>
        <v/>
      </c>
      <c r="I9" s="80" t="str">
        <f t="shared" ca="1" si="0"/>
        <v/>
      </c>
      <c r="J9" s="80" t="str">
        <f t="shared" ca="1" si="0"/>
        <v/>
      </c>
      <c r="K9" s="80" t="str">
        <f t="shared" ca="1" si="0"/>
        <v/>
      </c>
      <c r="L9" s="80" t="str">
        <f t="shared" ca="1" si="0"/>
        <v/>
      </c>
      <c r="M9" s="80" t="str">
        <f t="shared" ca="1" si="0"/>
        <v/>
      </c>
      <c r="N9" s="80" t="str">
        <f t="shared" ca="1" si="0"/>
        <v/>
      </c>
      <c r="O9" s="51" t="s">
        <v>129</v>
      </c>
      <c r="P9" s="51" t="s">
        <v>130</v>
      </c>
      <c r="Q9" s="117"/>
      <c r="R9" s="118" t="s">
        <v>131</v>
      </c>
    </row>
    <row r="10" spans="1:19">
      <c r="A10" t="s">
        <v>132</v>
      </c>
      <c r="B10" s="79" t="s">
        <v>133</v>
      </c>
      <c r="C10" s="79" t="str">
        <f>$C$2&amp;MATCH(B10,'PEC Total'!$C$1:$C$36,0)</f>
        <v>V21</v>
      </c>
      <c r="D10" s="80" t="str">
        <f t="shared" ca="1" si="1"/>
        <v/>
      </c>
      <c r="E10" s="80" t="str">
        <f t="shared" ca="1" si="0"/>
        <v/>
      </c>
      <c r="F10" s="80" t="str">
        <f t="shared" ca="1" si="0"/>
        <v/>
      </c>
      <c r="G10" s="80" t="str">
        <f t="shared" ca="1" si="0"/>
        <v/>
      </c>
      <c r="H10" s="80" t="str">
        <f t="shared" ca="1" si="0"/>
        <v/>
      </c>
      <c r="I10" s="80" t="str">
        <f t="shared" ca="1" si="0"/>
        <v/>
      </c>
      <c r="J10" s="80" t="str">
        <f t="shared" ca="1" si="0"/>
        <v/>
      </c>
      <c r="K10" s="80" t="str">
        <f t="shared" ca="1" si="0"/>
        <v/>
      </c>
      <c r="L10" s="80" t="str">
        <f t="shared" ca="1" si="0"/>
        <v/>
      </c>
      <c r="M10" s="80" t="str">
        <f t="shared" ca="1" si="0"/>
        <v/>
      </c>
      <c r="N10" s="80" t="str">
        <f t="shared" ca="1" si="0"/>
        <v/>
      </c>
      <c r="O10" s="51" t="s">
        <v>116</v>
      </c>
      <c r="P10" s="51" t="s">
        <v>134</v>
      </c>
      <c r="Q10" s="117"/>
      <c r="R10" s="118" t="s">
        <v>135</v>
      </c>
    </row>
    <row r="11" spans="1:19">
      <c r="A11" t="s">
        <v>136</v>
      </c>
      <c r="B11" s="79" t="s">
        <v>137</v>
      </c>
      <c r="C11" s="79" t="str">
        <f>$C$2&amp;MATCH(B11,'PEC Total'!$C$1:$C$36,0)</f>
        <v>V23</v>
      </c>
      <c r="D11" s="80" t="str">
        <f t="shared" ca="1" si="1"/>
        <v/>
      </c>
      <c r="E11" s="80" t="str">
        <f t="shared" ca="1" si="0"/>
        <v/>
      </c>
      <c r="F11" s="80" t="str">
        <f t="shared" ca="1" si="0"/>
        <v/>
      </c>
      <c r="G11" s="80" t="str">
        <f t="shared" ca="1" si="0"/>
        <v/>
      </c>
      <c r="H11" s="80" t="str">
        <f t="shared" ca="1" si="0"/>
        <v/>
      </c>
      <c r="I11" s="80" t="str">
        <f t="shared" ca="1" si="0"/>
        <v/>
      </c>
      <c r="J11" s="80" t="str">
        <f t="shared" ca="1" si="0"/>
        <v/>
      </c>
      <c r="K11" s="80" t="str">
        <f t="shared" ca="1" si="0"/>
        <v/>
      </c>
      <c r="L11" s="80" t="str">
        <f t="shared" ca="1" si="0"/>
        <v/>
      </c>
      <c r="M11" s="80" t="str">
        <f t="shared" ca="1" si="0"/>
        <v/>
      </c>
      <c r="N11" s="80" t="str">
        <f t="shared" ca="1" si="0"/>
        <v/>
      </c>
      <c r="O11" s="79"/>
      <c r="P11" s="51" t="s">
        <v>138</v>
      </c>
      <c r="Q11" s="117"/>
      <c r="R11" s="118" t="s">
        <v>139</v>
      </c>
    </row>
    <row r="12" spans="1:19">
      <c r="A12" t="s">
        <v>140</v>
      </c>
      <c r="B12" s="51" t="s">
        <v>141</v>
      </c>
      <c r="C12" s="79" t="str">
        <f>$C$2&amp;MATCH(B12,'PEC Total'!$C$1:$C$36,0)</f>
        <v>V26</v>
      </c>
      <c r="D12" s="80" t="str">
        <f t="shared" ca="1" si="1"/>
        <v/>
      </c>
      <c r="E12" s="80" t="str">
        <f t="shared" ca="1" si="0"/>
        <v/>
      </c>
      <c r="F12" s="80" t="str">
        <f t="shared" ca="1" si="0"/>
        <v/>
      </c>
      <c r="G12" s="80" t="str">
        <f t="shared" ca="1" si="0"/>
        <v/>
      </c>
      <c r="H12" s="80" t="str">
        <f t="shared" ca="1" si="0"/>
        <v/>
      </c>
      <c r="I12" s="80" t="str">
        <f t="shared" ca="1" si="0"/>
        <v/>
      </c>
      <c r="J12" s="80" t="str">
        <f t="shared" ca="1" si="0"/>
        <v/>
      </c>
      <c r="K12" s="80" t="str">
        <f t="shared" ca="1" si="0"/>
        <v/>
      </c>
      <c r="L12" s="80" t="str">
        <f t="shared" ca="1" si="0"/>
        <v/>
      </c>
      <c r="M12" s="80" t="str">
        <f t="shared" ca="1" si="0"/>
        <v/>
      </c>
      <c r="N12" s="80" t="str">
        <f t="shared" ca="1" si="0"/>
        <v/>
      </c>
      <c r="O12" s="51" t="s">
        <v>142</v>
      </c>
      <c r="P12" s="51" t="s">
        <v>143</v>
      </c>
      <c r="Q12" s="117"/>
      <c r="R12" s="118"/>
    </row>
    <row r="13" spans="1:19">
      <c r="A13" t="s">
        <v>144</v>
      </c>
      <c r="B13" s="79" t="s">
        <v>145</v>
      </c>
      <c r="C13" s="79" t="str">
        <f>$C$2&amp;MATCH(B13,'PEC Total'!$C$1:$C$36,0)</f>
        <v>V27</v>
      </c>
      <c r="D13" s="80" t="str">
        <f t="shared" ca="1" si="1"/>
        <v/>
      </c>
      <c r="E13" s="80" t="str">
        <f t="shared" ca="1" si="0"/>
        <v/>
      </c>
      <c r="F13" s="80" t="str">
        <f t="shared" ca="1" si="0"/>
        <v/>
      </c>
      <c r="G13" s="80" t="str">
        <f t="shared" ca="1" si="0"/>
        <v/>
      </c>
      <c r="H13" s="80" t="str">
        <f t="shared" ca="1" si="0"/>
        <v/>
      </c>
      <c r="I13" s="80" t="str">
        <f t="shared" ca="1" si="0"/>
        <v/>
      </c>
      <c r="J13" s="80" t="str">
        <f t="shared" ca="1" si="0"/>
        <v/>
      </c>
      <c r="K13" s="80" t="str">
        <f t="shared" ca="1" si="0"/>
        <v/>
      </c>
      <c r="L13" s="80" t="str">
        <f t="shared" ca="1" si="0"/>
        <v/>
      </c>
      <c r="M13" s="80" t="str">
        <f t="shared" ca="1" si="0"/>
        <v/>
      </c>
      <c r="N13" s="80" t="str">
        <f t="shared" ca="1" si="0"/>
        <v/>
      </c>
      <c r="O13" s="79"/>
      <c r="P13" s="51" t="s">
        <v>146</v>
      </c>
      <c r="Q13" s="117"/>
      <c r="R13" s="118" t="s">
        <v>147</v>
      </c>
    </row>
    <row r="14" spans="1:19">
      <c r="A14" t="s">
        <v>148</v>
      </c>
      <c r="B14" s="79" t="s">
        <v>149</v>
      </c>
      <c r="C14" s="79" t="str">
        <f>$C$2&amp;MATCH(B14,'PEC Total'!$C$1:$C$36,0)</f>
        <v>V29</v>
      </c>
      <c r="D14" s="80" t="str">
        <f t="shared" ca="1" si="1"/>
        <v/>
      </c>
      <c r="E14" s="80" t="str">
        <f t="shared" ca="1" si="0"/>
        <v/>
      </c>
      <c r="F14" s="80" t="str">
        <f t="shared" ca="1" si="0"/>
        <v/>
      </c>
      <c r="G14" s="80" t="str">
        <f t="shared" ca="1" si="0"/>
        <v/>
      </c>
      <c r="H14" s="80" t="str">
        <f t="shared" ca="1" si="0"/>
        <v/>
      </c>
      <c r="I14" s="80" t="str">
        <f t="shared" ca="1" si="0"/>
        <v/>
      </c>
      <c r="J14" s="80" t="str">
        <f t="shared" ca="1" si="0"/>
        <v/>
      </c>
      <c r="K14" s="80" t="str">
        <f t="shared" ca="1" si="0"/>
        <v/>
      </c>
      <c r="L14" s="80" t="str">
        <f t="shared" ca="1" si="0"/>
        <v/>
      </c>
      <c r="M14" s="80" t="str">
        <f t="shared" ca="1" si="0"/>
        <v/>
      </c>
      <c r="N14" s="80" t="str">
        <f t="shared" ca="1" si="0"/>
        <v/>
      </c>
      <c r="O14" s="79"/>
      <c r="P14" s="51" t="s">
        <v>150</v>
      </c>
      <c r="Q14" s="117"/>
      <c r="R14" s="118" t="s">
        <v>151</v>
      </c>
    </row>
    <row r="15" spans="1:19">
      <c r="A15" t="s">
        <v>152</v>
      </c>
      <c r="B15" s="79" t="s">
        <v>79</v>
      </c>
      <c r="C15" s="79" t="str">
        <f>$C$2&amp;MATCH(B15,'PEC Total'!$C$1:$C$36,0)</f>
        <v>V32</v>
      </c>
      <c r="D15" s="80" t="str">
        <f t="shared" ca="1" si="1"/>
        <v/>
      </c>
      <c r="E15" s="80" t="str">
        <f t="shared" ca="1" si="0"/>
        <v/>
      </c>
      <c r="F15" s="80" t="str">
        <f t="shared" ca="1" si="0"/>
        <v/>
      </c>
      <c r="G15" s="80" t="str">
        <f t="shared" ca="1" si="0"/>
        <v/>
      </c>
      <c r="H15" s="80" t="str">
        <f t="shared" ca="1" si="0"/>
        <v/>
      </c>
      <c r="I15" s="80" t="str">
        <f t="shared" ca="1" si="0"/>
        <v/>
      </c>
      <c r="J15" s="80" t="str">
        <f t="shared" ca="1" si="0"/>
        <v/>
      </c>
      <c r="K15" s="80" t="str">
        <f t="shared" ca="1" si="0"/>
        <v/>
      </c>
      <c r="L15" s="80" t="str">
        <f t="shared" ca="1" si="0"/>
        <v/>
      </c>
      <c r="M15" s="80" t="str">
        <f t="shared" ca="1" si="0"/>
        <v/>
      </c>
      <c r="N15" s="80" t="str">
        <f t="shared" ca="1" si="0"/>
        <v/>
      </c>
      <c r="O15" s="51" t="s">
        <v>153</v>
      </c>
      <c r="P15" s="51" t="s">
        <v>154</v>
      </c>
      <c r="Q15" s="117"/>
      <c r="R15" s="118" t="s">
        <v>155</v>
      </c>
    </row>
    <row r="16" spans="1:19">
      <c r="A16" t="s">
        <v>156</v>
      </c>
      <c r="B16" s="79" t="s">
        <v>157</v>
      </c>
      <c r="C16" s="79" t="str">
        <f>$C$2&amp;MATCH(B16,'PEC Total'!$C$1:$C$36,0)</f>
        <v>V22</v>
      </c>
      <c r="D16" s="80" t="str">
        <f t="shared" ca="1" si="1"/>
        <v/>
      </c>
      <c r="E16" s="80" t="str">
        <f t="shared" ca="1" si="0"/>
        <v/>
      </c>
      <c r="F16" s="80" t="str">
        <f t="shared" ca="1" si="0"/>
        <v/>
      </c>
      <c r="G16" s="80" t="str">
        <f t="shared" ca="1" si="0"/>
        <v/>
      </c>
      <c r="H16" s="80" t="str">
        <f t="shared" ca="1" si="0"/>
        <v/>
      </c>
      <c r="I16" s="80" t="str">
        <f t="shared" ca="1" si="0"/>
        <v/>
      </c>
      <c r="J16" s="80" t="str">
        <f t="shared" ca="1" si="0"/>
        <v/>
      </c>
      <c r="K16" s="80" t="str">
        <f t="shared" ca="1" si="0"/>
        <v/>
      </c>
      <c r="L16" s="80" t="str">
        <f t="shared" ca="1" si="0"/>
        <v/>
      </c>
      <c r="M16" s="80" t="str">
        <f t="shared" ca="1" si="0"/>
        <v/>
      </c>
      <c r="N16" s="80" t="str">
        <f t="shared" ca="1" si="0"/>
        <v/>
      </c>
      <c r="P16" s="51" t="s">
        <v>158</v>
      </c>
      <c r="Q16" s="27"/>
      <c r="R16" s="118" t="s">
        <v>159</v>
      </c>
    </row>
    <row r="17" spans="1:18">
      <c r="A17" t="s">
        <v>160</v>
      </c>
      <c r="B17" s="79" t="s">
        <v>85</v>
      </c>
      <c r="C17" s="79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P17" s="51" t="s">
        <v>158</v>
      </c>
      <c r="Q17" s="27"/>
      <c r="R17" s="118" t="s">
        <v>161</v>
      </c>
    </row>
    <row r="19" spans="1:18">
      <c r="A19" t="s">
        <v>162</v>
      </c>
      <c r="B19" s="79" t="s">
        <v>163</v>
      </c>
      <c r="C19" s="79" t="str">
        <f>$C$2&amp;MATCH(B19,'PEC Total'!$C$1:$C$36,0)</f>
        <v>V34</v>
      </c>
      <c r="D19" s="80" t="str">
        <f t="shared" ref="D19:N19" ca="1" si="2">IF(INDIRECT("'"&amp;D$2&amp;"'!"&amp;$C19)="Based on MS Stats","x","")</f>
        <v/>
      </c>
      <c r="E19" s="80" t="str">
        <f t="shared" ca="1" si="2"/>
        <v/>
      </c>
      <c r="F19" s="80" t="str">
        <f t="shared" ca="1" si="2"/>
        <v/>
      </c>
      <c r="G19" s="80" t="str">
        <f t="shared" ca="1" si="2"/>
        <v/>
      </c>
      <c r="H19" s="80" t="str">
        <f t="shared" ca="1" si="2"/>
        <v/>
      </c>
      <c r="I19" s="80" t="str">
        <f t="shared" ca="1" si="2"/>
        <v/>
      </c>
      <c r="J19" s="80" t="str">
        <f t="shared" ca="1" si="2"/>
        <v/>
      </c>
      <c r="K19" s="80" t="str">
        <f t="shared" ca="1" si="2"/>
        <v/>
      </c>
      <c r="L19" s="80" t="str">
        <f t="shared" ca="1" si="2"/>
        <v/>
      </c>
      <c r="M19" s="80" t="str">
        <f t="shared" ca="1" si="2"/>
        <v/>
      </c>
      <c r="N19" s="80" t="str">
        <f t="shared" ca="1" si="2"/>
        <v/>
      </c>
      <c r="O19" s="79"/>
      <c r="P19" s="51" t="s">
        <v>164</v>
      </c>
      <c r="Q19" s="117"/>
      <c r="R19" s="118" t="s">
        <v>165</v>
      </c>
    </row>
    <row r="21" spans="1:18">
      <c r="R21" s="118"/>
    </row>
    <row r="26" spans="1:18">
      <c r="D26" s="20"/>
    </row>
  </sheetData>
  <hyperlinks>
    <hyperlink ref="S8" r:id="rId1" display="https://www.statistiques.developpement-durable.gouv.fr/" xr:uid="{00000000-0004-0000-0200-000000000000}"/>
    <hyperlink ref="S10" r:id="rId2" display="https://www.seai.ie/data-and-insights/seai-statistics/key-publications/national-energy-balance/" xr:uid="{00000000-0004-0000-0200-000001000000}"/>
    <hyperlink ref="S9" r:id="rId3" display="http://www.mekh.hu/annual-data" xr:uid="{00000000-0004-0000-0200-000002000000}"/>
    <hyperlink ref="S14" r:id="rId4" display="http://www.dgeg.gov.pt/" xr:uid="{00000000-0004-0000-0200-000003000000}"/>
    <hyperlink ref="S3" r:id="rId5" display="https://www.statistik.at/web_en/statistics/EnergyEnvironmentInnovationMobility/energy_environment/energy/energy_balances/index.html" xr:uid="{00000000-0004-0000-0200-000004000000}"/>
    <hyperlink ref="S5" r:id="rId6" display="https://ens.dk/en/our-services/statistics-data-key-figures-and-energy-maps/annual-and-monthly-statistics" xr:uid="{00000000-0004-0000-0200-000005000000}"/>
    <hyperlink ref="S15" r:id="rId7" display="https://www.stat.si/StatWeb/en/Field/Index/5" xr:uid="{00000000-0004-0000-0200-000006000000}"/>
    <hyperlink ref="S19" r:id="rId8" display="https://www.gov.uk/government/statistics/energy-chapter-1-digest-of-united-kingdom-energy-statistics-dukes" xr:uid="{00000000-0004-0000-0200-000007000000}"/>
    <hyperlink ref="S13" r:id="rId9" location="/CBS/en/dataset/83140ENG/table?ts=1596898439837" display="https://opendata.cbs.nl/statline/ - /CBS/en/dataset/83140ENG/table?ts=1596898439837" xr:uid="{00000000-0004-0000-0200-000008000000}"/>
    <hyperlink ref="S11" r:id="rId10" display="https://osp.stat.gov.lt/en_GB/energetika" xr:uid="{00000000-0004-0000-0200-000009000000}"/>
    <hyperlink ref="S7" r:id="rId11" display="http://www.stat.fi/til/ene_en.html" xr:uid="{00000000-0004-0000-0200-00000A000000}"/>
    <hyperlink ref="R8" r:id="rId12" xr:uid="{00000000-0004-0000-0200-00000B000000}"/>
    <hyperlink ref="R4" r:id="rId13" xr:uid="{00000000-0004-0000-0200-00000C000000}"/>
    <hyperlink ref="R10" r:id="rId14" xr:uid="{00000000-0004-0000-0200-00000D000000}"/>
    <hyperlink ref="R9" r:id="rId15" xr:uid="{00000000-0004-0000-0200-00000E000000}"/>
    <hyperlink ref="R14" r:id="rId16" display="https://www.dgeg.gov.pt/pt/estatistica/energia/" xr:uid="{00000000-0004-0000-0200-00000F000000}"/>
    <hyperlink ref="R3" r:id="rId17" xr:uid="{00000000-0004-0000-0200-000010000000}"/>
    <hyperlink ref="R5" r:id="rId18" xr:uid="{00000000-0004-0000-0200-000011000000}"/>
    <hyperlink ref="R15" r:id="rId19" xr:uid="{00000000-0004-0000-0200-000012000000}"/>
    <hyperlink ref="R19" r:id="rId20" xr:uid="{00000000-0004-0000-0200-000013000000}"/>
    <hyperlink ref="R13" r:id="rId21" location="/CBS/en/dataset/83140ENG/table?ts=1596898439837" xr:uid="{00000000-0004-0000-0200-000014000000}"/>
    <hyperlink ref="R11" r:id="rId22" xr:uid="{00000000-0004-0000-0200-000015000000}"/>
    <hyperlink ref="R16" r:id="rId23" xr:uid="{00000000-0004-0000-0200-000016000000}"/>
    <hyperlink ref="R6" r:id="rId24" xr:uid="{00000000-0004-0000-0200-000017000000}"/>
    <hyperlink ref="R7" r:id="rId25" display="https://www.stat.fi/en/statistics/ehk" xr:uid="{00000000-0004-0000-0200-000018000000}"/>
    <hyperlink ref="S4" r:id="rId26" xr:uid="{00000000-0004-0000-0200-000019000000}"/>
    <hyperlink ref="R17" r:id="rId27" xr:uid="{00000000-0004-0000-0200-00001A000000}"/>
  </hyperlinks>
  <pageMargins left="0.7" right="0.7" top="0.75" bottom="0.75" header="0.3" footer="0.3"/>
  <pageSetup paperSize="9" orientation="portrait" r:id="rId2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C7" sqref="C7"/>
    </sheetView>
  </sheetViews>
  <sheetFormatPr baseColWidth="10" defaultColWidth="11.5" defaultRowHeight="13"/>
  <cols>
    <col min="2" max="2" width="52.33203125" customWidth="1"/>
  </cols>
  <sheetData>
    <row r="1" spans="1:3">
      <c r="A1" s="5" t="s">
        <v>166</v>
      </c>
    </row>
    <row r="6" spans="1:3" ht="14">
      <c r="B6" t="s">
        <v>167</v>
      </c>
      <c r="C6" s="19">
        <v>2023</v>
      </c>
    </row>
    <row r="8" spans="1:3" ht="14">
      <c r="B8" t="s">
        <v>168</v>
      </c>
      <c r="C8" s="9">
        <f>YearProxy-1</f>
        <v>2022</v>
      </c>
    </row>
    <row r="9" spans="1:3" ht="14">
      <c r="B9" t="s">
        <v>169</v>
      </c>
      <c r="C9" s="9">
        <v>20</v>
      </c>
    </row>
    <row r="10" spans="1:3" ht="14">
      <c r="B10" t="s">
        <v>170</v>
      </c>
      <c r="C10" s="9">
        <f>MATCH(YearProxy,'PEC Solid'!6:6,0)</f>
        <v>22</v>
      </c>
    </row>
    <row r="11" spans="1:3" ht="14">
      <c r="B11" t="s">
        <v>171</v>
      </c>
      <c r="C11" s="9">
        <f>MATCH(YearLast,'PEC Solid'!6:6,0)</f>
        <v>21</v>
      </c>
    </row>
    <row r="12" spans="1:3" ht="14">
      <c r="B12" t="s">
        <v>172</v>
      </c>
      <c r="C12" s="9">
        <f>C11-1</f>
        <v>20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W73"/>
  <sheetViews>
    <sheetView zoomScaleNormal="100" workbookViewId="0">
      <pane xSplit="3" ySplit="6" topLeftCell="D7" activePane="bottomRight" state="frozen"/>
      <selection pane="topRight" activeCell="U63" sqref="U63"/>
      <selection pane="bottomLeft" activeCell="U63" sqref="U63"/>
      <selection pane="bottomRight" activeCell="D6" sqref="D6:V37"/>
    </sheetView>
  </sheetViews>
  <sheetFormatPr baseColWidth="10" defaultColWidth="11.5" defaultRowHeight="13"/>
  <cols>
    <col min="1" max="1" width="13.5" customWidth="1"/>
  </cols>
  <sheetData>
    <row r="1" spans="1:23">
      <c r="A1" t="s">
        <v>41</v>
      </c>
    </row>
    <row r="5" spans="1:23">
      <c r="D5" t="s">
        <v>173</v>
      </c>
      <c r="V5" t="s">
        <v>174</v>
      </c>
    </row>
    <row r="6" spans="1:23">
      <c r="B6" t="s">
        <v>175</v>
      </c>
      <c r="C6" t="s">
        <v>176</v>
      </c>
      <c r="D6" s="1">
        <v>2005</v>
      </c>
      <c r="E6" s="1">
        <v>2006</v>
      </c>
      <c r="F6" s="1">
        <v>2007</v>
      </c>
      <c r="G6" s="1">
        <v>2008</v>
      </c>
      <c r="H6" s="1">
        <v>2009</v>
      </c>
      <c r="I6" s="1">
        <v>2010</v>
      </c>
      <c r="J6" s="1">
        <v>2011</v>
      </c>
      <c r="K6" s="1">
        <v>2012</v>
      </c>
      <c r="L6" s="1">
        <v>2013</v>
      </c>
      <c r="M6" s="1">
        <v>2014</v>
      </c>
      <c r="N6" s="1">
        <v>2015</v>
      </c>
      <c r="O6" s="1">
        <v>2016</v>
      </c>
      <c r="P6" s="1">
        <v>2017</v>
      </c>
      <c r="Q6" s="1">
        <v>2018</v>
      </c>
      <c r="R6" s="1">
        <v>2019</v>
      </c>
      <c r="S6" s="1">
        <v>2020</v>
      </c>
      <c r="T6" s="1">
        <v>2021</v>
      </c>
      <c r="U6" s="1">
        <v>2022</v>
      </c>
      <c r="V6" s="2">
        <f>YearProxy</f>
        <v>2023</v>
      </c>
    </row>
    <row r="7" spans="1:23">
      <c r="B7" t="s">
        <v>106</v>
      </c>
      <c r="C7" t="s">
        <v>106</v>
      </c>
      <c r="D7" s="3">
        <f>'PEC Fossil'!D7+'PEC Nuclear'!D7+'PEC Waste'!D7+'PEC Electricity'!D7+'PEC RES'!D7</f>
        <v>32712.997027801659</v>
      </c>
      <c r="E7" s="3">
        <f>'PEC Fossil'!E7+'PEC Nuclear'!E7+'PEC Waste'!E7+'PEC Electricity'!E7+'PEC RES'!E7</f>
        <v>32625.015752746731</v>
      </c>
      <c r="F7" s="3">
        <f>'PEC Fossil'!F7+'PEC Nuclear'!F7+'PEC Waste'!F7+'PEC Electricity'!F7+'PEC RES'!F7</f>
        <v>32184.920028757038</v>
      </c>
      <c r="G7" s="3">
        <f>'PEC Fossil'!G7+'PEC Nuclear'!G7+'PEC Waste'!G7+'PEC Electricity'!G7+'PEC RES'!G7</f>
        <v>32460.228372790669</v>
      </c>
      <c r="H7" s="3">
        <f>'PEC Fossil'!H7+'PEC Nuclear'!H7+'PEC Waste'!H7+'PEC Electricity'!H7+'PEC RES'!H7</f>
        <v>30646.851565778154</v>
      </c>
      <c r="I7" s="3">
        <f>'PEC Fossil'!I7+'PEC Nuclear'!I7+'PEC Waste'!I7+'PEC Electricity'!I7+'PEC RES'!I7</f>
        <v>32859.995657112828</v>
      </c>
      <c r="J7" s="3">
        <f>'PEC Fossil'!J7+'PEC Nuclear'!J7+'PEC Waste'!J7+'PEC Electricity'!J7+'PEC RES'!J7</f>
        <v>31973.774012133374</v>
      </c>
      <c r="K7" s="3">
        <f>'PEC Fossil'!K7+'PEC Nuclear'!K7+'PEC Waste'!K7+'PEC Electricity'!K7+'PEC RES'!K7</f>
        <v>31673.771035826896</v>
      </c>
      <c r="L7" s="3">
        <f>'PEC Fossil'!L7+'PEC Nuclear'!L7+'PEC Waste'!L7+'PEC Electricity'!L7+'PEC RES'!L7</f>
        <v>32074.828213623798</v>
      </c>
      <c r="M7" s="3">
        <f>'PEC Fossil'!M7+'PEC Nuclear'!M7+'PEC Waste'!M7+'PEC Electricity'!M7+'PEC RES'!M7</f>
        <v>30801.463751695799</v>
      </c>
      <c r="N7" s="3">
        <f>'PEC Fossil'!N7+'PEC Nuclear'!N7+'PEC Waste'!N7+'PEC Electricity'!N7+'PEC RES'!N7</f>
        <v>31664.065450081194</v>
      </c>
      <c r="O7" s="3">
        <f>'PEC Fossil'!O7+'PEC Nuclear'!O7+'PEC Waste'!O7+'PEC Electricity'!O7+'PEC RES'!O7</f>
        <v>32044.972793541601</v>
      </c>
      <c r="P7" s="3">
        <f>'PEC Fossil'!P7+'PEC Nuclear'!P7+'PEC Waste'!P7+'PEC Electricity'!P7+'PEC RES'!P7</f>
        <v>32818.320752937805</v>
      </c>
      <c r="Q7" s="3">
        <f>'PEC Fossil'!Q7+'PEC Nuclear'!Q7+'PEC Waste'!Q7+'PEC Electricity'!Q7+'PEC RES'!Q7</f>
        <v>31826.699320531188</v>
      </c>
      <c r="R7" s="3">
        <f>'PEC Fossil'!R7+'PEC Nuclear'!R7+'PEC Waste'!R7+'PEC Electricity'!R7+'PEC RES'!R7</f>
        <v>32273.2778299417</v>
      </c>
      <c r="S7" s="3">
        <f>'PEC Fossil'!S7+'PEC Nuclear'!S7+'PEC Waste'!S7+'PEC Electricity'!S7+'PEC RES'!S7</f>
        <v>29852.053991497101</v>
      </c>
      <c r="T7" s="3">
        <f>'PEC Fossil'!T7+'PEC Nuclear'!T7+'PEC Waste'!T7+'PEC Electricity'!T7+'PEC RES'!T7</f>
        <v>31612.6346972389</v>
      </c>
      <c r="U7" s="3">
        <f>'PEC Fossil'!U7+'PEC Nuclear'!U7+'PEC Waste'!U7+'PEC Electricity'!U7+'PEC RES'!U7</f>
        <v>30156.20969427724</v>
      </c>
      <c r="V7" s="3">
        <f ca="1">'PEC Fossil'!V7+'PEC Nuclear'!V7+'PEC Waste'!V7+'PEC Electricity'!V7+'PEC RES'!V7</f>
        <v>30390.726117404898</v>
      </c>
      <c r="W7" s="18"/>
    </row>
    <row r="8" spans="1:23">
      <c r="B8" t="s">
        <v>177</v>
      </c>
      <c r="C8" t="s">
        <v>177</v>
      </c>
      <c r="D8" s="3">
        <f>'PEC Fossil'!D8+'PEC Nuclear'!D8+'PEC Waste'!D8+'PEC Electricity'!D8+'PEC RES'!D8</f>
        <v>51621.513000000006</v>
      </c>
      <c r="E8" s="3">
        <f>'PEC Fossil'!E8+'PEC Nuclear'!E8+'PEC Waste'!E8+'PEC Electricity'!E8+'PEC RES'!E8</f>
        <v>51462.781999999999</v>
      </c>
      <c r="F8" s="3">
        <f>'PEC Fossil'!F8+'PEC Nuclear'!F8+'PEC Waste'!F8+'PEC Electricity'!F8+'PEC RES'!F8</f>
        <v>50382.210000000006</v>
      </c>
      <c r="G8" s="3">
        <f>'PEC Fossil'!G8+'PEC Nuclear'!G8+'PEC Waste'!G8+'PEC Electricity'!G8+'PEC RES'!G8</f>
        <v>51185.120999999999</v>
      </c>
      <c r="H8" s="3">
        <f>'PEC Fossil'!H8+'PEC Nuclear'!H8+'PEC Waste'!H8+'PEC Electricity'!H8+'PEC RES'!H8</f>
        <v>50083.623000000007</v>
      </c>
      <c r="I8" s="3">
        <f>'PEC Fossil'!I8+'PEC Nuclear'!I8+'PEC Waste'!I8+'PEC Electricity'!I8+'PEC RES'!I8</f>
        <v>53366.870715200159</v>
      </c>
      <c r="J8" s="3">
        <f>'PEC Fossil'!J8+'PEC Nuclear'!J8+'PEC Waste'!J8+'PEC Electricity'!J8+'PEC RES'!J8</f>
        <v>49499.160024744429</v>
      </c>
      <c r="K8" s="3">
        <f>'PEC Fossil'!K8+'PEC Nuclear'!K8+'PEC Waste'!K8+'PEC Electricity'!K8+'PEC RES'!K8</f>
        <v>47074.505146173695</v>
      </c>
      <c r="L8" s="3">
        <f>'PEC Fossil'!L8+'PEC Nuclear'!L8+'PEC Waste'!L8+'PEC Electricity'!L8+'PEC RES'!L8</f>
        <v>48634.89288334766</v>
      </c>
      <c r="M8" s="3">
        <f>'PEC Fossil'!M8+'PEC Nuclear'!M8+'PEC Waste'!M8+'PEC Electricity'!M8+'PEC RES'!M8</f>
        <v>45238.492509983764</v>
      </c>
      <c r="N8" s="3">
        <f>'PEC Fossil'!N8+'PEC Nuclear'!N8+'PEC Waste'!N8+'PEC Electricity'!N8+'PEC RES'!N8</f>
        <v>45655.403474252409</v>
      </c>
      <c r="O8" s="3">
        <f>'PEC Fossil'!O8+'PEC Nuclear'!O8+'PEC Waste'!O8+'PEC Electricity'!O8+'PEC RES'!O8</f>
        <v>48454.179655010994</v>
      </c>
      <c r="P8" s="3">
        <f>'PEC Fossil'!P8+'PEC Nuclear'!P8+'PEC Waste'!P8+'PEC Electricity'!P8+'PEC RES'!P8</f>
        <v>48486.467846565392</v>
      </c>
      <c r="Q8" s="3">
        <f>'PEC Fossil'!Q8+'PEC Nuclear'!Q8+'PEC Waste'!Q8+'PEC Electricity'!Q8+'PEC RES'!Q8</f>
        <v>46469.887039075184</v>
      </c>
      <c r="R8" s="3">
        <f>'PEC Fossil'!R8+'PEC Nuclear'!R8+'PEC Waste'!R8+'PEC Electricity'!R8+'PEC RES'!R8</f>
        <v>48408.94829129646</v>
      </c>
      <c r="S8" s="3">
        <f>'PEC Fossil'!S8+'PEC Nuclear'!S8+'PEC Waste'!S8+'PEC Electricity'!S8+'PEC RES'!S8</f>
        <v>43883.682845514471</v>
      </c>
      <c r="T8" s="3">
        <f>'PEC Fossil'!T8+'PEC Nuclear'!T8+'PEC Waste'!T8+'PEC Electricity'!T8+'PEC RES'!T8</f>
        <v>48744.058766217633</v>
      </c>
      <c r="U8" s="3">
        <f>'PEC Fossil'!U8+'PEC Nuclear'!U8+'PEC Waste'!U8+'PEC Electricity'!U8+'PEC RES'!U8</f>
        <v>45232.430786280689</v>
      </c>
      <c r="V8" s="3">
        <f ca="1">'PEC Fossil'!V8+'PEC Nuclear'!V8+'PEC Waste'!V8+'PEC Electricity'!V8+'PEC RES'!V8</f>
        <v>41537.176699705771</v>
      </c>
    </row>
    <row r="9" spans="1:23">
      <c r="B9" t="s">
        <v>178</v>
      </c>
      <c r="C9" t="s">
        <v>178</v>
      </c>
      <c r="D9" s="3">
        <f>'PEC Fossil'!D9+'PEC Nuclear'!D9+'PEC Waste'!D9+'PEC Electricity'!D9+'PEC RES'!D9</f>
        <v>19215.361214961311</v>
      </c>
      <c r="E9" s="3">
        <f>'PEC Fossil'!E9+'PEC Nuclear'!E9+'PEC Waste'!E9+'PEC Electricity'!E9+'PEC RES'!E9</f>
        <v>19851.724062768702</v>
      </c>
      <c r="F9" s="3">
        <f>'PEC Fossil'!F9+'PEC Nuclear'!F9+'PEC Waste'!F9+'PEC Electricity'!F9+'PEC RES'!F9</f>
        <v>19512.606646603614</v>
      </c>
      <c r="G9" s="3">
        <f>'PEC Fossil'!G9+'PEC Nuclear'!G9+'PEC Waste'!G9+'PEC Electricity'!G9+'PEC RES'!G9</f>
        <v>19016.503763542558</v>
      </c>
      <c r="H9" s="3">
        <f>'PEC Fossil'!H9+'PEC Nuclear'!H9+'PEC Waste'!H9+'PEC Electricity'!H9+'PEC RES'!H9</f>
        <v>16914.79781169389</v>
      </c>
      <c r="I9" s="3">
        <f>'PEC Fossil'!I9+'PEC Nuclear'!I9+'PEC Waste'!I9+'PEC Electricity'!I9+'PEC RES'!I9</f>
        <v>17398.788802235598</v>
      </c>
      <c r="J9" s="3">
        <f>'PEC Fossil'!J9+'PEC Nuclear'!J9+'PEC Waste'!J9+'PEC Electricity'!J9+'PEC RES'!J9</f>
        <v>18574.79384264832</v>
      </c>
      <c r="K9" s="3">
        <f>'PEC Fossil'!K9+'PEC Nuclear'!K9+'PEC Waste'!K9+'PEC Electricity'!K9+'PEC RES'!K9</f>
        <v>17827.586253654343</v>
      </c>
      <c r="L9" s="3">
        <f>'PEC Fossil'!L9+'PEC Nuclear'!L9+'PEC Waste'!L9+'PEC Electricity'!L9+'PEC RES'!L9</f>
        <v>16506.849607910583</v>
      </c>
      <c r="M9" s="3">
        <f>'PEC Fossil'!M9+'PEC Nuclear'!M9+'PEC Waste'!M9+'PEC Electricity'!M9+'PEC RES'!M9</f>
        <v>17257.64070077386</v>
      </c>
      <c r="N9" s="3">
        <f>'PEC Fossil'!N9+'PEC Nuclear'!N9+'PEC Waste'!N9+'PEC Electricity'!N9+'PEC RES'!N9</f>
        <v>17957.95877892424</v>
      </c>
      <c r="O9" s="3">
        <f>'PEC Fossil'!O9+'PEC Nuclear'!O9+'PEC Waste'!O9+'PEC Electricity'!O9+'PEC RES'!O9</f>
        <v>17665.372348237321</v>
      </c>
      <c r="P9" s="3">
        <f>'PEC Fossil'!P9+'PEC Nuclear'!P9+'PEC Waste'!P9+'PEC Electricity'!P9+'PEC RES'!P9</f>
        <v>18321.816952517431</v>
      </c>
      <c r="Q9" s="3">
        <f>'PEC Fossil'!Q9+'PEC Nuclear'!Q9+'PEC Waste'!Q9+'PEC Electricity'!Q9+'PEC RES'!Q9</f>
        <v>18227.33101738798</v>
      </c>
      <c r="R9" s="3">
        <f>'PEC Fossil'!R9+'PEC Nuclear'!R9+'PEC Waste'!R9+'PEC Electricity'!R9+'PEC RES'!R9</f>
        <v>18044.383548963408</v>
      </c>
      <c r="S9" s="3">
        <f>'PEC Fossil'!S9+'PEC Nuclear'!S9+'PEC Waste'!S9+'PEC Electricity'!S9+'PEC RES'!S9</f>
        <v>17067.789547721412</v>
      </c>
      <c r="T9" s="3">
        <f>'PEC Fossil'!T9+'PEC Nuclear'!T9+'PEC Waste'!T9+'PEC Electricity'!T9+'PEC RES'!T9</f>
        <v>18565.683639724852</v>
      </c>
      <c r="U9" s="3">
        <f>'PEC Fossil'!U9+'PEC Nuclear'!U9+'PEC Waste'!U9+'PEC Electricity'!U9+'PEC RES'!U9</f>
        <v>18929.72772800229</v>
      </c>
      <c r="V9" s="3">
        <f ca="1">'PEC Fossil'!V9+'PEC Nuclear'!V9+'PEC Waste'!V9+'PEC Electricity'!V9+'PEC RES'!V9</f>
        <v>16283.610802199135</v>
      </c>
      <c r="W9" s="25"/>
    </row>
    <row r="10" spans="1:23">
      <c r="B10" t="s">
        <v>179</v>
      </c>
      <c r="C10" t="s">
        <v>179</v>
      </c>
      <c r="D10" s="3">
        <f>'PEC Fossil'!D10+'PEC Nuclear'!D10+'PEC Waste'!D10+'PEC Electricity'!D10+'PEC RES'!D10</f>
        <v>2475.4899999999998</v>
      </c>
      <c r="E10" s="3">
        <f>'PEC Fossil'!E10+'PEC Nuclear'!E10+'PEC Waste'!E10+'PEC Electricity'!E10+'PEC RES'!E10</f>
        <v>2574.7070000000003</v>
      </c>
      <c r="F10" s="3">
        <f>'PEC Fossil'!F10+'PEC Nuclear'!F10+'PEC Waste'!F10+'PEC Electricity'!F10+'PEC RES'!F10</f>
        <v>2703.7970386930351</v>
      </c>
      <c r="G10" s="3">
        <f>'PEC Fossil'!G10+'PEC Nuclear'!G10+'PEC Waste'!G10+'PEC Electricity'!G10+'PEC RES'!G10</f>
        <v>2852.4612695137098</v>
      </c>
      <c r="H10" s="3">
        <f>'PEC Fossil'!H10+'PEC Nuclear'!H10+'PEC Waste'!H10+'PEC Electricity'!H10+'PEC RES'!H10</f>
        <v>2769.3947311550592</v>
      </c>
      <c r="I10" s="3">
        <f>'PEC Fossil'!I10+'PEC Nuclear'!I10+'PEC Waste'!I10+'PEC Electricity'!I10+'PEC RES'!I10</f>
        <v>2674.4786931307922</v>
      </c>
      <c r="J10" s="3">
        <f>'PEC Fossil'!J10+'PEC Nuclear'!J10+'PEC Waste'!J10+'PEC Electricity'!J10+'PEC RES'!J10</f>
        <v>2645.2810780548389</v>
      </c>
      <c r="K10" s="3">
        <f>'PEC Fossil'!K10+'PEC Nuclear'!K10+'PEC Waste'!K10+'PEC Electricity'!K10+'PEC RES'!K10</f>
        <v>2499.6651554409091</v>
      </c>
      <c r="L10" s="3">
        <f>'PEC Fossil'!L10+'PEC Nuclear'!L10+'PEC Waste'!L10+'PEC Electricity'!L10+'PEC RES'!L10</f>
        <v>2175.1251554409091</v>
      </c>
      <c r="M10" s="3">
        <f>'PEC Fossil'!M10+'PEC Nuclear'!M10+'PEC Waste'!M10+'PEC Electricity'!M10+'PEC RES'!M10</f>
        <v>2221.1015016719207</v>
      </c>
      <c r="N10" s="3">
        <f>'PEC Fossil'!N10+'PEC Nuclear'!N10+'PEC Waste'!N10+'PEC Electricity'!N10+'PEC RES'!N10</f>
        <v>2274.4075016719207</v>
      </c>
      <c r="O10" s="3">
        <f>'PEC Fossil'!O10+'PEC Nuclear'!O10+'PEC Waste'!O10+'PEC Electricity'!O10+'PEC RES'!O10</f>
        <v>2424.6705016719211</v>
      </c>
      <c r="P10" s="3">
        <f>'PEC Fossil'!P10+'PEC Nuclear'!P10+'PEC Waste'!P10+'PEC Electricity'!P10+'PEC RES'!P10</f>
        <v>2533.2255079774527</v>
      </c>
      <c r="Q10" s="3">
        <f>'PEC Fossil'!Q10+'PEC Nuclear'!Q10+'PEC Waste'!Q10+'PEC Electricity'!Q10+'PEC RES'!Q10</f>
        <v>2546.7205969236638</v>
      </c>
      <c r="R10" s="3">
        <f>'PEC Fossil'!R10+'PEC Nuclear'!R10+'PEC Waste'!R10+'PEC Electricity'!R10+'PEC RES'!R10</f>
        <v>2535.4428036686722</v>
      </c>
      <c r="S10" s="3">
        <f>'PEC Fossil'!S10+'PEC Nuclear'!S10+'PEC Waste'!S10+'PEC Electricity'!S10+'PEC RES'!S10</f>
        <v>2197.8416153625667</v>
      </c>
      <c r="T10" s="3">
        <f>'PEC Fossil'!T10+'PEC Nuclear'!T10+'PEC Waste'!T10+'PEC Electricity'!T10+'PEC RES'!T10</f>
        <v>2311.7046390560799</v>
      </c>
      <c r="U10" s="3">
        <f>'PEC Fossil'!U10+'PEC Nuclear'!U10+'PEC Waste'!U10+'PEC Electricity'!U10+'PEC RES'!U10</f>
        <v>2482.2386912200236</v>
      </c>
      <c r="V10" s="3">
        <f ca="1">'PEC Fossil'!V10+'PEC Nuclear'!V10+'PEC Waste'!V10+'PEC Electricity'!V10+'PEC RES'!V10</f>
        <v>2503.5989680082648</v>
      </c>
      <c r="W10" s="18"/>
    </row>
    <row r="11" spans="1:23">
      <c r="B11" t="s">
        <v>180</v>
      </c>
      <c r="C11" t="s">
        <v>180</v>
      </c>
      <c r="D11" s="3">
        <f>'PEC Fossil'!D11+'PEC Nuclear'!D11+'PEC Waste'!D11+'PEC Electricity'!D11+'PEC RES'!D11</f>
        <v>42516.268650902843</v>
      </c>
      <c r="E11" s="3">
        <f>'PEC Fossil'!E11+'PEC Nuclear'!E11+'PEC Waste'!E11+'PEC Electricity'!E11+'PEC RES'!E11</f>
        <v>43490.041067259001</v>
      </c>
      <c r="F11" s="3">
        <f>'PEC Fossil'!F11+'PEC Nuclear'!F11+'PEC Waste'!F11+'PEC Electricity'!F11+'PEC RES'!F11</f>
        <v>43656.022708321383</v>
      </c>
      <c r="G11" s="3">
        <f>'PEC Fossil'!G11+'PEC Nuclear'!G11+'PEC Waste'!G11+'PEC Electricity'!G11+'PEC RES'!G11</f>
        <v>42517.405583643827</v>
      </c>
      <c r="H11" s="3">
        <f>'PEC Fossil'!H11+'PEC Nuclear'!H11+'PEC Waste'!H11+'PEC Electricity'!H11+'PEC RES'!H11</f>
        <v>40157.633611732104</v>
      </c>
      <c r="I11" s="3">
        <f>'PEC Fossil'!I11+'PEC Nuclear'!I11+'PEC Waste'!I11+'PEC Electricity'!I11+'PEC RES'!I11</f>
        <v>42542.642505780066</v>
      </c>
      <c r="J11" s="3">
        <f>'PEC Fossil'!J11+'PEC Nuclear'!J11+'PEC Waste'!J11+'PEC Electricity'!J11+'PEC RES'!J11</f>
        <v>40873.072708990163</v>
      </c>
      <c r="K11" s="3">
        <f>'PEC Fossil'!K11+'PEC Nuclear'!K11+'PEC Waste'!K11+'PEC Electricity'!K11+'PEC RES'!K11</f>
        <v>40381.877185439946</v>
      </c>
      <c r="L11" s="3">
        <f>'PEC Fossil'!L11+'PEC Nuclear'!L11+'PEC Waste'!L11+'PEC Electricity'!L11+'PEC RES'!L11</f>
        <v>40673.531725231674</v>
      </c>
      <c r="M11" s="3">
        <f>'PEC Fossil'!M11+'PEC Nuclear'!M11+'PEC Waste'!M11+'PEC Electricity'!M11+'PEC RES'!M11</f>
        <v>38981.856803955277</v>
      </c>
      <c r="N11" s="3">
        <f>'PEC Fossil'!N11+'PEC Nuclear'!N11+'PEC Waste'!N11+'PEC Electricity'!N11+'PEC RES'!N11</f>
        <v>39438.928581350912</v>
      </c>
      <c r="O11" s="3">
        <f>'PEC Fossil'!O11+'PEC Nuclear'!O11+'PEC Waste'!O11+'PEC Electricity'!O11+'PEC RES'!O11</f>
        <v>39741.490394860026</v>
      </c>
      <c r="P11" s="3">
        <f>'PEC Fossil'!P11+'PEC Nuclear'!P11+'PEC Waste'!P11+'PEC Electricity'!P11+'PEC RES'!P11</f>
        <v>40355.94835855547</v>
      </c>
      <c r="Q11" s="3">
        <f>'PEC Fossil'!Q11+'PEC Nuclear'!Q11+'PEC Waste'!Q11+'PEC Electricity'!Q11+'PEC RES'!Q11</f>
        <v>40481.292920321008</v>
      </c>
      <c r="R11" s="3">
        <f>'PEC Fossil'!R11+'PEC Nuclear'!R11+'PEC Waste'!R11+'PEC Electricity'!R11+'PEC RES'!R11</f>
        <v>39741.814788669151</v>
      </c>
      <c r="S11" s="3">
        <f>'PEC Fossil'!S11+'PEC Nuclear'!S11+'PEC Waste'!S11+'PEC Electricity'!S11+'PEC RES'!S11</f>
        <v>37584.423361421614</v>
      </c>
      <c r="T11" s="3">
        <f>'PEC Fossil'!T11+'PEC Nuclear'!T11+'PEC Waste'!T11+'PEC Electricity'!T11+'PEC RES'!T11</f>
        <v>39549.427097544663</v>
      </c>
      <c r="U11" s="3">
        <f>'PEC Fossil'!U11+'PEC Nuclear'!U11+'PEC Waste'!U11+'PEC Electricity'!U11+'PEC RES'!U11</f>
        <v>38634.770414254323</v>
      </c>
      <c r="V11" s="3">
        <f ca="1">'PEC Fossil'!V11+'PEC Nuclear'!V11+'PEC Waste'!V11+'PEC Electricity'!V11+'PEC RES'!V11</f>
        <v>36041.242434507665</v>
      </c>
      <c r="W11" s="18"/>
    </row>
    <row r="12" spans="1:23">
      <c r="B12" t="s">
        <v>91</v>
      </c>
      <c r="C12" t="s">
        <v>91</v>
      </c>
      <c r="D12" s="3">
        <f>'PEC Fossil'!D12+'PEC Nuclear'!D12+'PEC Waste'!D12+'PEC Electricity'!D12+'PEC RES'!D12</f>
        <v>321623.16255756194</v>
      </c>
      <c r="E12" s="3">
        <f>'PEC Fossil'!E12+'PEC Nuclear'!E12+'PEC Waste'!E12+'PEC Electricity'!E12+'PEC RES'!E12</f>
        <v>332751.4551774147</v>
      </c>
      <c r="F12" s="3">
        <f>'PEC Fossil'!F12+'PEC Nuclear'!F12+'PEC Waste'!F12+'PEC Electricity'!F12+'PEC RES'!F12</f>
        <v>315793.45020292356</v>
      </c>
      <c r="G12" s="3">
        <f>'PEC Fossil'!G12+'PEC Nuclear'!G12+'PEC Waste'!G12+'PEC Electricity'!G12+'PEC RES'!G12</f>
        <v>320762.77673812938</v>
      </c>
      <c r="H12" s="3">
        <f>'PEC Fossil'!H12+'PEC Nuclear'!H12+'PEC Waste'!H12+'PEC Electricity'!H12+'PEC RES'!H12</f>
        <v>299925.6613180472</v>
      </c>
      <c r="I12" s="3">
        <f>'PEC Fossil'!I12+'PEC Nuclear'!I12+'PEC Waste'!I12+'PEC Electricity'!I12+'PEC RES'!I12</f>
        <v>315160.62112677947</v>
      </c>
      <c r="J12" s="3">
        <f>'PEC Fossil'!J12+'PEC Nuclear'!J12+'PEC Waste'!J12+'PEC Electricity'!J12+'PEC RES'!J12</f>
        <v>297802.8437467278</v>
      </c>
      <c r="K12" s="3">
        <f>'PEC Fossil'!K12+'PEC Nuclear'!K12+'PEC Waste'!K12+'PEC Electricity'!K12+'PEC RES'!K12</f>
        <v>301130.0156422088</v>
      </c>
      <c r="L12" s="3">
        <f>'PEC Fossil'!L12+'PEC Nuclear'!L12+'PEC Waste'!L12+'PEC Electricity'!L12+'PEC RES'!L12</f>
        <v>308291.7239239515</v>
      </c>
      <c r="M12" s="3">
        <f>'PEC Fossil'!M12+'PEC Nuclear'!M12+'PEC Waste'!M12+'PEC Electricity'!M12+'PEC RES'!M12</f>
        <v>293603.70135444729</v>
      </c>
      <c r="N12" s="3">
        <f>'PEC Fossil'!N12+'PEC Nuclear'!N12+'PEC Waste'!N12+'PEC Electricity'!N12+'PEC RES'!N12</f>
        <v>295932.86478093051</v>
      </c>
      <c r="O12" s="3">
        <f>'PEC Fossil'!O12+'PEC Nuclear'!O12+'PEC Waste'!O12+'PEC Electricity'!O12+'PEC RES'!O12</f>
        <v>297628.11490255099</v>
      </c>
      <c r="P12" s="3">
        <f>'PEC Fossil'!P12+'PEC Nuclear'!P12+'PEC Waste'!P12+'PEC Electricity'!P12+'PEC RES'!P12</f>
        <v>298124.24214894423</v>
      </c>
      <c r="Q12" s="3">
        <f>'PEC Fossil'!Q12+'PEC Nuclear'!Q12+'PEC Waste'!Q12+'PEC Electricity'!Q12+'PEC RES'!Q12</f>
        <v>291954.17055813514</v>
      </c>
      <c r="R12" s="3">
        <f>'PEC Fossil'!R12+'PEC Nuclear'!R12+'PEC Waste'!R12+'PEC Electricity'!R12+'PEC RES'!R12</f>
        <v>285239.53481857257</v>
      </c>
      <c r="S12" s="3">
        <f>'PEC Fossil'!S12+'PEC Nuclear'!S12+'PEC Waste'!S12+'PEC Electricity'!S12+'PEC RES'!S12</f>
        <v>262150.25031776057</v>
      </c>
      <c r="T12" s="3">
        <f>'PEC Fossil'!T12+'PEC Nuclear'!T12+'PEC Waste'!T12+'PEC Electricity'!T12+'PEC RES'!T12</f>
        <v>271490.73759023601</v>
      </c>
      <c r="U12" s="3">
        <f>'PEC Fossil'!U12+'PEC Nuclear'!U12+'PEC Waste'!U12+'PEC Electricity'!U12+'PEC RES'!U12</f>
        <v>260584.39310996456</v>
      </c>
      <c r="V12" s="3">
        <f ca="1">'PEC Fossil'!V12+'PEC Nuclear'!V12+'PEC Waste'!V12+'PEC Electricity'!V12+'PEC RES'!V12</f>
        <v>239554.71204661753</v>
      </c>
      <c r="W12" s="18"/>
    </row>
    <row r="13" spans="1:23">
      <c r="B13" t="s">
        <v>115</v>
      </c>
      <c r="C13" t="s">
        <v>115</v>
      </c>
      <c r="D13" s="3">
        <f>'PEC Fossil'!D13+'PEC Nuclear'!D13+'PEC Waste'!D13+'PEC Electricity'!D13+'PEC RES'!D13</f>
        <v>19439.427173019973</v>
      </c>
      <c r="E13" s="3">
        <f>'PEC Fossil'!E13+'PEC Nuclear'!E13+'PEC Waste'!E13+'PEC Electricity'!E13+'PEC RES'!E13</f>
        <v>20830.67714569599</v>
      </c>
      <c r="F13" s="3">
        <f>'PEC Fossil'!F13+'PEC Nuclear'!F13+'PEC Waste'!F13+'PEC Electricity'!F13+'PEC RES'!F13</f>
        <v>20359.083460590431</v>
      </c>
      <c r="G13" s="3">
        <f>'PEC Fossil'!G13+'PEC Nuclear'!G13+'PEC Waste'!G13+'PEC Electricity'!G13+'PEC RES'!G13</f>
        <v>19842.67539390465</v>
      </c>
      <c r="H13" s="3">
        <f>'PEC Fossil'!H13+'PEC Nuclear'!H13+'PEC Waste'!H13+'PEC Electricity'!H13+'PEC RES'!H13</f>
        <v>19056.286596063819</v>
      </c>
      <c r="I13" s="3">
        <f>'PEC Fossil'!I13+'PEC Nuclear'!I13+'PEC Waste'!I13+'PEC Electricity'!I13+'PEC RES'!I13</f>
        <v>19926.776851819999</v>
      </c>
      <c r="J13" s="3">
        <f>'PEC Fossil'!J13+'PEC Nuclear'!J13+'PEC Waste'!J13+'PEC Electricity'!J13+'PEC RES'!J13</f>
        <v>18500.241322633043</v>
      </c>
      <c r="K13" s="3">
        <f>'PEC Fossil'!K13+'PEC Nuclear'!K13+'PEC Waste'!K13+'PEC Electricity'!K13+'PEC RES'!K13</f>
        <v>17728.739926913149</v>
      </c>
      <c r="L13" s="3">
        <f>'PEC Fossil'!L13+'PEC Nuclear'!L13+'PEC Waste'!L13+'PEC Electricity'!L13+'PEC RES'!L13</f>
        <v>17819.18640957294</v>
      </c>
      <c r="M13" s="3">
        <f>'PEC Fossil'!M13+'PEC Nuclear'!M13+'PEC Waste'!M13+'PEC Electricity'!M13+'PEC RES'!M13</f>
        <v>16907.84246546288</v>
      </c>
      <c r="N13" s="3">
        <f>'PEC Fossil'!N13+'PEC Nuclear'!N13+'PEC Waste'!N13+'PEC Electricity'!N13+'PEC RES'!N13</f>
        <v>16815.3143885545</v>
      </c>
      <c r="O13" s="3">
        <f>'PEC Fossil'!O13+'PEC Nuclear'!O13+'PEC Waste'!O13+'PEC Electricity'!O13+'PEC RES'!O13</f>
        <v>17278.251619184099</v>
      </c>
      <c r="P13" s="3">
        <f>'PEC Fossil'!P13+'PEC Nuclear'!P13+'PEC Waste'!P13+'PEC Electricity'!P13+'PEC RES'!P13</f>
        <v>17398.70943804337</v>
      </c>
      <c r="Q13" s="3">
        <f>'PEC Fossil'!Q13+'PEC Nuclear'!Q13+'PEC Waste'!Q13+'PEC Electricity'!Q13+'PEC RES'!Q13</f>
        <v>17402.786243049581</v>
      </c>
      <c r="R13" s="3">
        <f>'PEC Fossil'!R13+'PEC Nuclear'!R13+'PEC Waste'!R13+'PEC Electricity'!R13+'PEC RES'!R13</f>
        <v>16878.908362568069</v>
      </c>
      <c r="S13" s="3">
        <f>'PEC Fossil'!S13+'PEC Nuclear'!S13+'PEC Waste'!S13+'PEC Electricity'!S13+'PEC RES'!S13</f>
        <v>15469.229298461831</v>
      </c>
      <c r="T13" s="3">
        <f>'PEC Fossil'!T13+'PEC Nuclear'!T13+'PEC Waste'!T13+'PEC Electricity'!T13+'PEC RES'!T13</f>
        <v>16351.29803668672</v>
      </c>
      <c r="U13" s="3">
        <f>'PEC Fossil'!U13+'PEC Nuclear'!U13+'PEC Waste'!U13+'PEC Electricity'!U13+'PEC RES'!U13</f>
        <v>15987.926153625671</v>
      </c>
      <c r="V13" s="3">
        <f ca="1">'PEC Fossil'!V13+'PEC Nuclear'!V13+'PEC Waste'!V13+'PEC Electricity'!V13+'PEC RES'!V13</f>
        <v>15828.497818359905</v>
      </c>
      <c r="W13" s="18"/>
    </row>
    <row r="14" spans="1:23">
      <c r="B14" t="s">
        <v>120</v>
      </c>
      <c r="C14" t="s">
        <v>120</v>
      </c>
      <c r="D14" s="3">
        <f>'PEC Fossil'!D14+'PEC Nuclear'!D14+'PEC Waste'!D14+'PEC Electricity'!D14+'PEC RES'!D14</f>
        <v>5280.2370000000001</v>
      </c>
      <c r="E14" s="3">
        <f>'PEC Fossil'!E14+'PEC Nuclear'!E14+'PEC Waste'!E14+'PEC Electricity'!E14+'PEC RES'!E14</f>
        <v>5221.174</v>
      </c>
      <c r="F14" s="3">
        <f>'PEC Fossil'!F14+'PEC Nuclear'!F14+'PEC Waste'!F14+'PEC Electricity'!F14+'PEC RES'!F14</f>
        <v>6152.3810000000012</v>
      </c>
      <c r="G14" s="3">
        <f>'PEC Fossil'!G14+'PEC Nuclear'!G14+'PEC Waste'!G14+'PEC Electricity'!G14+'PEC RES'!G14</f>
        <v>5377.5940000000001</v>
      </c>
      <c r="H14" s="3">
        <f>'PEC Fossil'!H14+'PEC Nuclear'!H14+'PEC Waste'!H14+'PEC Electricity'!H14+'PEC RES'!H14</f>
        <v>4326.1030000000001</v>
      </c>
      <c r="I14" s="3">
        <f>'PEC Fossil'!I14+'PEC Nuclear'!I14+'PEC Waste'!I14+'PEC Electricity'!I14+'PEC RES'!I14</f>
        <v>5834.027</v>
      </c>
      <c r="J14" s="3">
        <f>'PEC Fossil'!J14+'PEC Nuclear'!J14+'PEC Waste'!J14+'PEC Electricity'!J14+'PEC RES'!J14</f>
        <v>5688.6900000000005</v>
      </c>
      <c r="K14" s="3">
        <f>'PEC Fossil'!K14+'PEC Nuclear'!K14+'PEC Waste'!K14+'PEC Electricity'!K14+'PEC RES'!K14</f>
        <v>5201.7049999999999</v>
      </c>
      <c r="L14" s="3">
        <f>'PEC Fossil'!L14+'PEC Nuclear'!L14+'PEC Waste'!L14+'PEC Electricity'!L14+'PEC RES'!L14</f>
        <v>5723.0440000000008</v>
      </c>
      <c r="M14" s="3">
        <f>'PEC Fossil'!M14+'PEC Nuclear'!M14+'PEC Waste'!M14+'PEC Electricity'!M14+'PEC RES'!M14</f>
        <v>5480.186999999999</v>
      </c>
      <c r="N14" s="3">
        <f>'PEC Fossil'!N14+'PEC Nuclear'!N14+'PEC Waste'!N14+'PEC Electricity'!N14+'PEC RES'!N14</f>
        <v>4759.1329999999998</v>
      </c>
      <c r="O14" s="3">
        <f>'PEC Fossil'!O14+'PEC Nuclear'!O14+'PEC Waste'!O14+'PEC Electricity'!O14+'PEC RES'!O14</f>
        <v>5957.9179999999997</v>
      </c>
      <c r="P14" s="3">
        <f>'PEC Fossil'!P14+'PEC Nuclear'!P14+'PEC Waste'!P14+'PEC Electricity'!P14+'PEC RES'!P14</f>
        <v>5775.5259999999989</v>
      </c>
      <c r="Q14" s="3">
        <f>'PEC Fossil'!Q14+'PEC Nuclear'!Q14+'PEC Waste'!Q14+'PEC Electricity'!Q14+'PEC RES'!Q14</f>
        <v>5595.3049999999994</v>
      </c>
      <c r="R14" s="3">
        <f>'PEC Fossil'!R14+'PEC Nuclear'!R14+'PEC Waste'!R14+'PEC Electricity'!R14+'PEC RES'!R14</f>
        <v>4794.3490000000002</v>
      </c>
      <c r="S14" s="3">
        <f>'PEC Fossil'!S14+'PEC Nuclear'!S14+'PEC Waste'!S14+'PEC Electricity'!S14+'PEC RES'!S14</f>
        <v>4319.826</v>
      </c>
      <c r="T14" s="3">
        <f>'PEC Fossil'!T14+'PEC Nuclear'!T14+'PEC Waste'!T14+'PEC Electricity'!T14+'PEC RES'!T14</f>
        <v>4451.2729999999992</v>
      </c>
      <c r="U14" s="3">
        <f>'PEC Fossil'!U14+'PEC Nuclear'!U14+'PEC Waste'!U14+'PEC Electricity'!U14+'PEC RES'!U14</f>
        <v>4722.9309999999996</v>
      </c>
      <c r="V14" s="3">
        <f ca="1">'PEC Fossil'!V14+'PEC Nuclear'!V14+'PEC Waste'!V14+'PEC Electricity'!V14+'PEC RES'!V14</f>
        <v>4084.061080769723</v>
      </c>
      <c r="W14" s="18"/>
    </row>
    <row r="15" spans="1:23">
      <c r="B15" t="s">
        <v>85</v>
      </c>
      <c r="C15" t="s">
        <v>85</v>
      </c>
      <c r="D15" s="3">
        <f>'PEC Fossil'!D15+'PEC Nuclear'!D15+'PEC Waste'!D15+'PEC Electricity'!D15+'PEC RES'!D15</f>
        <v>136034.99</v>
      </c>
      <c r="E15" s="3">
        <f>'PEC Fossil'!E15+'PEC Nuclear'!E15+'PEC Waste'!E15+'PEC Electricity'!E15+'PEC RES'!E15</f>
        <v>136586.29300000001</v>
      </c>
      <c r="F15" s="3">
        <f>'PEC Fossil'!F15+'PEC Nuclear'!F15+'PEC Waste'!F15+'PEC Electricity'!F15+'PEC RES'!F15</f>
        <v>138838.09299999999</v>
      </c>
      <c r="G15" s="3">
        <f>'PEC Fossil'!G15+'PEC Nuclear'!G15+'PEC Waste'!G15+'PEC Electricity'!G15+'PEC RES'!G15</f>
        <v>133917.75</v>
      </c>
      <c r="H15" s="3">
        <f>'PEC Fossil'!H15+'PEC Nuclear'!H15+'PEC Waste'!H15+'PEC Electricity'!H15+'PEC RES'!H15</f>
        <v>123014.038</v>
      </c>
      <c r="I15" s="3">
        <f>'PEC Fossil'!I15+'PEC Nuclear'!I15+'PEC Waste'!I15+'PEC Electricity'!I15+'PEC RES'!I15</f>
        <v>123007.60400000001</v>
      </c>
      <c r="J15" s="3">
        <f>'PEC Fossil'!J15+'PEC Nuclear'!J15+'PEC Waste'!J15+'PEC Electricity'!J15+'PEC RES'!J15</f>
        <v>122664.451</v>
      </c>
      <c r="K15" s="3">
        <f>'PEC Fossil'!K15+'PEC Nuclear'!K15+'PEC Waste'!K15+'PEC Electricity'!K15+'PEC RES'!K15</f>
        <v>123027.981</v>
      </c>
      <c r="L15" s="3">
        <f>'PEC Fossil'!L15+'PEC Nuclear'!L15+'PEC Waste'!L15+'PEC Electricity'!L15+'PEC RES'!L15</f>
        <v>115671.511</v>
      </c>
      <c r="M15" s="3">
        <f>'PEC Fossil'!M15+'PEC Nuclear'!M15+'PEC Waste'!M15+'PEC Electricity'!M15+'PEC RES'!M15</f>
        <v>113815.63119661791</v>
      </c>
      <c r="N15" s="3">
        <f>'PEC Fossil'!N15+'PEC Nuclear'!N15+'PEC Waste'!N15+'PEC Electricity'!N15+'PEC RES'!N15</f>
        <v>118156.4250528327</v>
      </c>
      <c r="O15" s="3">
        <f>'PEC Fossil'!O15+'PEC Nuclear'!O15+'PEC Waste'!O15+'PEC Electricity'!O15+'PEC RES'!O15</f>
        <v>118432.71190264641</v>
      </c>
      <c r="P15" s="3">
        <f>'PEC Fossil'!P15+'PEC Nuclear'!P15+'PEC Waste'!P15+'PEC Electricity'!P15+'PEC RES'!P15</f>
        <v>124920.20421954711</v>
      </c>
      <c r="Q15" s="3">
        <f>'PEC Fossil'!Q15+'PEC Nuclear'!Q15+'PEC Waste'!Q15+'PEC Electricity'!Q15+'PEC RES'!Q15</f>
        <v>124304.0196613165</v>
      </c>
      <c r="R15" s="3">
        <f>'PEC Fossil'!R15+'PEC Nuclear'!R15+'PEC Waste'!R15+'PEC Electricity'!R15+'PEC RES'!R15</f>
        <v>120628.7610510175</v>
      </c>
      <c r="S15" s="3">
        <f>'PEC Fossil'!S15+'PEC Nuclear'!S15+'PEC Waste'!S15+'PEC Electricity'!S15+'PEC RES'!S15</f>
        <v>105026.1665741855</v>
      </c>
      <c r="T15" s="3">
        <f>'PEC Fossil'!T15+'PEC Nuclear'!T15+'PEC Waste'!T15+'PEC Electricity'!T15+'PEC RES'!T15</f>
        <v>111456.25181656631</v>
      </c>
      <c r="U15" s="3">
        <f>'PEC Fossil'!U15+'PEC Nuclear'!U15+'PEC Waste'!U15+'PEC Electricity'!U15+'PEC RES'!U15</f>
        <v>113228.95928069169</v>
      </c>
      <c r="V15" s="3">
        <f ca="1">'PEC Fossil'!V15+'PEC Nuclear'!V15+'PEC Waste'!V15+'PEC Electricity'!V15+'PEC RES'!V15</f>
        <v>111042.743035621</v>
      </c>
      <c r="W15" s="18"/>
    </row>
    <row r="16" spans="1:23">
      <c r="B16" t="s">
        <v>2</v>
      </c>
      <c r="C16" t="s">
        <v>2</v>
      </c>
      <c r="D16" s="3">
        <f>'PEC Fossil'!D16+'PEC Nuclear'!D16+'PEC Waste'!D16+'PEC Electricity'!D16+'PEC RES'!D16</f>
        <v>33560.19</v>
      </c>
      <c r="E16" s="3">
        <f>'PEC Fossil'!E16+'PEC Nuclear'!E16+'PEC Waste'!E16+'PEC Electricity'!E16+'PEC RES'!E16</f>
        <v>36674.972999999998</v>
      </c>
      <c r="F16" s="3">
        <f>'PEC Fossil'!F16+'PEC Nuclear'!F16+'PEC Waste'!F16+'PEC Electricity'!F16+'PEC RES'!F16</f>
        <v>36033.076000000001</v>
      </c>
      <c r="G16" s="3">
        <f>'PEC Fossil'!G16+'PEC Nuclear'!G16+'PEC Waste'!G16+'PEC Electricity'!G16+'PEC RES'!G16</f>
        <v>34517.534</v>
      </c>
      <c r="H16" s="3">
        <f>'PEC Fossil'!H16+'PEC Nuclear'!H16+'PEC Waste'!H16+'PEC Electricity'!H16+'PEC RES'!H16</f>
        <v>32334.861999999997</v>
      </c>
      <c r="I16" s="3">
        <f>'PEC Fossil'!I16+'PEC Nuclear'!I16+'PEC Waste'!I16+'PEC Electricity'!I16+'PEC RES'!I16</f>
        <v>35442.133999999998</v>
      </c>
      <c r="J16" s="3">
        <f>'PEC Fossil'!J16+'PEC Nuclear'!J16+'PEC Waste'!J16+'PEC Electricity'!J16+'PEC RES'!J16</f>
        <v>34198.109000000004</v>
      </c>
      <c r="K16" s="3">
        <f>'PEC Fossil'!K16+'PEC Nuclear'!K16+'PEC Waste'!K16+'PEC Electricity'!K16+'PEC RES'!K16</f>
        <v>32976.447</v>
      </c>
      <c r="L16" s="3">
        <f>'PEC Fossil'!L16+'PEC Nuclear'!L16+'PEC Waste'!L16+'PEC Electricity'!L16+'PEC RES'!L16</f>
        <v>31986.309000000001</v>
      </c>
      <c r="M16" s="3">
        <f>'PEC Fossil'!M16+'PEC Nuclear'!M16+'PEC Waste'!M16+'PEC Electricity'!M16+'PEC RES'!M16</f>
        <v>32673.637000000002</v>
      </c>
      <c r="N16" s="3">
        <f>'PEC Fossil'!N16+'PEC Nuclear'!N16+'PEC Waste'!N16+'PEC Electricity'!N16+'PEC RES'!N16</f>
        <v>31197.11</v>
      </c>
      <c r="O16" s="3">
        <f>'PEC Fossil'!O16+'PEC Nuclear'!O16+'PEC Waste'!O16+'PEC Electricity'!O16+'PEC RES'!O16</f>
        <v>32257.79</v>
      </c>
      <c r="P16" s="3">
        <f>'PEC Fossil'!P16+'PEC Nuclear'!P16+'PEC Waste'!P16+'PEC Electricity'!P16+'PEC RES'!P16</f>
        <v>32176.031552498302</v>
      </c>
      <c r="Q16" s="3">
        <f>'PEC Fossil'!Q16+'PEC Nuclear'!Q16+'PEC Waste'!Q16+'PEC Electricity'!Q16+'PEC RES'!Q16</f>
        <v>32815.688613260703</v>
      </c>
      <c r="R16" s="3">
        <f>'PEC Fossil'!R16+'PEC Nuclear'!R16+'PEC Waste'!R16+'PEC Electricity'!R16+'PEC RES'!R16</f>
        <v>32074.714414540897</v>
      </c>
      <c r="S16" s="3">
        <f>'PEC Fossil'!S16+'PEC Nuclear'!S16+'PEC Waste'!S16+'PEC Electricity'!S16+'PEC RES'!S16</f>
        <v>29933.111879430595</v>
      </c>
      <c r="T16" s="3">
        <f>'PEC Fossil'!T16+'PEC Nuclear'!T16+'PEC Waste'!T16+'PEC Electricity'!T16+'PEC RES'!T16</f>
        <v>31499.564970574203</v>
      </c>
      <c r="U16" s="3">
        <f>'PEC Fossil'!U16+'PEC Nuclear'!U16+'PEC Waste'!U16+'PEC Electricity'!U16+'PEC RES'!U16</f>
        <v>30195.592619852898</v>
      </c>
      <c r="V16" s="3">
        <f ca="1">'PEC Fossil'!V16+'PEC Nuclear'!V16+'PEC Waste'!V16+'PEC Electricity'!V16+'PEC RES'!V16</f>
        <v>30747.56360919607</v>
      </c>
      <c r="W16" s="18"/>
    </row>
    <row r="17" spans="2:23">
      <c r="B17" t="s">
        <v>82</v>
      </c>
      <c r="C17" t="s">
        <v>82</v>
      </c>
      <c r="D17" s="3">
        <f>'PEC Fossil'!D17+'PEC Nuclear'!D17+'PEC Waste'!D17+'PEC Electricity'!D17+'PEC RES'!D17</f>
        <v>260868.73251256329</v>
      </c>
      <c r="E17" s="3">
        <f>'PEC Fossil'!E17+'PEC Nuclear'!E17+'PEC Waste'!E17+'PEC Electricity'!E17+'PEC RES'!E17</f>
        <v>256140.8859469762</v>
      </c>
      <c r="F17" s="3">
        <f>'PEC Fossil'!F17+'PEC Nuclear'!F17+'PEC Waste'!F17+'PEC Electricity'!F17+'PEC RES'!F17</f>
        <v>252680.4991669055</v>
      </c>
      <c r="G17" s="3">
        <f>'PEC Fossil'!G17+'PEC Nuclear'!G17+'PEC Waste'!G17+'PEC Electricity'!G17+'PEC RES'!G17</f>
        <v>255463.2611651858</v>
      </c>
      <c r="H17" s="3">
        <f>'PEC Fossil'!H17+'PEC Nuclear'!H17+'PEC Waste'!H17+'PEC Electricity'!H17+'PEC RES'!H17</f>
        <v>246352.6883182383</v>
      </c>
      <c r="I17" s="3">
        <f>'PEC Fossil'!I17+'PEC Nuclear'!I17+'PEC Waste'!I17+'PEC Electricity'!I17+'PEC RES'!I17</f>
        <v>254455.38937384161</v>
      </c>
      <c r="J17" s="3">
        <f>'PEC Fossil'!J17+'PEC Nuclear'!J17+'PEC Waste'!J17+'PEC Electricity'!J17+'PEC RES'!J17</f>
        <v>249073.47549842362</v>
      </c>
      <c r="K17" s="3">
        <f>'PEC Fossil'!K17+'PEC Nuclear'!K17+'PEC Waste'!K17+'PEC Electricity'!K17+'PEC RES'!K17</f>
        <v>249113.71621486571</v>
      </c>
      <c r="L17" s="3">
        <f>'PEC Fossil'!L17+'PEC Nuclear'!L17+'PEC Waste'!L17+'PEC Electricity'!L17+'PEC RES'!L17</f>
        <v>250509.67666685767</v>
      </c>
      <c r="M17" s="3">
        <f>'PEC Fossil'!M17+'PEC Nuclear'!M17+'PEC Waste'!M17+'PEC Electricity'!M17+'PEC RES'!M17</f>
        <v>239868.17765825932</v>
      </c>
      <c r="N17" s="3">
        <f>'PEC Fossil'!N17+'PEC Nuclear'!N17+'PEC Waste'!N17+'PEC Electricity'!N17+'PEC RES'!N17</f>
        <v>244459.32489433451</v>
      </c>
      <c r="O17" s="3">
        <f>'PEC Fossil'!O17+'PEC Nuclear'!O17+'PEC Waste'!O17+'PEC Electricity'!O17+'PEC RES'!O17</f>
        <v>240083.67906983852</v>
      </c>
      <c r="P17" s="3">
        <f>'PEC Fossil'!P17+'PEC Nuclear'!P17+'PEC Waste'!P17+'PEC Electricity'!P17+'PEC RES'!P17</f>
        <v>239291.16797707079</v>
      </c>
      <c r="Q17" s="3">
        <f>'PEC Fossil'!Q17+'PEC Nuclear'!Q17+'PEC Waste'!Q17+'PEC Electricity'!Q17+'PEC RES'!Q17</f>
        <v>238887.99784561002</v>
      </c>
      <c r="R17" s="3">
        <f>'PEC Fossil'!R17+'PEC Nuclear'!R17+'PEC Waste'!R17+'PEC Electricity'!R17+'PEC RES'!R17</f>
        <v>235491.56824161651</v>
      </c>
      <c r="S17" s="3">
        <f>'PEC Fossil'!S17+'PEC Nuclear'!S17+'PEC Waste'!S17+'PEC Electricity'!S17+'PEC RES'!S17</f>
        <v>208035.8935670201</v>
      </c>
      <c r="T17" s="3">
        <f>'PEC Fossil'!T17+'PEC Nuclear'!T17+'PEC Waste'!T17+'PEC Electricity'!T17+'PEC RES'!T17</f>
        <v>224826.7558666284</v>
      </c>
      <c r="U17" s="3">
        <f>'PEC Fossil'!U17+'PEC Nuclear'!U17+'PEC Waste'!U17+'PEC Electricity'!U17+'PEC RES'!U17</f>
        <v>205572.61784455899</v>
      </c>
      <c r="V17" s="3">
        <f ca="1">'PEC Fossil'!V17+'PEC Nuclear'!V17+'PEC Waste'!V17+'PEC Electricity'!V17+'PEC RES'!V17</f>
        <v>207105.40276621812</v>
      </c>
      <c r="W17" s="18"/>
    </row>
    <row r="18" spans="2:23">
      <c r="B18" t="s">
        <v>181</v>
      </c>
      <c r="C18" t="s">
        <v>182</v>
      </c>
      <c r="D18" s="3">
        <f>'PEC Fossil'!D18+'PEC Nuclear'!D18+'PEC Waste'!D18+'PEC Electricity'!D18+'PEC RES'!D18</f>
        <v>30291.420000000002</v>
      </c>
      <c r="E18" s="3">
        <f>'PEC Fossil'!E18+'PEC Nuclear'!E18+'PEC Waste'!E18+'PEC Electricity'!E18+'PEC RES'!E18</f>
        <v>30273.522000000001</v>
      </c>
      <c r="F18" s="3">
        <f>'PEC Fossil'!F18+'PEC Nuclear'!F18+'PEC Waste'!F18+'PEC Electricity'!F18+'PEC RES'!F18</f>
        <v>30308.667999999998</v>
      </c>
      <c r="G18" s="3">
        <f>'PEC Fossil'!G18+'PEC Nuclear'!G18+'PEC Waste'!G18+'PEC Electricity'!G18+'PEC RES'!G18</f>
        <v>30475.477000000003</v>
      </c>
      <c r="H18" s="3">
        <f>'PEC Fossil'!H18+'PEC Nuclear'!H18+'PEC Waste'!H18+'PEC Electricity'!H18+'PEC RES'!H18</f>
        <v>29433.099999999995</v>
      </c>
      <c r="I18" s="3">
        <f>'PEC Fossil'!I18+'PEC Nuclear'!I18+'PEC Waste'!I18+'PEC Electricity'!I18+'PEC RES'!I18</f>
        <v>27238.258999999998</v>
      </c>
      <c r="J18" s="3">
        <f>'PEC Fossil'!J18+'PEC Nuclear'!J18+'PEC Waste'!J18+'PEC Electricity'!J18+'PEC RES'!J18</f>
        <v>26654.495999999996</v>
      </c>
      <c r="K18" s="3">
        <f>'PEC Fossil'!K18+'PEC Nuclear'!K18+'PEC Waste'!K18+'PEC Electricity'!K18+'PEC RES'!K18</f>
        <v>26537.122999999996</v>
      </c>
      <c r="L18" s="3">
        <f>'PEC Fossil'!L18+'PEC Nuclear'!L18+'PEC Waste'!L18+'PEC Electricity'!L18+'PEC RES'!L18</f>
        <v>23418.307999999997</v>
      </c>
      <c r="M18" s="3">
        <f>'PEC Fossil'!M18+'PEC Nuclear'!M18+'PEC Waste'!M18+'PEC Electricity'!M18+'PEC RES'!M18</f>
        <v>23289.041000000001</v>
      </c>
      <c r="N18" s="3">
        <f>'PEC Fossil'!N18+'PEC Nuclear'!N18+'PEC Waste'!N18+'PEC Electricity'!N18+'PEC RES'!N18</f>
        <v>23388.514999999999</v>
      </c>
      <c r="O18" s="3">
        <f>'PEC Fossil'!O18+'PEC Nuclear'!O18+'PEC Waste'!O18+'PEC Electricity'!O18+'PEC RES'!O18</f>
        <v>23062.199999999997</v>
      </c>
      <c r="P18" s="3">
        <f>'PEC Fossil'!P18+'PEC Nuclear'!P18+'PEC Waste'!P18+'PEC Electricity'!P18+'PEC RES'!P18</f>
        <v>23235.469712811693</v>
      </c>
      <c r="Q18" s="3">
        <f>'PEC Fossil'!Q18+'PEC Nuclear'!Q18+'PEC Waste'!Q18+'PEC Electricity'!Q18+'PEC RES'!Q18</f>
        <v>22608.320387121421</v>
      </c>
      <c r="R18" s="3">
        <f>'PEC Fossil'!R18+'PEC Nuclear'!R18+'PEC Waste'!R18+'PEC Electricity'!R18+'PEC RES'!R18</f>
        <v>22288.846562625389</v>
      </c>
      <c r="S18" s="3">
        <f>'PEC Fossil'!S18+'PEC Nuclear'!S18+'PEC Waste'!S18+'PEC Electricity'!S18+'PEC RES'!S18</f>
        <v>19241.053608770409</v>
      </c>
      <c r="T18" s="3">
        <f>'PEC Fossil'!T18+'PEC Nuclear'!T18+'PEC Waste'!T18+'PEC Electricity'!T18+'PEC RES'!T18</f>
        <v>20334.144545046332</v>
      </c>
      <c r="U18" s="3">
        <f>'PEC Fossil'!U18+'PEC Nuclear'!U18+'PEC Waste'!U18+'PEC Electricity'!U18+'PEC RES'!U18</f>
        <v>20925.809180185337</v>
      </c>
      <c r="V18" s="3">
        <f ca="1">'PEC Fossil'!V18+'PEC Nuclear'!V18+'PEC Waste'!V18+'PEC Electricity'!V18+'PEC RES'!V18</f>
        <v>20073.328569480407</v>
      </c>
      <c r="W18" s="18"/>
    </row>
    <row r="19" spans="2:23">
      <c r="B19" t="s">
        <v>183</v>
      </c>
      <c r="C19" t="s">
        <v>183</v>
      </c>
      <c r="D19" s="3">
        <f>'PEC Fossil'!D19+'PEC Nuclear'!D19+'PEC Waste'!D19+'PEC Electricity'!D19+'PEC RES'!D19</f>
        <v>9143.3701671921299</v>
      </c>
      <c r="E19" s="3">
        <f>'PEC Fossil'!E19+'PEC Nuclear'!E19+'PEC Waste'!E19+'PEC Electricity'!E19+'PEC RES'!E19</f>
        <v>9110.899825164799</v>
      </c>
      <c r="F19" s="3">
        <f>'PEC Fossil'!F19+'PEC Nuclear'!F19+'PEC Waste'!F19+'PEC Electricity'!F19+'PEC RES'!F19</f>
        <v>9433.7721360466203</v>
      </c>
      <c r="G19" s="3">
        <f>'PEC Fossil'!G19+'PEC Nuclear'!G19+'PEC Waste'!G19+'PEC Electricity'!G19+'PEC RES'!G19</f>
        <v>9195.4270191076703</v>
      </c>
      <c r="H19" s="3">
        <f>'PEC Fossil'!H19+'PEC Nuclear'!H19+'PEC Waste'!H19+'PEC Electricity'!H19+'PEC RES'!H19</f>
        <v>8947.9834405273687</v>
      </c>
      <c r="I19" s="3">
        <f>'PEC Fossil'!I19+'PEC Nuclear'!I19+'PEC Waste'!I19+'PEC Electricity'!I19+'PEC RES'!I19</f>
        <v>8858.1904854303993</v>
      </c>
      <c r="J19" s="3">
        <f>'PEC Fossil'!J19+'PEC Nuclear'!J19+'PEC Waste'!J19+'PEC Electricity'!J19+'PEC RES'!J19</f>
        <v>8648.2878922327291</v>
      </c>
      <c r="K19" s="3">
        <f>'PEC Fossil'!K19+'PEC Nuclear'!K19+'PEC Waste'!K19+'PEC Electricity'!K19+'PEC RES'!K19</f>
        <v>8177.2468542084607</v>
      </c>
      <c r="L19" s="3">
        <f>'PEC Fossil'!L19+'PEC Nuclear'!L19+'PEC Waste'!L19+'PEC Electricity'!L19+'PEC RES'!L19</f>
        <v>8001.0037007738592</v>
      </c>
      <c r="M19" s="3">
        <f>'PEC Fossil'!M19+'PEC Nuclear'!M19+'PEC Waste'!M19+'PEC Electricity'!M19+'PEC RES'!M19</f>
        <v>7597.3447325881298</v>
      </c>
      <c r="N19" s="3">
        <f>'PEC Fossil'!N19+'PEC Nuclear'!N19+'PEC Waste'!N19+'PEC Electricity'!N19+'PEC RES'!N19</f>
        <v>7958.0781159835697</v>
      </c>
      <c r="O19" s="3">
        <f>'PEC Fossil'!O19+'PEC Nuclear'!O19+'PEC Waste'!O19+'PEC Electricity'!O19+'PEC RES'!O19</f>
        <v>8045.4494938377793</v>
      </c>
      <c r="P19" s="3">
        <f>'PEC Fossil'!P19+'PEC Nuclear'!P19+'PEC Waste'!P19+'PEC Electricity'!P19+'PEC RES'!P19</f>
        <v>8330.5806324639307</v>
      </c>
      <c r="Q19" s="3">
        <f>'PEC Fossil'!Q19+'PEC Nuclear'!Q19+'PEC Waste'!Q19+'PEC Electricity'!Q19+'PEC RES'!Q19</f>
        <v>8175.6354277252303</v>
      </c>
      <c r="R19" s="3">
        <f>'PEC Fossil'!R19+'PEC Nuclear'!R19+'PEC Waste'!R19+'PEC Electricity'!R19+'PEC RES'!R19</f>
        <v>8208.8332616795597</v>
      </c>
      <c r="S19" s="3">
        <f>'PEC Fossil'!S19+'PEC Nuclear'!S19+'PEC Waste'!S19+'PEC Electricity'!S19+'PEC RES'!S19</f>
        <v>7756.0748542084602</v>
      </c>
      <c r="T19" s="3">
        <f>'PEC Fossil'!T19+'PEC Nuclear'!T19+'PEC Waste'!T19+'PEC Electricity'!T19+'PEC RES'!T19</f>
        <v>8265.0787056463196</v>
      </c>
      <c r="U19" s="3">
        <f>'PEC Fossil'!U19+'PEC Nuclear'!U19+'PEC Waste'!U19+'PEC Electricity'!U19+'PEC RES'!U19</f>
        <v>8300.9924305913792</v>
      </c>
      <c r="V19" s="3">
        <f ca="1">'PEC Fossil'!V19+'PEC Nuclear'!V19+'PEC Waste'!V19+'PEC Electricity'!V19+'PEC RES'!V19</f>
        <v>8337.6922049638779</v>
      </c>
      <c r="W19" s="18"/>
    </row>
    <row r="20" spans="2:23">
      <c r="B20" t="s">
        <v>88</v>
      </c>
      <c r="C20" t="s">
        <v>88</v>
      </c>
      <c r="D20" s="3">
        <f>'PEC Fossil'!D20+'PEC Nuclear'!D20+'PEC Waste'!D20+'PEC Electricity'!D20+'PEC RES'!D20</f>
        <v>26340.712000000003</v>
      </c>
      <c r="E20" s="3">
        <f>'PEC Fossil'!E20+'PEC Nuclear'!E20+'PEC Waste'!E20+'PEC Electricity'!E20+'PEC RES'!E20</f>
        <v>25984.2</v>
      </c>
      <c r="F20" s="3">
        <f>'PEC Fossil'!F20+'PEC Nuclear'!F20+'PEC Waste'!F20+'PEC Electricity'!F20+'PEC RES'!F20</f>
        <v>25361.643</v>
      </c>
      <c r="G20" s="3">
        <f>'PEC Fossil'!G20+'PEC Nuclear'!G20+'PEC Waste'!G20+'PEC Electricity'!G20+'PEC RES'!G20</f>
        <v>25155.717000000001</v>
      </c>
      <c r="H20" s="3">
        <f>'PEC Fossil'!H20+'PEC Nuclear'!H20+'PEC Waste'!H20+'PEC Electricity'!H20+'PEC RES'!H20</f>
        <v>23947.913999999997</v>
      </c>
      <c r="I20" s="3">
        <f>'PEC Fossil'!I20+'PEC Nuclear'!I20+'PEC Waste'!I20+'PEC Electricity'!I20+'PEC RES'!I20</f>
        <v>24618.238000000001</v>
      </c>
      <c r="J20" s="3">
        <f>'PEC Fossil'!J20+'PEC Nuclear'!J20+'PEC Waste'!J20+'PEC Electricity'!J20+'PEC RES'!J20</f>
        <v>24390.620999999999</v>
      </c>
      <c r="K20" s="3">
        <f>'PEC Fossil'!K20+'PEC Nuclear'!K20+'PEC Waste'!K20+'PEC Electricity'!K20+'PEC RES'!K20</f>
        <v>23133.983000000004</v>
      </c>
      <c r="L20" s="3">
        <f>'PEC Fossil'!L20+'PEC Nuclear'!L20+'PEC Waste'!L20+'PEC Electricity'!L20+'PEC RES'!L20</f>
        <v>22405.328000000001</v>
      </c>
      <c r="M20" s="3">
        <f>'PEC Fossil'!M20+'PEC Nuclear'!M20+'PEC Waste'!M20+'PEC Electricity'!M20+'PEC RES'!M20</f>
        <v>21994.77</v>
      </c>
      <c r="N20" s="3">
        <f>'PEC Fossil'!N20+'PEC Nuclear'!N20+'PEC Waste'!N20+'PEC Electricity'!N20+'PEC RES'!N20</f>
        <v>23298.063999999998</v>
      </c>
      <c r="O20" s="3">
        <f>'PEC Fossil'!O20+'PEC Nuclear'!O20+'PEC Waste'!O20+'PEC Electricity'!O20+'PEC RES'!O20</f>
        <v>23657.659000000003</v>
      </c>
      <c r="P20" s="3">
        <f>'PEC Fossil'!P20+'PEC Nuclear'!P20+'PEC Waste'!P20+'PEC Electricity'!P20+'PEC RES'!P20</f>
        <v>24462.8723155632</v>
      </c>
      <c r="Q20" s="3">
        <f>'PEC Fossil'!Q20+'PEC Nuclear'!Q20+'PEC Waste'!Q20+'PEC Electricity'!Q20+'PEC RES'!Q20</f>
        <v>24481.340702493548</v>
      </c>
      <c r="R20" s="3">
        <f>'PEC Fossil'!R20+'PEC Nuclear'!R20+'PEC Waste'!R20+'PEC Electricity'!R20+'PEC RES'!R20</f>
        <v>24571.241052068406</v>
      </c>
      <c r="S20" s="3">
        <f>'PEC Fossil'!S20+'PEC Nuclear'!S20+'PEC Waste'!S20+'PEC Electricity'!S20+'PEC RES'!S20</f>
        <v>23886.663327601029</v>
      </c>
      <c r="T20" s="3">
        <f>'PEC Fossil'!T20+'PEC Nuclear'!T20+'PEC Waste'!T20+'PEC Electricity'!T20+'PEC RES'!T20</f>
        <v>24928.86522088468</v>
      </c>
      <c r="U20" s="3">
        <f>'PEC Fossil'!U20+'PEC Nuclear'!U20+'PEC Waste'!U20+'PEC Electricity'!U20+'PEC RES'!U20</f>
        <v>23868.161888124581</v>
      </c>
      <c r="V20" s="3">
        <f ca="1">'PEC Fossil'!V20+'PEC Nuclear'!V20+'PEC Waste'!V20+'PEC Electricity'!V20+'PEC RES'!V20</f>
        <v>22484.287301031167</v>
      </c>
      <c r="W20" s="18"/>
    </row>
    <row r="21" spans="2:23">
      <c r="B21" t="s">
        <v>133</v>
      </c>
      <c r="C21" t="s">
        <v>133</v>
      </c>
      <c r="D21" s="3">
        <f>'PEC Fossil'!D21+'PEC Nuclear'!D21+'PEC Waste'!D21+'PEC Electricity'!D21+'PEC RES'!D21</f>
        <v>14947.067311741663</v>
      </c>
      <c r="E21" s="3">
        <f>'PEC Fossil'!E21+'PEC Nuclear'!E21+'PEC Waste'!E21+'PEC Electricity'!E21+'PEC RES'!E21</f>
        <v>15122.583592528901</v>
      </c>
      <c r="F21" s="3">
        <f>'PEC Fossil'!F21+'PEC Nuclear'!F21+'PEC Waste'!F21+'PEC Electricity'!F21+'PEC RES'!F21</f>
        <v>15979.404580968758</v>
      </c>
      <c r="G21" s="3">
        <f>'PEC Fossil'!G21+'PEC Nuclear'!G21+'PEC Waste'!G21+'PEC Electricity'!G21+'PEC RES'!G21</f>
        <v>15649.679864431069</v>
      </c>
      <c r="H21" s="3">
        <f>'PEC Fossil'!H21+'PEC Nuclear'!H21+'PEC Waste'!H21+'PEC Electricity'!H21+'PEC RES'!H21</f>
        <v>14901.375263494794</v>
      </c>
      <c r="I21" s="3">
        <f>'PEC Fossil'!I21+'PEC Nuclear'!I21+'PEC Waste'!I21+'PEC Electricity'!I21+'PEC RES'!I21</f>
        <v>14706.116135473392</v>
      </c>
      <c r="J21" s="3">
        <f>'PEC Fossil'!J21+'PEC Nuclear'!J21+'PEC Waste'!J21+'PEC Electricity'!J21+'PEC RES'!J21</f>
        <v>13550.756911149327</v>
      </c>
      <c r="K21" s="3">
        <f>'PEC Fossil'!K21+'PEC Nuclear'!K21+'PEC Waste'!K21+'PEC Electricity'!K21+'PEC RES'!K21</f>
        <v>13720.323067067928</v>
      </c>
      <c r="L21" s="3">
        <f>'PEC Fossil'!L21+'PEC Nuclear'!L21+'PEC Waste'!L21+'PEC Electricity'!L21+'PEC RES'!L21</f>
        <v>12984.959823922803</v>
      </c>
      <c r="M21" s="3">
        <f>'PEC Fossil'!M21+'PEC Nuclear'!M21+'PEC Waste'!M21+'PEC Electricity'!M21+'PEC RES'!M21</f>
        <v>13166.463934747298</v>
      </c>
      <c r="N21" s="3">
        <f>'PEC Fossil'!N21+'PEC Nuclear'!N21+'PEC Waste'!N21+'PEC Electricity'!N21+'PEC RES'!N21</f>
        <v>13915.526764689019</v>
      </c>
      <c r="O21" s="3">
        <f>'PEC Fossil'!O21+'PEC Nuclear'!O21+'PEC Waste'!O21+'PEC Electricity'!O21+'PEC RES'!O21</f>
        <v>14646.944070316231</v>
      </c>
      <c r="P21" s="3">
        <f>'PEC Fossil'!P21+'PEC Nuclear'!P21+'PEC Waste'!P21+'PEC Electricity'!P21+'PEC RES'!P21</f>
        <v>14545.313439189829</v>
      </c>
      <c r="Q21" s="3">
        <f>'PEC Fossil'!Q21+'PEC Nuclear'!Q21+'PEC Waste'!Q21+'PEC Electricity'!Q21+'PEC RES'!Q21</f>
        <v>14617.87266781313</v>
      </c>
      <c r="R21" s="3">
        <f>'PEC Fossil'!R21+'PEC Nuclear'!R21+'PEC Waste'!R21+'PEC Electricity'!R21+'PEC RES'!R21</f>
        <v>14679.681814368967</v>
      </c>
      <c r="S21" s="3">
        <f>'PEC Fossil'!S21+'PEC Nuclear'!S21+'PEC Waste'!S21+'PEC Electricity'!S21+'PEC RES'!S21</f>
        <v>13469.521095251741</v>
      </c>
      <c r="T21" s="3">
        <f>'PEC Fossil'!T21+'PEC Nuclear'!T21+'PEC Waste'!T21+'PEC Electricity'!T21+'PEC RES'!T21</f>
        <v>13823.332359319769</v>
      </c>
      <c r="U21" s="3">
        <f>'PEC Fossil'!U21+'PEC Nuclear'!U21+'PEC Waste'!U21+'PEC Electricity'!U21+'PEC RES'!U21</f>
        <v>14336.28727180663</v>
      </c>
      <c r="V21" s="3">
        <f ca="1">'PEC Fossil'!V21+'PEC Nuclear'!V21+'PEC Waste'!V21+'PEC Electricity'!V21+'PEC RES'!V21</f>
        <v>13782.690055009405</v>
      </c>
      <c r="W21" s="18"/>
    </row>
    <row r="22" spans="2:23">
      <c r="B22" t="s">
        <v>157</v>
      </c>
      <c r="C22" t="s">
        <v>157</v>
      </c>
      <c r="D22" s="3">
        <f>'PEC Fossil'!D22+'PEC Nuclear'!D22+'PEC Waste'!D22+'PEC Electricity'!D22+'PEC RES'!D22</f>
        <v>180834.427</v>
      </c>
      <c r="E22" s="3">
        <f>'PEC Fossil'!E22+'PEC Nuclear'!E22+'PEC Waste'!E22+'PEC Electricity'!E22+'PEC RES'!E22</f>
        <v>178950.46300000002</v>
      </c>
      <c r="F22" s="3">
        <f>'PEC Fossil'!F22+'PEC Nuclear'!F22+'PEC Waste'!F22+'PEC Electricity'!F22+'PEC RES'!F22</f>
        <v>178673.18100000004</v>
      </c>
      <c r="G22" s="3">
        <f>'PEC Fossil'!G22+'PEC Nuclear'!G22+'PEC Waste'!G22+'PEC Electricity'!G22+'PEC RES'!G22</f>
        <v>176119.72200000001</v>
      </c>
      <c r="H22" s="3">
        <f>'PEC Fossil'!H22+'PEC Nuclear'!H22+'PEC Waste'!H22+'PEC Electricity'!H22+'PEC RES'!H22</f>
        <v>164083.50799999997</v>
      </c>
      <c r="I22" s="3">
        <f>'PEC Fossil'!I22+'PEC Nuclear'!I22+'PEC Waste'!I22+'PEC Electricity'!I22+'PEC RES'!I22</f>
        <v>167284.47799999997</v>
      </c>
      <c r="J22" s="3">
        <f>'PEC Fossil'!J22+'PEC Nuclear'!J22+'PEC Waste'!J22+'PEC Electricity'!J22+'PEC RES'!J22</f>
        <v>162004.633</v>
      </c>
      <c r="K22" s="3">
        <f>'PEC Fossil'!K22+'PEC Nuclear'!K22+'PEC Waste'!K22+'PEC Electricity'!K22+'PEC RES'!K22</f>
        <v>156560.636</v>
      </c>
      <c r="L22" s="3">
        <f>'PEC Fossil'!L22+'PEC Nuclear'!L22+'PEC Waste'!L22+'PEC Electricity'!L22+'PEC RES'!L22</f>
        <v>152051.731</v>
      </c>
      <c r="M22" s="3">
        <f>'PEC Fossil'!M22+'PEC Nuclear'!M22+'PEC Waste'!M22+'PEC Electricity'!M22+'PEC RES'!M22</f>
        <v>142658.34100000001</v>
      </c>
      <c r="N22" s="3">
        <f>'PEC Fossil'!N22+'PEC Nuclear'!N22+'PEC Waste'!N22+'PEC Electricity'!N22+'PEC RES'!N22</f>
        <v>149124.20299999998</v>
      </c>
      <c r="O22" s="3">
        <f>'PEC Fossil'!O22+'PEC Nuclear'!O22+'PEC Waste'!O22+'PEC Electricity'!O22+'PEC RES'!O22</f>
        <v>148036.18900000001</v>
      </c>
      <c r="P22" s="3">
        <f>'PEC Fossil'!P22+'PEC Nuclear'!P22+'PEC Waste'!P22+'PEC Electricity'!P22+'PEC RES'!P22</f>
        <v>149009.03057122379</v>
      </c>
      <c r="Q22" s="3">
        <f>'PEC Fossil'!Q22+'PEC Nuclear'!Q22+'PEC Waste'!Q22+'PEC Electricity'!Q22+'PEC RES'!Q22</f>
        <v>147289.3080336295</v>
      </c>
      <c r="R22" s="3">
        <f>'PEC Fossil'!R22+'PEC Nuclear'!R22+'PEC Waste'!R22+'PEC Electricity'!R22+'PEC RES'!R22</f>
        <v>145935.46050511132</v>
      </c>
      <c r="S22" s="3">
        <f>'PEC Fossil'!S22+'PEC Nuclear'!S22+'PEC Waste'!S22+'PEC Electricity'!S22+'PEC RES'!S22</f>
        <v>132349.37676946592</v>
      </c>
      <c r="T22" s="3">
        <f>'PEC Fossil'!T22+'PEC Nuclear'!T22+'PEC Waste'!T22+'PEC Electricity'!T22+'PEC RES'!T22</f>
        <v>145501.8809807967</v>
      </c>
      <c r="U22" s="3">
        <f>'PEC Fossil'!U22+'PEC Nuclear'!U22+'PEC Waste'!U22+'PEC Electricity'!U22+'PEC RES'!U22</f>
        <v>139159.84479306388</v>
      </c>
      <c r="V22" s="3">
        <f ca="1">'PEC Fossil'!V22+'PEC Nuclear'!V22+'PEC Waste'!V22+'PEC Electricity'!V22+'PEC RES'!V22</f>
        <v>130994.34873040847</v>
      </c>
      <c r="W22" s="18"/>
    </row>
    <row r="23" spans="2:23">
      <c r="B23" t="s">
        <v>137</v>
      </c>
      <c r="C23" t="s">
        <v>137</v>
      </c>
      <c r="D23" s="3">
        <f>'PEC Fossil'!D23+'PEC Nuclear'!D23+'PEC Waste'!D23+'PEC Electricity'!D23+'PEC RES'!D23</f>
        <v>8047.9970000000003</v>
      </c>
      <c r="E23" s="3">
        <f>'PEC Fossil'!E23+'PEC Nuclear'!E23+'PEC Waste'!E23+'PEC Electricity'!E23+'PEC RES'!E23</f>
        <v>7893.0919999999996</v>
      </c>
      <c r="F23" s="3">
        <f>'PEC Fossil'!F23+'PEC Nuclear'!F23+'PEC Waste'!F23+'PEC Electricity'!F23+'PEC RES'!F23</f>
        <v>8098.8780000000006</v>
      </c>
      <c r="G23" s="3">
        <f>'PEC Fossil'!G23+'PEC Nuclear'!G23+'PEC Waste'!G23+'PEC Electricity'!G23+'PEC RES'!G23</f>
        <v>8262.42</v>
      </c>
      <c r="H23" s="3">
        <f>'PEC Fossil'!H23+'PEC Nuclear'!H23+'PEC Waste'!H23+'PEC Electricity'!H23+'PEC RES'!H23</f>
        <v>7909.1279999999997</v>
      </c>
      <c r="I23" s="3">
        <f>'PEC Fossil'!I23+'PEC Nuclear'!I23+'PEC Waste'!I23+'PEC Electricity'!I23+'PEC RES'!I23</f>
        <v>6167.0419999999995</v>
      </c>
      <c r="J23" s="3">
        <f>'PEC Fossil'!J23+'PEC Nuclear'!J23+'PEC Waste'!J23+'PEC Electricity'!J23+'PEC RES'!J23</f>
        <v>5905.7919999999995</v>
      </c>
      <c r="K23" s="3">
        <f>'PEC Fossil'!K23+'PEC Nuclear'!K23+'PEC Waste'!K23+'PEC Electricity'!K23+'PEC RES'!K23</f>
        <v>5984.5519999999997</v>
      </c>
      <c r="L23" s="3">
        <f>'PEC Fossil'!L23+'PEC Nuclear'!L23+'PEC Waste'!L23+'PEC Electricity'!L23+'PEC RES'!L23</f>
        <v>5803.2539999999999</v>
      </c>
      <c r="M23" s="3">
        <f>'PEC Fossil'!M23+'PEC Nuclear'!M23+'PEC Waste'!M23+'PEC Electricity'!M23+'PEC RES'!M23</f>
        <v>5752.2510000000002</v>
      </c>
      <c r="N23" s="3">
        <f>'PEC Fossil'!N23+'PEC Nuclear'!N23+'PEC Waste'!N23+'PEC Electricity'!N23+'PEC RES'!N23</f>
        <v>5793.4769999999999</v>
      </c>
      <c r="O23" s="3">
        <f>'PEC Fossil'!O23+'PEC Nuclear'!O23+'PEC Waste'!O23+'PEC Electricity'!O23+'PEC RES'!O23</f>
        <v>6039.5409999999993</v>
      </c>
      <c r="P23" s="3">
        <f>'PEC Fossil'!P23+'PEC Nuclear'!P23+'PEC Waste'!P23+'PEC Electricity'!P23+'PEC RES'!P23</f>
        <v>6161.0650000000005</v>
      </c>
      <c r="Q23" s="3">
        <f>'PEC Fossil'!Q23+'PEC Nuclear'!Q23+'PEC Waste'!Q23+'PEC Electricity'!Q23+'PEC RES'!Q23</f>
        <v>6369.9701801853398</v>
      </c>
      <c r="R23" s="3">
        <f>'PEC Fossil'!R23+'PEC Nuclear'!R23+'PEC Waste'!R23+'PEC Electricity'!R23+'PEC RES'!R23</f>
        <v>6277.9641815228806</v>
      </c>
      <c r="S23" s="3">
        <f>'PEC Fossil'!S23+'PEC Nuclear'!S23+'PEC Waste'!S23+'PEC Electricity'!S23+'PEC RES'!S23</f>
        <v>6226.5396478456105</v>
      </c>
      <c r="T23" s="3">
        <f>'PEC Fossil'!T23+'PEC Nuclear'!T23+'PEC Waste'!T23+'PEC Electricity'!T23+'PEC RES'!T23</f>
        <v>6626.9152990350613</v>
      </c>
      <c r="U23" s="3">
        <f>'PEC Fossil'!U23+'PEC Nuclear'!U23+'PEC Waste'!U23+'PEC Electricity'!U23+'PEC RES'!U23</f>
        <v>6312.0660135664511</v>
      </c>
      <c r="V23" s="3">
        <f ca="1">'PEC Fossil'!V23+'PEC Nuclear'!V23+'PEC Waste'!V23+'PEC Electricity'!V23+'PEC RES'!V23</f>
        <v>6202.7170399680617</v>
      </c>
      <c r="W23" s="18"/>
    </row>
    <row r="24" spans="2:23">
      <c r="B24" t="s">
        <v>184</v>
      </c>
      <c r="C24" t="s">
        <v>184</v>
      </c>
      <c r="D24" s="3">
        <f>'PEC Fossil'!D24+'PEC Nuclear'!D24+'PEC Waste'!D24+'PEC Electricity'!D24+'PEC RES'!D24</f>
        <v>4773.7708518200052</v>
      </c>
      <c r="E24" s="3">
        <f>'PEC Fossil'!E24+'PEC Nuclear'!E24+'PEC Waste'!E24+'PEC Electricity'!E24+'PEC RES'!E24</f>
        <v>4694.5284318333797</v>
      </c>
      <c r="F24" s="3">
        <f>'PEC Fossil'!F24+'PEC Nuclear'!F24+'PEC Waste'!F24+'PEC Electricity'!F24+'PEC RES'!F24</f>
        <v>4609.1798194325011</v>
      </c>
      <c r="G24" s="3">
        <f>'PEC Fossil'!G24+'PEC Nuclear'!G24+'PEC Waste'!G24+'PEC Electricity'!G24+'PEC RES'!G24</f>
        <v>4613.2605937708995</v>
      </c>
      <c r="H24" s="3">
        <f>'PEC Fossil'!H24+'PEC Nuclear'!H24+'PEC Waste'!H24+'PEC Electricity'!H24+'PEC RES'!H24</f>
        <v>4340.656360466226</v>
      </c>
      <c r="I24" s="3">
        <f>'PEC Fossil'!I24+'PEC Nuclear'!I24+'PEC Waste'!I24+'PEC Electricity'!I24+'PEC RES'!I24</f>
        <v>4611.2682722843228</v>
      </c>
      <c r="J24" s="3">
        <f>'PEC Fossil'!J24+'PEC Nuclear'!J24+'PEC Waste'!J24+'PEC Electricity'!J24+'PEC RES'!J24</f>
        <v>4533.1179457342132</v>
      </c>
      <c r="K24" s="3">
        <f>'PEC Fossil'!K24+'PEC Nuclear'!K24+'PEC Waste'!K24+'PEC Electricity'!K24+'PEC RES'!K24</f>
        <v>4419.4502042610111</v>
      </c>
      <c r="L24" s="3">
        <f>'PEC Fossil'!L24+'PEC Nuclear'!L24+'PEC Waste'!L24+'PEC Electricity'!L24+'PEC RES'!L24</f>
        <v>4302.1615533581726</v>
      </c>
      <c r="M24" s="3">
        <f>'PEC Fossil'!M24+'PEC Nuclear'!M24+'PEC Waste'!M24+'PEC Electricity'!M24+'PEC RES'!M24</f>
        <v>4185.6960978312791</v>
      </c>
      <c r="N24" s="3">
        <f>'PEC Fossil'!N24+'PEC Nuclear'!N24+'PEC Waste'!N24+'PEC Electricity'!N24+'PEC RES'!N24</f>
        <v>4143.9033253081116</v>
      </c>
      <c r="O24" s="3">
        <f>'PEC Fossil'!O24+'PEC Nuclear'!O24+'PEC Waste'!O24+'PEC Electricity'!O24+'PEC RES'!O24</f>
        <v>4152.8412206936073</v>
      </c>
      <c r="P24" s="3">
        <f>'PEC Fossil'!P24+'PEC Nuclear'!P24+'PEC Waste'!P24+'PEC Electricity'!P24+'PEC RES'!P24</f>
        <v>4293.6589541415879</v>
      </c>
      <c r="Q24" s="3">
        <f>'PEC Fossil'!Q24+'PEC Nuclear'!Q24+'PEC Waste'!Q24+'PEC Electricity'!Q24+'PEC RES'!Q24</f>
        <v>4461.8364141587854</v>
      </c>
      <c r="R24" s="3">
        <f>'PEC Fossil'!R24+'PEC Nuclear'!R24+'PEC Waste'!R24+'PEC Electricity'!R24+'PEC RES'!R24</f>
        <v>4503.6753647654523</v>
      </c>
      <c r="S24" s="3">
        <f>'PEC Fossil'!S24+'PEC Nuclear'!S24+'PEC Waste'!S24+'PEC Electricity'!S24+'PEC RES'!S24</f>
        <v>3936.0716912200255</v>
      </c>
      <c r="T24" s="3">
        <f>'PEC Fossil'!T24+'PEC Nuclear'!T24+'PEC Waste'!T24+'PEC Electricity'!T24+'PEC RES'!T24</f>
        <v>4186.4980839782174</v>
      </c>
      <c r="U24" s="3">
        <f>'PEC Fossil'!U24+'PEC Nuclear'!U24+'PEC Waste'!U24+'PEC Electricity'!U24+'PEC RES'!U24</f>
        <v>3795.654759912105</v>
      </c>
      <c r="V24" s="3">
        <f ca="1">'PEC Fossil'!V24+'PEC Nuclear'!V24+'PEC Waste'!V24+'PEC Electricity'!V24+'PEC RES'!V24</f>
        <v>3673.031922894038</v>
      </c>
      <c r="W24" s="18"/>
    </row>
    <row r="25" spans="2:23">
      <c r="B25" t="s">
        <v>93</v>
      </c>
      <c r="C25" t="s">
        <v>93</v>
      </c>
      <c r="D25" s="3">
        <f>'PEC Fossil'!D25+'PEC Nuclear'!D25+'PEC Waste'!D25+'PEC Electricity'!D25+'PEC RES'!D25</f>
        <v>4492.0650000000005</v>
      </c>
      <c r="E25" s="3">
        <f>'PEC Fossil'!E25+'PEC Nuclear'!E25+'PEC Waste'!E25+'PEC Electricity'!E25+'PEC RES'!E25</f>
        <v>4656.0249999999996</v>
      </c>
      <c r="F25" s="3">
        <f>'PEC Fossil'!F25+'PEC Nuclear'!F25+'PEC Waste'!F25+'PEC Electricity'!F25+'PEC RES'!F25</f>
        <v>4771.8019999999997</v>
      </c>
      <c r="G25" s="3">
        <f>'PEC Fossil'!G25+'PEC Nuclear'!G25+'PEC Waste'!G25+'PEC Electricity'!G25+'PEC RES'!G25</f>
        <v>4575.8320000000003</v>
      </c>
      <c r="H25" s="3">
        <f>'PEC Fossil'!H25+'PEC Nuclear'!H25+'PEC Waste'!H25+'PEC Electricity'!H25+'PEC RES'!H25</f>
        <v>4433.8329999999996</v>
      </c>
      <c r="I25" s="3">
        <f>'PEC Fossil'!I25+'PEC Nuclear'!I25+'PEC Waste'!I25+'PEC Electricity'!I25+'PEC RES'!I25</f>
        <v>4556.46</v>
      </c>
      <c r="J25" s="3">
        <f>'PEC Fossil'!J25+'PEC Nuclear'!J25+'PEC Waste'!J25+'PEC Electricity'!J25+'PEC RES'!J25</f>
        <v>4280.1299999999992</v>
      </c>
      <c r="K25" s="3">
        <f>'PEC Fossil'!K25+'PEC Nuclear'!K25+'PEC Waste'!K25+'PEC Electricity'!K25+'PEC RES'!K25</f>
        <v>4439.759</v>
      </c>
      <c r="L25" s="3">
        <f>'PEC Fossil'!L25+'PEC Nuclear'!L25+'PEC Waste'!L25+'PEC Electricity'!L25+'PEC RES'!L25</f>
        <v>4358.9719999999998</v>
      </c>
      <c r="M25" s="3">
        <f>'PEC Fossil'!M25+'PEC Nuclear'!M25+'PEC Waste'!M25+'PEC Electricity'!M25+'PEC RES'!M25</f>
        <v>4358.2579999999998</v>
      </c>
      <c r="N25" s="3">
        <f>'PEC Fossil'!N25+'PEC Nuclear'!N25+'PEC Waste'!N25+'PEC Electricity'!N25+'PEC RES'!N25</f>
        <v>4266.4269999999997</v>
      </c>
      <c r="O25" s="3">
        <f>'PEC Fossil'!O25+'PEC Nuclear'!O25+'PEC Waste'!O25+'PEC Electricity'!O25+'PEC RES'!O25</f>
        <v>4294.9059999999999</v>
      </c>
      <c r="P25" s="3">
        <f>'PEC Fossil'!P25+'PEC Nuclear'!P25+'PEC Waste'!P25+'PEC Electricity'!P25+'PEC RES'!P25</f>
        <v>4465.0329049393304</v>
      </c>
      <c r="Q25" s="3">
        <f>'PEC Fossil'!Q25+'PEC Nuclear'!Q25+'PEC Waste'!Q25+'PEC Electricity'!Q25+'PEC RES'!Q25</f>
        <v>4691.6269049393304</v>
      </c>
      <c r="R25" s="3">
        <f>'PEC Fossil'!R25+'PEC Nuclear'!R25+'PEC Waste'!R25+'PEC Electricity'!R25+'PEC RES'!R25</f>
        <v>4557.370904939331</v>
      </c>
      <c r="S25" s="3">
        <f>'PEC Fossil'!S25+'PEC Nuclear'!S25+'PEC Waste'!S25+'PEC Electricity'!S25+'PEC RES'!S25</f>
        <v>4263.6289049393299</v>
      </c>
      <c r="T25" s="3">
        <f>'PEC Fossil'!T25+'PEC Nuclear'!T25+'PEC Waste'!T25+'PEC Electricity'!T25+'PEC RES'!T25</f>
        <v>4466.7258703544503</v>
      </c>
      <c r="U25" s="3">
        <f>'PEC Fossil'!U25+'PEC Nuclear'!U25+'PEC Waste'!U25+'PEC Electricity'!U25+'PEC RES'!U25</f>
        <v>4306.8168703544497</v>
      </c>
      <c r="V25" s="3">
        <f ca="1">'PEC Fossil'!V25+'PEC Nuclear'!V25+'PEC Waste'!V25+'PEC Electricity'!V25+'PEC RES'!V25</f>
        <v>4391.6007358937786</v>
      </c>
      <c r="W25" s="18"/>
    </row>
    <row r="26" spans="2:23">
      <c r="B26" t="s">
        <v>141</v>
      </c>
      <c r="C26" t="s">
        <v>141</v>
      </c>
      <c r="D26" s="3">
        <f>'PEC Fossil'!D26+'PEC Nuclear'!D26+'PEC Waste'!D26+'PEC Electricity'!D26+'PEC RES'!D26</f>
        <v>915.72</v>
      </c>
      <c r="E26" s="3">
        <f>'PEC Fossil'!E26+'PEC Nuclear'!E26+'PEC Waste'!E26+'PEC Electricity'!E26+'PEC RES'!E26</f>
        <v>924.56299999999999</v>
      </c>
      <c r="F26" s="3">
        <f>'PEC Fossil'!F26+'PEC Nuclear'!F26+'PEC Waste'!F26+'PEC Electricity'!F26+'PEC RES'!F26</f>
        <v>949.07299999999998</v>
      </c>
      <c r="G26" s="3">
        <f>'PEC Fossil'!G26+'PEC Nuclear'!G26+'PEC Waste'!G26+'PEC Electricity'!G26+'PEC RES'!G26</f>
        <v>958.197</v>
      </c>
      <c r="H26" s="3">
        <f>'PEC Fossil'!H26+'PEC Nuclear'!H26+'PEC Waste'!H26+'PEC Electricity'!H26+'PEC RES'!H26</f>
        <v>883.80100000000004</v>
      </c>
      <c r="I26" s="3">
        <f>'PEC Fossil'!I26+'PEC Nuclear'!I26+'PEC Waste'!I26+'PEC Electricity'!I26+'PEC RES'!I26</f>
        <v>929.678</v>
      </c>
      <c r="J26" s="3">
        <f>'PEC Fossil'!J26+'PEC Nuclear'!J26+'PEC Waste'!J26+'PEC Electricity'!J26+'PEC RES'!J26</f>
        <v>927.77</v>
      </c>
      <c r="K26" s="3">
        <f>'PEC Fossil'!K26+'PEC Nuclear'!K26+'PEC Waste'!K26+'PEC Electricity'!K26+'PEC RES'!K26</f>
        <v>970.56700000000001</v>
      </c>
      <c r="L26" s="3">
        <f>'PEC Fossil'!L26+'PEC Nuclear'!L26+'PEC Waste'!L26+'PEC Electricity'!L26+'PEC RES'!L26</f>
        <v>874.85300000000007</v>
      </c>
      <c r="M26" s="3">
        <f>'PEC Fossil'!M26+'PEC Nuclear'!M26+'PEC Waste'!M26+'PEC Electricity'!M26+'PEC RES'!M26</f>
        <v>887.18100000000004</v>
      </c>
      <c r="N26" s="3">
        <f>'PEC Fossil'!N26+'PEC Nuclear'!N26+'PEC Waste'!N26+'PEC Electricity'!N26+'PEC RES'!N26</f>
        <v>751.91800000000001</v>
      </c>
      <c r="O26" s="3">
        <f>'PEC Fossil'!O26+'PEC Nuclear'!O26+'PEC Waste'!O26+'PEC Electricity'!O26+'PEC RES'!O26</f>
        <v>709.79299999999989</v>
      </c>
      <c r="P26" s="3">
        <f>'PEC Fossil'!P26+'PEC Nuclear'!P26+'PEC Waste'!P26+'PEC Electricity'!P26+'PEC RES'!P26</f>
        <v>805.14014961306953</v>
      </c>
      <c r="Q26" s="3">
        <f>'PEC Fossil'!Q26+'PEC Nuclear'!Q26+'PEC Waste'!Q26+'PEC Electricity'!Q26+'PEC RES'!Q26</f>
        <v>824.37464087130979</v>
      </c>
      <c r="R26" s="3">
        <f>'PEC Fossil'!R26+'PEC Nuclear'!R26+'PEC Waste'!R26+'PEC Electricity'!R26+'PEC RES'!R26</f>
        <v>873.18420559854758</v>
      </c>
      <c r="S26" s="3">
        <f>'PEC Fossil'!S26+'PEC Nuclear'!S26+'PEC Waste'!S26+'PEC Electricity'!S26+'PEC RES'!S26</f>
        <v>741.12236409668458</v>
      </c>
      <c r="T26" s="3">
        <f>'PEC Fossil'!T26+'PEC Nuclear'!T26+'PEC Waste'!T26+'PEC Electricity'!T26+'PEC RES'!T26</f>
        <v>767.52955335817308</v>
      </c>
      <c r="U26" s="3">
        <f>'PEC Fossil'!U26+'PEC Nuclear'!U26+'PEC Waste'!U26+'PEC Electricity'!U26+'PEC RES'!U26</f>
        <v>886.59375685487691</v>
      </c>
      <c r="V26" s="3">
        <f ca="1">'PEC Fossil'!V26+'PEC Nuclear'!V26+'PEC Waste'!V26+'PEC Electricity'!V26+'PEC RES'!V26</f>
        <v>909.20869037584214</v>
      </c>
      <c r="W26" s="18"/>
    </row>
    <row r="27" spans="2:23">
      <c r="B27" t="s">
        <v>145</v>
      </c>
      <c r="C27" t="s">
        <v>145</v>
      </c>
      <c r="D27" s="3">
        <f>'PEC Fossil'!D27+'PEC Nuclear'!D27+'PEC Waste'!D27+'PEC Electricity'!D27+'PEC RES'!D27</f>
        <v>70105.548091334655</v>
      </c>
      <c r="E27" s="3">
        <f>'PEC Fossil'!E27+'PEC Nuclear'!E27+'PEC Waste'!E27+'PEC Electricity'!E27+'PEC RES'!E27</f>
        <v>69519.134479411485</v>
      </c>
      <c r="F27" s="3">
        <f>'PEC Fossil'!F27+'PEC Nuclear'!F27+'PEC Waste'!F27+'PEC Electricity'!F27+'PEC RES'!F27</f>
        <v>69368.195926148852</v>
      </c>
      <c r="G27" s="3">
        <f>'PEC Fossil'!G27+'PEC Nuclear'!G27+'PEC Waste'!G27+'PEC Electricity'!G27+'PEC RES'!G27</f>
        <v>69882.692326645658</v>
      </c>
      <c r="H27" s="3">
        <f>'PEC Fossil'!H27+'PEC Nuclear'!H27+'PEC Waste'!H27+'PEC Electricity'!H27+'PEC RES'!H27</f>
        <v>67625.804818572666</v>
      </c>
      <c r="I27" s="3">
        <f>'PEC Fossil'!I27+'PEC Nuclear'!I27+'PEC Waste'!I27+'PEC Electricity'!I27+'PEC RES'!I27</f>
        <v>71718.992270278017</v>
      </c>
      <c r="J27" s="3">
        <f>'PEC Fossil'!J27+'PEC Nuclear'!J27+'PEC Waste'!J27+'PEC Electricity'!J27+'PEC RES'!J27</f>
        <v>67052.70198461831</v>
      </c>
      <c r="K27" s="3">
        <f>'PEC Fossil'!K27+'PEC Nuclear'!K27+'PEC Waste'!K27+'PEC Electricity'!K27+'PEC RES'!K27</f>
        <v>66746.00279822298</v>
      </c>
      <c r="L27" s="3">
        <f>'PEC Fossil'!L27+'PEC Nuclear'!L27+'PEC Waste'!L27+'PEC Electricity'!L27+'PEC RES'!L27</f>
        <v>66209.559878379674</v>
      </c>
      <c r="M27" s="3">
        <f>'PEC Fossil'!M27+'PEC Nuclear'!M27+'PEC Waste'!M27+'PEC Electricity'!M27+'PEC RES'!M27</f>
        <v>62316.376601318436</v>
      </c>
      <c r="N27" s="3">
        <f>'PEC Fossil'!N27+'PEC Nuclear'!N27+'PEC Waste'!N27+'PEC Electricity'!N27+'PEC RES'!N27</f>
        <v>59006.956631413006</v>
      </c>
      <c r="O27" s="3">
        <f>'PEC Fossil'!O27+'PEC Nuclear'!O27+'PEC Waste'!O27+'PEC Electricity'!O27+'PEC RES'!O27</f>
        <v>62737.057243909432</v>
      </c>
      <c r="P27" s="3">
        <f>'PEC Fossil'!P27+'PEC Nuclear'!P27+'PEC Waste'!P27+'PEC Electricity'!P27+'PEC RES'!P27</f>
        <v>61270.186008120763</v>
      </c>
      <c r="Q27" s="3">
        <f>'PEC Fossil'!Q27+'PEC Nuclear'!Q27+'PEC Waste'!Q27+'PEC Electricity'!Q27+'PEC RES'!Q27</f>
        <v>58415.911849813703</v>
      </c>
      <c r="R27" s="3">
        <f>'PEC Fossil'!R27+'PEC Nuclear'!R27+'PEC Waste'!R27+'PEC Electricity'!R27+'PEC RES'!R27</f>
        <v>63789.948255851719</v>
      </c>
      <c r="S27" s="3">
        <f>'PEC Fossil'!S27+'PEC Nuclear'!S27+'PEC Waste'!S27+'PEC Electricity'!S27+'PEC RES'!S27</f>
        <v>58511.829938473289</v>
      </c>
      <c r="T27" s="3">
        <f>'PEC Fossil'!T27+'PEC Nuclear'!T27+'PEC Waste'!T27+'PEC Electricity'!T27+'PEC RES'!T27</f>
        <v>60749.863378905124</v>
      </c>
      <c r="U27" s="3">
        <f>'PEC Fossil'!U27+'PEC Nuclear'!U27+'PEC Waste'!U27+'PEC Electricity'!U27+'PEC RES'!U27</f>
        <v>56087.332504060381</v>
      </c>
      <c r="V27" s="3">
        <f ca="1">'PEC Fossil'!V27+'PEC Nuclear'!V27+'PEC Waste'!V27+'PEC Electricity'!V27+'PEC RES'!V27</f>
        <v>54860.716653550793</v>
      </c>
      <c r="W27" s="18"/>
    </row>
    <row r="28" spans="2:23">
      <c r="B28" t="s">
        <v>185</v>
      </c>
      <c r="C28" t="s">
        <v>185</v>
      </c>
      <c r="D28" s="3">
        <f>'PEC Fossil'!D28+'PEC Nuclear'!D28+'PEC Waste'!D28+'PEC Electricity'!D28+'PEC RES'!D28</f>
        <v>87955.39999999998</v>
      </c>
      <c r="E28" s="3">
        <f>'PEC Fossil'!E28+'PEC Nuclear'!E28+'PEC Waste'!E28+'PEC Electricity'!E28+'PEC RES'!E28</f>
        <v>92340.425999999992</v>
      </c>
      <c r="F28" s="3">
        <f>'PEC Fossil'!F28+'PEC Nuclear'!F28+'PEC Waste'!F28+'PEC Electricity'!F28+'PEC RES'!F28</f>
        <v>91899.087999999989</v>
      </c>
      <c r="G28" s="3">
        <f>'PEC Fossil'!G28+'PEC Nuclear'!G28+'PEC Waste'!G28+'PEC Electricity'!G28+'PEC RES'!G28</f>
        <v>93086.514999999999</v>
      </c>
      <c r="H28" s="3">
        <f>'PEC Fossil'!H28+'PEC Nuclear'!H28+'PEC Waste'!H28+'PEC Electricity'!H28+'PEC RES'!H28</f>
        <v>89531.122049488869</v>
      </c>
      <c r="I28" s="3">
        <f>'PEC Fossil'!I28+'PEC Nuclear'!I28+'PEC Waste'!I28+'PEC Electricity'!I28+'PEC RES'!I28</f>
        <v>96562.043608197215</v>
      </c>
      <c r="J28" s="3">
        <f>'PEC Fossil'!J28+'PEC Nuclear'!J28+'PEC Waste'!J28+'PEC Electricity'!J28+'PEC RES'!J28</f>
        <v>96548.73197984141</v>
      </c>
      <c r="K28" s="3">
        <f>'PEC Fossil'!K28+'PEC Nuclear'!K28+'PEC Waste'!K28+'PEC Electricity'!K28+'PEC RES'!K28</f>
        <v>92798.812749307355</v>
      </c>
      <c r="L28" s="3">
        <f>'PEC Fossil'!L28+'PEC Nuclear'!L28+'PEC Waste'!L28+'PEC Electricity'!L28+'PEC RES'!L28</f>
        <v>93401.951797458692</v>
      </c>
      <c r="M28" s="3">
        <f>'PEC Fossil'!M28+'PEC Nuclear'!M28+'PEC Waste'!M28+'PEC Electricity'!M28+'PEC RES'!M28</f>
        <v>89494.280911340393</v>
      </c>
      <c r="N28" s="3">
        <f>'PEC Fossil'!N28+'PEC Nuclear'!N28+'PEC Waste'!N28+'PEC Electricity'!N28+'PEC RES'!N28</f>
        <v>90054.020765548878</v>
      </c>
      <c r="O28" s="3">
        <f>'PEC Fossil'!O28+'PEC Nuclear'!O28+'PEC Waste'!O28+'PEC Electricity'!O28+'PEC RES'!O28</f>
        <v>94832.40742705646</v>
      </c>
      <c r="P28" s="3">
        <f>'PEC Fossil'!P28+'PEC Nuclear'!P28+'PEC Waste'!P28+'PEC Electricity'!P28+'PEC RES'!P28</f>
        <v>99075.660013088753</v>
      </c>
      <c r="Q28" s="3">
        <f>'PEC Fossil'!Q28+'PEC Nuclear'!Q28+'PEC Waste'!Q28+'PEC Electricity'!Q28+'PEC RES'!Q28</f>
        <v>104058.7588142734</v>
      </c>
      <c r="R28" s="3">
        <f>'PEC Fossil'!R28+'PEC Nuclear'!R28+'PEC Waste'!R28+'PEC Electricity'!R28+'PEC RES'!R28</f>
        <v>100194.80881408229</v>
      </c>
      <c r="S28" s="3">
        <f>'PEC Fossil'!S28+'PEC Nuclear'!S28+'PEC Waste'!S28+'PEC Electricity'!S28+'PEC RES'!S28</f>
        <v>96839.984763160392</v>
      </c>
      <c r="T28" s="3">
        <f>'PEC Fossil'!T28+'PEC Nuclear'!T28+'PEC Waste'!T28+'PEC Electricity'!T28+'PEC RES'!T28</f>
        <v>103958.63788707371</v>
      </c>
      <c r="U28" s="3">
        <f>'PEC Fossil'!U28+'PEC Nuclear'!U28+'PEC Waste'!U28+'PEC Electricity'!U28+'PEC RES'!U28</f>
        <v>98601.218691602204</v>
      </c>
      <c r="V28" s="3">
        <f ca="1">'PEC Fossil'!V28+'PEC Nuclear'!V28+'PEC Waste'!V28+'PEC Electricity'!V28+'PEC RES'!V28</f>
        <v>93003.452896015879</v>
      </c>
      <c r="W28" s="18"/>
    </row>
    <row r="29" spans="2:23">
      <c r="B29" t="s">
        <v>149</v>
      </c>
      <c r="C29" t="s">
        <v>149</v>
      </c>
      <c r="D29" s="3">
        <f>'PEC Fossil'!D29+'PEC Nuclear'!D29+'PEC Waste'!D29+'PEC Electricity'!D29+'PEC RES'!D29</f>
        <v>24851.128000000001</v>
      </c>
      <c r="E29" s="3">
        <f>'PEC Fossil'!E29+'PEC Nuclear'!E29+'PEC Waste'!E29+'PEC Electricity'!E29+'PEC RES'!E29</f>
        <v>24043.661</v>
      </c>
      <c r="F29" s="3">
        <f>'PEC Fossil'!F29+'PEC Nuclear'!F29+'PEC Waste'!F29+'PEC Electricity'!F29+'PEC RES'!F29</f>
        <v>23861.655000000002</v>
      </c>
      <c r="G29" s="3">
        <f>'PEC Fossil'!G29+'PEC Nuclear'!G29+'PEC Waste'!G29+'PEC Electricity'!G29+'PEC RES'!G29</f>
        <v>23599.684999999998</v>
      </c>
      <c r="H29" s="3">
        <f>'PEC Fossil'!H29+'PEC Nuclear'!H29+'PEC Waste'!H29+'PEC Electricity'!H29+'PEC RES'!H29</f>
        <v>23628.654000000002</v>
      </c>
      <c r="I29" s="3">
        <f>'PEC Fossil'!I29+'PEC Nuclear'!I29+'PEC Waste'!I29+'PEC Electricity'!I29+'PEC RES'!I29</f>
        <v>22654.512999999999</v>
      </c>
      <c r="J29" s="3">
        <f>'PEC Fossil'!J29+'PEC Nuclear'!J29+'PEC Waste'!J29+'PEC Electricity'!J29+'PEC RES'!J29</f>
        <v>22012.967000000001</v>
      </c>
      <c r="K29" s="3">
        <f>'PEC Fossil'!K29+'PEC Nuclear'!K29+'PEC Waste'!K29+'PEC Electricity'!K29+'PEC RES'!K29</f>
        <v>21042.537</v>
      </c>
      <c r="L29" s="3">
        <f>'PEC Fossil'!L29+'PEC Nuclear'!L29+'PEC Waste'!L29+'PEC Electricity'!L29+'PEC RES'!L29</f>
        <v>21036.967000000001</v>
      </c>
      <c r="M29" s="3">
        <f>'PEC Fossil'!M29+'PEC Nuclear'!M29+'PEC Waste'!M29+'PEC Electricity'!M29+'PEC RES'!M29</f>
        <v>20681.05263370592</v>
      </c>
      <c r="N29" s="3">
        <f>'PEC Fossil'!N29+'PEC Nuclear'!N29+'PEC Waste'!N29+'PEC Electricity'!N29+'PEC RES'!N29</f>
        <v>21649.4764373746</v>
      </c>
      <c r="O29" s="3">
        <f>'PEC Fossil'!O29+'PEC Nuclear'!O29+'PEC Waste'!O29+'PEC Electricity'!O29+'PEC RES'!O29</f>
        <v>21755.965172924418</v>
      </c>
      <c r="P29" s="3">
        <f>'PEC Fossil'!P29+'PEC Nuclear'!P29+'PEC Waste'!P29+'PEC Electricity'!P29+'PEC RES'!P29</f>
        <v>22814.761356262534</v>
      </c>
      <c r="Q29" s="3">
        <f>'PEC Fossil'!Q29+'PEC Nuclear'!Q29+'PEC Waste'!Q29+'PEC Electricity'!Q29+'PEC RES'!Q29</f>
        <v>22664.179398490483</v>
      </c>
      <c r="R29" s="3">
        <f>'PEC Fossil'!R29+'PEC Nuclear'!R29+'PEC Waste'!R29+'PEC Electricity'!R29+'PEC RES'!R29</f>
        <v>22069.46751141682</v>
      </c>
      <c r="S29" s="3">
        <f>'PEC Fossil'!S29+'PEC Nuclear'!S29+'PEC Waste'!S29+'PEC Electricity'!S29+'PEC RES'!S29</f>
        <v>19497.193119996169</v>
      </c>
      <c r="T29" s="3">
        <f>'PEC Fossil'!T29+'PEC Nuclear'!T29+'PEC Waste'!T29+'PEC Electricity'!T29+'PEC RES'!T29</f>
        <v>19531.726489920689</v>
      </c>
      <c r="U29" s="3">
        <f>'PEC Fossil'!U29+'PEC Nuclear'!U29+'PEC Waste'!U29+'PEC Electricity'!U29+'PEC RES'!U29</f>
        <v>20765.760177605793</v>
      </c>
      <c r="V29" s="3">
        <f ca="1">'PEC Fossil'!V29+'PEC Nuclear'!V29+'PEC Waste'!V29+'PEC Electricity'!V29+'PEC RES'!V29</f>
        <v>20043.335004269848</v>
      </c>
      <c r="W29" s="18"/>
    </row>
    <row r="30" spans="2:23">
      <c r="B30" t="s">
        <v>186</v>
      </c>
      <c r="C30" t="s">
        <v>186</v>
      </c>
      <c r="D30" s="3">
        <f>'PEC Fossil'!D30+'PEC Nuclear'!D30+'PEC Waste'!D30+'PEC Electricity'!D30+'PEC RES'!D30</f>
        <v>36059.756999999998</v>
      </c>
      <c r="E30" s="3">
        <f>'PEC Fossil'!E30+'PEC Nuclear'!E30+'PEC Waste'!E30+'PEC Electricity'!E30+'PEC RES'!E30</f>
        <v>37533.593000000001</v>
      </c>
      <c r="F30" s="3">
        <f>'PEC Fossil'!F30+'PEC Nuclear'!F30+'PEC Waste'!F30+'PEC Electricity'!F30+'PEC RES'!F30</f>
        <v>37437.598999999995</v>
      </c>
      <c r="G30" s="3">
        <f>'PEC Fossil'!G30+'PEC Nuclear'!G30+'PEC Waste'!G30+'PEC Electricity'!G30+'PEC RES'!G30</f>
        <v>37319.821000000004</v>
      </c>
      <c r="H30" s="3">
        <f>'PEC Fossil'!H30+'PEC Nuclear'!H30+'PEC Waste'!H30+'PEC Electricity'!H30+'PEC RES'!H30</f>
        <v>32646.71</v>
      </c>
      <c r="I30" s="3">
        <f>'PEC Fossil'!I30+'PEC Nuclear'!I30+'PEC Waste'!I30+'PEC Electricity'!I30+'PEC RES'!I30</f>
        <v>32948.577000000005</v>
      </c>
      <c r="J30" s="3">
        <f>'PEC Fossil'!J30+'PEC Nuclear'!J30+'PEC Waste'!J30+'PEC Electricity'!J30+'PEC RES'!J30</f>
        <v>33528.133999999998</v>
      </c>
      <c r="K30" s="3">
        <f>'PEC Fossil'!K30+'PEC Nuclear'!K30+'PEC Waste'!K30+'PEC Electricity'!K30+'PEC RES'!K30</f>
        <v>33255.576000000001</v>
      </c>
      <c r="L30" s="3">
        <f>'PEC Fossil'!L30+'PEC Nuclear'!L30+'PEC Waste'!L30+'PEC Electricity'!L30+'PEC RES'!L30</f>
        <v>30410.760999999999</v>
      </c>
      <c r="M30" s="3">
        <f>'PEC Fossil'!M30+'PEC Nuclear'!M30+'PEC Waste'!M30+'PEC Electricity'!M30+'PEC RES'!M30</f>
        <v>30065.544000000002</v>
      </c>
      <c r="N30" s="3">
        <f>'PEC Fossil'!N30+'PEC Nuclear'!N30+'PEC Waste'!N30+'PEC Electricity'!N30+'PEC RES'!N30</f>
        <v>30748.021999999997</v>
      </c>
      <c r="O30" s="3">
        <f>'PEC Fossil'!O30+'PEC Nuclear'!O30+'PEC Waste'!O30+'PEC Electricity'!O30+'PEC RES'!O30</f>
        <v>30652.081999999995</v>
      </c>
      <c r="P30" s="3">
        <f>'PEC Fossil'!P30+'PEC Nuclear'!P30+'PEC Waste'!P30+'PEC Electricity'!P30+'PEC RES'!P30</f>
        <v>32456.645999999997</v>
      </c>
      <c r="Q30" s="3">
        <f>'PEC Fossil'!Q30+'PEC Nuclear'!Q30+'PEC Waste'!Q30+'PEC Electricity'!Q30+'PEC RES'!Q30</f>
        <v>32573.675999999999</v>
      </c>
      <c r="R30" s="3">
        <f>'PEC Fossil'!R30+'PEC Nuclear'!R30+'PEC Waste'!R30+'PEC Electricity'!R30+'PEC RES'!R30</f>
        <v>32068.353000000003</v>
      </c>
      <c r="S30" s="3">
        <f>'PEC Fossil'!S30+'PEC Nuclear'!S30+'PEC Waste'!S30+'PEC Electricity'!S30+'PEC RES'!S30</f>
        <v>30926.965000000004</v>
      </c>
      <c r="T30" s="3">
        <f>'PEC Fossil'!T30+'PEC Nuclear'!T30+'PEC Waste'!T30+'PEC Electricity'!T30+'PEC RES'!T30</f>
        <v>33089.659</v>
      </c>
      <c r="U30" s="3">
        <f>'PEC Fossil'!U30+'PEC Nuclear'!U30+'PEC Waste'!U30+'PEC Electricity'!U30+'PEC RES'!U30</f>
        <v>31006.557000000001</v>
      </c>
      <c r="V30" s="3">
        <f ca="1">'PEC Fossil'!V30+'PEC Nuclear'!V30+'PEC Waste'!V30+'PEC Electricity'!V30+'PEC RES'!V30</f>
        <v>29825.18759127014</v>
      </c>
      <c r="W30" s="18"/>
    </row>
    <row r="31" spans="2:23">
      <c r="B31" t="s">
        <v>187</v>
      </c>
      <c r="C31" t="s">
        <v>187</v>
      </c>
      <c r="D31" s="3">
        <f>'PEC Fossil'!D31+'PEC Nuclear'!D31+'PEC Waste'!D31+'PEC Electricity'!D31+'PEC RES'!D31</f>
        <v>48993.221000000005</v>
      </c>
      <c r="E31" s="3">
        <f>'PEC Fossil'!E31+'PEC Nuclear'!E31+'PEC Waste'!E31+'PEC Electricity'!E31+'PEC RES'!E31</f>
        <v>47709.151999999995</v>
      </c>
      <c r="F31" s="3">
        <f>'PEC Fossil'!F31+'PEC Nuclear'!F31+'PEC Waste'!F31+'PEC Electricity'!F31+'PEC RES'!F31</f>
        <v>47411.273000000001</v>
      </c>
      <c r="G31" s="3">
        <f>'PEC Fossil'!G31+'PEC Nuclear'!G31+'PEC Waste'!G31+'PEC Electricity'!G31+'PEC RES'!G31</f>
        <v>47249.288999999997</v>
      </c>
      <c r="H31" s="3">
        <f>'PEC Fossil'!H31+'PEC Nuclear'!H31+'PEC Waste'!H31+'PEC Electricity'!H31+'PEC RES'!H31</f>
        <v>43064.972999999998</v>
      </c>
      <c r="I31" s="3">
        <f>'PEC Fossil'!I31+'PEC Nuclear'!I31+'PEC Waste'!I31+'PEC Electricity'!I31+'PEC RES'!I31</f>
        <v>48343.027999999998</v>
      </c>
      <c r="J31" s="3">
        <f>'PEC Fossil'!J31+'PEC Nuclear'!J31+'PEC Waste'!J31+'PEC Electricity'!J31+'PEC RES'!J31</f>
        <v>47548.365009744899</v>
      </c>
      <c r="K31" s="3">
        <f>'PEC Fossil'!K31+'PEC Nuclear'!K31+'PEC Waste'!K31+'PEC Electricity'!K31+'PEC RES'!K31</f>
        <v>47448.0775246966</v>
      </c>
      <c r="L31" s="3">
        <f>'PEC Fossil'!L31+'PEC Nuclear'!L31+'PEC Waste'!L31+'PEC Electricity'!L31+'PEC RES'!L31</f>
        <v>46436.880645361598</v>
      </c>
      <c r="M31" s="3">
        <f>'PEC Fossil'!M31+'PEC Nuclear'!M31+'PEC Waste'!M31+'PEC Electricity'!M31+'PEC RES'!M31</f>
        <v>45959.625798223002</v>
      </c>
      <c r="N31" s="3">
        <f>'PEC Fossil'!N31+'PEC Nuclear'!N31+'PEC Waste'!N31+'PEC Electricity'!N31+'PEC RES'!N31</f>
        <v>43837.6940110824</v>
      </c>
      <c r="O31" s="3">
        <f>'PEC Fossil'!O31+'PEC Nuclear'!O31+'PEC Waste'!O31+'PEC Electricity'!O31+'PEC RES'!O31</f>
        <v>45351.374284799807</v>
      </c>
      <c r="P31" s="3">
        <f>'PEC Fossil'!P31+'PEC Nuclear'!P31+'PEC Waste'!P31+'PEC Electricity'!P31+'PEC RES'!P31</f>
        <v>46348.069131556302</v>
      </c>
      <c r="Q31" s="3">
        <f>'PEC Fossil'!Q31+'PEC Nuclear'!Q31+'PEC Waste'!Q31+'PEC Electricity'!Q31+'PEC RES'!Q31</f>
        <v>47246.301642113292</v>
      </c>
      <c r="R31" s="3">
        <f>'PEC Fossil'!R31+'PEC Nuclear'!R31+'PEC Waste'!R31+'PEC Electricity'!R31+'PEC RES'!R31</f>
        <v>45794.100642113299</v>
      </c>
      <c r="S31" s="3">
        <f>'PEC Fossil'!S31+'PEC Nuclear'!S31+'PEC Waste'!S31+'PEC Electricity'!S31+'PEC RES'!S31</f>
        <v>41305.440324257201</v>
      </c>
      <c r="T31" s="3">
        <f>'PEC Fossil'!T31+'PEC Nuclear'!T31+'PEC Waste'!T31+'PEC Electricity'!T31+'PEC RES'!T31</f>
        <v>43320.4682128594</v>
      </c>
      <c r="U31" s="3">
        <f>'PEC Fossil'!U31+'PEC Nuclear'!U31+'PEC Waste'!U31+'PEC Electricity'!U31+'PEC RES'!U31</f>
        <v>42452.103660552202</v>
      </c>
      <c r="V31" s="3">
        <f ca="1">'PEC Fossil'!V31+'PEC Nuclear'!V31+'PEC Waste'!V31+'PEC Electricity'!V31+'PEC RES'!V31</f>
        <v>43111.779649215721</v>
      </c>
      <c r="W31" s="18"/>
    </row>
    <row r="32" spans="2:23">
      <c r="B32" t="s">
        <v>79</v>
      </c>
      <c r="C32" t="s">
        <v>79</v>
      </c>
      <c r="D32" s="3">
        <f>'PEC Fossil'!D32+'PEC Nuclear'!D32+'PEC Waste'!D32+'PEC Electricity'!D32+'PEC RES'!D32</f>
        <v>7249.8013003726001</v>
      </c>
      <c r="E32" s="3">
        <f>'PEC Fossil'!E32+'PEC Nuclear'!E32+'PEC Waste'!E32+'PEC Electricity'!E32+'PEC RES'!E32</f>
        <v>7190.727295786759</v>
      </c>
      <c r="F32" s="3">
        <f>'PEC Fossil'!F32+'PEC Nuclear'!F32+'PEC Waste'!F32+'PEC Electricity'!F32+'PEC RES'!F32</f>
        <v>7282.9132792586215</v>
      </c>
      <c r="G32" s="3">
        <f>'PEC Fossil'!G32+'PEC Nuclear'!G32+'PEC Waste'!G32+'PEC Electricity'!G32+'PEC RES'!G32</f>
        <v>7725.6243611350001</v>
      </c>
      <c r="H32" s="3">
        <f>'PEC Fossil'!H32+'PEC Nuclear'!H32+'PEC Waste'!H32+'PEC Electricity'!H32+'PEC RES'!H32</f>
        <v>6824.4475895672094</v>
      </c>
      <c r="I32" s="3">
        <f>'PEC Fossil'!I32+'PEC Nuclear'!I32+'PEC Waste'!I32+'PEC Electricity'!I32+'PEC RES'!I32</f>
        <v>7033.8285289958894</v>
      </c>
      <c r="J32" s="3">
        <f>'PEC Fossil'!J32+'PEC Nuclear'!J32+'PEC Waste'!J32+'PEC Electricity'!J32+'PEC RES'!J32</f>
        <v>7105.8103490016201</v>
      </c>
      <c r="K32" s="3">
        <f>'PEC Fossil'!K32+'PEC Nuclear'!K32+'PEC Waste'!K32+'PEC Electricity'!K32+'PEC RES'!K32</f>
        <v>6826.6624723416398</v>
      </c>
      <c r="L32" s="3">
        <f>'PEC Fossil'!L32+'PEC Nuclear'!L32+'PEC Waste'!L32+'PEC Electricity'!L32+'PEC RES'!L32</f>
        <v>6652.0207642113301</v>
      </c>
      <c r="M32" s="3">
        <f>'PEC Fossil'!M32+'PEC Nuclear'!M32+'PEC Waste'!M32+'PEC Electricity'!M32+'PEC RES'!M32</f>
        <v>6391.9311231489392</v>
      </c>
      <c r="N32" s="3">
        <f>'PEC Fossil'!N32+'PEC Nuclear'!N32+'PEC Waste'!N32+'PEC Electricity'!N32+'PEC RES'!N32</f>
        <v>6344.8301662367394</v>
      </c>
      <c r="O32" s="3">
        <f>'PEC Fossil'!O32+'PEC Nuclear'!O32+'PEC Waste'!O32+'PEC Electricity'!O32+'PEC RES'!O32</f>
        <v>6548.428023502438</v>
      </c>
      <c r="P32" s="3">
        <f>'PEC Fossil'!P32+'PEC Nuclear'!P32+'PEC Waste'!P32+'PEC Electricity'!P32+'PEC RES'!P32</f>
        <v>6728.2087518868802</v>
      </c>
      <c r="Q32" s="3">
        <f>'PEC Fossil'!Q32+'PEC Nuclear'!Q32+'PEC Waste'!Q32+'PEC Electricity'!Q32+'PEC RES'!Q32</f>
        <v>6650.1825977835106</v>
      </c>
      <c r="R32" s="3">
        <f>'PEC Fossil'!R32+'PEC Nuclear'!R32+'PEC Waste'!R32+'PEC Electricity'!R32+'PEC RES'!R32</f>
        <v>6524.8376027515014</v>
      </c>
      <c r="S32" s="3">
        <f>'PEC Fossil'!S32+'PEC Nuclear'!S32+'PEC Waste'!S32+'PEC Electricity'!S32+'PEC RES'!S32</f>
        <v>6147.0748377758709</v>
      </c>
      <c r="T32" s="3">
        <f>'PEC Fossil'!T32+'PEC Nuclear'!T32+'PEC Waste'!T32+'PEC Electricity'!T32+'PEC RES'!T32</f>
        <v>6334.7873354351796</v>
      </c>
      <c r="U32" s="3">
        <f>'PEC Fossil'!U32+'PEC Nuclear'!U32+'PEC Waste'!U32+'PEC Electricity'!U32+'PEC RES'!U32</f>
        <v>6194.4846709658914</v>
      </c>
      <c r="V32" s="3">
        <f ca="1">'PEC Fossil'!V32+'PEC Nuclear'!V32+'PEC Waste'!V32+'PEC Electricity'!V32+'PEC RES'!V32</f>
        <v>5560.4224571385657</v>
      </c>
      <c r="W32" s="18"/>
    </row>
    <row r="33" spans="1:23">
      <c r="B33" t="s">
        <v>188</v>
      </c>
      <c r="C33" t="s">
        <v>188</v>
      </c>
      <c r="D33" s="3">
        <f>'PEC Fossil'!D33+'PEC Nuclear'!D33+'PEC Waste'!D33+'PEC Electricity'!D33+'PEC RES'!D33</f>
        <v>17414.235999999997</v>
      </c>
      <c r="E33" s="3">
        <f>'PEC Fossil'!E33+'PEC Nuclear'!E33+'PEC Waste'!E33+'PEC Electricity'!E33+'PEC RES'!E33</f>
        <v>17243.139000000003</v>
      </c>
      <c r="F33" s="3">
        <f>'PEC Fossil'!F33+'PEC Nuclear'!F33+'PEC Waste'!F33+'PEC Electricity'!F33+'PEC RES'!F33</f>
        <v>16427.807000000001</v>
      </c>
      <c r="G33" s="3">
        <f>'PEC Fossil'!G33+'PEC Nuclear'!G33+'PEC Waste'!G33+'PEC Electricity'!G33+'PEC RES'!G33</f>
        <v>16985.583999999999</v>
      </c>
      <c r="H33" s="3">
        <f>'PEC Fossil'!H33+'PEC Nuclear'!H33+'PEC Waste'!H33+'PEC Electricity'!H33+'PEC RES'!H33</f>
        <v>15520.648000000001</v>
      </c>
      <c r="I33" s="3">
        <f>'PEC Fossil'!I33+'PEC Nuclear'!I33+'PEC Waste'!I33+'PEC Electricity'!I33+'PEC RES'!I33</f>
        <v>17375.435999999998</v>
      </c>
      <c r="J33" s="3">
        <f>'PEC Fossil'!J33+'PEC Nuclear'!J33+'PEC Waste'!J33+'PEC Electricity'!J33+'PEC RES'!J33</f>
        <v>16639.356</v>
      </c>
      <c r="K33" s="3">
        <f>'PEC Fossil'!K33+'PEC Nuclear'!K33+'PEC Waste'!K33+'PEC Electricity'!K33+'PEC RES'!K33</f>
        <v>16336.700999999999</v>
      </c>
      <c r="L33" s="3">
        <f>'PEC Fossil'!L33+'PEC Nuclear'!L33+'PEC Waste'!L33+'PEC Electricity'!L33+'PEC RES'!L33</f>
        <v>16385.187999999998</v>
      </c>
      <c r="M33" s="3">
        <f>'PEC Fossil'!M33+'PEC Nuclear'!M33+'PEC Waste'!M33+'PEC Electricity'!M33+'PEC RES'!M33</f>
        <v>15200.718999999997</v>
      </c>
      <c r="N33" s="3">
        <f>'PEC Fossil'!N33+'PEC Nuclear'!N33+'PEC Waste'!N33+'PEC Electricity'!N33+'PEC RES'!N33</f>
        <v>15801.671</v>
      </c>
      <c r="O33" s="3">
        <f>'PEC Fossil'!O33+'PEC Nuclear'!O33+'PEC Waste'!O33+'PEC Electricity'!O33+'PEC RES'!O33</f>
        <v>16023.871999999999</v>
      </c>
      <c r="P33" s="3">
        <f>'PEC Fossil'!P33+'PEC Nuclear'!P33+'PEC Waste'!P33+'PEC Electricity'!P33+'PEC RES'!P33</f>
        <v>16781.990000000002</v>
      </c>
      <c r="Q33" s="3">
        <f>'PEC Fossil'!Q33+'PEC Nuclear'!Q33+'PEC Waste'!Q33+'PEC Electricity'!Q33+'PEC RES'!Q33</f>
        <v>16276.881999999998</v>
      </c>
      <c r="R33" s="3">
        <f>'PEC Fossil'!R33+'PEC Nuclear'!R33+'PEC Waste'!R33+'PEC Electricity'!R33+'PEC RES'!R33</f>
        <v>15976.597206362851</v>
      </c>
      <c r="S33" s="3">
        <f>'PEC Fossil'!S33+'PEC Nuclear'!S33+'PEC Waste'!S33+'PEC Electricity'!S33+'PEC RES'!S33</f>
        <v>15175.217839591091</v>
      </c>
      <c r="T33" s="3">
        <f>'PEC Fossil'!T33+'PEC Nuclear'!T33+'PEC Waste'!T33+'PEC Electricity'!T33+'PEC RES'!T33</f>
        <v>16433.691330658261</v>
      </c>
      <c r="U33" s="3">
        <f>'PEC Fossil'!U33+'PEC Nuclear'!U33+'PEC Waste'!U33+'PEC Electricity'!U33+'PEC RES'!U33</f>
        <v>15400.29277070794</v>
      </c>
      <c r="V33" s="3">
        <f ca="1">'PEC Fossil'!V33+'PEC Nuclear'!V33+'PEC Waste'!V33+'PEC Electricity'!V33+'PEC RES'!V33</f>
        <v>15828.300002916158</v>
      </c>
      <c r="W33" s="18"/>
    </row>
    <row r="34" spans="1:23">
      <c r="B34" t="s">
        <v>163</v>
      </c>
      <c r="C34" t="s">
        <v>163</v>
      </c>
      <c r="D34" s="3">
        <f>'PEC Fossil'!D34+'PEC Nuclear'!D34+'PEC Waste'!D34+'PEC Electricity'!D34+'PEC RES'!D34</f>
        <v>223477.78200000001</v>
      </c>
      <c r="E34" s="3">
        <f>'PEC Fossil'!E34+'PEC Nuclear'!E34+'PEC Waste'!E34+'PEC Electricity'!E34+'PEC RES'!E34</f>
        <v>220412.94200000001</v>
      </c>
      <c r="F34" s="3">
        <f>'PEC Fossil'!F34+'PEC Nuclear'!F34+'PEC Waste'!F34+'PEC Electricity'!F34+'PEC RES'!F34</f>
        <v>214501.50300000003</v>
      </c>
      <c r="G34" s="3">
        <f>'PEC Fossil'!G34+'PEC Nuclear'!G34+'PEC Waste'!G34+'PEC Electricity'!G34+'PEC RES'!G34</f>
        <v>211797.7364637432</v>
      </c>
      <c r="H34" s="3">
        <f>'PEC Fossil'!H34+'PEC Nuclear'!H34+'PEC Waste'!H34+'PEC Electricity'!H34+'PEC RES'!H34</f>
        <v>195991.61987054555</v>
      </c>
      <c r="I34" s="3">
        <f>'PEC Fossil'!I34+'PEC Nuclear'!I34+'PEC Waste'!I34+'PEC Electricity'!I34+'PEC RES'!I34</f>
        <v>205093.17072150568</v>
      </c>
      <c r="J34" s="3">
        <f>'PEC Fossil'!J34+'PEC Nuclear'!J34+'PEC Waste'!J34+'PEC Electricity'!J34+'PEC RES'!J34</f>
        <v>190088.58577061238</v>
      </c>
      <c r="K34" s="3">
        <f>'PEC Fossil'!K34+'PEC Nuclear'!K34+'PEC Waste'!K34+'PEC Electricity'!K34+'PEC RES'!K34</f>
        <v>195148.74883978214</v>
      </c>
      <c r="L34" s="3">
        <f>'PEC Fossil'!L34+'PEC Nuclear'!L34+'PEC Waste'!L34+'PEC Electricity'!L34+'PEC RES'!L34</f>
        <v>191629.08953434601</v>
      </c>
      <c r="M34" s="3">
        <f>'PEC Fossil'!M34+'PEC Nuclear'!M34+'PEC Waste'!M34+'PEC Electricity'!M34+'PEC RES'!M34</f>
        <v>180717.6053734594</v>
      </c>
      <c r="N34" s="3">
        <f>'PEC Fossil'!N34+'PEC Nuclear'!N34+'PEC Waste'!N34+'PEC Electricity'!N34+'PEC RES'!N34</f>
        <v>182604.77403897961</v>
      </c>
      <c r="O34" s="3">
        <f>'PEC Fossil'!O34+'PEC Nuclear'!O34+'PEC Waste'!O34+'PEC Electricity'!O34+'PEC RES'!O34</f>
        <v>179439.23938855447</v>
      </c>
      <c r="P34" s="3">
        <f>'PEC Fossil'!P34+'PEC Nuclear'!P34+'PEC Waste'!P34+'PEC Electricity'!P34+'PEC RES'!P34</f>
        <v>177271.2866879717</v>
      </c>
      <c r="Q34" s="3">
        <f>'PEC Fossil'!Q34+'PEC Nuclear'!Q34+'PEC Waste'!Q34+'PEC Electricity'!Q34+'PEC RES'!Q34</f>
        <v>177220.20805627212</v>
      </c>
      <c r="R34" s="3">
        <f>'PEC Fossil'!R34+'PEC Nuclear'!R34+'PEC Waste'!R34+'PEC Electricity'!R34+'PEC RES'!R34</f>
        <v>174296.99358135095</v>
      </c>
      <c r="S34" s="3">
        <f>'PEC Fossil'!S34+'PEC Nuclear'!S34+'PEC Waste'!S34+'PEC Electricity'!S34+'PEC RES'!S34</f>
        <v>0</v>
      </c>
      <c r="T34" s="3">
        <f>'PEC Fossil'!T34+'PEC Nuclear'!T34+'PEC Waste'!T34+'PEC Electricity'!T34+'PEC RES'!T34</f>
        <v>0</v>
      </c>
      <c r="U34" s="3">
        <f>'PEC Fossil'!U34+'PEC Nuclear'!U34+'PEC Waste'!U34+'PEC Electricity'!U34+'PEC RES'!U34</f>
        <v>0</v>
      </c>
      <c r="V34" s="3">
        <f ca="1">'PEC Fossil'!V34+'PEC Nuclear'!V34+'PEC Waste'!V34+'PEC Electricity'!V34+'PEC RES'!V34</f>
        <v>0</v>
      </c>
      <c r="W34" s="18"/>
    </row>
    <row r="35" spans="1:23">
      <c r="B35" s="40" t="s">
        <v>189</v>
      </c>
      <c r="C35" s="40" t="s">
        <v>189</v>
      </c>
      <c r="D35" s="41">
        <f>SUM(D7:D34)</f>
        <v>1721241.7918592719</v>
      </c>
      <c r="E35" s="41">
        <f t="shared" ref="E35:U35" si="0">SUM(E7:E34)</f>
        <v>1731812.379777587</v>
      </c>
      <c r="F35" s="41">
        <f t="shared" si="0"/>
        <v>1704671.7749946504</v>
      </c>
      <c r="G35" s="41">
        <f t="shared" si="0"/>
        <v>1700565.9909155441</v>
      </c>
      <c r="H35" s="41">
        <f t="shared" si="0"/>
        <v>1599297.2183453713</v>
      </c>
      <c r="I35" s="41">
        <f t="shared" si="0"/>
        <v>1663368.6477480654</v>
      </c>
      <c r="J35" s="41">
        <f t="shared" si="0"/>
        <v>1602914.1490772902</v>
      </c>
      <c r="K35" s="41">
        <f t="shared" si="0"/>
        <v>1592182.7680704116</v>
      </c>
      <c r="L35" s="41">
        <f t="shared" si="0"/>
        <v>1576429.6682837487</v>
      </c>
      <c r="M35" s="41">
        <f t="shared" si="0"/>
        <v>1511566.2141492306</v>
      </c>
      <c r="N35" s="41">
        <f t="shared" si="0"/>
        <v>1530998.4931595484</v>
      </c>
      <c r="O35" s="41">
        <f t="shared" si="0"/>
        <v>1541955.0995131363</v>
      </c>
      <c r="P35" s="41">
        <f t="shared" si="0"/>
        <v>1558256.6323834902</v>
      </c>
      <c r="Q35" s="41">
        <f t="shared" si="0"/>
        <v>1549138.2845332953</v>
      </c>
      <c r="R35" s="41">
        <f t="shared" ref="R35:T35" si="1">SUM(R7:R34)</f>
        <v>1528723.0676174636</v>
      </c>
      <c r="S35" s="41">
        <f t="shared" si="1"/>
        <v>1235794.0270850293</v>
      </c>
      <c r="T35" s="41">
        <f t="shared" si="1"/>
        <v>1313179.1943737459</v>
      </c>
      <c r="U35" s="41">
        <f t="shared" si="0"/>
        <v>1258127.7737626825</v>
      </c>
      <c r="V35" s="41">
        <f t="shared" ref="V35" ca="1" si="2">SUM(V7:V34)</f>
        <v>1208201.4348830103</v>
      </c>
    </row>
    <row r="36" spans="1:23">
      <c r="B36" s="40" t="s">
        <v>190</v>
      </c>
      <c r="C36" s="40" t="s">
        <v>190</v>
      </c>
      <c r="D36" s="41">
        <f>SUM(D7:D33)</f>
        <v>1497764.009859272</v>
      </c>
      <c r="E36" s="41">
        <f t="shared" ref="E36:U36" si="3">SUM(E7:E33)</f>
        <v>1511399.437777587</v>
      </c>
      <c r="F36" s="41">
        <f t="shared" si="3"/>
        <v>1490170.2719946504</v>
      </c>
      <c r="G36" s="41">
        <f t="shared" si="3"/>
        <v>1488768.2544518008</v>
      </c>
      <c r="H36" s="41">
        <f t="shared" si="3"/>
        <v>1403305.5984748257</v>
      </c>
      <c r="I36" s="41">
        <f t="shared" si="3"/>
        <v>1458275.4770265596</v>
      </c>
      <c r="J36" s="41">
        <f t="shared" si="3"/>
        <v>1412825.5633066779</v>
      </c>
      <c r="K36" s="41">
        <f t="shared" si="3"/>
        <v>1397034.0192306296</v>
      </c>
      <c r="L36" s="41">
        <f t="shared" si="3"/>
        <v>1384800.5787494027</v>
      </c>
      <c r="M36" s="41">
        <f t="shared" si="3"/>
        <v>1330848.6087757712</v>
      </c>
      <c r="N36" s="41">
        <f t="shared" si="3"/>
        <v>1348393.7191205688</v>
      </c>
      <c r="O36" s="41">
        <f t="shared" si="3"/>
        <v>1362515.860124582</v>
      </c>
      <c r="P36" s="41">
        <f t="shared" si="3"/>
        <v>1380985.3456955184</v>
      </c>
      <c r="Q36" s="41">
        <f t="shared" si="3"/>
        <v>1371918.0764770231</v>
      </c>
      <c r="R36" s="41">
        <f t="shared" ref="R36:T36" si="4">SUM(R7:R33)</f>
        <v>1354426.0740361128</v>
      </c>
      <c r="S36" s="41">
        <f t="shared" si="4"/>
        <v>1235794.0270850293</v>
      </c>
      <c r="T36" s="41">
        <f t="shared" si="4"/>
        <v>1313179.1943737459</v>
      </c>
      <c r="U36" s="41">
        <f t="shared" si="3"/>
        <v>1258127.7737626825</v>
      </c>
      <c r="V36" s="41">
        <f t="shared" ref="V36" ca="1" si="5">SUM(V7:V33)</f>
        <v>1208201.4348830103</v>
      </c>
    </row>
    <row r="40" spans="1:23">
      <c r="A40" s="5" t="s">
        <v>191</v>
      </c>
      <c r="D40" t="s">
        <v>173</v>
      </c>
      <c r="V40" t="s">
        <v>174</v>
      </c>
    </row>
    <row r="41" spans="1:23">
      <c r="A41">
        <f t="shared" ref="A41:M41" si="6">A6</f>
        <v>0</v>
      </c>
      <c r="B41" t="str">
        <f t="shared" si="6"/>
        <v>MS Code 1</v>
      </c>
      <c r="C41" t="str">
        <f t="shared" si="6"/>
        <v>MS Code 2</v>
      </c>
      <c r="D41" s="1">
        <f t="shared" si="6"/>
        <v>2005</v>
      </c>
      <c r="E41" s="1">
        <f t="shared" si="6"/>
        <v>2006</v>
      </c>
      <c r="F41" s="1">
        <f t="shared" si="6"/>
        <v>2007</v>
      </c>
      <c r="G41" s="1">
        <f t="shared" si="6"/>
        <v>2008</v>
      </c>
      <c r="H41" s="1">
        <f t="shared" si="6"/>
        <v>2009</v>
      </c>
      <c r="I41" s="1">
        <f t="shared" si="6"/>
        <v>2010</v>
      </c>
      <c r="J41" s="1">
        <f t="shared" si="6"/>
        <v>2011</v>
      </c>
      <c r="K41" s="1">
        <f t="shared" si="6"/>
        <v>2012</v>
      </c>
      <c r="L41" s="1">
        <f t="shared" si="6"/>
        <v>2013</v>
      </c>
      <c r="M41" s="1">
        <f t="shared" si="6"/>
        <v>2014</v>
      </c>
      <c r="N41" s="1">
        <f t="shared" ref="N41:U41" si="7">N6</f>
        <v>2015</v>
      </c>
      <c r="O41" s="1">
        <f t="shared" si="7"/>
        <v>2016</v>
      </c>
      <c r="P41" s="1">
        <f t="shared" si="7"/>
        <v>2017</v>
      </c>
      <c r="Q41" s="1">
        <f t="shared" si="7"/>
        <v>2018</v>
      </c>
      <c r="R41" s="1">
        <f t="shared" ref="R41" si="8">R6</f>
        <v>2019</v>
      </c>
      <c r="S41" s="1">
        <f t="shared" si="7"/>
        <v>2020</v>
      </c>
      <c r="T41" s="1">
        <f t="shared" si="7"/>
        <v>2021</v>
      </c>
      <c r="U41" s="1">
        <f t="shared" si="7"/>
        <v>2022</v>
      </c>
      <c r="V41" s="2">
        <f>YearProxy</f>
        <v>2023</v>
      </c>
    </row>
    <row r="42" spans="1:23">
      <c r="A42">
        <f t="shared" ref="A42:C69" si="9">A7</f>
        <v>0</v>
      </c>
      <c r="B42" t="str">
        <f t="shared" si="9"/>
        <v>AT</v>
      </c>
      <c r="C42" t="str">
        <f t="shared" si="9"/>
        <v>AT</v>
      </c>
      <c r="D42" s="8"/>
      <c r="E42" s="8">
        <f t="shared" ref="E42:M42" si="10">IFERROR(E7/D7-1,0)</f>
        <v>-2.6894898984692883E-3</v>
      </c>
      <c r="F42" s="8">
        <f t="shared" si="10"/>
        <v>-1.3489517593647138E-2</v>
      </c>
      <c r="G42" s="8">
        <f t="shared" si="10"/>
        <v>8.5539545783441806E-3</v>
      </c>
      <c r="H42" s="8">
        <f t="shared" si="10"/>
        <v>-5.5864573292175423E-2</v>
      </c>
      <c r="I42" s="8">
        <f t="shared" si="10"/>
        <v>7.2214403054895904E-2</v>
      </c>
      <c r="J42" s="8">
        <f t="shared" si="10"/>
        <v>-2.6969621488298179E-2</v>
      </c>
      <c r="K42" s="8">
        <f t="shared" si="10"/>
        <v>-9.3827827829343624E-3</v>
      </c>
      <c r="L42" s="8">
        <f t="shared" si="10"/>
        <v>1.2662122781125662E-2</v>
      </c>
      <c r="M42" s="8">
        <f t="shared" si="10"/>
        <v>-3.9699806136050841E-2</v>
      </c>
      <c r="N42" s="8">
        <f t="shared" ref="N42:N71" si="11">IFERROR(N7/M7-1,0)</f>
        <v>2.8005217717547826E-2</v>
      </c>
      <c r="O42" s="8">
        <f t="shared" ref="O42:P69" si="12">IFERROR(O7/N7-1,0)</f>
        <v>1.2029641110391065E-2</v>
      </c>
      <c r="P42" s="8">
        <f t="shared" si="12"/>
        <v>2.4133206926986839E-2</v>
      </c>
      <c r="Q42" s="8">
        <f>IFERROR(Q7/P7-1,0)</f>
        <v>-3.021548359746129E-2</v>
      </c>
      <c r="R42" s="8">
        <f>IFERROR(R7/Q7-1,0)</f>
        <v>1.4031568429794028E-2</v>
      </c>
      <c r="S42" s="8">
        <f>IFERROR(S7/R7-1,0)</f>
        <v>-7.5022557398811696E-2</v>
      </c>
      <c r="T42" s="8">
        <f>IFERROR(T7/S7-1,0)</f>
        <v>5.8976869941454346E-2</v>
      </c>
      <c r="U42" s="8">
        <f t="shared" ref="U42" si="13">IFERROR(U7/T7-1,0)</f>
        <v>-4.6070978167753518E-2</v>
      </c>
      <c r="V42" s="8">
        <f ca="1">IFERROR(V7/U7-1,0)</f>
        <v>7.7767207983090447E-3</v>
      </c>
      <c r="W42" s="8"/>
    </row>
    <row r="43" spans="1:23">
      <c r="A43">
        <f t="shared" si="9"/>
        <v>0</v>
      </c>
      <c r="B43" t="str">
        <f t="shared" si="9"/>
        <v>BE</v>
      </c>
      <c r="C43" t="str">
        <f t="shared" si="9"/>
        <v>BE</v>
      </c>
      <c r="D43" s="8"/>
      <c r="E43" s="8">
        <f t="shared" ref="E43:M43" si="14">IFERROR(E8/D8-1,0)</f>
        <v>-3.0749001874471604E-3</v>
      </c>
      <c r="F43" s="8">
        <f t="shared" si="14"/>
        <v>-2.0997154798199413E-2</v>
      </c>
      <c r="G43" s="8">
        <f t="shared" si="14"/>
        <v>1.5936398978925181E-2</v>
      </c>
      <c r="H43" s="8">
        <f t="shared" si="14"/>
        <v>-2.1519886609235428E-2</v>
      </c>
      <c r="I43" s="8">
        <f t="shared" si="14"/>
        <v>6.5555315660773106E-2</v>
      </c>
      <c r="J43" s="8">
        <f t="shared" si="14"/>
        <v>-7.2474001915838637E-2</v>
      </c>
      <c r="K43" s="8">
        <f t="shared" si="14"/>
        <v>-4.8983758054857107E-2</v>
      </c>
      <c r="L43" s="8">
        <f t="shared" si="14"/>
        <v>3.3147193631217542E-2</v>
      </c>
      <c r="M43" s="8">
        <f t="shared" si="14"/>
        <v>-6.9834642825476578E-2</v>
      </c>
      <c r="N43" s="8">
        <f t="shared" si="11"/>
        <v>9.2158456468600658E-3</v>
      </c>
      <c r="O43" s="8">
        <f t="shared" si="12"/>
        <v>6.1302189177606659E-2</v>
      </c>
      <c r="P43" s="8">
        <f t="shared" si="12"/>
        <v>6.6636545669096492E-4</v>
      </c>
      <c r="Q43" s="8">
        <f t="shared" ref="Q43:R69" si="15">IFERROR(Q8/P8-1,0)</f>
        <v>-4.1590590056418297E-2</v>
      </c>
      <c r="R43" s="8">
        <f t="shared" si="15"/>
        <v>4.1727264165518196E-2</v>
      </c>
      <c r="S43" s="8">
        <f t="shared" ref="S43:V71" si="16">IFERROR(S8/R8-1,0)</f>
        <v>-9.3479937191603746E-2</v>
      </c>
      <c r="T43" s="8">
        <f t="shared" si="16"/>
        <v>0.11075588021664773</v>
      </c>
      <c r="U43" s="8">
        <f t="shared" si="16"/>
        <v>-7.2042174345372745E-2</v>
      </c>
      <c r="V43" s="8">
        <f t="shared" ca="1" si="16"/>
        <v>-8.1694793367057206E-2</v>
      </c>
      <c r="W43" s="8"/>
    </row>
    <row r="44" spans="1:23">
      <c r="A44">
        <f t="shared" si="9"/>
        <v>0</v>
      </c>
      <c r="B44" t="str">
        <f t="shared" si="9"/>
        <v>BG</v>
      </c>
      <c r="C44" t="str">
        <f t="shared" si="9"/>
        <v>BG</v>
      </c>
      <c r="D44" s="8"/>
      <c r="E44" s="8">
        <f t="shared" ref="E44:M44" si="17">IFERROR(E9/D9-1,0)</f>
        <v>3.3117402305813171E-2</v>
      </c>
      <c r="F44" s="8">
        <f t="shared" si="17"/>
        <v>-1.7082517120066809E-2</v>
      </c>
      <c r="G44" s="8">
        <f t="shared" si="17"/>
        <v>-2.5424736532953629E-2</v>
      </c>
      <c r="H44" s="8">
        <f t="shared" si="17"/>
        <v>-0.11052010285286762</v>
      </c>
      <c r="I44" s="8">
        <f t="shared" si="17"/>
        <v>2.8613465908951419E-2</v>
      </c>
      <c r="J44" s="8">
        <f t="shared" si="17"/>
        <v>6.759120153591458E-2</v>
      </c>
      <c r="K44" s="8">
        <f t="shared" si="17"/>
        <v>-4.0226965387813007E-2</v>
      </c>
      <c r="L44" s="8">
        <f t="shared" si="17"/>
        <v>-7.4083873551476054E-2</v>
      </c>
      <c r="M44" s="8">
        <f t="shared" si="17"/>
        <v>4.5483608968211353E-2</v>
      </c>
      <c r="N44" s="8">
        <f t="shared" si="11"/>
        <v>4.0580174908785516E-2</v>
      </c>
      <c r="O44" s="8">
        <f t="shared" si="12"/>
        <v>-1.629285567969474E-2</v>
      </c>
      <c r="P44" s="8">
        <f t="shared" si="12"/>
        <v>3.7159964213582475E-2</v>
      </c>
      <c r="Q44" s="8">
        <f t="shared" si="15"/>
        <v>-5.1570177441636611E-3</v>
      </c>
      <c r="R44" s="8">
        <f t="shared" si="15"/>
        <v>-1.0036986119912439E-2</v>
      </c>
      <c r="S44" s="8">
        <f t="shared" si="16"/>
        <v>-5.4121771386204998E-2</v>
      </c>
      <c r="T44" s="8">
        <f t="shared" si="16"/>
        <v>8.7761457792489228E-2</v>
      </c>
      <c r="U44" s="8">
        <f t="shared" si="16"/>
        <v>1.9608439707466285E-2</v>
      </c>
      <c r="V44" s="8">
        <f t="shared" ca="1" si="16"/>
        <v>-0.13978631725847901</v>
      </c>
      <c r="W44" s="8"/>
    </row>
    <row r="45" spans="1:23">
      <c r="A45">
        <f t="shared" si="9"/>
        <v>0</v>
      </c>
      <c r="B45" t="str">
        <f t="shared" si="9"/>
        <v>CY</v>
      </c>
      <c r="C45" t="str">
        <f t="shared" si="9"/>
        <v>CY</v>
      </c>
      <c r="D45" s="8"/>
      <c r="E45" s="8">
        <f t="shared" ref="E45:M45" si="18">IFERROR(E10/D10-1,0)</f>
        <v>4.0079741788494605E-2</v>
      </c>
      <c r="F45" s="8">
        <f t="shared" si="18"/>
        <v>5.013775885684657E-2</v>
      </c>
      <c r="G45" s="8">
        <f t="shared" si="18"/>
        <v>5.4983502346217517E-2</v>
      </c>
      <c r="H45" s="8">
        <f t="shared" si="18"/>
        <v>-2.9121004813086215E-2</v>
      </c>
      <c r="I45" s="8">
        <f t="shared" si="18"/>
        <v>-3.4273206688986257E-2</v>
      </c>
      <c r="J45" s="8">
        <f t="shared" si="18"/>
        <v>-1.091712383087784E-2</v>
      </c>
      <c r="K45" s="8">
        <f t="shared" si="18"/>
        <v>-5.5047429107611512E-2</v>
      </c>
      <c r="L45" s="8">
        <f t="shared" si="18"/>
        <v>-0.12983338960163859</v>
      </c>
      <c r="M45" s="8">
        <f t="shared" si="18"/>
        <v>2.1137333691353399E-2</v>
      </c>
      <c r="N45" s="8">
        <f t="shared" si="11"/>
        <v>2.3999803682935861E-2</v>
      </c>
      <c r="O45" s="8">
        <f t="shared" si="12"/>
        <v>6.6066876709446998E-2</v>
      </c>
      <c r="P45" s="8">
        <f t="shared" si="12"/>
        <v>4.4771034344946337E-2</v>
      </c>
      <c r="Q45" s="8">
        <f t="shared" si="15"/>
        <v>5.3272355357678602E-3</v>
      </c>
      <c r="R45" s="8">
        <f t="shared" si="15"/>
        <v>-4.4283590703333431E-3</v>
      </c>
      <c r="S45" s="8">
        <f t="shared" si="16"/>
        <v>-0.13315275257545223</v>
      </c>
      <c r="T45" s="8">
        <f t="shared" si="16"/>
        <v>5.1806746627067524E-2</v>
      </c>
      <c r="U45" s="8">
        <f t="shared" si="16"/>
        <v>7.376982737447646E-2</v>
      </c>
      <c r="V45" s="8">
        <f t="shared" ca="1" si="16"/>
        <v>8.6052468941826277E-3</v>
      </c>
      <c r="W45" s="8"/>
    </row>
    <row r="46" spans="1:23">
      <c r="A46">
        <f t="shared" si="9"/>
        <v>0</v>
      </c>
      <c r="B46" t="str">
        <f t="shared" si="9"/>
        <v>CZ</v>
      </c>
      <c r="C46" t="str">
        <f t="shared" si="9"/>
        <v>CZ</v>
      </c>
      <c r="D46" s="8"/>
      <c r="E46" s="8">
        <f t="shared" ref="E46:M46" si="19">IFERROR(E11/D11-1,0)</f>
        <v>2.2903524868367775E-2</v>
      </c>
      <c r="F46" s="8">
        <f t="shared" si="19"/>
        <v>3.8165436727384261E-3</v>
      </c>
      <c r="G46" s="8">
        <f t="shared" si="19"/>
        <v>-2.6081558832901197E-2</v>
      </c>
      <c r="H46" s="8">
        <f t="shared" si="19"/>
        <v>-5.5501316214353169E-2</v>
      </c>
      <c r="I46" s="8">
        <f t="shared" si="19"/>
        <v>5.9391171230547268E-2</v>
      </c>
      <c r="J46" s="8">
        <f t="shared" si="19"/>
        <v>-3.9244619009340287E-2</v>
      </c>
      <c r="K46" s="8">
        <f t="shared" si="19"/>
        <v>-1.2017582505906788E-2</v>
      </c>
      <c r="L46" s="8">
        <f t="shared" si="19"/>
        <v>7.2224116390726678E-3</v>
      </c>
      <c r="M46" s="8">
        <f t="shared" si="19"/>
        <v>-4.1591542448401908E-2</v>
      </c>
      <c r="N46" s="8">
        <f t="shared" si="11"/>
        <v>1.1725243866507196E-2</v>
      </c>
      <c r="O46" s="8">
        <f t="shared" si="12"/>
        <v>7.6716539823087349E-3</v>
      </c>
      <c r="P46" s="8">
        <f t="shared" si="12"/>
        <v>1.5461371921142497E-2</v>
      </c>
      <c r="Q46" s="8">
        <f t="shared" si="15"/>
        <v>3.1059748776529617E-3</v>
      </c>
      <c r="R46" s="8">
        <f t="shared" si="15"/>
        <v>-1.8267156958335473E-2</v>
      </c>
      <c r="S46" s="8">
        <f t="shared" si="16"/>
        <v>-5.4285176424873183E-2</v>
      </c>
      <c r="T46" s="8">
        <f t="shared" si="16"/>
        <v>5.2282396811760501E-2</v>
      </c>
      <c r="U46" s="8">
        <f t="shared" si="16"/>
        <v>-2.312692623927104E-2</v>
      </c>
      <c r="V46" s="8">
        <f t="shared" ca="1" si="16"/>
        <v>-6.7129374704133715E-2</v>
      </c>
      <c r="W46" s="8"/>
    </row>
    <row r="47" spans="1:23">
      <c r="A47">
        <f t="shared" si="9"/>
        <v>0</v>
      </c>
      <c r="B47" t="str">
        <f t="shared" si="9"/>
        <v>DE</v>
      </c>
      <c r="C47" t="str">
        <f t="shared" si="9"/>
        <v>DE</v>
      </c>
      <c r="D47" s="8"/>
      <c r="E47" s="8">
        <f t="shared" ref="E47:M47" si="20">IFERROR(E12/D12-1,0)</f>
        <v>3.4600407916395293E-2</v>
      </c>
      <c r="F47" s="8">
        <f t="shared" si="20"/>
        <v>-5.0962977653845387E-2</v>
      </c>
      <c r="G47" s="8">
        <f t="shared" si="20"/>
        <v>1.5736002542207972E-2</v>
      </c>
      <c r="H47" s="8">
        <f t="shared" si="20"/>
        <v>-6.4961139294206771E-2</v>
      </c>
      <c r="I47" s="8">
        <f t="shared" si="20"/>
        <v>5.0795786335123827E-2</v>
      </c>
      <c r="J47" s="8">
        <f t="shared" si="20"/>
        <v>-5.5075971477633212E-2</v>
      </c>
      <c r="K47" s="8">
        <f t="shared" si="20"/>
        <v>1.1172397998692851E-2</v>
      </c>
      <c r="L47" s="8">
        <f t="shared" si="20"/>
        <v>2.3782777902326302E-2</v>
      </c>
      <c r="M47" s="8">
        <f t="shared" si="20"/>
        <v>-4.7643259386124237E-2</v>
      </c>
      <c r="N47" s="8">
        <f t="shared" si="11"/>
        <v>7.9330179276977386E-3</v>
      </c>
      <c r="O47" s="8">
        <f t="shared" si="12"/>
        <v>5.7284956264502807E-3</v>
      </c>
      <c r="P47" s="8">
        <f t="shared" si="12"/>
        <v>1.6669367628650011E-3</v>
      </c>
      <c r="Q47" s="8">
        <f t="shared" si="15"/>
        <v>-2.0696309519594558E-2</v>
      </c>
      <c r="R47" s="8">
        <f t="shared" si="15"/>
        <v>-2.2998937561761967E-2</v>
      </c>
      <c r="S47" s="8">
        <f t="shared" si="16"/>
        <v>-8.0946999564762367E-2</v>
      </c>
      <c r="T47" s="8">
        <f t="shared" si="16"/>
        <v>3.563028172261351E-2</v>
      </c>
      <c r="U47" s="8">
        <f t="shared" si="16"/>
        <v>-4.0172068399373928E-2</v>
      </c>
      <c r="V47" s="8">
        <f t="shared" ca="1" si="16"/>
        <v>-8.0701997584608498E-2</v>
      </c>
      <c r="W47" s="8"/>
    </row>
    <row r="48" spans="1:23">
      <c r="A48">
        <f t="shared" si="9"/>
        <v>0</v>
      </c>
      <c r="B48" t="str">
        <f t="shared" si="9"/>
        <v>DK</v>
      </c>
      <c r="C48" t="str">
        <f t="shared" si="9"/>
        <v>DK</v>
      </c>
      <c r="D48" s="8"/>
      <c r="E48" s="8">
        <f t="shared" ref="E48:M48" si="21">IFERROR(E13/D13-1,0)</f>
        <v>7.1568465484771915E-2</v>
      </c>
      <c r="F48" s="8">
        <f t="shared" si="21"/>
        <v>-2.2639383338673658E-2</v>
      </c>
      <c r="G48" s="8">
        <f t="shared" si="21"/>
        <v>-2.5364995810612245E-2</v>
      </c>
      <c r="H48" s="8">
        <f t="shared" si="21"/>
        <v>-3.9631187943657942E-2</v>
      </c>
      <c r="I48" s="8">
        <f t="shared" si="21"/>
        <v>4.5679951934391338E-2</v>
      </c>
      <c r="J48" s="8">
        <f t="shared" si="21"/>
        <v>-7.1588874597984242E-2</v>
      </c>
      <c r="K48" s="8">
        <f t="shared" si="21"/>
        <v>-4.1702234163618401E-2</v>
      </c>
      <c r="L48" s="8">
        <f t="shared" si="21"/>
        <v>5.1016870365663269E-3</v>
      </c>
      <c r="M48" s="8">
        <f t="shared" si="21"/>
        <v>-5.1143970502517511E-2</v>
      </c>
      <c r="N48" s="8">
        <f t="shared" si="11"/>
        <v>-5.4724946188364765E-3</v>
      </c>
      <c r="O48" s="8">
        <f t="shared" si="12"/>
        <v>2.7530691364575421E-2</v>
      </c>
      <c r="P48" s="8">
        <f t="shared" si="12"/>
        <v>6.9716439784639483E-3</v>
      </c>
      <c r="Q48" s="8">
        <f t="shared" si="15"/>
        <v>2.3431651759731054E-4</v>
      </c>
      <c r="R48" s="8">
        <f t="shared" si="15"/>
        <v>-3.0103103788379881E-2</v>
      </c>
      <c r="S48" s="8">
        <f t="shared" si="16"/>
        <v>-8.3517193992974526E-2</v>
      </c>
      <c r="T48" s="8">
        <f t="shared" si="16"/>
        <v>5.7020858712889977E-2</v>
      </c>
      <c r="U48" s="8">
        <f t="shared" si="16"/>
        <v>-2.2222815720548073E-2</v>
      </c>
      <c r="V48" s="8">
        <f t="shared" ca="1" si="16"/>
        <v>-9.9717958247893534E-3</v>
      </c>
      <c r="W48" s="8"/>
    </row>
    <row r="49" spans="1:23">
      <c r="A49">
        <f t="shared" si="9"/>
        <v>0</v>
      </c>
      <c r="B49" t="str">
        <f t="shared" si="9"/>
        <v>EE</v>
      </c>
      <c r="C49" t="str">
        <f t="shared" si="9"/>
        <v>EE</v>
      </c>
      <c r="D49" s="8"/>
      <c r="E49" s="8">
        <f t="shared" ref="E49:M49" si="22">IFERROR(E14/D14-1,0)</f>
        <v>-1.1185672158276261E-2</v>
      </c>
      <c r="F49" s="8">
        <f t="shared" si="22"/>
        <v>0.17835203346986739</v>
      </c>
      <c r="G49" s="8">
        <f t="shared" si="22"/>
        <v>-0.12593287054231539</v>
      </c>
      <c r="H49" s="8">
        <f t="shared" si="22"/>
        <v>-0.19553186796920707</v>
      </c>
      <c r="I49" s="8">
        <f t="shared" si="22"/>
        <v>0.34856405406898539</v>
      </c>
      <c r="J49" s="8">
        <f t="shared" si="22"/>
        <v>-2.4911951898748397E-2</v>
      </c>
      <c r="K49" s="8">
        <f t="shared" si="22"/>
        <v>-8.5605824891143767E-2</v>
      </c>
      <c r="L49" s="8">
        <f t="shared" si="22"/>
        <v>0.10022463788315572</v>
      </c>
      <c r="M49" s="8">
        <f t="shared" si="22"/>
        <v>-4.2434934975163818E-2</v>
      </c>
      <c r="N49" s="8">
        <f t="shared" si="11"/>
        <v>-0.1315747072134581</v>
      </c>
      <c r="O49" s="8">
        <f t="shared" si="12"/>
        <v>0.25189146846705057</v>
      </c>
      <c r="P49" s="8">
        <f t="shared" si="12"/>
        <v>-3.061337870041192E-2</v>
      </c>
      <c r="Q49" s="8">
        <f t="shared" si="15"/>
        <v>-3.1204257413090963E-2</v>
      </c>
      <c r="R49" s="8">
        <f t="shared" si="15"/>
        <v>-0.14314787129566653</v>
      </c>
      <c r="S49" s="8">
        <f t="shared" si="16"/>
        <v>-9.8975481342722493E-2</v>
      </c>
      <c r="T49" s="8">
        <f t="shared" si="16"/>
        <v>3.0428771899608797E-2</v>
      </c>
      <c r="U49" s="8">
        <f t="shared" si="16"/>
        <v>6.1029283083738228E-2</v>
      </c>
      <c r="V49" s="8">
        <f t="shared" ca="1" si="16"/>
        <v>-0.13526979734200573</v>
      </c>
      <c r="W49" s="8"/>
    </row>
    <row r="50" spans="1:23">
      <c r="A50">
        <f t="shared" si="9"/>
        <v>0</v>
      </c>
      <c r="B50" t="str">
        <f t="shared" si="9"/>
        <v>ES</v>
      </c>
      <c r="C50" t="str">
        <f t="shared" si="9"/>
        <v>ES</v>
      </c>
      <c r="D50" s="8"/>
      <c r="E50" s="8">
        <f t="shared" ref="E50:M50" si="23">IFERROR(E15/D15-1,0)</f>
        <v>4.0526558644948807E-3</v>
      </c>
      <c r="F50" s="8">
        <f t="shared" si="23"/>
        <v>1.64862809476789E-2</v>
      </c>
      <c r="G50" s="8">
        <f t="shared" si="23"/>
        <v>-3.5439430877230449E-2</v>
      </c>
      <c r="H50" s="8">
        <f t="shared" si="23"/>
        <v>-8.1420961747042497E-2</v>
      </c>
      <c r="I50" s="8">
        <f t="shared" si="23"/>
        <v>-5.2302973746698456E-5</v>
      </c>
      <c r="J50" s="8">
        <f t="shared" si="23"/>
        <v>-2.7896893268485323E-3</v>
      </c>
      <c r="K50" s="8">
        <f t="shared" si="23"/>
        <v>2.9636133128740916E-3</v>
      </c>
      <c r="L50" s="8">
        <f t="shared" si="23"/>
        <v>-5.9795096531739422E-2</v>
      </c>
      <c r="M50" s="8">
        <f t="shared" si="23"/>
        <v>-1.6044398377246916E-2</v>
      </c>
      <c r="N50" s="8">
        <f t="shared" si="11"/>
        <v>3.8138819866631701E-2</v>
      </c>
      <c r="O50" s="8">
        <f t="shared" si="12"/>
        <v>2.3383142278565749E-3</v>
      </c>
      <c r="P50" s="8">
        <f t="shared" si="12"/>
        <v>5.4777875239684803E-2</v>
      </c>
      <c r="Q50" s="8">
        <f t="shared" si="15"/>
        <v>-4.9326252873207466E-3</v>
      </c>
      <c r="R50" s="8">
        <f t="shared" si="15"/>
        <v>-2.9566691570495851E-2</v>
      </c>
      <c r="S50" s="8">
        <f t="shared" si="16"/>
        <v>-0.1293439005829895</v>
      </c>
      <c r="T50" s="8">
        <f t="shared" si="16"/>
        <v>6.1223649801965374E-2</v>
      </c>
      <c r="U50" s="8">
        <f t="shared" si="16"/>
        <v>1.5904962128485023E-2</v>
      </c>
      <c r="V50" s="8">
        <f t="shared" ca="1" si="16"/>
        <v>-1.930792492449851E-2</v>
      </c>
      <c r="W50" s="8"/>
    </row>
    <row r="51" spans="1:23">
      <c r="A51">
        <f t="shared" si="9"/>
        <v>0</v>
      </c>
      <c r="B51" t="str">
        <f t="shared" si="9"/>
        <v>FI</v>
      </c>
      <c r="C51" t="str">
        <f t="shared" si="9"/>
        <v>FI</v>
      </c>
      <c r="D51" s="8"/>
      <c r="E51" s="8">
        <f t="shared" ref="E51:M51" si="24">IFERROR(E16/D16-1,0)</f>
        <v>9.2811840457398986E-2</v>
      </c>
      <c r="F51" s="8">
        <f t="shared" si="24"/>
        <v>-1.7502316906954474E-2</v>
      </c>
      <c r="G51" s="8">
        <f t="shared" si="24"/>
        <v>-4.2059745329541154E-2</v>
      </c>
      <c r="H51" s="8">
        <f t="shared" si="24"/>
        <v>-6.3233717680990842E-2</v>
      </c>
      <c r="I51" s="8">
        <f t="shared" si="24"/>
        <v>9.609665258506439E-2</v>
      </c>
      <c r="J51" s="8">
        <f t="shared" si="24"/>
        <v>-3.5100172015601339E-2</v>
      </c>
      <c r="K51" s="8">
        <f t="shared" si="24"/>
        <v>-3.5723086326206022E-2</v>
      </c>
      <c r="L51" s="8">
        <f t="shared" si="24"/>
        <v>-3.0025611916286721E-2</v>
      </c>
      <c r="M51" s="8">
        <f t="shared" si="24"/>
        <v>2.1488193589326077E-2</v>
      </c>
      <c r="N51" s="8">
        <f t="shared" si="11"/>
        <v>-4.5190163556019236E-2</v>
      </c>
      <c r="O51" s="8">
        <f t="shared" si="12"/>
        <v>3.3999303140579418E-2</v>
      </c>
      <c r="P51" s="8">
        <f t="shared" si="12"/>
        <v>-2.5345334414322851E-3</v>
      </c>
      <c r="Q51" s="8">
        <f t="shared" si="15"/>
        <v>1.9879923965102408E-2</v>
      </c>
      <c r="R51" s="8">
        <f t="shared" si="15"/>
        <v>-2.257987657831384E-2</v>
      </c>
      <c r="S51" s="8">
        <f t="shared" si="16"/>
        <v>-6.6769184829886363E-2</v>
      </c>
      <c r="T51" s="8">
        <f t="shared" si="16"/>
        <v>5.2331782190011555E-2</v>
      </c>
      <c r="U51" s="8">
        <f t="shared" si="16"/>
        <v>-4.1396519346836413E-2</v>
      </c>
      <c r="V51" s="8">
        <f t="shared" ca="1" si="16"/>
        <v>1.8279852834557797E-2</v>
      </c>
      <c r="W51" s="8"/>
    </row>
    <row r="52" spans="1:23">
      <c r="A52">
        <f t="shared" si="9"/>
        <v>0</v>
      </c>
      <c r="B52" t="str">
        <f t="shared" si="9"/>
        <v>FR</v>
      </c>
      <c r="C52" t="str">
        <f t="shared" si="9"/>
        <v>FR</v>
      </c>
      <c r="D52" s="8"/>
      <c r="E52" s="8">
        <f t="shared" ref="E52:M52" si="25">IFERROR(E17/D17-1,0)</f>
        <v>-1.8123469685503268E-2</v>
      </c>
      <c r="F52" s="8">
        <f t="shared" si="25"/>
        <v>-1.350970098849047E-2</v>
      </c>
      <c r="G52" s="8">
        <f t="shared" si="25"/>
        <v>1.1012966997671514E-2</v>
      </c>
      <c r="H52" s="8">
        <f t="shared" si="25"/>
        <v>-3.5662947405405876E-2</v>
      </c>
      <c r="I52" s="8">
        <f t="shared" si="25"/>
        <v>3.2890654089945404E-2</v>
      </c>
      <c r="J52" s="8">
        <f t="shared" si="25"/>
        <v>-2.1150716786395019E-2</v>
      </c>
      <c r="K52" s="8">
        <f t="shared" si="25"/>
        <v>1.6156162899938487E-4</v>
      </c>
      <c r="L52" s="8">
        <f t="shared" si="25"/>
        <v>5.6037077090846932E-3</v>
      </c>
      <c r="M52" s="8">
        <f t="shared" si="25"/>
        <v>-4.2479393012630151E-2</v>
      </c>
      <c r="N52" s="8">
        <f t="shared" si="11"/>
        <v>1.9140293143078857E-2</v>
      </c>
      <c r="O52" s="8">
        <f t="shared" si="12"/>
        <v>-1.7899279671116375E-2</v>
      </c>
      <c r="P52" s="8">
        <f t="shared" si="12"/>
        <v>-3.3009786247785167E-3</v>
      </c>
      <c r="Q52" s="8">
        <f t="shared" si="15"/>
        <v>-1.6848517012520992E-3</v>
      </c>
      <c r="R52" s="8">
        <f t="shared" si="15"/>
        <v>-1.4217665326947793E-2</v>
      </c>
      <c r="S52" s="8">
        <f t="shared" si="16"/>
        <v>-0.11658878014021556</v>
      </c>
      <c r="T52" s="8">
        <f t="shared" si="16"/>
        <v>8.071137154127217E-2</v>
      </c>
      <c r="U52" s="8">
        <f t="shared" si="16"/>
        <v>-8.5639887244965407E-2</v>
      </c>
      <c r="V52" s="8">
        <f t="shared" ca="1" si="16"/>
        <v>7.4561726057218447E-3</v>
      </c>
      <c r="W52" s="8"/>
    </row>
    <row r="53" spans="1:23">
      <c r="A53">
        <f t="shared" si="9"/>
        <v>0</v>
      </c>
      <c r="B53" t="str">
        <f t="shared" si="9"/>
        <v>EL</v>
      </c>
      <c r="C53" t="str">
        <f t="shared" si="9"/>
        <v>GR</v>
      </c>
      <c r="D53" s="8"/>
      <c r="E53" s="8">
        <f t="shared" ref="E53:M53" si="26">IFERROR(E18/D18-1,0)</f>
        <v>-5.9086038224687165E-4</v>
      </c>
      <c r="F53" s="8">
        <f t="shared" si="26"/>
        <v>1.1609485014658638E-3</v>
      </c>
      <c r="G53" s="8">
        <f t="shared" si="26"/>
        <v>5.50367307464672E-3</v>
      </c>
      <c r="H53" s="8">
        <f t="shared" si="26"/>
        <v>-3.4203796055432001E-2</v>
      </c>
      <c r="I53" s="8">
        <f t="shared" si="26"/>
        <v>-7.457050055889447E-2</v>
      </c>
      <c r="J53" s="8">
        <f t="shared" si="26"/>
        <v>-2.1431729538954891E-2</v>
      </c>
      <c r="K53" s="8">
        <f t="shared" si="26"/>
        <v>-4.4034972561476371E-3</v>
      </c>
      <c r="L53" s="8">
        <f t="shared" si="26"/>
        <v>-0.11752649298117201</v>
      </c>
      <c r="M53" s="8">
        <f t="shared" si="26"/>
        <v>-5.5199120278029978E-3</v>
      </c>
      <c r="N53" s="8">
        <f t="shared" si="11"/>
        <v>4.2712793540962135E-3</v>
      </c>
      <c r="O53" s="8">
        <f t="shared" si="12"/>
        <v>-1.3951933245868853E-2</v>
      </c>
      <c r="P53" s="8">
        <f t="shared" si="12"/>
        <v>7.5131476100154249E-3</v>
      </c>
      <c r="Q53" s="8">
        <f t="shared" si="15"/>
        <v>-2.699103282360038E-2</v>
      </c>
      <c r="R53" s="8">
        <f t="shared" si="15"/>
        <v>-1.413080755340046E-2</v>
      </c>
      <c r="S53" s="8">
        <f t="shared" si="16"/>
        <v>-0.13674072120742264</v>
      </c>
      <c r="T53" s="8">
        <f t="shared" si="16"/>
        <v>5.6810347213921419E-2</v>
      </c>
      <c r="U53" s="8">
        <f t="shared" si="16"/>
        <v>2.909709989659448E-2</v>
      </c>
      <c r="V53" s="8">
        <f t="shared" ca="1" si="16"/>
        <v>-4.0738238763648127E-2</v>
      </c>
      <c r="W53" s="8"/>
    </row>
    <row r="54" spans="1:23">
      <c r="A54">
        <f t="shared" si="9"/>
        <v>0</v>
      </c>
      <c r="B54" t="str">
        <f t="shared" si="9"/>
        <v>HR</v>
      </c>
      <c r="C54" t="str">
        <f t="shared" si="9"/>
        <v>HR</v>
      </c>
      <c r="D54" s="8"/>
      <c r="E54" s="8">
        <f t="shared" ref="E54:M54" si="27">IFERROR(E19/D19-1,0)</f>
        <v>-3.551244391683861E-3</v>
      </c>
      <c r="F54" s="8">
        <f t="shared" si="27"/>
        <v>3.5438026657919064E-2</v>
      </c>
      <c r="G54" s="8">
        <f t="shared" si="27"/>
        <v>-2.5265091577549192E-2</v>
      </c>
      <c r="H54" s="8">
        <f t="shared" si="27"/>
        <v>-2.6909416829270172E-2</v>
      </c>
      <c r="I54" s="8">
        <f t="shared" si="27"/>
        <v>-1.0034993436652706E-2</v>
      </c>
      <c r="J54" s="8">
        <f t="shared" si="27"/>
        <v>-2.3695877114283115E-2</v>
      </c>
      <c r="K54" s="8">
        <f t="shared" si="27"/>
        <v>-5.4466391948783666E-2</v>
      </c>
      <c r="L54" s="8">
        <f t="shared" si="27"/>
        <v>-2.1552871837774767E-2</v>
      </c>
      <c r="M54" s="8">
        <f t="shared" si="27"/>
        <v>-5.0451041304566235E-2</v>
      </c>
      <c r="N54" s="8">
        <f t="shared" si="11"/>
        <v>4.7481507828400327E-2</v>
      </c>
      <c r="O54" s="8">
        <f t="shared" si="12"/>
        <v>1.0978954539127672E-2</v>
      </c>
      <c r="P54" s="8">
        <f t="shared" si="12"/>
        <v>3.5440050782065136E-2</v>
      </c>
      <c r="Q54" s="8">
        <f t="shared" si="15"/>
        <v>-1.8599568454434667E-2</v>
      </c>
      <c r="R54" s="8">
        <f t="shared" si="15"/>
        <v>4.0605814982586086E-3</v>
      </c>
      <c r="S54" s="8">
        <f t="shared" si="16"/>
        <v>-5.5155025451018025E-2</v>
      </c>
      <c r="T54" s="8">
        <f t="shared" si="16"/>
        <v>6.5626474860756678E-2</v>
      </c>
      <c r="U54" s="8">
        <f t="shared" si="16"/>
        <v>4.3452368965979371E-3</v>
      </c>
      <c r="V54" s="8">
        <f t="shared" ca="1" si="16"/>
        <v>4.4211309285442368E-3</v>
      </c>
      <c r="W54" s="8"/>
    </row>
    <row r="55" spans="1:23">
      <c r="A55">
        <f t="shared" si="9"/>
        <v>0</v>
      </c>
      <c r="B55" t="str">
        <f t="shared" si="9"/>
        <v>HU</v>
      </c>
      <c r="C55" t="str">
        <f t="shared" si="9"/>
        <v>HU</v>
      </c>
      <c r="D55" s="8"/>
      <c r="E55" s="8">
        <f t="shared" ref="E55:M55" si="28">IFERROR(E20/D20-1,0)</f>
        <v>-1.353463793993126E-2</v>
      </c>
      <c r="F55" s="8">
        <f t="shared" si="28"/>
        <v>-2.3959059736301302E-2</v>
      </c>
      <c r="G55" s="8">
        <f t="shared" si="28"/>
        <v>-8.11958436604443E-3</v>
      </c>
      <c r="H55" s="8">
        <f t="shared" si="28"/>
        <v>-4.8013062000975881E-2</v>
      </c>
      <c r="I55" s="8">
        <f t="shared" si="28"/>
        <v>2.7990913947661733E-2</v>
      </c>
      <c r="J55" s="8">
        <f t="shared" si="28"/>
        <v>-9.245868855439654E-3</v>
      </c>
      <c r="K55" s="8">
        <f t="shared" si="28"/>
        <v>-5.1521361428230716E-2</v>
      </c>
      <c r="L55" s="8">
        <f t="shared" si="28"/>
        <v>-3.1497170201949309E-2</v>
      </c>
      <c r="M55" s="8">
        <f t="shared" si="28"/>
        <v>-1.8324123619167798E-2</v>
      </c>
      <c r="N55" s="8">
        <f t="shared" si="11"/>
        <v>5.9254722827290163E-2</v>
      </c>
      <c r="O55" s="8">
        <f t="shared" si="12"/>
        <v>1.5434544260845229E-2</v>
      </c>
      <c r="P55" s="8">
        <f t="shared" si="12"/>
        <v>3.4036052153900709E-2</v>
      </c>
      <c r="Q55" s="8">
        <f t="shared" si="15"/>
        <v>7.5495578328310664E-4</v>
      </c>
      <c r="R55" s="8">
        <f t="shared" si="15"/>
        <v>3.6721987846728421E-3</v>
      </c>
      <c r="S55" s="8">
        <f t="shared" si="16"/>
        <v>-2.7860933968158252E-2</v>
      </c>
      <c r="T55" s="8">
        <f t="shared" si="16"/>
        <v>4.3631120805365464E-2</v>
      </c>
      <c r="U55" s="8">
        <f t="shared" si="16"/>
        <v>-4.2549202435073985E-2</v>
      </c>
      <c r="V55" s="8">
        <f t="shared" ca="1" si="16"/>
        <v>-5.7979939702937466E-2</v>
      </c>
      <c r="W55" s="8"/>
    </row>
    <row r="56" spans="1:23">
      <c r="A56">
        <f t="shared" si="9"/>
        <v>0</v>
      </c>
      <c r="B56" t="str">
        <f t="shared" si="9"/>
        <v>IE</v>
      </c>
      <c r="C56" t="str">
        <f t="shared" si="9"/>
        <v>IE</v>
      </c>
      <c r="D56" s="8"/>
      <c r="E56" s="8">
        <f t="shared" ref="E56:M56" si="29">IFERROR(E21/D21-1,0)</f>
        <v>1.1742522939557576E-2</v>
      </c>
      <c r="F56" s="8">
        <f t="shared" si="29"/>
        <v>5.6658373431849096E-2</v>
      </c>
      <c r="G56" s="8">
        <f t="shared" si="29"/>
        <v>-2.0634355608617927E-2</v>
      </c>
      <c r="H56" s="8">
        <f t="shared" si="29"/>
        <v>-4.7815968596075731E-2</v>
      </c>
      <c r="I56" s="8">
        <f t="shared" si="29"/>
        <v>-1.3103430023653329E-2</v>
      </c>
      <c r="J56" s="8">
        <f t="shared" si="29"/>
        <v>-7.8563178318520333E-2</v>
      </c>
      <c r="K56" s="8">
        <f t="shared" si="29"/>
        <v>1.2513408441345852E-2</v>
      </c>
      <c r="L56" s="8">
        <f t="shared" si="29"/>
        <v>-5.3596641970492076E-2</v>
      </c>
      <c r="M56" s="8">
        <f t="shared" si="29"/>
        <v>1.3978026369407814E-2</v>
      </c>
      <c r="N56" s="8">
        <f t="shared" si="11"/>
        <v>5.6891723826082652E-2</v>
      </c>
      <c r="O56" s="8">
        <f t="shared" si="12"/>
        <v>5.2561237385795545E-2</v>
      </c>
      <c r="P56" s="8">
        <f t="shared" si="12"/>
        <v>-6.9386918280358589E-3</v>
      </c>
      <c r="Q56" s="8">
        <f t="shared" si="15"/>
        <v>4.9884953615233485E-3</v>
      </c>
      <c r="R56" s="8">
        <f t="shared" si="15"/>
        <v>4.2283270596503719E-3</v>
      </c>
      <c r="S56" s="8">
        <f t="shared" si="16"/>
        <v>-8.243780310910287E-2</v>
      </c>
      <c r="T56" s="8">
        <f t="shared" si="16"/>
        <v>2.6267545933222003E-2</v>
      </c>
      <c r="U56" s="8">
        <f t="shared" si="16"/>
        <v>3.7107905615900494E-2</v>
      </c>
      <c r="V56" s="8">
        <f t="shared" ca="1" si="16"/>
        <v>-3.8615103499349823E-2</v>
      </c>
      <c r="W56" s="8"/>
    </row>
    <row r="57" spans="1:23">
      <c r="A57">
        <f t="shared" si="9"/>
        <v>0</v>
      </c>
      <c r="B57" t="str">
        <f t="shared" si="9"/>
        <v>IT</v>
      </c>
      <c r="C57" t="str">
        <f t="shared" si="9"/>
        <v>IT</v>
      </c>
      <c r="D57" s="8"/>
      <c r="E57" s="8">
        <f t="shared" ref="E57:M57" si="30">IFERROR(E22/D22-1,0)</f>
        <v>-1.0418171093051765E-2</v>
      </c>
      <c r="F57" s="8">
        <f t="shared" si="30"/>
        <v>-1.5494902631236762E-3</v>
      </c>
      <c r="G57" s="8">
        <f t="shared" si="30"/>
        <v>-1.4291227064458178E-2</v>
      </c>
      <c r="H57" s="8">
        <f t="shared" si="30"/>
        <v>-6.8341091294704781E-2</v>
      </c>
      <c r="I57" s="8">
        <f t="shared" si="30"/>
        <v>1.9508176287893697E-2</v>
      </c>
      <c r="J57" s="8">
        <f t="shared" si="30"/>
        <v>-3.1562073559508463E-2</v>
      </c>
      <c r="K57" s="8">
        <f t="shared" si="30"/>
        <v>-3.3603958721353355E-2</v>
      </c>
      <c r="L57" s="8">
        <f t="shared" si="30"/>
        <v>-2.8799736097137485E-2</v>
      </c>
      <c r="M57" s="8">
        <f t="shared" si="30"/>
        <v>-6.1777593311318379E-2</v>
      </c>
      <c r="N57" s="8">
        <f t="shared" si="11"/>
        <v>4.5324107617373377E-2</v>
      </c>
      <c r="O57" s="8">
        <f t="shared" si="12"/>
        <v>-7.2960255821113984E-3</v>
      </c>
      <c r="P57" s="8">
        <f t="shared" si="12"/>
        <v>6.5716469587295823E-3</v>
      </c>
      <c r="Q57" s="8">
        <f t="shared" si="15"/>
        <v>-1.1541062518169332E-2</v>
      </c>
      <c r="R57" s="8">
        <f t="shared" si="15"/>
        <v>-9.1917570025453754E-3</v>
      </c>
      <c r="S57" s="8">
        <f t="shared" si="16"/>
        <v>-9.3096521493962414E-2</v>
      </c>
      <c r="T57" s="8">
        <f t="shared" si="16"/>
        <v>9.9377152596952678E-2</v>
      </c>
      <c r="U57" s="8">
        <f t="shared" si="16"/>
        <v>-4.3587314095065555E-2</v>
      </c>
      <c r="V57" s="8">
        <f t="shared" ca="1" si="16"/>
        <v>-5.8677099523916643E-2</v>
      </c>
      <c r="W57" s="8"/>
    </row>
    <row r="58" spans="1:23">
      <c r="A58">
        <f t="shared" si="9"/>
        <v>0</v>
      </c>
      <c r="B58" t="str">
        <f t="shared" si="9"/>
        <v>LT</v>
      </c>
      <c r="C58" t="str">
        <f t="shared" si="9"/>
        <v>LT</v>
      </c>
      <c r="D58" s="8"/>
      <c r="E58" s="8">
        <f t="shared" ref="E58:M58" si="31">IFERROR(E23/D23-1,0)</f>
        <v>-1.924764633982845E-2</v>
      </c>
      <c r="F58" s="8">
        <f t="shared" si="31"/>
        <v>2.6071658609832626E-2</v>
      </c>
      <c r="G58" s="8">
        <f t="shared" si="31"/>
        <v>2.0193167498016251E-2</v>
      </c>
      <c r="H58" s="8">
        <f t="shared" si="31"/>
        <v>-4.2758901145185102E-2</v>
      </c>
      <c r="I58" s="8">
        <f t="shared" si="31"/>
        <v>-0.22026271417026</v>
      </c>
      <c r="J58" s="8">
        <f t="shared" si="31"/>
        <v>-4.2362286490022272E-2</v>
      </c>
      <c r="K58" s="8">
        <f t="shared" si="31"/>
        <v>1.3336060599492772E-2</v>
      </c>
      <c r="L58" s="8">
        <f t="shared" si="31"/>
        <v>-3.029433113790303E-2</v>
      </c>
      <c r="M58" s="8">
        <f t="shared" si="31"/>
        <v>-8.788689931545246E-3</v>
      </c>
      <c r="N58" s="8">
        <f t="shared" si="11"/>
        <v>7.1669334317989719E-3</v>
      </c>
      <c r="O58" s="8">
        <f t="shared" si="12"/>
        <v>4.2472594609420211E-2</v>
      </c>
      <c r="P58" s="8">
        <f t="shared" si="12"/>
        <v>2.0121396642559741E-2</v>
      </c>
      <c r="Q58" s="8">
        <f t="shared" si="15"/>
        <v>3.3907316378797958E-2</v>
      </c>
      <c r="R58" s="8">
        <f t="shared" si="15"/>
        <v>-1.4443709477425237E-2</v>
      </c>
      <c r="S58" s="8">
        <f t="shared" si="16"/>
        <v>-8.1912754183308678E-3</v>
      </c>
      <c r="T58" s="8">
        <f t="shared" si="16"/>
        <v>6.4301469810439826E-2</v>
      </c>
      <c r="U58" s="8">
        <f t="shared" si="16"/>
        <v>-4.7510685026328159E-2</v>
      </c>
      <c r="V58" s="8">
        <f t="shared" ca="1" si="16"/>
        <v>-1.7323800695900005E-2</v>
      </c>
      <c r="W58" s="8"/>
    </row>
    <row r="59" spans="1:23">
      <c r="A59">
        <f t="shared" si="9"/>
        <v>0</v>
      </c>
      <c r="B59" t="str">
        <f t="shared" si="9"/>
        <v>LU</v>
      </c>
      <c r="C59" t="str">
        <f t="shared" si="9"/>
        <v>LU</v>
      </c>
      <c r="D59" s="8"/>
      <c r="E59" s="8">
        <f t="shared" ref="E59:M59" si="32">IFERROR(E24/D24-1,0)</f>
        <v>-1.6599544143685585E-2</v>
      </c>
      <c r="F59" s="8">
        <f t="shared" si="32"/>
        <v>-1.8180444242734461E-2</v>
      </c>
      <c r="G59" s="8">
        <f t="shared" si="32"/>
        <v>8.8535802426137344E-4</v>
      </c>
      <c r="H59" s="8">
        <f t="shared" si="32"/>
        <v>-5.9091444708924579E-2</v>
      </c>
      <c r="I59" s="8">
        <f t="shared" si="32"/>
        <v>6.234354653889973E-2</v>
      </c>
      <c r="J59" s="8">
        <f t="shared" si="32"/>
        <v>-1.6947685958725534E-2</v>
      </c>
      <c r="K59" s="8">
        <f t="shared" si="32"/>
        <v>-2.5074957862097236E-2</v>
      </c>
      <c r="L59" s="8">
        <f t="shared" si="32"/>
        <v>-2.6539195031489382E-2</v>
      </c>
      <c r="M59" s="8">
        <f t="shared" si="32"/>
        <v>-2.7071381230670655E-2</v>
      </c>
      <c r="N59" s="8">
        <f t="shared" si="11"/>
        <v>-9.9846648075624378E-3</v>
      </c>
      <c r="O59" s="8">
        <f t="shared" si="12"/>
        <v>2.1568783544996251E-3</v>
      </c>
      <c r="P59" s="8">
        <f t="shared" si="12"/>
        <v>3.3908768952274349E-2</v>
      </c>
      <c r="Q59" s="8">
        <f t="shared" si="15"/>
        <v>3.9168797944461042E-2</v>
      </c>
      <c r="R59" s="8">
        <f t="shared" si="15"/>
        <v>9.3770696016328703E-3</v>
      </c>
      <c r="S59" s="8">
        <f t="shared" si="16"/>
        <v>-0.12603121396939032</v>
      </c>
      <c r="T59" s="8">
        <f t="shared" si="16"/>
        <v>6.3623432804032598E-2</v>
      </c>
      <c r="U59" s="8">
        <f t="shared" si="16"/>
        <v>-9.335805635786032E-2</v>
      </c>
      <c r="V59" s="8">
        <f t="shared" ca="1" si="16"/>
        <v>-3.2306109162811847E-2</v>
      </c>
      <c r="W59" s="8"/>
    </row>
    <row r="60" spans="1:23">
      <c r="A60">
        <f t="shared" si="9"/>
        <v>0</v>
      </c>
      <c r="B60" t="str">
        <f t="shared" si="9"/>
        <v>LV</v>
      </c>
      <c r="C60" t="str">
        <f t="shared" si="9"/>
        <v>LV</v>
      </c>
      <c r="D60" s="8"/>
      <c r="E60" s="8">
        <f t="shared" ref="E60:M60" si="33">IFERROR(E25/D25-1,0)</f>
        <v>3.6499917075999422E-2</v>
      </c>
      <c r="F60" s="8">
        <f t="shared" si="33"/>
        <v>2.486606064185648E-2</v>
      </c>
      <c r="G60" s="8">
        <f t="shared" si="33"/>
        <v>-4.1068342735092411E-2</v>
      </c>
      <c r="H60" s="8">
        <f t="shared" si="33"/>
        <v>-3.1032389301005936E-2</v>
      </c>
      <c r="I60" s="8">
        <f t="shared" si="33"/>
        <v>2.76571084206374E-2</v>
      </c>
      <c r="J60" s="8">
        <f t="shared" si="33"/>
        <v>-6.064576447505321E-2</v>
      </c>
      <c r="K60" s="8">
        <f t="shared" si="33"/>
        <v>3.7295362524035758E-2</v>
      </c>
      <c r="L60" s="8">
        <f t="shared" si="33"/>
        <v>-1.8196257950037431E-2</v>
      </c>
      <c r="M60" s="8">
        <f t="shared" si="33"/>
        <v>-1.6380008864469442E-4</v>
      </c>
      <c r="N60" s="8">
        <f t="shared" si="11"/>
        <v>-2.107057452771266E-2</v>
      </c>
      <c r="O60" s="8">
        <f t="shared" si="12"/>
        <v>6.6751405801623864E-3</v>
      </c>
      <c r="P60" s="8">
        <f t="shared" si="12"/>
        <v>3.9611322096299695E-2</v>
      </c>
      <c r="Q60" s="8">
        <f t="shared" si="15"/>
        <v>5.0748562177299172E-2</v>
      </c>
      <c r="R60" s="8">
        <f t="shared" si="15"/>
        <v>-2.8616086214923731E-2</v>
      </c>
      <c r="S60" s="8">
        <f t="shared" si="16"/>
        <v>-6.4454266753149358E-2</v>
      </c>
      <c r="T60" s="8">
        <f t="shared" si="16"/>
        <v>4.7634766051012578E-2</v>
      </c>
      <c r="U60" s="8">
        <f t="shared" si="16"/>
        <v>-3.5800047874285923E-2</v>
      </c>
      <c r="V60" s="8">
        <f t="shared" ca="1" si="16"/>
        <v>1.968596949708501E-2</v>
      </c>
      <c r="W60" s="8"/>
    </row>
    <row r="61" spans="1:23">
      <c r="A61">
        <f t="shared" si="9"/>
        <v>0</v>
      </c>
      <c r="B61" t="str">
        <f t="shared" si="9"/>
        <v>MT</v>
      </c>
      <c r="C61" t="str">
        <f t="shared" si="9"/>
        <v>MT</v>
      </c>
      <c r="D61" s="8"/>
      <c r="E61" s="8">
        <f t="shared" ref="E61:M61" si="34">IFERROR(E26/D26-1,0)</f>
        <v>9.656882016336743E-3</v>
      </c>
      <c r="F61" s="8">
        <f t="shared" si="34"/>
        <v>2.6509821396702993E-2</v>
      </c>
      <c r="G61" s="8">
        <f t="shared" si="34"/>
        <v>9.6135913675765572E-3</v>
      </c>
      <c r="H61" s="8">
        <f t="shared" si="34"/>
        <v>-7.7641654064873888E-2</v>
      </c>
      <c r="I61" s="8">
        <f t="shared" si="34"/>
        <v>5.1908744162995957E-2</v>
      </c>
      <c r="J61" s="8">
        <f t="shared" si="34"/>
        <v>-2.0523234926501654E-3</v>
      </c>
      <c r="K61" s="8">
        <f t="shared" si="34"/>
        <v>4.6128889703267006E-2</v>
      </c>
      <c r="L61" s="8">
        <f t="shared" si="34"/>
        <v>-9.8616581853699925E-2</v>
      </c>
      <c r="M61" s="8">
        <f t="shared" si="34"/>
        <v>1.4091510230861637E-2</v>
      </c>
      <c r="N61" s="8">
        <f t="shared" si="11"/>
        <v>-0.15246381516285856</v>
      </c>
      <c r="O61" s="8">
        <f t="shared" si="12"/>
        <v>-5.6023396168199291E-2</v>
      </c>
      <c r="P61" s="8">
        <f t="shared" si="12"/>
        <v>0.13433092410473146</v>
      </c>
      <c r="Q61" s="8">
        <f t="shared" si="15"/>
        <v>2.3889618804234125E-2</v>
      </c>
      <c r="R61" s="8">
        <f t="shared" si="15"/>
        <v>5.9207989071145217E-2</v>
      </c>
      <c r="S61" s="8">
        <f t="shared" si="16"/>
        <v>-0.15124167461473681</v>
      </c>
      <c r="T61" s="8">
        <f t="shared" si="16"/>
        <v>3.563134853402361E-2</v>
      </c>
      <c r="U61" s="8">
        <f t="shared" si="16"/>
        <v>0.15512653939612098</v>
      </c>
      <c r="V61" s="8">
        <f t="shared" ca="1" si="16"/>
        <v>2.550766159372686E-2</v>
      </c>
      <c r="W61" s="8"/>
    </row>
    <row r="62" spans="1:23">
      <c r="A62">
        <f t="shared" si="9"/>
        <v>0</v>
      </c>
      <c r="B62" t="str">
        <f t="shared" si="9"/>
        <v>NL</v>
      </c>
      <c r="C62" t="str">
        <f t="shared" si="9"/>
        <v>NL</v>
      </c>
      <c r="D62" s="8"/>
      <c r="E62" s="8">
        <f t="shared" ref="E62:M62" si="35">IFERROR(E27/D27-1,0)</f>
        <v>-8.364724731331985E-3</v>
      </c>
      <c r="F62" s="8">
        <f t="shared" si="35"/>
        <v>-2.1711799836537926E-3</v>
      </c>
      <c r="G62" s="8">
        <f t="shared" si="35"/>
        <v>7.4168917560513137E-3</v>
      </c>
      <c r="H62" s="8">
        <f t="shared" si="35"/>
        <v>-3.2295371470862144E-2</v>
      </c>
      <c r="I62" s="8">
        <f t="shared" si="35"/>
        <v>6.0527005374451326E-2</v>
      </c>
      <c r="J62" s="8">
        <f t="shared" si="35"/>
        <v>-6.5063522756628633E-2</v>
      </c>
      <c r="K62" s="8">
        <f t="shared" si="35"/>
        <v>-4.5740019017531663E-3</v>
      </c>
      <c r="L62" s="8">
        <f t="shared" si="35"/>
        <v>-8.0370793358968129E-3</v>
      </c>
      <c r="M62" s="8">
        <f t="shared" si="35"/>
        <v>-5.8800923676469496E-2</v>
      </c>
      <c r="N62" s="8">
        <f t="shared" si="11"/>
        <v>-5.3106745776926534E-2</v>
      </c>
      <c r="O62" s="8">
        <f t="shared" si="12"/>
        <v>6.3214590709981922E-2</v>
      </c>
      <c r="P62" s="8">
        <f t="shared" si="12"/>
        <v>-2.3381256632515557E-2</v>
      </c>
      <c r="Q62" s="8">
        <f t="shared" si="15"/>
        <v>-4.6585041506627012E-2</v>
      </c>
      <c r="R62" s="8">
        <f t="shared" si="15"/>
        <v>9.1996105784577509E-2</v>
      </c>
      <c r="S62" s="8">
        <f t="shared" si="16"/>
        <v>-8.2742163329694307E-2</v>
      </c>
      <c r="T62" s="8">
        <f t="shared" si="16"/>
        <v>3.8249247080208937E-2</v>
      </c>
      <c r="U62" s="8">
        <f t="shared" si="16"/>
        <v>-7.6749652024135528E-2</v>
      </c>
      <c r="V62" s="8">
        <f t="shared" ca="1" si="16"/>
        <v>-2.1869748403898326E-2</v>
      </c>
      <c r="W62" s="8"/>
    </row>
    <row r="63" spans="1:23">
      <c r="A63">
        <f t="shared" si="9"/>
        <v>0</v>
      </c>
      <c r="B63" t="str">
        <f t="shared" si="9"/>
        <v>PL</v>
      </c>
      <c r="C63" t="str">
        <f t="shared" si="9"/>
        <v>PL</v>
      </c>
      <c r="D63" s="8"/>
      <c r="E63" s="8">
        <f t="shared" ref="E63:M63" si="36">IFERROR(E28/D28-1,0)</f>
        <v>4.9855108384476932E-2</v>
      </c>
      <c r="F63" s="8">
        <f t="shared" si="36"/>
        <v>-4.7794667960487924E-3</v>
      </c>
      <c r="G63" s="8">
        <f t="shared" si="36"/>
        <v>1.2920987855722821E-2</v>
      </c>
      <c r="H63" s="8">
        <f t="shared" si="36"/>
        <v>-3.8194500573054291E-2</v>
      </c>
      <c r="I63" s="8">
        <f t="shared" si="36"/>
        <v>7.8530475188526738E-2</v>
      </c>
      <c r="J63" s="8">
        <f t="shared" si="36"/>
        <v>-1.3785570249336132E-4</v>
      </c>
      <c r="K63" s="8">
        <f t="shared" si="36"/>
        <v>-3.8839652822338588E-2</v>
      </c>
      <c r="L63" s="8">
        <f t="shared" si="36"/>
        <v>6.4994263426698673E-3</v>
      </c>
      <c r="M63" s="8">
        <f t="shared" si="36"/>
        <v>-4.1837143773955088E-2</v>
      </c>
      <c r="N63" s="8">
        <f t="shared" si="11"/>
        <v>6.2544762470688742E-3</v>
      </c>
      <c r="O63" s="8">
        <f t="shared" si="12"/>
        <v>5.3061336083458865E-2</v>
      </c>
      <c r="P63" s="8">
        <f t="shared" si="12"/>
        <v>4.4744752360063478E-2</v>
      </c>
      <c r="Q63" s="8">
        <f t="shared" si="15"/>
        <v>5.0295893063203811E-2</v>
      </c>
      <c r="R63" s="8">
        <f t="shared" si="15"/>
        <v>-3.7132386011710761E-2</v>
      </c>
      <c r="S63" s="8">
        <f t="shared" si="16"/>
        <v>-3.3483012649357824E-2</v>
      </c>
      <c r="T63" s="8">
        <f t="shared" si="16"/>
        <v>7.350944076791488E-2</v>
      </c>
      <c r="U63" s="8">
        <f t="shared" si="16"/>
        <v>-5.1534141889114315E-2</v>
      </c>
      <c r="V63" s="8">
        <f t="shared" ca="1" si="16"/>
        <v>-5.6771770875313599E-2</v>
      </c>
      <c r="W63" s="8"/>
    </row>
    <row r="64" spans="1:23">
      <c r="A64">
        <f t="shared" si="9"/>
        <v>0</v>
      </c>
      <c r="B64" t="str">
        <f t="shared" si="9"/>
        <v>PT</v>
      </c>
      <c r="C64" t="str">
        <f t="shared" si="9"/>
        <v>PT</v>
      </c>
      <c r="D64" s="8"/>
      <c r="E64" s="8">
        <f t="shared" ref="E64:M64" si="37">IFERROR(E29/D29-1,0)</f>
        <v>-3.2492166955157997E-2</v>
      </c>
      <c r="F64" s="8">
        <f t="shared" si="37"/>
        <v>-7.5698122677739788E-3</v>
      </c>
      <c r="G64" s="8">
        <f t="shared" si="37"/>
        <v>-1.0978702022135689E-2</v>
      </c>
      <c r="H64" s="8">
        <f t="shared" si="37"/>
        <v>1.2275163842230263E-3</v>
      </c>
      <c r="I64" s="8">
        <f t="shared" si="37"/>
        <v>-4.1227105022571431E-2</v>
      </c>
      <c r="J64" s="8">
        <f t="shared" si="37"/>
        <v>-2.8318684228612612E-2</v>
      </c>
      <c r="K64" s="8">
        <f t="shared" si="37"/>
        <v>-4.4084470757622118E-2</v>
      </c>
      <c r="L64" s="8">
        <f t="shared" si="37"/>
        <v>-2.6470192258665204E-4</v>
      </c>
      <c r="M64" s="8">
        <f t="shared" si="37"/>
        <v>-1.6918520920533919E-2</v>
      </c>
      <c r="N64" s="8">
        <f t="shared" si="11"/>
        <v>4.6826620521740026E-2</v>
      </c>
      <c r="O64" s="8">
        <f t="shared" si="12"/>
        <v>4.9187672439958696E-3</v>
      </c>
      <c r="P64" s="8">
        <f t="shared" si="12"/>
        <v>4.866693685719814E-2</v>
      </c>
      <c r="Q64" s="8">
        <f t="shared" si="15"/>
        <v>-6.6001986792957323E-3</v>
      </c>
      <c r="R64" s="8">
        <f t="shared" si="15"/>
        <v>-2.6240168532784991E-2</v>
      </c>
      <c r="S64" s="8">
        <f t="shared" si="16"/>
        <v>-0.11655353216338271</v>
      </c>
      <c r="T64" s="8">
        <f t="shared" si="16"/>
        <v>1.7711969980491737E-3</v>
      </c>
      <c r="U64" s="8">
        <f t="shared" si="16"/>
        <v>6.3180983428265947E-2</v>
      </c>
      <c r="V64" s="8">
        <f t="shared" ca="1" si="16"/>
        <v>-3.4789247644062771E-2</v>
      </c>
      <c r="W64" s="8"/>
    </row>
    <row r="65" spans="1:23">
      <c r="A65">
        <f t="shared" si="9"/>
        <v>0</v>
      </c>
      <c r="B65" t="str">
        <f t="shared" si="9"/>
        <v>RO</v>
      </c>
      <c r="C65" t="str">
        <f t="shared" si="9"/>
        <v>RO</v>
      </c>
      <c r="D65" s="8"/>
      <c r="E65" s="8">
        <f t="shared" ref="E65:M65" si="38">IFERROR(E30/D30-1,0)</f>
        <v>4.0872044700689614E-2</v>
      </c>
      <c r="F65" s="8">
        <f t="shared" si="38"/>
        <v>-2.5575489135827301E-3</v>
      </c>
      <c r="G65" s="8">
        <f t="shared" si="38"/>
        <v>-3.1459816640482252E-3</v>
      </c>
      <c r="H65" s="8">
        <f t="shared" si="38"/>
        <v>-0.12521793713855178</v>
      </c>
      <c r="I65" s="8">
        <f t="shared" si="38"/>
        <v>9.2464753722505399E-3</v>
      </c>
      <c r="J65" s="8">
        <f t="shared" si="38"/>
        <v>1.7589742950052001E-2</v>
      </c>
      <c r="K65" s="8">
        <f t="shared" si="38"/>
        <v>-8.129232602088643E-3</v>
      </c>
      <c r="L65" s="8">
        <f t="shared" si="38"/>
        <v>-8.5544000200146963E-2</v>
      </c>
      <c r="M65" s="8">
        <f t="shared" si="38"/>
        <v>-1.1351804053834624E-2</v>
      </c>
      <c r="N65" s="8">
        <f t="shared" si="11"/>
        <v>2.2699672422358042E-2</v>
      </c>
      <c r="O65" s="8">
        <f t="shared" si="12"/>
        <v>-3.1202007075448179E-3</v>
      </c>
      <c r="P65" s="8">
        <f t="shared" si="12"/>
        <v>5.8872477243144594E-2</v>
      </c>
      <c r="Q65" s="8">
        <f t="shared" si="15"/>
        <v>3.6057330138179466E-3</v>
      </c>
      <c r="R65" s="8">
        <f t="shared" si="15"/>
        <v>-1.5513232218555717E-2</v>
      </c>
      <c r="S65" s="8">
        <f t="shared" si="16"/>
        <v>-3.5592348631063087E-2</v>
      </c>
      <c r="T65" s="8">
        <f t="shared" si="16"/>
        <v>6.992907322137798E-2</v>
      </c>
      <c r="U65" s="8">
        <f t="shared" si="16"/>
        <v>-6.2953262830541701E-2</v>
      </c>
      <c r="V65" s="8">
        <f t="shared" ca="1" si="16"/>
        <v>-3.8100631706056931E-2</v>
      </c>
      <c r="W65" s="8"/>
    </row>
    <row r="66" spans="1:23">
      <c r="A66">
        <f t="shared" si="9"/>
        <v>0</v>
      </c>
      <c r="B66" t="str">
        <f t="shared" si="9"/>
        <v>SE</v>
      </c>
      <c r="C66" t="str">
        <f t="shared" si="9"/>
        <v>SE</v>
      </c>
      <c r="D66" s="8"/>
      <c r="E66" s="8">
        <f t="shared" ref="E66:M66" si="39">IFERROR(E31/D31-1,0)</f>
        <v>-2.6209115746850142E-2</v>
      </c>
      <c r="F66" s="8">
        <f t="shared" si="39"/>
        <v>-6.2436448252107812E-3</v>
      </c>
      <c r="G66" s="8">
        <f t="shared" si="39"/>
        <v>-3.4165714133008729E-3</v>
      </c>
      <c r="H66" s="8">
        <f t="shared" si="39"/>
        <v>-8.8558284972288126E-2</v>
      </c>
      <c r="I66" s="8">
        <f t="shared" si="39"/>
        <v>0.12256027653842949</v>
      </c>
      <c r="J66" s="8">
        <f t="shared" si="39"/>
        <v>-1.6438006122725723E-2</v>
      </c>
      <c r="K66" s="8">
        <f t="shared" si="39"/>
        <v>-2.1091678973135242E-3</v>
      </c>
      <c r="L66" s="8">
        <f t="shared" si="39"/>
        <v>-2.1311651221457284E-2</v>
      </c>
      <c r="M66" s="8">
        <f t="shared" si="39"/>
        <v>-1.0277495828873384E-2</v>
      </c>
      <c r="N66" s="8">
        <f t="shared" si="11"/>
        <v>-4.6169474844215186E-2</v>
      </c>
      <c r="O66" s="8">
        <f t="shared" si="12"/>
        <v>3.4529194745844594E-2</v>
      </c>
      <c r="P66" s="8">
        <f t="shared" si="12"/>
        <v>2.1977169655265527E-2</v>
      </c>
      <c r="Q66" s="8">
        <f t="shared" si="15"/>
        <v>1.9380149537781444E-2</v>
      </c>
      <c r="R66" s="8">
        <f t="shared" si="15"/>
        <v>-3.0736818534502275E-2</v>
      </c>
      <c r="S66" s="8">
        <f t="shared" si="16"/>
        <v>-9.8018309234535361E-2</v>
      </c>
      <c r="T66" s="8">
        <f t="shared" si="16"/>
        <v>4.8783595400115898E-2</v>
      </c>
      <c r="U66" s="8">
        <f t="shared" si="16"/>
        <v>-2.0045133123686498E-2</v>
      </c>
      <c r="V66" s="8">
        <f t="shared" ca="1" si="16"/>
        <v>1.5539300335698281E-2</v>
      </c>
      <c r="W66" s="8"/>
    </row>
    <row r="67" spans="1:23">
      <c r="A67">
        <f t="shared" si="9"/>
        <v>0</v>
      </c>
      <c r="B67" t="str">
        <f t="shared" si="9"/>
        <v>SI</v>
      </c>
      <c r="C67" t="str">
        <f t="shared" si="9"/>
        <v>SI</v>
      </c>
      <c r="D67" s="8"/>
      <c r="E67" s="8">
        <f t="shared" ref="E67:M67" si="40">IFERROR(E32/D32-1,0)</f>
        <v>-8.1483618844567784E-3</v>
      </c>
      <c r="F67" s="8">
        <f t="shared" si="40"/>
        <v>1.282011953448392E-2</v>
      </c>
      <c r="G67" s="8">
        <f t="shared" si="40"/>
        <v>6.0787636060036343E-2</v>
      </c>
      <c r="H67" s="8">
        <f t="shared" si="40"/>
        <v>-0.11664775938386363</v>
      </c>
      <c r="I67" s="8">
        <f t="shared" si="40"/>
        <v>3.0681009221723565E-2</v>
      </c>
      <c r="J67" s="8">
        <f t="shared" si="40"/>
        <v>1.0233661470278488E-2</v>
      </c>
      <c r="K67" s="8">
        <f t="shared" si="40"/>
        <v>-3.928445355978305E-2</v>
      </c>
      <c r="L67" s="8">
        <f t="shared" si="40"/>
        <v>-2.558229718224303E-2</v>
      </c>
      <c r="M67" s="8">
        <f t="shared" si="40"/>
        <v>-3.909934293375994E-2</v>
      </c>
      <c r="N67" s="8">
        <f t="shared" si="11"/>
        <v>-7.3688148393245001E-3</v>
      </c>
      <c r="O67" s="8">
        <f t="shared" si="12"/>
        <v>3.2088779672798884E-2</v>
      </c>
      <c r="P67" s="8">
        <f t="shared" si="12"/>
        <v>2.7454028316292955E-2</v>
      </c>
      <c r="Q67" s="8">
        <f t="shared" si="15"/>
        <v>-1.15968687923792E-2</v>
      </c>
      <c r="R67" s="8">
        <f t="shared" si="15"/>
        <v>-1.8848353889378333E-2</v>
      </c>
      <c r="S67" s="8">
        <f t="shared" si="16"/>
        <v>-5.7896117570241046E-2</v>
      </c>
      <c r="T67" s="8">
        <f t="shared" si="16"/>
        <v>3.0536881787375014E-2</v>
      </c>
      <c r="U67" s="8">
        <f t="shared" si="16"/>
        <v>-2.2147967570193106E-2</v>
      </c>
      <c r="V67" s="8">
        <f t="shared" ca="1" si="16"/>
        <v>-0.10235915455554079</v>
      </c>
      <c r="W67" s="8"/>
    </row>
    <row r="68" spans="1:23">
      <c r="A68">
        <f t="shared" si="9"/>
        <v>0</v>
      </c>
      <c r="B68" t="str">
        <f t="shared" si="9"/>
        <v>SK</v>
      </c>
      <c r="C68" t="str">
        <f t="shared" si="9"/>
        <v>SK</v>
      </c>
      <c r="D68" s="8"/>
      <c r="E68" s="8">
        <f t="shared" ref="E68:M68" si="41">IFERROR(E33/D33-1,0)</f>
        <v>-9.8251223883720762E-3</v>
      </c>
      <c r="F68" s="8">
        <f t="shared" si="41"/>
        <v>-4.7284430056499738E-2</v>
      </c>
      <c r="G68" s="8">
        <f t="shared" si="41"/>
        <v>3.3953223336504967E-2</v>
      </c>
      <c r="H68" s="8">
        <f t="shared" si="41"/>
        <v>-8.6245842356671321E-2</v>
      </c>
      <c r="I68" s="8">
        <f t="shared" si="41"/>
        <v>0.11950454645965802</v>
      </c>
      <c r="J68" s="8">
        <f t="shared" si="41"/>
        <v>-4.2363253503393983E-2</v>
      </c>
      <c r="K68" s="8">
        <f t="shared" si="41"/>
        <v>-1.8189105395665539E-2</v>
      </c>
      <c r="L68" s="8">
        <f t="shared" si="41"/>
        <v>2.9679798877386698E-3</v>
      </c>
      <c r="M68" s="8">
        <f t="shared" si="41"/>
        <v>-7.2289008829193868E-2</v>
      </c>
      <c r="N68" s="8">
        <f t="shared" si="11"/>
        <v>3.9534445706153942E-2</v>
      </c>
      <c r="O68" s="8">
        <f t="shared" si="12"/>
        <v>1.4061867254418825E-2</v>
      </c>
      <c r="P68" s="8">
        <f t="shared" si="12"/>
        <v>4.731178581556339E-2</v>
      </c>
      <c r="Q68" s="8">
        <f t="shared" si="15"/>
        <v>-3.0098218387688447E-2</v>
      </c>
      <c r="R68" s="8">
        <f t="shared" si="15"/>
        <v>-1.8448545221200652E-2</v>
      </c>
      <c r="S68" s="8">
        <f t="shared" si="16"/>
        <v>-5.0159577563400171E-2</v>
      </c>
      <c r="T68" s="8">
        <f t="shared" si="16"/>
        <v>8.2929517346624237E-2</v>
      </c>
      <c r="U68" s="8">
        <f t="shared" si="16"/>
        <v>-6.2882923815323233E-2</v>
      </c>
      <c r="V68" s="8">
        <f t="shared" ca="1" si="16"/>
        <v>2.7792149057211946E-2</v>
      </c>
      <c r="W68" s="8"/>
    </row>
    <row r="69" spans="1:23">
      <c r="A69">
        <f t="shared" si="9"/>
        <v>0</v>
      </c>
      <c r="B69" t="str">
        <f t="shared" si="9"/>
        <v>UK</v>
      </c>
      <c r="C69" t="str">
        <f t="shared" si="9"/>
        <v>UK</v>
      </c>
      <c r="D69" s="8"/>
      <c r="E69" s="8">
        <f t="shared" ref="E69:M71" si="42">IFERROR(E34/D34-1,0)</f>
        <v>-1.3714293978450143E-2</v>
      </c>
      <c r="F69" s="8">
        <f t="shared" si="42"/>
        <v>-2.6819836196369962E-2</v>
      </c>
      <c r="G69" s="8">
        <f t="shared" si="42"/>
        <v>-1.2604883874668293E-2</v>
      </c>
      <c r="H69" s="8">
        <f t="shared" si="42"/>
        <v>-7.4628354660926433E-2</v>
      </c>
      <c r="I69" s="8">
        <f t="shared" si="42"/>
        <v>4.6438469445641672E-2</v>
      </c>
      <c r="J69" s="8">
        <f t="shared" si="42"/>
        <v>-7.3159846805761819E-2</v>
      </c>
      <c r="K69" s="8">
        <f t="shared" si="42"/>
        <v>2.6620025861395336E-2</v>
      </c>
      <c r="L69" s="8">
        <f t="shared" si="42"/>
        <v>-1.8035776946363047E-2</v>
      </c>
      <c r="M69" s="8">
        <f t="shared" si="42"/>
        <v>-5.6940646054319033E-2</v>
      </c>
      <c r="N69" s="8">
        <f t="shared" si="11"/>
        <v>1.044263873251472E-2</v>
      </c>
      <c r="O69" s="8">
        <f t="shared" si="12"/>
        <v>-1.7335442992029382E-2</v>
      </c>
      <c r="P69" s="8">
        <f t="shared" si="12"/>
        <v>-1.2081820609417093E-2</v>
      </c>
      <c r="Q69" s="8">
        <f t="shared" si="15"/>
        <v>-2.8813821264517259E-4</v>
      </c>
      <c r="R69" s="8">
        <f t="shared" si="15"/>
        <v>-1.6494814598078889E-2</v>
      </c>
      <c r="S69" s="8">
        <f t="shared" si="16"/>
        <v>-1</v>
      </c>
      <c r="T69" s="8">
        <f t="shared" si="16"/>
        <v>0</v>
      </c>
      <c r="U69" s="8">
        <f t="shared" si="16"/>
        <v>0</v>
      </c>
      <c r="V69" s="8">
        <f t="shared" ca="1" si="16"/>
        <v>0</v>
      </c>
      <c r="W69" s="8"/>
    </row>
    <row r="70" spans="1:23">
      <c r="B70" s="40" t="s">
        <v>189</v>
      </c>
      <c r="C70" s="40" t="s">
        <v>189</v>
      </c>
      <c r="D70" s="41"/>
      <c r="E70" s="49">
        <f t="shared" si="42"/>
        <v>6.1412568346350671E-3</v>
      </c>
      <c r="F70" s="49">
        <f t="shared" ref="F70:F71" si="43">IFERROR(F35/E35-1,0)</f>
        <v>-1.5671792799184292E-2</v>
      </c>
      <c r="G70" s="49">
        <f t="shared" ref="G70:G71" si="44">IFERROR(G35/F35-1,0)</f>
        <v>-2.4085481670623743E-3</v>
      </c>
      <c r="H70" s="49">
        <f t="shared" ref="H70:H71" si="45">IFERROR(H35/G35-1,0)</f>
        <v>-5.9550039875637006E-2</v>
      </c>
      <c r="I70" s="49">
        <f t="shared" ref="I70:I71" si="46">IFERROR(I35/H35-1,0)</f>
        <v>4.0062240256368398E-2</v>
      </c>
      <c r="J70" s="49">
        <f t="shared" ref="J70:J71" si="47">IFERROR(J35/I35-1,0)</f>
        <v>-3.6344618345801383E-2</v>
      </c>
      <c r="K70" s="49">
        <f t="shared" ref="K70:K71" si="48">IFERROR(K35/J35-1,0)</f>
        <v>-6.6949193835840193E-3</v>
      </c>
      <c r="L70" s="49">
        <f t="shared" ref="L70:L71" si="49">IFERROR(L35/K35-1,0)</f>
        <v>-9.8940273080296848E-3</v>
      </c>
      <c r="M70" s="49">
        <f t="shared" ref="M70:M71" si="50">IFERROR(M35/L35-1,0)</f>
        <v>-4.1145796377414445E-2</v>
      </c>
      <c r="N70" s="49">
        <f t="shared" si="11"/>
        <v>1.2855724630796317E-2</v>
      </c>
      <c r="O70" s="49">
        <f t="shared" ref="O70:O71" si="51">IFERROR(O35/N35-1,0)</f>
        <v>7.1565102137864933E-3</v>
      </c>
      <c r="P70" s="49">
        <f t="shared" ref="P70:P71" si="52">IFERROR(P35/O35-1,0)</f>
        <v>1.0571989337109011E-2</v>
      </c>
      <c r="Q70" s="49">
        <f t="shared" ref="Q70:R71" si="53">IFERROR(Q35/P35-1,0)</f>
        <v>-5.8516342306514924E-3</v>
      </c>
      <c r="R70" s="49">
        <f t="shared" si="53"/>
        <v>-1.3178434178316212E-2</v>
      </c>
      <c r="S70" s="49">
        <f t="shared" si="16"/>
        <v>-0.19161681192458779</v>
      </c>
      <c r="T70" s="49">
        <f t="shared" si="16"/>
        <v>6.2619793907930932E-2</v>
      </c>
      <c r="U70" s="49">
        <f t="shared" ref="U70:U71" si="54">IFERROR(U35/T35-1,0)</f>
        <v>-4.1922245529725677E-2</v>
      </c>
      <c r="V70" s="49">
        <f t="shared" ref="V70:V71" ca="1" si="55">IFERROR(V35/U35-1,0)</f>
        <v>-3.9683043265436702E-2</v>
      </c>
    </row>
    <row r="71" spans="1:23">
      <c r="B71" s="40" t="s">
        <v>190</v>
      </c>
      <c r="C71" s="40" t="s">
        <v>190</v>
      </c>
      <c r="D71" s="41"/>
      <c r="E71" s="49">
        <f t="shared" si="42"/>
        <v>9.1038560337659558E-3</v>
      </c>
      <c r="F71" s="49">
        <f t="shared" si="43"/>
        <v>-1.4046032605485648E-2</v>
      </c>
      <c r="G71" s="49">
        <f t="shared" si="44"/>
        <v>-9.4084385469106468E-4</v>
      </c>
      <c r="H71" s="49">
        <f t="shared" si="45"/>
        <v>-5.7404942455899222E-2</v>
      </c>
      <c r="I71" s="49">
        <f t="shared" si="46"/>
        <v>3.9171709007273625E-2</v>
      </c>
      <c r="J71" s="49">
        <f t="shared" si="47"/>
        <v>-3.116689160305619E-2</v>
      </c>
      <c r="K71" s="49">
        <f t="shared" si="48"/>
        <v>-1.1177277992541867E-2</v>
      </c>
      <c r="L71" s="49">
        <f t="shared" si="49"/>
        <v>-8.756723396015853E-3</v>
      </c>
      <c r="M71" s="49">
        <f t="shared" si="50"/>
        <v>-3.8960100682767451E-2</v>
      </c>
      <c r="N71" s="49">
        <f t="shared" si="11"/>
        <v>1.3183400598011819E-2</v>
      </c>
      <c r="O71" s="49">
        <f t="shared" si="51"/>
        <v>1.047330672322011E-2</v>
      </c>
      <c r="P71" s="49">
        <f t="shared" si="52"/>
        <v>1.3555427948741539E-2</v>
      </c>
      <c r="Q71" s="49">
        <f t="shared" si="53"/>
        <v>-6.5657968397403454E-3</v>
      </c>
      <c r="R71" s="49">
        <f t="shared" si="53"/>
        <v>-1.275003423369736E-2</v>
      </c>
      <c r="S71" s="49">
        <f t="shared" si="16"/>
        <v>-8.7588425256438507E-2</v>
      </c>
      <c r="T71" s="49">
        <f t="shared" si="16"/>
        <v>6.2619793907930932E-2</v>
      </c>
      <c r="U71" s="49">
        <f t="shared" si="54"/>
        <v>-4.1922245529725677E-2</v>
      </c>
      <c r="V71" s="49">
        <f t="shared" ca="1" si="55"/>
        <v>-3.9683043265436702E-2</v>
      </c>
    </row>
    <row r="73" spans="1:23">
      <c r="Q73" s="18"/>
      <c r="R73" s="18"/>
      <c r="S73" s="18"/>
      <c r="T73" s="18"/>
      <c r="U73" s="18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V71"/>
  <sheetViews>
    <sheetView topLeftCell="B1" zoomScaleNormal="100" workbookViewId="0">
      <pane xSplit="2" ySplit="6" topLeftCell="D7" activePane="bottomRight" state="frozen"/>
      <selection pane="topRight" activeCell="R3" sqref="R3"/>
      <selection pane="bottomLeft" activeCell="R3" sqref="R3"/>
      <selection pane="bottomRight" activeCell="D6" sqref="D6:V36"/>
    </sheetView>
  </sheetViews>
  <sheetFormatPr baseColWidth="10" defaultColWidth="11.5" defaultRowHeight="13"/>
  <cols>
    <col min="1" max="1" width="13.5" customWidth="1"/>
  </cols>
  <sheetData>
    <row r="1" spans="1:22">
      <c r="A1" t="s">
        <v>44</v>
      </c>
    </row>
    <row r="5" spans="1:22">
      <c r="D5" t="s">
        <v>173</v>
      </c>
      <c r="V5" t="s">
        <v>174</v>
      </c>
    </row>
    <row r="6" spans="1:22">
      <c r="B6" t="s">
        <v>175</v>
      </c>
      <c r="C6" t="s">
        <v>176</v>
      </c>
      <c r="D6" s="1">
        <f>'PEC Total'!D6</f>
        <v>2005</v>
      </c>
      <c r="E6" s="1">
        <f>'PEC Total'!E6</f>
        <v>2006</v>
      </c>
      <c r="F6" s="1">
        <f>'PEC Total'!F6</f>
        <v>2007</v>
      </c>
      <c r="G6" s="1">
        <f>'PEC Total'!G6</f>
        <v>2008</v>
      </c>
      <c r="H6" s="1">
        <f>'PEC Total'!H6</f>
        <v>2009</v>
      </c>
      <c r="I6" s="1">
        <f>'PEC Total'!I6</f>
        <v>2010</v>
      </c>
      <c r="J6" s="1">
        <f>'PEC Total'!J6</f>
        <v>2011</v>
      </c>
      <c r="K6" s="1">
        <f>'PEC Total'!K6</f>
        <v>2012</v>
      </c>
      <c r="L6" s="1">
        <f>'PEC Total'!L6</f>
        <v>2013</v>
      </c>
      <c r="M6" s="1">
        <f>'PEC Total'!M6</f>
        <v>2014</v>
      </c>
      <c r="N6" s="1">
        <f>'PEC Total'!N6</f>
        <v>2015</v>
      </c>
      <c r="O6" s="1">
        <f>'PEC Total'!O6</f>
        <v>2016</v>
      </c>
      <c r="P6" s="1">
        <f>'PEC Total'!P6</f>
        <v>2017</v>
      </c>
      <c r="Q6" s="1">
        <f>'PEC Total'!Q6</f>
        <v>2018</v>
      </c>
      <c r="R6" s="1">
        <f>'PEC Total'!R6</f>
        <v>2019</v>
      </c>
      <c r="S6" s="1">
        <f>'PEC Total'!S6</f>
        <v>2020</v>
      </c>
      <c r="T6" s="1">
        <f>'PEC Total'!T6</f>
        <v>2021</v>
      </c>
      <c r="U6" s="1">
        <f>'PEC Total'!U6</f>
        <v>2022</v>
      </c>
      <c r="V6" s="2">
        <f>YearProxy</f>
        <v>2023</v>
      </c>
    </row>
    <row r="7" spans="1:22">
      <c r="B7" t="s">
        <v>106</v>
      </c>
      <c r="C7" t="s">
        <v>106</v>
      </c>
      <c r="D7" s="3">
        <f>'PEC Solid'!D7+'PEC Liquid'!D7+'PEC Gaseous'!D7</f>
        <v>24992.876</v>
      </c>
      <c r="E7" s="3">
        <f>'PEC Solid'!E7+'PEC Liquid'!E7+'PEC Gaseous'!E7</f>
        <v>23979.146000000001</v>
      </c>
      <c r="F7" s="3">
        <f>'PEC Solid'!F7+'PEC Liquid'!F7+'PEC Gaseous'!F7</f>
        <v>23000.984</v>
      </c>
      <c r="G7" s="3">
        <f>'PEC Solid'!G7+'PEC Liquid'!G7+'PEC Gaseous'!G7</f>
        <v>23008.852999999999</v>
      </c>
      <c r="H7" s="3">
        <f>'PEC Solid'!H7+'PEC Liquid'!H7+'PEC Gaseous'!H7</f>
        <v>21028.735999999997</v>
      </c>
      <c r="I7" s="3">
        <f>'PEC Solid'!I7+'PEC Liquid'!I7+'PEC Gaseous'!I7</f>
        <v>22715.114000000001</v>
      </c>
      <c r="J7" s="3">
        <f>'PEC Solid'!J7+'PEC Liquid'!J7+'PEC Gaseous'!J7</f>
        <v>21706.245000000003</v>
      </c>
      <c r="K7" s="3">
        <f>'PEC Solid'!K7+'PEC Liquid'!K7+'PEC Gaseous'!K7</f>
        <v>20689.477999999999</v>
      </c>
      <c r="L7" s="3">
        <f>'PEC Solid'!L7+'PEC Liquid'!L7+'PEC Gaseous'!L7</f>
        <v>20796.231999999996</v>
      </c>
      <c r="M7" s="3">
        <f>'PEC Solid'!M7+'PEC Liquid'!M7+'PEC Gaseous'!M7</f>
        <v>19528.444</v>
      </c>
      <c r="N7" s="3">
        <f>'PEC Solid'!N7+'PEC Liquid'!N7+'PEC Gaseous'!N7</f>
        <v>20342.362999999998</v>
      </c>
      <c r="O7" s="3">
        <f>'PEC Solid'!O7+'PEC Liquid'!O7+'PEC Gaseous'!O7</f>
        <v>20653.305</v>
      </c>
      <c r="P7" s="3">
        <f>'PEC Solid'!P7+'PEC Liquid'!P7+'PEC Gaseous'!P7</f>
        <v>21490.864000000001</v>
      </c>
      <c r="Q7" s="3">
        <f>'PEC Solid'!Q7+'PEC Liquid'!Q7+'PEC Gaseous'!Q7</f>
        <v>20732.27</v>
      </c>
      <c r="R7" s="3">
        <f>'PEC Solid'!R7+'PEC Liquid'!R7+'PEC Gaseous'!R7</f>
        <v>21320.328000000001</v>
      </c>
      <c r="S7" s="3">
        <f>'PEC Solid'!S7+'PEC Liquid'!S7+'PEC Gaseous'!S7</f>
        <v>18900.618999999999</v>
      </c>
      <c r="T7" s="3">
        <f>'PEC Solid'!T7+'PEC Liquid'!T7+'PEC Gaseous'!T7</f>
        <v>19908.524999999998</v>
      </c>
      <c r="U7" s="3">
        <f>'PEC Solid'!U7+'PEC Liquid'!U7+'PEC Gaseous'!U7</f>
        <v>18914.753000000001</v>
      </c>
      <c r="V7" s="3">
        <f ca="1">'PEC Solid'!V7+'PEC Liquid'!V7+'PEC Gaseous'!V7</f>
        <v>18052.237328724237</v>
      </c>
    </row>
    <row r="8" spans="1:22">
      <c r="B8" t="s">
        <v>177</v>
      </c>
      <c r="C8" t="s">
        <v>177</v>
      </c>
      <c r="D8" s="3">
        <f>'PEC Solid'!D8+'PEC Liquid'!D8+'PEC Gaseous'!D8</f>
        <v>37132.665999999997</v>
      </c>
      <c r="E8" s="3">
        <f>'PEC Solid'!E8+'PEC Liquid'!E8+'PEC Gaseous'!E8</f>
        <v>36587.195999999996</v>
      </c>
      <c r="F8" s="3">
        <f>'PEC Solid'!F8+'PEC Liquid'!F8+'PEC Gaseous'!F8</f>
        <v>35136.305</v>
      </c>
      <c r="G8" s="3">
        <f>'PEC Solid'!G8+'PEC Liquid'!G8+'PEC Gaseous'!G8</f>
        <v>35948.980000000003</v>
      </c>
      <c r="H8" s="3">
        <f>'PEC Solid'!H8+'PEC Liquid'!H8+'PEC Gaseous'!H8</f>
        <v>35388.588000000003</v>
      </c>
      <c r="I8" s="3">
        <f>'PEC Solid'!I8+'PEC Liquid'!I8+'PEC Gaseous'!I8</f>
        <v>38053.175000000003</v>
      </c>
      <c r="J8" s="3">
        <f>'PEC Solid'!J8+'PEC Liquid'!J8+'PEC Gaseous'!J8</f>
        <v>33882.936000000002</v>
      </c>
      <c r="K8" s="3">
        <f>'PEC Solid'!K8+'PEC Liquid'!K8+'PEC Gaseous'!K8</f>
        <v>32389.584000000003</v>
      </c>
      <c r="L8" s="3">
        <f>'PEC Solid'!L8+'PEC Liquid'!L8+'PEC Gaseous'!L8</f>
        <v>33226.078000000001</v>
      </c>
      <c r="M8" s="3">
        <f>'PEC Solid'!M8+'PEC Liquid'!M8+'PEC Gaseous'!M8</f>
        <v>31453.458000000002</v>
      </c>
      <c r="N8" s="3">
        <f>'PEC Solid'!N8+'PEC Liquid'!N8+'PEC Gaseous'!N8</f>
        <v>33208.108</v>
      </c>
      <c r="O8" s="3">
        <f>'PEC Solid'!O8+'PEC Liquid'!O8+'PEC Gaseous'!O8</f>
        <v>32752.394</v>
      </c>
      <c r="P8" s="3">
        <f>'PEC Solid'!P8+'PEC Liquid'!P8+'PEC Gaseous'!P8</f>
        <v>32972.366999999998</v>
      </c>
      <c r="Q8" s="3">
        <f>'PEC Solid'!Q8+'PEC Liquid'!Q8+'PEC Gaseous'!Q8</f>
        <v>33225.789999999994</v>
      </c>
      <c r="R8" s="3">
        <f>'PEC Solid'!R8+'PEC Liquid'!R8+'PEC Gaseous'!R8</f>
        <v>33054.374000000003</v>
      </c>
      <c r="S8" s="3">
        <f>'PEC Solid'!S8+'PEC Liquid'!S8+'PEC Gaseous'!S8</f>
        <v>30105.361000000004</v>
      </c>
      <c r="T8" s="3">
        <f>'PEC Solid'!T8+'PEC Liquid'!T8+'PEC Gaseous'!T8</f>
        <v>31603.778000000002</v>
      </c>
      <c r="U8" s="3">
        <f>'PEC Solid'!U8+'PEC Liquid'!U8+'PEC Gaseous'!U8</f>
        <v>29499.373</v>
      </c>
      <c r="V8" s="3">
        <f ca="1">'PEC Solid'!V8+'PEC Liquid'!V8+'PEC Gaseous'!V8</f>
        <v>28354.437098278955</v>
      </c>
    </row>
    <row r="9" spans="1:22">
      <c r="B9" t="s">
        <v>178</v>
      </c>
      <c r="C9" t="s">
        <v>178</v>
      </c>
      <c r="D9" s="3">
        <f>'PEC Solid'!D9+'PEC Liquid'!D9+'PEC Gaseous'!D9</f>
        <v>13859.360999999999</v>
      </c>
      <c r="E9" s="3">
        <f>'PEC Solid'!E9+'PEC Liquid'!E9+'PEC Gaseous'!E9</f>
        <v>14249.743000000002</v>
      </c>
      <c r="F9" s="3">
        <f>'PEC Solid'!F9+'PEC Liquid'!F9+'PEC Gaseous'!F9</f>
        <v>15033.606000000002</v>
      </c>
      <c r="G9" s="3">
        <f>'PEC Solid'!G9+'PEC Liquid'!G9+'PEC Gaseous'!G9</f>
        <v>14286.200999999999</v>
      </c>
      <c r="H9" s="3">
        <f>'PEC Solid'!H9+'PEC Liquid'!H9+'PEC Gaseous'!H9</f>
        <v>12364.029</v>
      </c>
      <c r="I9" s="3">
        <f>'PEC Solid'!I9+'PEC Liquid'!I9+'PEC Gaseous'!I9</f>
        <v>12824.721</v>
      </c>
      <c r="J9" s="3">
        <f>'PEC Solid'!J9+'PEC Liquid'!J9+'PEC Gaseous'!J9</f>
        <v>14025.119999999999</v>
      </c>
      <c r="K9" s="3">
        <f>'PEC Solid'!K9+'PEC Liquid'!K9+'PEC Gaseous'!K9</f>
        <v>12910.41</v>
      </c>
      <c r="L9" s="3">
        <f>'PEC Solid'!L9+'PEC Liquid'!L9+'PEC Gaseous'!L9</f>
        <v>11540.513000000001</v>
      </c>
      <c r="M9" s="3">
        <f>'PEC Solid'!M9+'PEC Liquid'!M9+'PEC Gaseous'!M9</f>
        <v>12215.715</v>
      </c>
      <c r="N9" s="3">
        <f>'PEC Solid'!N9+'PEC Liquid'!N9+'PEC Gaseous'!N9</f>
        <v>12935.601999999999</v>
      </c>
      <c r="O9" s="3">
        <f>'PEC Solid'!O9+'PEC Liquid'!O9+'PEC Gaseous'!O9</f>
        <v>12229.489000000001</v>
      </c>
      <c r="P9" s="3">
        <f>'PEC Solid'!P9+'PEC Liquid'!P9+'PEC Gaseous'!P9</f>
        <v>12948.832999999999</v>
      </c>
      <c r="Q9" s="3">
        <f>'PEC Solid'!Q9+'PEC Liquid'!Q9+'PEC Gaseous'!Q9</f>
        <v>12231.233</v>
      </c>
      <c r="R9" s="3">
        <f>'PEC Solid'!R9+'PEC Liquid'!R9+'PEC Gaseous'!R9</f>
        <v>11811.797999999999</v>
      </c>
      <c r="S9" s="3">
        <f>'PEC Solid'!S9+'PEC Liquid'!S9+'PEC Gaseous'!S9</f>
        <v>10522.602000000001</v>
      </c>
      <c r="T9" s="3">
        <f>'PEC Solid'!T9+'PEC Liquid'!T9+'PEC Gaseous'!T9</f>
        <v>12158.146000000001</v>
      </c>
      <c r="U9" s="3">
        <f>'PEC Solid'!U9+'PEC Liquid'!U9+'PEC Gaseous'!U9</f>
        <v>13016.156999999999</v>
      </c>
      <c r="V9" s="3">
        <f ca="1">'PEC Solid'!V9+'PEC Liquid'!V9+'PEC Gaseous'!V9</f>
        <v>10414.221919621505</v>
      </c>
    </row>
    <row r="10" spans="1:22">
      <c r="B10" t="s">
        <v>179</v>
      </c>
      <c r="C10" t="s">
        <v>179</v>
      </c>
      <c r="D10" s="3">
        <f>'PEC Solid'!D10+'PEC Liquid'!D10+'PEC Gaseous'!D10</f>
        <v>2418.4839999999999</v>
      </c>
      <c r="E10" s="3">
        <f>'PEC Solid'!E10+'PEC Liquid'!E10+'PEC Gaseous'!E10</f>
        <v>2517.114</v>
      </c>
      <c r="F10" s="3">
        <f>'PEC Solid'!F10+'PEC Liquid'!F10+'PEC Gaseous'!F10</f>
        <v>2623.933</v>
      </c>
      <c r="G10" s="3">
        <f>'PEC Solid'!G10+'PEC Liquid'!G10+'PEC Gaseous'!G10</f>
        <v>2748.3609999999999</v>
      </c>
      <c r="H10" s="3">
        <f>'PEC Solid'!H10+'PEC Liquid'!H10+'PEC Gaseous'!H10</f>
        <v>2656.777</v>
      </c>
      <c r="I10" s="3">
        <f>'PEC Solid'!I10+'PEC Liquid'!I10+'PEC Gaseous'!I10</f>
        <v>2558.6570000000002</v>
      </c>
      <c r="J10" s="3">
        <f>'PEC Solid'!J10+'PEC Liquid'!J10+'PEC Gaseous'!J10</f>
        <v>2520.453</v>
      </c>
      <c r="K10" s="3">
        <f>'PEC Solid'!K10+'PEC Liquid'!K10+'PEC Gaseous'!K10</f>
        <v>2364.866</v>
      </c>
      <c r="L10" s="3">
        <f>'PEC Solid'!L10+'PEC Liquid'!L10+'PEC Gaseous'!L10</f>
        <v>2035.7629999999999</v>
      </c>
      <c r="M10" s="3">
        <f>'PEC Solid'!M10+'PEC Liquid'!M10+'PEC Gaseous'!M10</f>
        <v>2078.6849999999999</v>
      </c>
      <c r="N10" s="3">
        <f>'PEC Solid'!N10+'PEC Liquid'!N10+'PEC Gaseous'!N10</f>
        <v>2107.6779999999999</v>
      </c>
      <c r="O10" s="3">
        <f>'PEC Solid'!O10+'PEC Liquid'!O10+'PEC Gaseous'!O10</f>
        <v>2248.2330000000002</v>
      </c>
      <c r="P10" s="3">
        <f>'PEC Solid'!P10+'PEC Liquid'!P10+'PEC Gaseous'!P10</f>
        <v>2334.5329999999999</v>
      </c>
      <c r="Q10" s="3">
        <f>'PEC Solid'!Q10+'PEC Liquid'!Q10+'PEC Gaseous'!Q10</f>
        <v>2333.0729999999999</v>
      </c>
      <c r="R10" s="3">
        <f>'PEC Solid'!R10+'PEC Liquid'!R10+'PEC Gaseous'!R10</f>
        <v>2309.194</v>
      </c>
      <c r="S10" s="3">
        <f>'PEC Solid'!S10+'PEC Liquid'!S10+'PEC Gaseous'!S10</f>
        <v>1933.36</v>
      </c>
      <c r="T10" s="3">
        <f>'PEC Solid'!T10+'PEC Liquid'!T10+'PEC Gaseous'!T10</f>
        <v>2023.6100000000001</v>
      </c>
      <c r="U10" s="3">
        <f>'PEC Solid'!U10+'PEC Liquid'!U10+'PEC Gaseous'!U10</f>
        <v>2179.8719999999998</v>
      </c>
      <c r="V10" s="3">
        <f ca="1">'PEC Solid'!V10+'PEC Liquid'!V10+'PEC Gaseous'!V10</f>
        <v>2172.8458915680249</v>
      </c>
    </row>
    <row r="11" spans="1:22">
      <c r="B11" t="s">
        <v>180</v>
      </c>
      <c r="C11" t="s">
        <v>180</v>
      </c>
      <c r="D11" s="3">
        <f>'PEC Solid'!D11+'PEC Liquid'!D11+'PEC Gaseous'!D11</f>
        <v>34886.175000000003</v>
      </c>
      <c r="E11" s="3">
        <f>'PEC Solid'!E11+'PEC Liquid'!E11+'PEC Gaseous'!E11</f>
        <v>35405.347000000002</v>
      </c>
      <c r="F11" s="3">
        <f>'PEC Solid'!F11+'PEC Liquid'!F11+'PEC Gaseous'!F11</f>
        <v>35714.462999999996</v>
      </c>
      <c r="G11" s="3">
        <f>'PEC Solid'!G11+'PEC Liquid'!G11+'PEC Gaseous'!G11</f>
        <v>33876.146000000001</v>
      </c>
      <c r="H11" s="3">
        <f>'PEC Solid'!H11+'PEC Liquid'!H11+'PEC Gaseous'!H11</f>
        <v>31315.834999999999</v>
      </c>
      <c r="I11" s="3">
        <f>'PEC Solid'!I11+'PEC Liquid'!I11+'PEC Gaseous'!I11</f>
        <v>33336.945</v>
      </c>
      <c r="J11" s="3">
        <f>'PEC Solid'!J11+'PEC Liquid'!J11+'PEC Gaseous'!J11</f>
        <v>31478.903000000002</v>
      </c>
      <c r="K11" s="3">
        <f>'PEC Solid'!K11+'PEC Liquid'!K11+'PEC Gaseous'!K11</f>
        <v>30267.701999999997</v>
      </c>
      <c r="L11" s="3">
        <f>'PEC Solid'!L11+'PEC Liquid'!L11+'PEC Gaseous'!L11</f>
        <v>30102.167999999998</v>
      </c>
      <c r="M11" s="3">
        <f>'PEC Solid'!M11+'PEC Liquid'!M11+'PEC Gaseous'!M11</f>
        <v>28327.705999999998</v>
      </c>
      <c r="N11" s="3">
        <f>'PEC Solid'!N11+'PEC Liquid'!N11+'PEC Gaseous'!N11</f>
        <v>29280.521000000001</v>
      </c>
      <c r="O11" s="3">
        <f>'PEC Solid'!O11+'PEC Liquid'!O11+'PEC Gaseous'!O11</f>
        <v>30094.917999999998</v>
      </c>
      <c r="P11" s="3">
        <f>'PEC Solid'!P11+'PEC Liquid'!P11+'PEC Gaseous'!P11</f>
        <v>29761.059000000001</v>
      </c>
      <c r="Q11" s="3">
        <f>'PEC Solid'!Q11+'PEC Liquid'!Q11+'PEC Gaseous'!Q11</f>
        <v>29486.904000000002</v>
      </c>
      <c r="R11" s="3">
        <f>'PEC Solid'!R11+'PEC Liquid'!R11+'PEC Gaseous'!R11</f>
        <v>28249.552</v>
      </c>
      <c r="S11" s="3">
        <f>'PEC Solid'!S11+'PEC Liquid'!S11+'PEC Gaseous'!S11</f>
        <v>25702.414000000001</v>
      </c>
      <c r="T11" s="3">
        <f>'PEC Solid'!T11+'PEC Liquid'!T11+'PEC Gaseous'!T11</f>
        <v>27268.712000000003</v>
      </c>
      <c r="U11" s="3">
        <f>'PEC Solid'!U11+'PEC Liquid'!U11+'PEC Gaseous'!U11</f>
        <v>26663.871999999999</v>
      </c>
      <c r="V11" s="3">
        <f ca="1">'PEC Solid'!V11+'PEC Liquid'!V11+'PEC Gaseous'!V11</f>
        <v>24137.943341759023</v>
      </c>
    </row>
    <row r="12" spans="1:22">
      <c r="B12" t="s">
        <v>91</v>
      </c>
      <c r="C12" t="s">
        <v>91</v>
      </c>
      <c r="D12" s="3">
        <f>'PEC Solid'!D12+'PEC Liquid'!D12+'PEC Gaseous'!D12</f>
        <v>259549.64500000002</v>
      </c>
      <c r="E12" s="3">
        <f>'PEC Solid'!E12+'PEC Liquid'!E12+'PEC Gaseous'!E12</f>
        <v>266252.962</v>
      </c>
      <c r="F12" s="3">
        <f>'PEC Solid'!F12+'PEC Liquid'!F12+'PEC Gaseous'!F12</f>
        <v>252300.19500000001</v>
      </c>
      <c r="G12" s="3">
        <f>'PEC Solid'!G12+'PEC Liquid'!G12+'PEC Gaseous'!G12</f>
        <v>253857.834</v>
      </c>
      <c r="H12" s="3">
        <f>'PEC Solid'!H12+'PEC Liquid'!H12+'PEC Gaseous'!H12</f>
        <v>235553.56200000001</v>
      </c>
      <c r="I12" s="3">
        <f>'PEC Solid'!I12+'PEC Liquid'!I12+'PEC Gaseous'!I12</f>
        <v>245582.52900000001</v>
      </c>
      <c r="J12" s="3">
        <f>'PEC Solid'!J12+'PEC Liquid'!J12+'PEC Gaseous'!J12</f>
        <v>234593.326</v>
      </c>
      <c r="K12" s="3">
        <f>'PEC Solid'!K12+'PEC Liquid'!K12+'PEC Gaseous'!K12</f>
        <v>237476.16200000001</v>
      </c>
      <c r="L12" s="3">
        <f>'PEC Solid'!L12+'PEC Liquid'!L12+'PEC Gaseous'!L12</f>
        <v>245018.93900000001</v>
      </c>
      <c r="M12" s="3">
        <f>'PEC Solid'!M12+'PEC Liquid'!M12+'PEC Gaseous'!M12</f>
        <v>230579.02599999998</v>
      </c>
      <c r="N12" s="3">
        <f>'PEC Solid'!N12+'PEC Liquid'!N12+'PEC Gaseous'!N12</f>
        <v>233170.71100000001</v>
      </c>
      <c r="O12" s="3">
        <f>'PEC Solid'!O12+'PEC Liquid'!O12+'PEC Gaseous'!O12</f>
        <v>236811.23100000003</v>
      </c>
      <c r="P12" s="3">
        <f>'PEC Solid'!P12+'PEC Liquid'!P12+'PEC Gaseous'!P12</f>
        <v>237019.11699999997</v>
      </c>
      <c r="Q12" s="3">
        <f>'PEC Solid'!Q12+'PEC Liquid'!Q12+'PEC Gaseous'!Q12</f>
        <v>230008.04300000001</v>
      </c>
      <c r="R12" s="3">
        <f>'PEC Solid'!R12+'PEC Liquid'!R12+'PEC Gaseous'!R12</f>
        <v>220413.89899999998</v>
      </c>
      <c r="S12" s="3">
        <f>'PEC Solid'!S12+'PEC Liquid'!S12+'PEC Gaseous'!S12</f>
        <v>197360.64299999998</v>
      </c>
      <c r="T12" s="3">
        <f>'PEC Solid'!T12+'PEC Liquid'!T12+'PEC Gaseous'!T12</f>
        <v>205493.07200000001</v>
      </c>
      <c r="U12" s="3">
        <f>'PEC Solid'!U12+'PEC Liquid'!U12+'PEC Gaseous'!U12</f>
        <v>202424.78699999998</v>
      </c>
      <c r="V12" s="3">
        <f ca="1">'PEC Solid'!V12+'PEC Liquid'!V12+'PEC Gaseous'!V12</f>
        <v>183658.04736012465</v>
      </c>
    </row>
    <row r="13" spans="1:22">
      <c r="B13" t="s">
        <v>115</v>
      </c>
      <c r="C13" t="s">
        <v>115</v>
      </c>
      <c r="D13" s="3">
        <f>'PEC Solid'!D13+'PEC Liquid'!D13+'PEC Gaseous'!D13</f>
        <v>16080.203000000001</v>
      </c>
      <c r="E13" s="3">
        <f>'PEC Solid'!E13+'PEC Liquid'!E13+'PEC Gaseous'!E13</f>
        <v>18131.488000000001</v>
      </c>
      <c r="F13" s="3">
        <f>'PEC Solid'!F13+'PEC Liquid'!F13+'PEC Gaseous'!F13</f>
        <v>16815.2</v>
      </c>
      <c r="G13" s="3">
        <f>'PEC Solid'!G13+'PEC Liquid'!G13+'PEC Gaseous'!G13</f>
        <v>16077.487999999999</v>
      </c>
      <c r="H13" s="3">
        <f>'PEC Solid'!H13+'PEC Liquid'!H13+'PEC Gaseous'!H13</f>
        <v>15352.898000000001</v>
      </c>
      <c r="I13" s="3">
        <f>'PEC Solid'!I13+'PEC Liquid'!I13+'PEC Gaseous'!I13</f>
        <v>15750.504999999999</v>
      </c>
      <c r="J13" s="3">
        <f>'PEC Solid'!J13+'PEC Liquid'!J13+'PEC Gaseous'!J13</f>
        <v>13992.986000000001</v>
      </c>
      <c r="K13" s="3">
        <f>'PEC Solid'!K13+'PEC Liquid'!K13+'PEC Gaseous'!K13</f>
        <v>12741.588</v>
      </c>
      <c r="L13" s="3">
        <f>'PEC Solid'!L13+'PEC Liquid'!L13+'PEC Gaseous'!L13</f>
        <v>13034.398999999999</v>
      </c>
      <c r="M13" s="3">
        <f>'PEC Solid'!M13+'PEC Liquid'!M13+'PEC Gaseous'!M13</f>
        <v>11750.947</v>
      </c>
      <c r="N13" s="3">
        <f>'PEC Solid'!N13+'PEC Liquid'!N13+'PEC Gaseous'!N13</f>
        <v>11106.564999999999</v>
      </c>
      <c r="O13" s="3">
        <f>'PEC Solid'!O13+'PEC Liquid'!O13+'PEC Gaseous'!O13</f>
        <v>11454.957</v>
      </c>
      <c r="P13" s="3">
        <f>'PEC Solid'!P13+'PEC Liquid'!P13+'PEC Gaseous'!P13</f>
        <v>11045.383</v>
      </c>
      <c r="Q13" s="3">
        <f>'PEC Solid'!Q13+'PEC Liquid'!Q13+'PEC Gaseous'!Q13</f>
        <v>11065.200999999999</v>
      </c>
      <c r="R13" s="3">
        <f>'PEC Solid'!R13+'PEC Liquid'!R13+'PEC Gaseous'!R13</f>
        <v>10226.82</v>
      </c>
      <c r="S13" s="3">
        <f>'PEC Solid'!S13+'PEC Liquid'!S13+'PEC Gaseous'!S13</f>
        <v>8557.768</v>
      </c>
      <c r="T13" s="3">
        <f>'PEC Solid'!T13+'PEC Liquid'!T13+'PEC Gaseous'!T13</f>
        <v>8864.3439999999991</v>
      </c>
      <c r="U13" s="3">
        <f>'PEC Solid'!U13+'PEC Liquid'!U13+'PEC Gaseous'!U13</f>
        <v>8939.8760000000002</v>
      </c>
      <c r="V13" s="3">
        <f ca="1">'PEC Solid'!V13+'PEC Liquid'!V13+'PEC Gaseous'!V13</f>
        <v>8527.164700415542</v>
      </c>
    </row>
    <row r="14" spans="1:22">
      <c r="B14" t="s">
        <v>120</v>
      </c>
      <c r="C14" t="s">
        <v>120</v>
      </c>
      <c r="D14" s="3">
        <f>'PEC Solid'!D14+'PEC Liquid'!D14+'PEC Gaseous'!D14</f>
        <v>4829.7659999999996</v>
      </c>
      <c r="E14" s="3">
        <f>'PEC Solid'!E14+'PEC Liquid'!E14+'PEC Gaseous'!E14</f>
        <v>4753.723</v>
      </c>
      <c r="F14" s="3">
        <f>'PEC Solid'!F14+'PEC Liquid'!F14+'PEC Gaseous'!F14</f>
        <v>5758.2620000000006</v>
      </c>
      <c r="G14" s="3">
        <f>'PEC Solid'!G14+'PEC Liquid'!G14+'PEC Gaseous'!G14</f>
        <v>4808.1779999999999</v>
      </c>
      <c r="H14" s="3">
        <f>'PEC Solid'!H14+'PEC Liquid'!H14+'PEC Gaseous'!H14</f>
        <v>3599.7470000000003</v>
      </c>
      <c r="I14" s="3">
        <f>'PEC Solid'!I14+'PEC Liquid'!I14+'PEC Gaseous'!I14</f>
        <v>5259.59</v>
      </c>
      <c r="J14" s="3">
        <f>'PEC Solid'!J14+'PEC Liquid'!J14+'PEC Gaseous'!J14</f>
        <v>5158.8020000000006</v>
      </c>
      <c r="K14" s="3">
        <f>'PEC Solid'!K14+'PEC Liquid'!K14+'PEC Gaseous'!K14</f>
        <v>4532.8679999999995</v>
      </c>
      <c r="L14" s="3">
        <f>'PEC Solid'!L14+'PEC Liquid'!L14+'PEC Gaseous'!L14</f>
        <v>5076.09</v>
      </c>
      <c r="M14" s="3">
        <f>'PEC Solid'!M14+'PEC Liquid'!M14+'PEC Gaseous'!M14</f>
        <v>4790.482</v>
      </c>
      <c r="N14" s="3">
        <f>'PEC Solid'!N14+'PEC Liquid'!N14+'PEC Gaseous'!N14</f>
        <v>3857.5390000000002</v>
      </c>
      <c r="O14" s="3">
        <f>'PEC Solid'!O14+'PEC Liquid'!O14+'PEC Gaseous'!O14</f>
        <v>5085.6419999999998</v>
      </c>
      <c r="P14" s="3">
        <f>'PEC Solid'!P14+'PEC Liquid'!P14+'PEC Gaseous'!P14</f>
        <v>4889.8319999999994</v>
      </c>
      <c r="Q14" s="3">
        <f>'PEC Solid'!Q14+'PEC Liquid'!Q14+'PEC Gaseous'!Q14</f>
        <v>4552.5450000000001</v>
      </c>
      <c r="R14" s="3">
        <f>'PEC Solid'!R14+'PEC Liquid'!R14+'PEC Gaseous'!R14</f>
        <v>3387.2860000000001</v>
      </c>
      <c r="S14" s="3">
        <f>'PEC Solid'!S14+'PEC Liquid'!S14+'PEC Gaseous'!S14</f>
        <v>2652.6439999999998</v>
      </c>
      <c r="T14" s="3">
        <f>'PEC Solid'!T14+'PEC Liquid'!T14+'PEC Gaseous'!T14</f>
        <v>2869.4359999999997</v>
      </c>
      <c r="U14" s="3">
        <f>'PEC Solid'!U14+'PEC Liquid'!U14+'PEC Gaseous'!U14</f>
        <v>3280.7979999999998</v>
      </c>
      <c r="V14" s="3">
        <f ca="1">'PEC Solid'!V14+'PEC Liquid'!V14+'PEC Gaseous'!V14</f>
        <v>2687.7163159561333</v>
      </c>
    </row>
    <row r="15" spans="1:22">
      <c r="B15" t="s">
        <v>85</v>
      </c>
      <c r="C15" t="s">
        <v>85</v>
      </c>
      <c r="D15" s="3">
        <f>'PEC Solid'!D15+'PEC Liquid'!D15+'PEC Gaseous'!D15</f>
        <v>112725.856</v>
      </c>
      <c r="E15" s="3">
        <f>'PEC Solid'!E15+'PEC Liquid'!E15+'PEC Gaseous'!E15</f>
        <v>111949.57</v>
      </c>
      <c r="F15" s="3">
        <f>'PEC Solid'!F15+'PEC Liquid'!F15+'PEC Gaseous'!F15</f>
        <v>114808.671</v>
      </c>
      <c r="G15" s="3">
        <f>'PEC Solid'!G15+'PEC Liquid'!G15+'PEC Gaseous'!G15</f>
        <v>108781.31300000001</v>
      </c>
      <c r="H15" s="3">
        <f>'PEC Solid'!H15+'PEC Liquid'!H15+'PEC Gaseous'!H15</f>
        <v>96936.63</v>
      </c>
      <c r="I15" s="3">
        <f>'PEC Solid'!I15+'PEC Liquid'!I15+'PEC Gaseous'!I15</f>
        <v>92222.720000000001</v>
      </c>
      <c r="J15" s="3">
        <f>'PEC Solid'!J15+'PEC Liquid'!J15+'PEC Gaseous'!J15</f>
        <v>92954.934000000008</v>
      </c>
      <c r="K15" s="3">
        <f>'PEC Solid'!K15+'PEC Liquid'!K15+'PEC Gaseous'!K15</f>
        <v>91531.951000000001</v>
      </c>
      <c r="L15" s="3">
        <f>'PEC Solid'!L15+'PEC Liquid'!L15+'PEC Gaseous'!L15</f>
        <v>83398.328999999998</v>
      </c>
      <c r="M15" s="3">
        <f>'PEC Solid'!M15+'PEC Liquid'!M15+'PEC Gaseous'!M15</f>
        <v>81052.995999999999</v>
      </c>
      <c r="N15" s="3">
        <f>'PEC Solid'!N15+'PEC Liquid'!N15+'PEC Gaseous'!N15</f>
        <v>86249.666999999987</v>
      </c>
      <c r="O15" s="3">
        <f>'PEC Solid'!O15+'PEC Liquid'!O15+'PEC Gaseous'!O15</f>
        <v>85079.86</v>
      </c>
      <c r="P15" s="3">
        <f>'PEC Solid'!P15+'PEC Liquid'!P15+'PEC Gaseous'!P15</f>
        <v>92550.042000000001</v>
      </c>
      <c r="Q15" s="3">
        <f>'PEC Solid'!Q15+'PEC Liquid'!Q15+'PEC Gaseous'!Q15</f>
        <v>90889.206999999995</v>
      </c>
      <c r="R15" s="3">
        <f>'PEC Solid'!R15+'PEC Liquid'!R15+'PEC Gaseous'!R15</f>
        <v>86778.421000000002</v>
      </c>
      <c r="S15" s="3">
        <f>'PEC Solid'!S15+'PEC Liquid'!S15+'PEC Gaseous'!S15</f>
        <v>70901.197</v>
      </c>
      <c r="T15" s="3">
        <f>'PEC Solid'!T15+'PEC Liquid'!T15+'PEC Gaseous'!T15</f>
        <v>77387.399000000005</v>
      </c>
      <c r="U15" s="3">
        <f>'PEC Solid'!U15+'PEC Liquid'!U15+'PEC Gaseous'!U15</f>
        <v>80721.114999999991</v>
      </c>
      <c r="V15" s="3">
        <f ca="1">'PEC Solid'!V15+'PEC Liquid'!V15+'PEC Gaseous'!V15</f>
        <v>74719.246722400334</v>
      </c>
    </row>
    <row r="16" spans="1:22">
      <c r="B16" t="s">
        <v>2</v>
      </c>
      <c r="C16" t="s">
        <v>2</v>
      </c>
      <c r="D16" s="3">
        <f>'PEC Solid'!D16+'PEC Liquid'!D16+'PEC Gaseous'!D16</f>
        <v>17902.182000000001</v>
      </c>
      <c r="E16" s="3">
        <f>'PEC Solid'!E16+'PEC Liquid'!E16+'PEC Gaseous'!E16</f>
        <v>20999.703999999998</v>
      </c>
      <c r="F16" s="3">
        <f>'PEC Solid'!F16+'PEC Liquid'!F16+'PEC Gaseous'!F16</f>
        <v>20155.611000000001</v>
      </c>
      <c r="G16" s="3">
        <f>'PEC Solid'!G16+'PEC Liquid'!G16+'PEC Gaseous'!G16</f>
        <v>18289.100999999999</v>
      </c>
      <c r="H16" s="3">
        <f>'PEC Solid'!H16+'PEC Liquid'!H16+'PEC Gaseous'!H16</f>
        <v>17390.061999999998</v>
      </c>
      <c r="I16" s="3">
        <f>'PEC Solid'!I16+'PEC Liquid'!I16+'PEC Gaseous'!I16</f>
        <v>19534.726999999999</v>
      </c>
      <c r="J16" s="3">
        <f>'PEC Solid'!J16+'PEC Liquid'!J16+'PEC Gaseous'!J16</f>
        <v>18138.171000000002</v>
      </c>
      <c r="K16" s="3">
        <f>'PEC Solid'!K16+'PEC Liquid'!K16+'PEC Gaseous'!K16</f>
        <v>15802.449000000001</v>
      </c>
      <c r="L16" s="3">
        <f>'PEC Solid'!L16+'PEC Liquid'!L16+'PEC Gaseous'!L16</f>
        <v>14870.361999999999</v>
      </c>
      <c r="M16" s="3">
        <f>'PEC Solid'!M16+'PEC Liquid'!M16+'PEC Gaseous'!M16</f>
        <v>14927.762000000001</v>
      </c>
      <c r="N16" s="3">
        <f>'PEC Solid'!N16+'PEC Liquid'!N16+'PEC Gaseous'!N16</f>
        <v>13457.846</v>
      </c>
      <c r="O16" s="3">
        <f>'PEC Solid'!O16+'PEC Liquid'!O16+'PEC Gaseous'!O16</f>
        <v>14139.936</v>
      </c>
      <c r="P16" s="3">
        <f>'PEC Solid'!P16+'PEC Liquid'!P16+'PEC Gaseous'!P16</f>
        <v>13504.574000000001</v>
      </c>
      <c r="Q16" s="3">
        <f>'PEC Solid'!Q16+'PEC Liquid'!Q16+'PEC Gaseous'!Q16</f>
        <v>13875.703000000001</v>
      </c>
      <c r="R16" s="3">
        <f>'PEC Solid'!R16+'PEC Liquid'!R16+'PEC Gaseous'!R16</f>
        <v>12765.948</v>
      </c>
      <c r="S16" s="3">
        <f>'PEC Solid'!S16+'PEC Liquid'!S16+'PEC Gaseous'!S16</f>
        <v>11344.281999999999</v>
      </c>
      <c r="T16" s="3">
        <f>'PEC Solid'!T16+'PEC Liquid'!T16+'PEC Gaseous'!T16</f>
        <v>11052.696</v>
      </c>
      <c r="U16" s="3">
        <f>'PEC Solid'!U16+'PEC Liquid'!U16+'PEC Gaseous'!U16</f>
        <v>10552.825999999999</v>
      </c>
      <c r="V16" s="3">
        <f ca="1">'PEC Solid'!V16+'PEC Liquid'!V16+'PEC Gaseous'!V16</f>
        <v>9582.4343816144319</v>
      </c>
    </row>
    <row r="17" spans="2:22">
      <c r="B17" t="s">
        <v>82</v>
      </c>
      <c r="C17" t="s">
        <v>82</v>
      </c>
      <c r="D17" s="3">
        <f>'PEC Solid'!D17+'PEC Liquid'!D17+'PEC Gaseous'!D17</f>
        <v>132909.75099999999</v>
      </c>
      <c r="E17" s="3">
        <f>'PEC Solid'!E17+'PEC Liquid'!E17+'PEC Gaseous'!E17</f>
        <v>129182.469</v>
      </c>
      <c r="F17" s="3">
        <f>'PEC Solid'!F17+'PEC Liquid'!F17+'PEC Gaseous'!F17</f>
        <v>126518.03099999999</v>
      </c>
      <c r="G17" s="3">
        <f>'PEC Solid'!G17+'PEC Liquid'!G17+'PEC Gaseous'!G17</f>
        <v>126474.908</v>
      </c>
      <c r="H17" s="3">
        <f>'PEC Solid'!H17+'PEC Liquid'!H17+'PEC Gaseous'!H17</f>
        <v>121724.50200000001</v>
      </c>
      <c r="I17" s="3">
        <f>'PEC Solid'!I17+'PEC Liquid'!I17+'PEC Gaseous'!I17</f>
        <v>123365.53099999999</v>
      </c>
      <c r="J17" s="3">
        <f>'PEC Solid'!J17+'PEC Liquid'!J17+'PEC Gaseous'!J17</f>
        <v>119094.14000000001</v>
      </c>
      <c r="K17" s="3">
        <f>'PEC Solid'!K17+'PEC Liquid'!K17+'PEC Gaseous'!K17</f>
        <v>119199.37700000001</v>
      </c>
      <c r="L17" s="3">
        <f>'PEC Solid'!L17+'PEC Liquid'!L17+'PEC Gaseous'!L17</f>
        <v>118949.38400000001</v>
      </c>
      <c r="M17" s="3">
        <f>'PEC Solid'!M17+'PEC Liquid'!M17+'PEC Gaseous'!M17</f>
        <v>108143.931</v>
      </c>
      <c r="N17" s="3">
        <f>'PEC Solid'!N17+'PEC Liquid'!N17+'PEC Gaseous'!N17</f>
        <v>111595.03200000001</v>
      </c>
      <c r="O17" s="3">
        <f>'PEC Solid'!O17+'PEC Liquid'!O17+'PEC Gaseous'!O17</f>
        <v>112444.936</v>
      </c>
      <c r="P17" s="3">
        <f>'PEC Solid'!P17+'PEC Liquid'!P17+'PEC Gaseous'!P17</f>
        <v>113330.71599999999</v>
      </c>
      <c r="Q17" s="3">
        <f>'PEC Solid'!Q17+'PEC Liquid'!Q17+'PEC Gaseous'!Q17</f>
        <v>109178.29800000001</v>
      </c>
      <c r="R17" s="3">
        <f>'PEC Solid'!R17+'PEC Liquid'!R17+'PEC Gaseous'!R17</f>
        <v>108708.318</v>
      </c>
      <c r="S17" s="3">
        <f>'PEC Solid'!S17+'PEC Liquid'!S17+'PEC Gaseous'!S17</f>
        <v>92247.52900000001</v>
      </c>
      <c r="T17" s="3">
        <f>'PEC Solid'!T17+'PEC Liquid'!T17+'PEC Gaseous'!T17</f>
        <v>100928.07699999999</v>
      </c>
      <c r="U17" s="3">
        <f>'PEC Solid'!U17+'PEC Liquid'!U17+'PEC Gaseous'!U17</f>
        <v>99461.067999999999</v>
      </c>
      <c r="V17" s="3">
        <f ca="1">'PEC Solid'!V17+'PEC Liquid'!V17+'PEC Gaseous'!V17</f>
        <v>92679.044943968009</v>
      </c>
    </row>
    <row r="18" spans="2:22">
      <c r="B18" t="s">
        <v>181</v>
      </c>
      <c r="C18" t="s">
        <v>182</v>
      </c>
      <c r="D18" s="3">
        <f>'PEC Solid'!D18+'PEC Liquid'!D18+'PEC Gaseous'!D18</f>
        <v>28237.07</v>
      </c>
      <c r="E18" s="3">
        <f>'PEC Solid'!E18+'PEC Liquid'!E18+'PEC Gaseous'!E18</f>
        <v>28058.25</v>
      </c>
      <c r="F18" s="3">
        <f>'PEC Solid'!F18+'PEC Liquid'!F18+'PEC Gaseous'!F18</f>
        <v>28171.984</v>
      </c>
      <c r="G18" s="3">
        <f>'PEC Solid'!G18+'PEC Liquid'!G18+'PEC Gaseous'!G18</f>
        <v>28233.106000000003</v>
      </c>
      <c r="H18" s="3">
        <f>'PEC Solid'!H18+'PEC Liquid'!H18+'PEC Gaseous'!H18</f>
        <v>27131.139999999996</v>
      </c>
      <c r="I18" s="3">
        <f>'PEC Solid'!I18+'PEC Liquid'!I18+'PEC Gaseous'!I18</f>
        <v>24524.963</v>
      </c>
      <c r="J18" s="3">
        <f>'PEC Solid'!J18+'PEC Liquid'!J18+'PEC Gaseous'!J18</f>
        <v>24149.864999999998</v>
      </c>
      <c r="K18" s="3">
        <f>'PEC Solid'!K18+'PEC Liquid'!K18+'PEC Gaseous'!K18</f>
        <v>23861.822999999997</v>
      </c>
      <c r="L18" s="3">
        <f>'PEC Solid'!L18+'PEC Liquid'!L18+'PEC Gaseous'!L18</f>
        <v>20558.880999999998</v>
      </c>
      <c r="M18" s="3">
        <f>'PEC Solid'!M18+'PEC Liquid'!M18+'PEC Gaseous'!M18</f>
        <v>20004.061000000002</v>
      </c>
      <c r="N18" s="3">
        <f>'PEC Solid'!N18+'PEC Liquid'!N18+'PEC Gaseous'!N18</f>
        <v>19632.827000000001</v>
      </c>
      <c r="O18" s="3">
        <f>'PEC Solid'!O18+'PEC Liquid'!O18+'PEC Gaseous'!O18</f>
        <v>19541.659</v>
      </c>
      <c r="P18" s="3">
        <f>'PEC Solid'!P18+'PEC Liquid'!P18+'PEC Gaseous'!P18</f>
        <v>20073.707000000002</v>
      </c>
      <c r="Q18" s="3">
        <f>'PEC Solid'!Q18+'PEC Liquid'!Q18+'PEC Gaseous'!Q18</f>
        <v>19222.260000000002</v>
      </c>
      <c r="R18" s="3">
        <f>'PEC Solid'!R18+'PEC Liquid'!R18+'PEC Gaseous'!R18</f>
        <v>18564.010000000002</v>
      </c>
      <c r="S18" s="3">
        <f>'PEC Solid'!S18+'PEC Liquid'!S18+'PEC Gaseous'!S18</f>
        <v>15505.957999999999</v>
      </c>
      <c r="T18" s="3">
        <f>'PEC Solid'!T18+'PEC Liquid'!T18+'PEC Gaseous'!T18</f>
        <v>16611.118000000002</v>
      </c>
      <c r="U18" s="3">
        <f>'PEC Solid'!U18+'PEC Liquid'!U18+'PEC Gaseous'!U18</f>
        <v>17416.292999999998</v>
      </c>
      <c r="V18" s="3">
        <f ca="1">'PEC Solid'!V18+'PEC Liquid'!V18+'PEC Gaseous'!V18</f>
        <v>16397.835324142474</v>
      </c>
    </row>
    <row r="19" spans="2:22">
      <c r="B19" t="s">
        <v>183</v>
      </c>
      <c r="C19" t="s">
        <v>183</v>
      </c>
      <c r="D19" s="3">
        <f>'PEC Solid'!D19+'PEC Liquid'!D19+'PEC Gaseous'!D19</f>
        <v>6904.6620000000003</v>
      </c>
      <c r="E19" s="3">
        <f>'PEC Solid'!E19+'PEC Liquid'!E19+'PEC Gaseous'!E19</f>
        <v>6943.4779999999992</v>
      </c>
      <c r="F19" s="3">
        <f>'PEC Solid'!F19+'PEC Liquid'!F19+'PEC Gaseous'!F19</f>
        <v>7383.4439999999995</v>
      </c>
      <c r="G19" s="3">
        <f>'PEC Solid'!G19+'PEC Liquid'!G19+'PEC Gaseous'!G19</f>
        <v>7038.7280000000001</v>
      </c>
      <c r="H19" s="3">
        <f>'PEC Solid'!H19+'PEC Liquid'!H19+'PEC Gaseous'!H19</f>
        <v>6679.817</v>
      </c>
      <c r="I19" s="3">
        <f>'PEC Solid'!I19+'PEC Liquid'!I19+'PEC Gaseous'!I19</f>
        <v>6445.0609999999997</v>
      </c>
      <c r="J19" s="3">
        <f>'PEC Solid'!J19+'PEC Liquid'!J19+'PEC Gaseous'!J19</f>
        <v>6324.5940000000001</v>
      </c>
      <c r="K19" s="3">
        <f>'PEC Solid'!K19+'PEC Liquid'!K19+'PEC Gaseous'!K19</f>
        <v>5782.3220000000001</v>
      </c>
      <c r="L19" s="3">
        <f>'PEC Solid'!L19+'PEC Liquid'!L19+'PEC Gaseous'!L19</f>
        <v>5577.28</v>
      </c>
      <c r="M19" s="3">
        <f>'PEC Solid'!M19+'PEC Liquid'!M19+'PEC Gaseous'!M19</f>
        <v>5242.6679999999997</v>
      </c>
      <c r="N19" s="3">
        <f>'PEC Solid'!N19+'PEC Liquid'!N19+'PEC Gaseous'!N19</f>
        <v>5405.0190000000002</v>
      </c>
      <c r="O19" s="3">
        <f>'PEC Solid'!O19+'PEC Liquid'!O19+'PEC Gaseous'!O19</f>
        <v>5557.4359999999997</v>
      </c>
      <c r="P19" s="3">
        <f>'PEC Solid'!P19+'PEC Liquid'!P19+'PEC Gaseous'!P19</f>
        <v>5826.7910000000002</v>
      </c>
      <c r="Q19" s="3">
        <f>'PEC Solid'!Q19+'PEC Liquid'!Q19+'PEC Gaseous'!Q19</f>
        <v>5524.4130000000005</v>
      </c>
      <c r="R19" s="3">
        <f>'PEC Solid'!R19+'PEC Liquid'!R19+'PEC Gaseous'!R19</f>
        <v>5532.61</v>
      </c>
      <c r="S19" s="3">
        <f>'PEC Solid'!S19+'PEC Liquid'!S19+'PEC Gaseous'!S19</f>
        <v>5140.2169999999996</v>
      </c>
      <c r="T19" s="3">
        <f>'PEC Solid'!T19+'PEC Liquid'!T19+'PEC Gaseous'!T19</f>
        <v>5382.9380000000001</v>
      </c>
      <c r="U19" s="3">
        <f>'PEC Solid'!U19+'PEC Liquid'!U19+'PEC Gaseous'!U19</f>
        <v>5639.4579999999996</v>
      </c>
      <c r="V19" s="3">
        <f ca="1">'PEC Solid'!V19+'PEC Liquid'!V19+'PEC Gaseous'!V19</f>
        <v>5640.9365449762445</v>
      </c>
    </row>
    <row r="20" spans="2:22">
      <c r="B20" t="s">
        <v>88</v>
      </c>
      <c r="C20" t="s">
        <v>88</v>
      </c>
      <c r="D20" s="3">
        <f>'PEC Solid'!D20+'PEC Liquid'!D20+'PEC Gaseous'!D20</f>
        <v>20436.688000000002</v>
      </c>
      <c r="E20" s="3">
        <f>'PEC Solid'!E20+'PEC Liquid'!E20+'PEC Gaseous'!E20</f>
        <v>20070.63</v>
      </c>
      <c r="F20" s="3">
        <f>'PEC Solid'!F20+'PEC Liquid'!F20+'PEC Gaseous'!F20</f>
        <v>19236.849000000002</v>
      </c>
      <c r="G20" s="3">
        <f>'PEC Solid'!G20+'PEC Liquid'!G20+'PEC Gaseous'!G20</f>
        <v>18897.273999999998</v>
      </c>
      <c r="H20" s="3">
        <f>'PEC Solid'!H20+'PEC Liquid'!H20+'PEC Gaseous'!H20</f>
        <v>16979.77</v>
      </c>
      <c r="I20" s="3">
        <f>'PEC Solid'!I20+'PEC Liquid'!I20+'PEC Gaseous'!I20</f>
        <v>17343.178</v>
      </c>
      <c r="J20" s="3">
        <f>'PEC Solid'!J20+'PEC Liquid'!J20+'PEC Gaseous'!J20</f>
        <v>16867.743999999999</v>
      </c>
      <c r="K20" s="3">
        <f>'PEC Solid'!K20+'PEC Liquid'!K20+'PEC Gaseous'!K20</f>
        <v>15420.867</v>
      </c>
      <c r="L20" s="3">
        <f>'PEC Solid'!L20+'PEC Liquid'!L20+'PEC Gaseous'!L20</f>
        <v>14319.878000000001</v>
      </c>
      <c r="M20" s="3">
        <f>'PEC Solid'!M20+'PEC Liquid'!M20+'PEC Gaseous'!M20</f>
        <v>13943.484</v>
      </c>
      <c r="N20" s="3">
        <f>'PEC Solid'!N20+'PEC Liquid'!N20+'PEC Gaseous'!N20</f>
        <v>14975.113000000001</v>
      </c>
      <c r="O20" s="3">
        <f>'PEC Solid'!O20+'PEC Liquid'!O20+'PEC Gaseous'!O20</f>
        <v>15330.835999999999</v>
      </c>
      <c r="P20" s="3">
        <f>'PEC Solid'!P20+'PEC Liquid'!P20+'PEC Gaseous'!P20</f>
        <v>16141.409</v>
      </c>
      <c r="Q20" s="3">
        <f>'PEC Solid'!Q20+'PEC Liquid'!Q20+'PEC Gaseous'!Q20</f>
        <v>16257.296</v>
      </c>
      <c r="R20" s="3">
        <f>'PEC Solid'!R20+'PEC Liquid'!R20+'PEC Gaseous'!R20</f>
        <v>16350.53</v>
      </c>
      <c r="S20" s="3">
        <f>'PEC Solid'!S20+'PEC Liquid'!S20+'PEC Gaseous'!S20</f>
        <v>15671.375</v>
      </c>
      <c r="T20" s="3">
        <f>'PEC Solid'!T20+'PEC Liquid'!T20+'PEC Gaseous'!T20</f>
        <v>16341.571</v>
      </c>
      <c r="U20" s="3">
        <f>'PEC Solid'!U20+'PEC Liquid'!U20+'PEC Gaseous'!U20</f>
        <v>15362.309000000001</v>
      </c>
      <c r="V20" s="3">
        <f ca="1">'PEC Solid'!V20+'PEC Liquid'!V20+'PEC Gaseous'!V20</f>
        <v>13912.736373991644</v>
      </c>
    </row>
    <row r="21" spans="2:22">
      <c r="B21" t="s">
        <v>133</v>
      </c>
      <c r="C21" t="s">
        <v>133</v>
      </c>
      <c r="D21" s="3">
        <f>'PEC Solid'!D21+'PEC Liquid'!D21+'PEC Gaseous'!D21</f>
        <v>14405.141</v>
      </c>
      <c r="E21" s="3">
        <f>'PEC Solid'!E21+'PEC Liquid'!E21+'PEC Gaseous'!E21</f>
        <v>14546.541000000001</v>
      </c>
      <c r="F21" s="3">
        <f>'PEC Solid'!F21+'PEC Liquid'!F21+'PEC Gaseous'!F21</f>
        <v>15387.084999999999</v>
      </c>
      <c r="G21" s="3">
        <f>'PEC Solid'!G21+'PEC Liquid'!G21+'PEC Gaseous'!G21</f>
        <v>15036.015000000001</v>
      </c>
      <c r="H21" s="3">
        <f>'PEC Solid'!H21+'PEC Liquid'!H21+'PEC Gaseous'!H21</f>
        <v>14159.843000000001</v>
      </c>
      <c r="I21" s="3">
        <f>'PEC Solid'!I21+'PEC Liquid'!I21+'PEC Gaseous'!I21</f>
        <v>13994.396000000001</v>
      </c>
      <c r="J21" s="3">
        <f>'PEC Solid'!J21+'PEC Liquid'!J21+'PEC Gaseous'!J21</f>
        <v>12695.527</v>
      </c>
      <c r="K21" s="3">
        <f>'PEC Solid'!K21+'PEC Liquid'!K21+'PEC Gaseous'!K21</f>
        <v>12836.315000000001</v>
      </c>
      <c r="L21" s="3">
        <f>'PEC Solid'!L21+'PEC Liquid'!L21+'PEC Gaseous'!L21</f>
        <v>11863.665999999999</v>
      </c>
      <c r="M21" s="3">
        <f>'PEC Solid'!M21+'PEC Liquid'!M21+'PEC Gaseous'!M21</f>
        <v>11934.413999999999</v>
      </c>
      <c r="N21" s="3">
        <f>'PEC Solid'!N21+'PEC Liquid'!N21+'PEC Gaseous'!N21</f>
        <v>12678.566999999999</v>
      </c>
      <c r="O21" s="3">
        <f>'PEC Solid'!O21+'PEC Liquid'!O21+'PEC Gaseous'!O21</f>
        <v>13538.102000000001</v>
      </c>
      <c r="P21" s="3">
        <f>'PEC Solid'!P21+'PEC Liquid'!P21+'PEC Gaseous'!P21</f>
        <v>13189.814</v>
      </c>
      <c r="Q21" s="3">
        <f>'PEC Solid'!Q21+'PEC Liquid'!Q21+'PEC Gaseous'!Q21</f>
        <v>13037.048999999999</v>
      </c>
      <c r="R21" s="3">
        <f>'PEC Solid'!R21+'PEC Liquid'!R21+'PEC Gaseous'!R21</f>
        <v>12886.078999999998</v>
      </c>
      <c r="S21" s="3">
        <f>'PEC Solid'!S21+'PEC Liquid'!S21+'PEC Gaseous'!S21</f>
        <v>11601.325000000001</v>
      </c>
      <c r="T21" s="3">
        <f>'PEC Solid'!T21+'PEC Liquid'!T21+'PEC Gaseous'!T21</f>
        <v>11980.813</v>
      </c>
      <c r="U21" s="3">
        <f>'PEC Solid'!U21+'PEC Liquid'!U21+'PEC Gaseous'!U21</f>
        <v>12418.437</v>
      </c>
      <c r="V21" s="3">
        <f ca="1">'PEC Solid'!V21+'PEC Liquid'!V21+'PEC Gaseous'!V21</f>
        <v>11731.516424677104</v>
      </c>
    </row>
    <row r="22" spans="2:22">
      <c r="B22" t="s">
        <v>157</v>
      </c>
      <c r="C22" t="s">
        <v>157</v>
      </c>
      <c r="D22" s="3">
        <f>'PEC Solid'!D22+'PEC Liquid'!D22+'PEC Gaseous'!D22</f>
        <v>161828.383</v>
      </c>
      <c r="E22" s="3">
        <f>'PEC Solid'!E22+'PEC Liquid'!E22+'PEC Gaseous'!E22</f>
        <v>158989.95400000003</v>
      </c>
      <c r="F22" s="3">
        <f>'PEC Solid'!F22+'PEC Liquid'!F22+'PEC Gaseous'!F22</f>
        <v>156921.84900000002</v>
      </c>
      <c r="G22" s="3">
        <f>'PEC Solid'!G22+'PEC Liquid'!G22+'PEC Gaseous'!G22</f>
        <v>152218.19399999999</v>
      </c>
      <c r="H22" s="3">
        <f>'PEC Solid'!H22+'PEC Liquid'!H22+'PEC Gaseous'!H22</f>
        <v>138388.79399999999</v>
      </c>
      <c r="I22" s="3">
        <f>'PEC Solid'!I22+'PEC Liquid'!I22+'PEC Gaseous'!I22</f>
        <v>140582.041</v>
      </c>
      <c r="J22" s="3">
        <f>'PEC Solid'!J22+'PEC Liquid'!J22+'PEC Gaseous'!J22</f>
        <v>135911.397</v>
      </c>
      <c r="K22" s="3">
        <f>'PEC Solid'!K22+'PEC Liquid'!K22+'PEC Gaseous'!K22</f>
        <v>127837.432</v>
      </c>
      <c r="L22" s="3">
        <f>'PEC Solid'!L22+'PEC Liquid'!L22+'PEC Gaseous'!L22</f>
        <v>120919.908</v>
      </c>
      <c r="M22" s="3">
        <f>'PEC Solid'!M22+'PEC Liquid'!M22+'PEC Gaseous'!M22</f>
        <v>111229.393</v>
      </c>
      <c r="N22" s="3">
        <f>'PEC Solid'!N22+'PEC Liquid'!N22+'PEC Gaseous'!N22</f>
        <v>117718.501</v>
      </c>
      <c r="O22" s="3">
        <f>'PEC Solid'!O22+'PEC Liquid'!O22+'PEC Gaseous'!O22</f>
        <v>117651.39600000001</v>
      </c>
      <c r="P22" s="3">
        <f>'PEC Solid'!P22+'PEC Liquid'!P22+'PEC Gaseous'!P22</f>
        <v>118457.29</v>
      </c>
      <c r="Q22" s="3">
        <f>'PEC Solid'!Q22+'PEC Liquid'!Q22+'PEC Gaseous'!Q22</f>
        <v>115696.144</v>
      </c>
      <c r="R22" s="3">
        <f>'PEC Solid'!R22+'PEC Liquid'!R22+'PEC Gaseous'!R22</f>
        <v>114459.906</v>
      </c>
      <c r="S22" s="3">
        <f>'PEC Solid'!S22+'PEC Liquid'!S22+'PEC Gaseous'!S22</f>
        <v>101521.20600000001</v>
      </c>
      <c r="T22" s="3">
        <f>'PEC Solid'!T22+'PEC Liquid'!T22+'PEC Gaseous'!T22</f>
        <v>113107.71400000001</v>
      </c>
      <c r="U22" s="3">
        <f>'PEC Solid'!U22+'PEC Liquid'!U22+'PEC Gaseous'!U22</f>
        <v>109382.66099999999</v>
      </c>
      <c r="V22" s="3">
        <f ca="1">'PEC Solid'!V22+'PEC Liquid'!V22+'PEC Gaseous'!V22</f>
        <v>100913.4127788402</v>
      </c>
    </row>
    <row r="23" spans="2:22">
      <c r="B23" t="s">
        <v>137</v>
      </c>
      <c r="C23" t="s">
        <v>137</v>
      </c>
      <c r="D23" s="3">
        <f>'PEC Solid'!D23+'PEC Liquid'!D23+'PEC Gaseous'!D23</f>
        <v>4617.1469999999999</v>
      </c>
      <c r="E23" s="3">
        <f>'PEC Solid'!E23+'PEC Liquid'!E23+'PEC Gaseous'!E23</f>
        <v>4624.7820000000002</v>
      </c>
      <c r="F23" s="3">
        <f>'PEC Solid'!F23+'PEC Liquid'!F23+'PEC Gaseous'!F23</f>
        <v>4578.3040000000001</v>
      </c>
      <c r="G23" s="3">
        <f>'PEC Solid'!G23+'PEC Liquid'!G23+'PEC Gaseous'!G23</f>
        <v>4636.92</v>
      </c>
      <c r="H23" s="3">
        <f>'PEC Solid'!H23+'PEC Liquid'!H23+'PEC Gaseous'!H23</f>
        <v>4170.5589999999993</v>
      </c>
      <c r="I23" s="3">
        <f>'PEC Solid'!I23+'PEC Liquid'!I23+'PEC Gaseous'!I23</f>
        <v>4587.0479999999998</v>
      </c>
      <c r="J23" s="3">
        <f>'PEC Solid'!J23+'PEC Liquid'!J23+'PEC Gaseous'!J23</f>
        <v>4269.74</v>
      </c>
      <c r="K23" s="3">
        <f>'PEC Solid'!K23+'PEC Liquid'!K23+'PEC Gaseous'!K23</f>
        <v>4254.08</v>
      </c>
      <c r="L23" s="3">
        <f>'PEC Solid'!L23+'PEC Liquid'!L23+'PEC Gaseous'!L23</f>
        <v>3978.8540000000003</v>
      </c>
      <c r="M23" s="3">
        <f>'PEC Solid'!M23+'PEC Liquid'!M23+'PEC Gaseous'!M23</f>
        <v>3801.7060000000001</v>
      </c>
      <c r="N23" s="3">
        <f>'PEC Solid'!N23+'PEC Liquid'!N23+'PEC Gaseous'!N23</f>
        <v>3732.2420000000002</v>
      </c>
      <c r="O23" s="3">
        <f>'PEC Solid'!O23+'PEC Liquid'!O23+'PEC Gaseous'!O23</f>
        <v>3814.395</v>
      </c>
      <c r="P23" s="3">
        <f>'PEC Solid'!P23+'PEC Liquid'!P23+'PEC Gaseous'!P23</f>
        <v>3807.9119999999998</v>
      </c>
      <c r="Q23" s="3">
        <f>'PEC Solid'!Q23+'PEC Liquid'!Q23+'PEC Gaseous'!Q23</f>
        <v>3942.0239999999999</v>
      </c>
      <c r="R23" s="3">
        <f>'PEC Solid'!R23+'PEC Liquid'!R23+'PEC Gaseous'!R23</f>
        <v>3875.143</v>
      </c>
      <c r="S23" s="3">
        <f>'PEC Solid'!S23+'PEC Liquid'!S23+'PEC Gaseous'!S23</f>
        <v>3862.4430000000002</v>
      </c>
      <c r="T23" s="3">
        <f>'PEC Solid'!T23+'PEC Liquid'!T23+'PEC Gaseous'!T23</f>
        <v>3947.6270000000004</v>
      </c>
      <c r="U23" s="3">
        <f>'PEC Solid'!U23+'PEC Liquid'!U23+'PEC Gaseous'!U23</f>
        <v>3778.9670000000001</v>
      </c>
      <c r="V23" s="3">
        <f ca="1">'PEC Solid'!V23+'PEC Liquid'!V23+'PEC Gaseous'!V23</f>
        <v>3807.8572080150229</v>
      </c>
    </row>
    <row r="24" spans="2:22">
      <c r="B24" t="s">
        <v>184</v>
      </c>
      <c r="C24" t="s">
        <v>184</v>
      </c>
      <c r="D24" s="3">
        <f>'PEC Solid'!D24+'PEC Liquid'!D24+'PEC Gaseous'!D24</f>
        <v>4387.0779999999995</v>
      </c>
      <c r="E24" s="3">
        <f>'PEC Solid'!E24+'PEC Liquid'!E24+'PEC Gaseous'!E24</f>
        <v>4276.0559999999996</v>
      </c>
      <c r="F24" s="3">
        <f>'PEC Solid'!F24+'PEC Liquid'!F24+'PEC Gaseous'!F24</f>
        <v>4107.0779999999995</v>
      </c>
      <c r="G24" s="3">
        <f>'PEC Solid'!G24+'PEC Liquid'!G24+'PEC Gaseous'!G24</f>
        <v>4071.1200000000003</v>
      </c>
      <c r="H24" s="3">
        <f>'PEC Solid'!H24+'PEC Liquid'!H24+'PEC Gaseous'!H24</f>
        <v>3893.7609999999995</v>
      </c>
      <c r="I24" s="3">
        <f>'PEC Solid'!I24+'PEC Liquid'!I24+'PEC Gaseous'!I24</f>
        <v>4102.0920000000006</v>
      </c>
      <c r="J24" s="3">
        <f>'PEC Solid'!J24+'PEC Liquid'!J24+'PEC Gaseous'!J24</f>
        <v>3989.4040000000005</v>
      </c>
      <c r="K24" s="3">
        <f>'PEC Solid'!K24+'PEC Liquid'!K24+'PEC Gaseous'!K24</f>
        <v>3895.9229999999998</v>
      </c>
      <c r="L24" s="3">
        <f>'PEC Solid'!L24+'PEC Liquid'!L24+'PEC Gaseous'!L24</f>
        <v>3689.4030000000002</v>
      </c>
      <c r="M24" s="3">
        <f>'PEC Solid'!M24+'PEC Liquid'!M24+'PEC Gaseous'!M24</f>
        <v>3544.3250000000003</v>
      </c>
      <c r="N24" s="3">
        <f>'PEC Solid'!N24+'PEC Liquid'!N24+'PEC Gaseous'!N24</f>
        <v>3421.8130000000001</v>
      </c>
      <c r="O24" s="3">
        <f>'PEC Solid'!O24+'PEC Liquid'!O24+'PEC Gaseous'!O24</f>
        <v>3357.3319999999994</v>
      </c>
      <c r="P24" s="3">
        <f>'PEC Solid'!P24+'PEC Liquid'!P24+'PEC Gaseous'!P24</f>
        <v>3462.4160000000002</v>
      </c>
      <c r="Q24" s="3">
        <f>'PEC Solid'!Q24+'PEC Liquid'!Q24+'PEC Gaseous'!Q24</f>
        <v>3601.62</v>
      </c>
      <c r="R24" s="3">
        <f>'PEC Solid'!R24+'PEC Liquid'!R24+'PEC Gaseous'!R24</f>
        <v>3641.1499999999996</v>
      </c>
      <c r="S24" s="3">
        <f>'PEC Solid'!S24+'PEC Liquid'!S24+'PEC Gaseous'!S24</f>
        <v>3026.2120000000004</v>
      </c>
      <c r="T24" s="3">
        <f>'PEC Solid'!T24+'PEC Liquid'!T24+'PEC Gaseous'!T24</f>
        <v>3249.8290000000002</v>
      </c>
      <c r="U24" s="3">
        <f>'PEC Solid'!U24+'PEC Liquid'!U24+'PEC Gaseous'!U24</f>
        <v>2882.6610000000001</v>
      </c>
      <c r="V24" s="3">
        <f ca="1">'PEC Solid'!V24+'PEC Liquid'!V24+'PEC Gaseous'!V24</f>
        <v>2786.9621124330397</v>
      </c>
    </row>
    <row r="25" spans="2:22">
      <c r="B25" t="s">
        <v>93</v>
      </c>
      <c r="C25" t="s">
        <v>93</v>
      </c>
      <c r="D25" s="3">
        <f>'PEC Solid'!D25+'PEC Liquid'!D25+'PEC Gaseous'!D25</f>
        <v>2826.7330000000002</v>
      </c>
      <c r="E25" s="3">
        <f>'PEC Solid'!E25+'PEC Liquid'!E25+'PEC Gaseous'!E25</f>
        <v>3006.4050000000002</v>
      </c>
      <c r="F25" s="3">
        <f>'PEC Solid'!F25+'PEC Liquid'!F25+'PEC Gaseous'!F25</f>
        <v>3101.9189999999999</v>
      </c>
      <c r="G25" s="3">
        <f>'PEC Solid'!G25+'PEC Liquid'!G25+'PEC Gaseous'!G25</f>
        <v>2976.6620000000003</v>
      </c>
      <c r="H25" s="3">
        <f>'PEC Solid'!H25+'PEC Liquid'!H25+'PEC Gaseous'!H25</f>
        <v>2722.6009999999997</v>
      </c>
      <c r="I25" s="3">
        <f>'PEC Solid'!I25+'PEC Liquid'!I25+'PEC Gaseous'!I25</f>
        <v>3018.7910000000002</v>
      </c>
      <c r="J25" s="3">
        <f>'PEC Solid'!J25+'PEC Liquid'!J25+'PEC Gaseous'!J25</f>
        <v>2701.9629999999997</v>
      </c>
      <c r="K25" s="3">
        <f>'PEC Solid'!K25+'PEC Liquid'!K25+'PEC Gaseous'!K25</f>
        <v>2587.2529999999997</v>
      </c>
      <c r="L25" s="3">
        <f>'PEC Solid'!L25+'PEC Liquid'!L25+'PEC Gaseous'!L25</f>
        <v>2578.16</v>
      </c>
      <c r="M25" s="3">
        <f>'PEC Solid'!M25+'PEC Liquid'!M25+'PEC Gaseous'!M25</f>
        <v>2480.366</v>
      </c>
      <c r="N25" s="3">
        <f>'PEC Solid'!N25+'PEC Liquid'!N25+'PEC Gaseous'!N25</f>
        <v>2517.721</v>
      </c>
      <c r="O25" s="3">
        <f>'PEC Solid'!O25+'PEC Liquid'!O25+'PEC Gaseous'!O25</f>
        <v>2545.64</v>
      </c>
      <c r="P25" s="3">
        <f>'PEC Solid'!P25+'PEC Liquid'!P25+'PEC Gaseous'!P25</f>
        <v>2510.3020000000001</v>
      </c>
      <c r="Q25" s="3">
        <f>'PEC Solid'!Q25+'PEC Liquid'!Q25+'PEC Gaseous'!Q25</f>
        <v>2706.8</v>
      </c>
      <c r="R25" s="3">
        <f>'PEC Solid'!R25+'PEC Liquid'!R25+'PEC Gaseous'!R25</f>
        <v>2599.1660000000002</v>
      </c>
      <c r="S25" s="3">
        <f>'PEC Solid'!S25+'PEC Liquid'!S25+'PEC Gaseous'!S25</f>
        <v>2262.9650000000001</v>
      </c>
      <c r="T25" s="3">
        <f>'PEC Solid'!T25+'PEC Liquid'!T25+'PEC Gaseous'!T25</f>
        <v>2364.7290000000003</v>
      </c>
      <c r="U25" s="3">
        <f>'PEC Solid'!U25+'PEC Liquid'!U25+'PEC Gaseous'!U25</f>
        <v>2151.2470000000003</v>
      </c>
      <c r="V25" s="3">
        <f ca="1">'PEC Solid'!V25+'PEC Liquid'!V25+'PEC Gaseous'!V25</f>
        <v>2146.4353426385296</v>
      </c>
    </row>
    <row r="26" spans="2:22">
      <c r="B26" t="s">
        <v>141</v>
      </c>
      <c r="C26" t="s">
        <v>141</v>
      </c>
      <c r="D26" s="3">
        <f>'PEC Solid'!D26+'PEC Liquid'!D26+'PEC Gaseous'!D26</f>
        <v>915.19500000000005</v>
      </c>
      <c r="E26" s="3">
        <f>'PEC Solid'!E26+'PEC Liquid'!E26+'PEC Gaseous'!E26</f>
        <v>923.91800000000001</v>
      </c>
      <c r="F26" s="3">
        <f>'PEC Solid'!F26+'PEC Liquid'!F26+'PEC Gaseous'!F26</f>
        <v>948.28499999999997</v>
      </c>
      <c r="G26" s="3">
        <f>'PEC Solid'!G26+'PEC Liquid'!G26+'PEC Gaseous'!G26</f>
        <v>957.28899999999999</v>
      </c>
      <c r="H26" s="3">
        <f>'PEC Solid'!H26+'PEC Liquid'!H26+'PEC Gaseous'!H26</f>
        <v>882.87</v>
      </c>
      <c r="I26" s="3">
        <f>'PEC Solid'!I26+'PEC Liquid'!I26+'PEC Gaseous'!I26</f>
        <v>924.62</v>
      </c>
      <c r="J26" s="3">
        <f>'PEC Solid'!J26+'PEC Liquid'!J26+'PEC Gaseous'!J26</f>
        <v>919.50900000000001</v>
      </c>
      <c r="K26" s="3">
        <f>'PEC Solid'!K26+'PEC Liquid'!K26+'PEC Gaseous'!K26</f>
        <v>958.75099999999998</v>
      </c>
      <c r="L26" s="3">
        <f>'PEC Solid'!L26+'PEC Liquid'!L26+'PEC Gaseous'!L26</f>
        <v>862.13800000000003</v>
      </c>
      <c r="M26" s="3">
        <f>'PEC Solid'!M26+'PEC Liquid'!M26+'PEC Gaseous'!M26</f>
        <v>868.61099999999999</v>
      </c>
      <c r="N26" s="3">
        <f>'PEC Solid'!N26+'PEC Liquid'!N26+'PEC Gaseous'!N26</f>
        <v>640.17899999999997</v>
      </c>
      <c r="O26" s="3">
        <f>'PEC Solid'!O26+'PEC Liquid'!O26+'PEC Gaseous'!O26</f>
        <v>553.93200000000002</v>
      </c>
      <c r="P26" s="3">
        <f>'PEC Solid'!P26+'PEC Liquid'!P26+'PEC Gaseous'!P26</f>
        <v>701.51900000000001</v>
      </c>
      <c r="Q26" s="3">
        <f>'PEC Solid'!Q26+'PEC Liquid'!Q26+'PEC Gaseous'!Q26</f>
        <v>736.21500000000003</v>
      </c>
      <c r="R26" s="3">
        <f>'PEC Solid'!R26+'PEC Liquid'!R26+'PEC Gaseous'!R26</f>
        <v>782.08699999999999</v>
      </c>
      <c r="S26" s="3">
        <f>'PEC Solid'!S26+'PEC Liquid'!S26+'PEC Gaseous'!S26</f>
        <v>662.45900000000006</v>
      </c>
      <c r="T26" s="3">
        <f>'PEC Solid'!T26+'PEC Liquid'!T26+'PEC Gaseous'!T26</f>
        <v>683.43000000000006</v>
      </c>
      <c r="U26" s="3">
        <f>'PEC Solid'!U26+'PEC Liquid'!U26+'PEC Gaseous'!U26</f>
        <v>787.32899999999995</v>
      </c>
      <c r="V26" s="3">
        <f ca="1">'PEC Solid'!V26+'PEC Liquid'!V26+'PEC Gaseous'!V26</f>
        <v>797.49009052168583</v>
      </c>
    </row>
    <row r="27" spans="2:22">
      <c r="B27" t="s">
        <v>145</v>
      </c>
      <c r="C27" t="s">
        <v>145</v>
      </c>
      <c r="D27" s="3">
        <f>'PEC Solid'!D27+'PEC Liquid'!D27+'PEC Gaseous'!D27</f>
        <v>64530.016000000003</v>
      </c>
      <c r="E27" s="3">
        <f>'PEC Solid'!E27+'PEC Liquid'!E27+'PEC Gaseous'!E27</f>
        <v>63689.19</v>
      </c>
      <c r="F27" s="3">
        <f>'PEC Solid'!F27+'PEC Liquid'!F27+'PEC Gaseous'!F27</f>
        <v>63544.423999999999</v>
      </c>
      <c r="G27" s="3">
        <f>'PEC Solid'!G27+'PEC Liquid'!G27+'PEC Gaseous'!G27</f>
        <v>63785.872000000003</v>
      </c>
      <c r="H27" s="3">
        <f>'PEC Solid'!H27+'PEC Liquid'!H27+'PEC Gaseous'!H27</f>
        <v>62221.205000000002</v>
      </c>
      <c r="I27" s="3">
        <f>'PEC Solid'!I27+'PEC Liquid'!I27+'PEC Gaseous'!I27</f>
        <v>66588.73</v>
      </c>
      <c r="J27" s="3">
        <f>'PEC Solid'!J27+'PEC Liquid'!J27+'PEC Gaseous'!J27</f>
        <v>61115.163</v>
      </c>
      <c r="K27" s="3">
        <f>'PEC Solid'!K27+'PEC Liquid'!K27+'PEC Gaseous'!K27</f>
        <v>60078.457999999999</v>
      </c>
      <c r="L27" s="3">
        <f>'PEC Solid'!L27+'PEC Liquid'!L27+'PEC Gaseous'!L27</f>
        <v>59777.195000000007</v>
      </c>
      <c r="M27" s="3">
        <f>'PEC Solid'!M27+'PEC Liquid'!M27+'PEC Gaseous'!M27</f>
        <v>55888.616999999998</v>
      </c>
      <c r="N27" s="3">
        <f>'PEC Solid'!N27+'PEC Liquid'!N27+'PEC Gaseous'!N27</f>
        <v>52840.305999999997</v>
      </c>
      <c r="O27" s="3">
        <f>'PEC Solid'!O27+'PEC Liquid'!O27+'PEC Gaseous'!O27</f>
        <v>56774.627</v>
      </c>
      <c r="P27" s="3">
        <f>'PEC Solid'!P27+'PEC Liquid'!P27+'PEC Gaseous'!P27</f>
        <v>55219.294999999998</v>
      </c>
      <c r="Q27" s="3">
        <f>'PEC Solid'!Q27+'PEC Liquid'!Q27+'PEC Gaseous'!Q27</f>
        <v>51568.716</v>
      </c>
      <c r="R27" s="3">
        <f>'PEC Solid'!R27+'PEC Liquid'!R27+'PEC Gaseous'!R27</f>
        <v>56735.61</v>
      </c>
      <c r="S27" s="3">
        <f>'PEC Solid'!S27+'PEC Liquid'!S27+'PEC Gaseous'!S27</f>
        <v>50472.178</v>
      </c>
      <c r="T27" s="3">
        <f>'PEC Solid'!T27+'PEC Liquid'!T27+'PEC Gaseous'!T27</f>
        <v>51362.047000000006</v>
      </c>
      <c r="U27" s="3">
        <f>'PEC Solid'!U27+'PEC Liquid'!U27+'PEC Gaseous'!U27</f>
        <v>46668.523000000001</v>
      </c>
      <c r="V27" s="3">
        <f ca="1">'PEC Solid'!V27+'PEC Liquid'!V27+'PEC Gaseous'!V27</f>
        <v>44296.742679727955</v>
      </c>
    </row>
    <row r="28" spans="2:22">
      <c r="B28" t="s">
        <v>185</v>
      </c>
      <c r="C28" t="s">
        <v>185</v>
      </c>
      <c r="D28" s="3">
        <f>'PEC Solid'!D28+'PEC Liquid'!D28+'PEC Gaseous'!D28</f>
        <v>84274.264999999985</v>
      </c>
      <c r="E28" s="3">
        <f>'PEC Solid'!E28+'PEC Liquid'!E28+'PEC Gaseous'!E28</f>
        <v>88307.697</v>
      </c>
      <c r="F28" s="3">
        <f>'PEC Solid'!F28+'PEC Liquid'!F28+'PEC Gaseous'!F28</f>
        <v>87300.593999999997</v>
      </c>
      <c r="G28" s="3">
        <f>'PEC Solid'!G28+'PEC Liquid'!G28+'PEC Gaseous'!G28</f>
        <v>87344.084000000003</v>
      </c>
      <c r="H28" s="3">
        <f>'PEC Solid'!H28+'PEC Liquid'!H28+'PEC Gaseous'!H28</f>
        <v>83118.561000000002</v>
      </c>
      <c r="I28" s="3">
        <f>'PEC Solid'!I28+'PEC Liquid'!I28+'PEC Gaseous'!I28</f>
        <v>89011.920000000013</v>
      </c>
      <c r="J28" s="3">
        <f>'PEC Solid'!J28+'PEC Liquid'!J28+'PEC Gaseous'!J28</f>
        <v>88622.120999999999</v>
      </c>
      <c r="K28" s="3">
        <f>'PEC Solid'!K28+'PEC Liquid'!K28+'PEC Gaseous'!K28</f>
        <v>84013.99</v>
      </c>
      <c r="L28" s="3">
        <f>'PEC Solid'!L28+'PEC Liquid'!L28+'PEC Gaseous'!L28</f>
        <v>84771.22600000001</v>
      </c>
      <c r="M28" s="3">
        <f>'PEC Solid'!M28+'PEC Liquid'!M28+'PEC Gaseous'!M28</f>
        <v>80184.983999999997</v>
      </c>
      <c r="N28" s="3">
        <f>'PEC Solid'!N28+'PEC Liquid'!N28+'PEC Gaseous'!N28</f>
        <v>80589.085999999996</v>
      </c>
      <c r="O28" s="3">
        <f>'PEC Solid'!O28+'PEC Liquid'!O28+'PEC Gaseous'!O28</f>
        <v>85166.221000000005</v>
      </c>
      <c r="P28" s="3">
        <f>'PEC Solid'!P28+'PEC Liquid'!P28+'PEC Gaseous'!P28</f>
        <v>89145.084000000003</v>
      </c>
      <c r="Q28" s="3">
        <f>'PEC Solid'!Q28+'PEC Liquid'!Q28+'PEC Gaseous'!Q28</f>
        <v>90487.28</v>
      </c>
      <c r="R28" s="3">
        <f>'PEC Solid'!R28+'PEC Liquid'!R28+'PEC Gaseous'!R28</f>
        <v>85769.762000000002</v>
      </c>
      <c r="S28" s="3">
        <f>'PEC Solid'!S28+'PEC Liquid'!S28+'PEC Gaseous'!S28</f>
        <v>81996.562999999995</v>
      </c>
      <c r="T28" s="3">
        <f>'PEC Solid'!T28+'PEC Liquid'!T28+'PEC Gaseous'!T28</f>
        <v>90177.862000000008</v>
      </c>
      <c r="U28" s="3">
        <f>'PEC Solid'!U28+'PEC Liquid'!U28+'PEC Gaseous'!U28</f>
        <v>84594.683999999994</v>
      </c>
      <c r="V28" s="3">
        <f ca="1">'PEC Solid'!V28+'PEC Liquid'!V28+'PEC Gaseous'!V28</f>
        <v>78808.879653682787</v>
      </c>
    </row>
    <row r="29" spans="2:22">
      <c r="B29" t="s">
        <v>149</v>
      </c>
      <c r="C29" t="s">
        <v>149</v>
      </c>
      <c r="D29" s="3">
        <f>'PEC Solid'!D29+'PEC Liquid'!D29+'PEC Gaseous'!D29</f>
        <v>20649.796999999999</v>
      </c>
      <c r="E29" s="3">
        <f>'PEC Solid'!E29+'PEC Liquid'!E29+'PEC Gaseous'!E29</f>
        <v>19218.186000000002</v>
      </c>
      <c r="F29" s="3">
        <f>'PEC Solid'!F29+'PEC Liquid'!F29+'PEC Gaseous'!F29</f>
        <v>18603.762000000002</v>
      </c>
      <c r="G29" s="3">
        <f>'PEC Solid'!G29+'PEC Liquid'!G29+'PEC Gaseous'!G29</f>
        <v>18326.572</v>
      </c>
      <c r="H29" s="3">
        <f>'PEC Solid'!H29+'PEC Liquid'!H29+'PEC Gaseous'!H29</f>
        <v>18292.685000000001</v>
      </c>
      <c r="I29" s="3">
        <f>'PEC Solid'!I29+'PEC Liquid'!I29+'PEC Gaseous'!I29</f>
        <v>16811.131000000001</v>
      </c>
      <c r="J29" s="3">
        <f>'PEC Solid'!J29+'PEC Liquid'!J29+'PEC Gaseous'!J29</f>
        <v>16453.128000000001</v>
      </c>
      <c r="K29" s="3">
        <f>'PEC Solid'!K29+'PEC Liquid'!K29+'PEC Gaseous'!K29</f>
        <v>15857.472</v>
      </c>
      <c r="L29" s="3">
        <f>'PEC Solid'!L29+'PEC Liquid'!L29+'PEC Gaseous'!L29</f>
        <v>15327.827000000001</v>
      </c>
      <c r="M29" s="3">
        <f>'PEC Solid'!M29+'PEC Liquid'!M29+'PEC Gaseous'!M29</f>
        <v>14920.812</v>
      </c>
      <c r="N29" s="3">
        <f>'PEC Solid'!N29+'PEC Liquid'!N29+'PEC Gaseous'!N29</f>
        <v>16333.898999999999</v>
      </c>
      <c r="O29" s="3">
        <f>'PEC Solid'!O29+'PEC Liquid'!O29+'PEC Gaseous'!O29</f>
        <v>16370.261999999999</v>
      </c>
      <c r="P29" s="3">
        <f>'PEC Solid'!P29+'PEC Liquid'!P29+'PEC Gaseous'!P29</f>
        <v>18025.133000000002</v>
      </c>
      <c r="Q29" s="3">
        <f>'PEC Solid'!Q29+'PEC Liquid'!Q29+'PEC Gaseous'!Q29</f>
        <v>17259.736000000001</v>
      </c>
      <c r="R29" s="3">
        <f>'PEC Solid'!R29+'PEC Liquid'!R29+'PEC Gaseous'!R29</f>
        <v>16218.849</v>
      </c>
      <c r="S29" s="3">
        <f>'PEC Solid'!S29+'PEC Liquid'!S29+'PEC Gaseous'!S29</f>
        <v>13533.928</v>
      </c>
      <c r="T29" s="3">
        <f>'PEC Solid'!T29+'PEC Liquid'!T29+'PEC Gaseous'!T29</f>
        <v>13054.312</v>
      </c>
      <c r="U29" s="3">
        <f>'PEC Solid'!U29+'PEC Liquid'!U29+'PEC Gaseous'!U29</f>
        <v>14131.156000000001</v>
      </c>
      <c r="V29" s="3">
        <f ca="1">'PEC Solid'!V29+'PEC Liquid'!V29+'PEC Gaseous'!V29</f>
        <v>12791.714042032139</v>
      </c>
    </row>
    <row r="30" spans="2:22">
      <c r="B30" t="s">
        <v>186</v>
      </c>
      <c r="C30" t="s">
        <v>186</v>
      </c>
      <c r="D30" s="3">
        <f>'PEC Solid'!D30+'PEC Liquid'!D30+'PEC Gaseous'!D30</f>
        <v>29850.725999999999</v>
      </c>
      <c r="E30" s="3">
        <f>'PEC Solid'!E30+'PEC Liquid'!E30+'PEC Gaseous'!E30</f>
        <v>31586.425999999999</v>
      </c>
      <c r="F30" s="3">
        <f>'PEC Solid'!F30+'PEC Liquid'!F30+'PEC Gaseous'!F30</f>
        <v>30775.195999999996</v>
      </c>
      <c r="G30" s="3">
        <f>'PEC Solid'!G30+'PEC Liquid'!G30+'PEC Gaseous'!G30</f>
        <v>29371.099000000002</v>
      </c>
      <c r="H30" s="3">
        <f>'PEC Solid'!H30+'PEC Liquid'!H30+'PEC Gaseous'!H30</f>
        <v>24574.793999999998</v>
      </c>
      <c r="I30" s="3">
        <f>'PEC Solid'!I30+'PEC Liquid'!I30+'PEC Gaseous'!I30</f>
        <v>24330.209000000003</v>
      </c>
      <c r="J30" s="3">
        <f>'PEC Solid'!J30+'PEC Liquid'!J30+'PEC Gaseous'!J30</f>
        <v>25616.985999999997</v>
      </c>
      <c r="K30" s="3">
        <f>'PEC Solid'!K30+'PEC Liquid'!K30+'PEC Gaseous'!K30</f>
        <v>25002.834000000003</v>
      </c>
      <c r="L30" s="3">
        <f>'PEC Solid'!L30+'PEC Liquid'!L30+'PEC Gaseous'!L30</f>
        <v>22069.960999999999</v>
      </c>
      <c r="M30" s="3">
        <f>'PEC Solid'!M30+'PEC Liquid'!M30+'PEC Gaseous'!M30</f>
        <v>21543.542000000001</v>
      </c>
      <c r="N30" s="3">
        <f>'PEC Solid'!N30+'PEC Liquid'!N30+'PEC Gaseous'!N30</f>
        <v>22341.317999999999</v>
      </c>
      <c r="O30" s="3">
        <f>'PEC Solid'!O30+'PEC Liquid'!O30+'PEC Gaseous'!O30</f>
        <v>22000.400999999998</v>
      </c>
      <c r="P30" s="3">
        <f>'PEC Solid'!P30+'PEC Liquid'!P30+'PEC Gaseous'!P30</f>
        <v>23663.597999999998</v>
      </c>
      <c r="Q30" s="3">
        <f>'PEC Solid'!Q30+'PEC Liquid'!Q30+'PEC Gaseous'!Q30</f>
        <v>23706.735999999997</v>
      </c>
      <c r="R30" s="3">
        <f>'PEC Solid'!R30+'PEC Liquid'!R30+'PEC Gaseous'!R30</f>
        <v>22926.004000000001</v>
      </c>
      <c r="S30" s="3">
        <f>'PEC Solid'!S30+'PEC Liquid'!S30+'PEC Gaseous'!S30</f>
        <v>21529.019</v>
      </c>
      <c r="T30" s="3">
        <f>'PEC Solid'!T30+'PEC Liquid'!T30+'PEC Gaseous'!T30</f>
        <v>23318.974000000002</v>
      </c>
      <c r="U30" s="3">
        <f>'PEC Solid'!U30+'PEC Liquid'!U30+'PEC Gaseous'!U30</f>
        <v>21744.402999999998</v>
      </c>
      <c r="V30" s="3">
        <f ca="1">'PEC Solid'!V30+'PEC Liquid'!V30+'PEC Gaseous'!V30</f>
        <v>20476.038451991313</v>
      </c>
    </row>
    <row r="31" spans="2:22">
      <c r="B31" t="s">
        <v>187</v>
      </c>
      <c r="C31" t="s">
        <v>187</v>
      </c>
      <c r="D31" s="3">
        <f>'PEC Solid'!D31+'PEC Liquid'!D31+'PEC Gaseous'!D31</f>
        <v>15893.255000000001</v>
      </c>
      <c r="E31" s="3">
        <f>'PEC Solid'!E31+'PEC Liquid'!E31+'PEC Gaseous'!E31</f>
        <v>15228.076999999999</v>
      </c>
      <c r="F31" s="3">
        <f>'PEC Solid'!F31+'PEC Liquid'!F31+'PEC Gaseous'!F31</f>
        <v>14665.036</v>
      </c>
      <c r="G31" s="3">
        <f>'PEC Solid'!G31+'PEC Liquid'!G31+'PEC Gaseous'!G31</f>
        <v>15137.265000000001</v>
      </c>
      <c r="H31" s="3">
        <f>'PEC Solid'!H31+'PEC Liquid'!H31+'PEC Gaseous'!H31</f>
        <v>13757.364000000001</v>
      </c>
      <c r="I31" s="3">
        <f>'PEC Solid'!I31+'PEC Liquid'!I31+'PEC Gaseous'!I31</f>
        <v>16399.232</v>
      </c>
      <c r="J31" s="3">
        <f>'PEC Solid'!J31+'PEC Liquid'!J31+'PEC Gaseous'!J31</f>
        <v>16158.16</v>
      </c>
      <c r="K31" s="3">
        <f>'PEC Solid'!K31+'PEC Liquid'!K31+'PEC Gaseous'!K31</f>
        <v>14618.357999999998</v>
      </c>
      <c r="L31" s="3">
        <f>'PEC Solid'!L31+'PEC Liquid'!L31+'PEC Gaseous'!L31</f>
        <v>13748.890000000001</v>
      </c>
      <c r="M31" s="3">
        <f>'PEC Solid'!M31+'PEC Liquid'!M31+'PEC Gaseous'!M31</f>
        <v>13210.6</v>
      </c>
      <c r="N31" s="3">
        <f>'PEC Solid'!N31+'PEC Liquid'!N31+'PEC Gaseous'!N31</f>
        <v>10565.967999999999</v>
      </c>
      <c r="O31" s="3">
        <f>'PEC Solid'!O31+'PEC Liquid'!O31+'PEC Gaseous'!O31</f>
        <v>11634.555</v>
      </c>
      <c r="P31" s="3">
        <f>'PEC Solid'!P31+'PEC Liquid'!P31+'PEC Gaseous'!P31</f>
        <v>11251.559999999998</v>
      </c>
      <c r="Q31" s="3">
        <f>'PEC Solid'!Q31+'PEC Liquid'!Q31+'PEC Gaseous'!Q31</f>
        <v>12647.591999999999</v>
      </c>
      <c r="R31" s="3">
        <f>'PEC Solid'!R31+'PEC Liquid'!R31+'PEC Gaseous'!R31</f>
        <v>11194.666999999998</v>
      </c>
      <c r="S31" s="3">
        <f>'PEC Solid'!S31+'PEC Liquid'!S31+'PEC Gaseous'!S31</f>
        <v>9607.5040000000008</v>
      </c>
      <c r="T31" s="3">
        <f>'PEC Solid'!T31+'PEC Liquid'!T31+'PEC Gaseous'!T31</f>
        <v>9985.8970000000008</v>
      </c>
      <c r="U31" s="3">
        <f>'PEC Solid'!U31+'PEC Liquid'!U31+'PEC Gaseous'!U31</f>
        <v>9929.7350000000006</v>
      </c>
      <c r="V31" s="3">
        <f ca="1">'PEC Solid'!V31+'PEC Liquid'!V31+'PEC Gaseous'!V31</f>
        <v>9990.0453239387425</v>
      </c>
    </row>
    <row r="32" spans="2:22">
      <c r="B32" t="s">
        <v>79</v>
      </c>
      <c r="C32" t="s">
        <v>79</v>
      </c>
      <c r="D32" s="3">
        <f>'PEC Solid'!D32+'PEC Liquid'!D32+'PEC Gaseous'!D32</f>
        <v>4736.9799999999996</v>
      </c>
      <c r="E32" s="3">
        <f>'PEC Solid'!E32+'PEC Liquid'!E32+'PEC Gaseous'!E32</f>
        <v>4797.7520000000004</v>
      </c>
      <c r="F32" s="3">
        <f>'PEC Solid'!F32+'PEC Liquid'!F32+'PEC Gaseous'!F32</f>
        <v>4794.7449999999999</v>
      </c>
      <c r="G32" s="3">
        <f>'PEC Solid'!G32+'PEC Liquid'!G32+'PEC Gaseous'!G32</f>
        <v>5144.0680000000002</v>
      </c>
      <c r="H32" s="3">
        <f>'PEC Solid'!H32+'PEC Liquid'!H32+'PEC Gaseous'!H32</f>
        <v>4605.5010000000002</v>
      </c>
      <c r="I32" s="3">
        <f>'PEC Solid'!I32+'PEC Liquid'!I32+'PEC Gaseous'!I32</f>
        <v>4707.7349999999997</v>
      </c>
      <c r="J32" s="3">
        <f>'PEC Solid'!J32+'PEC Liquid'!J32+'PEC Gaseous'!J32</f>
        <v>4656.9760000000006</v>
      </c>
      <c r="K32" s="3">
        <f>'PEC Solid'!K32+'PEC Liquid'!K32+'PEC Gaseous'!K32</f>
        <v>4486.1270000000004</v>
      </c>
      <c r="L32" s="3">
        <f>'PEC Solid'!L32+'PEC Liquid'!L32+'PEC Gaseous'!L32</f>
        <v>4285.7609999999995</v>
      </c>
      <c r="M32" s="3">
        <f>'PEC Solid'!M32+'PEC Liquid'!M32+'PEC Gaseous'!M32</f>
        <v>3860.3959999999997</v>
      </c>
      <c r="N32" s="3">
        <f>'PEC Solid'!N32+'PEC Liquid'!N32+'PEC Gaseous'!N32</f>
        <v>3895.0990000000002</v>
      </c>
      <c r="O32" s="3">
        <f>'PEC Solid'!O32+'PEC Liquid'!O32+'PEC Gaseous'!O32</f>
        <v>4126.9789999999994</v>
      </c>
      <c r="P32" s="3">
        <f>'PEC Solid'!P32+'PEC Liquid'!P32+'PEC Gaseous'!P32</f>
        <v>4172.9639999999999</v>
      </c>
      <c r="Q32" s="3">
        <f>'PEC Solid'!Q32+'PEC Liquid'!Q32+'PEC Gaseous'!Q32</f>
        <v>4157.8680000000004</v>
      </c>
      <c r="R32" s="3">
        <f>'PEC Solid'!R32+'PEC Liquid'!R32+'PEC Gaseous'!R32</f>
        <v>4011.8070000000002</v>
      </c>
      <c r="S32" s="3">
        <f>'PEC Solid'!S32+'PEC Liquid'!S32+'PEC Gaseous'!S32</f>
        <v>3619.8560000000002</v>
      </c>
      <c r="T32" s="3">
        <f>'PEC Solid'!T32+'PEC Liquid'!T32+'PEC Gaseous'!T32</f>
        <v>3750.8130000000001</v>
      </c>
      <c r="U32" s="3">
        <f>'PEC Solid'!U32+'PEC Liquid'!U32+'PEC Gaseous'!U32</f>
        <v>3695.7719999999999</v>
      </c>
      <c r="V32" s="3">
        <f ca="1">'PEC Solid'!V32+'PEC Liquid'!V32+'PEC Gaseous'!V32</f>
        <v>3293.8193601959761</v>
      </c>
    </row>
    <row r="33" spans="1:22">
      <c r="B33" t="s">
        <v>188</v>
      </c>
      <c r="C33" t="s">
        <v>188</v>
      </c>
      <c r="D33" s="3">
        <f>'PEC Solid'!D33+'PEC Liquid'!D33+'PEC Gaseous'!D33</f>
        <v>12103.184000000001</v>
      </c>
      <c r="E33" s="3">
        <f>'PEC Solid'!E33+'PEC Liquid'!E33+'PEC Gaseous'!E33</f>
        <v>11754.169</v>
      </c>
      <c r="F33" s="3">
        <f>'PEC Solid'!F33+'PEC Liquid'!F33+'PEC Gaseous'!F33</f>
        <v>11183.242999999999</v>
      </c>
      <c r="G33" s="3">
        <f>'PEC Solid'!G33+'PEC Liquid'!G33+'PEC Gaseous'!G33</f>
        <v>11500.009999999998</v>
      </c>
      <c r="H33" s="3">
        <f>'PEC Solid'!H33+'PEC Liquid'!H33+'PEC Gaseous'!H33</f>
        <v>10444.973</v>
      </c>
      <c r="I33" s="3">
        <f>'PEC Solid'!I33+'PEC Liquid'!I33+'PEC Gaseous'!I33</f>
        <v>11356.081999999999</v>
      </c>
      <c r="J33" s="3">
        <f>'PEC Solid'!J33+'PEC Liquid'!J33+'PEC Gaseous'!J33</f>
        <v>10548.305</v>
      </c>
      <c r="K33" s="3">
        <f>'PEC Solid'!K33+'PEC Liquid'!K33+'PEC Gaseous'!K33</f>
        <v>10099.423999999999</v>
      </c>
      <c r="L33" s="3">
        <f>'PEC Solid'!L33+'PEC Liquid'!L33+'PEC Gaseous'!L33</f>
        <v>10036.313999999998</v>
      </c>
      <c r="M33" s="3">
        <f>'PEC Solid'!M33+'PEC Liquid'!M33+'PEC Gaseous'!M33</f>
        <v>9108.3549999999996</v>
      </c>
      <c r="N33" s="3">
        <f>'PEC Solid'!N33+'PEC Liquid'!N33+'PEC Gaseous'!N33</f>
        <v>9216.280999999999</v>
      </c>
      <c r="O33" s="3">
        <f>'PEC Solid'!O33+'PEC Liquid'!O33+'PEC Gaseous'!O33</f>
        <v>9465.6659999999993</v>
      </c>
      <c r="P33" s="3">
        <f>'PEC Solid'!P33+'PEC Liquid'!P33+'PEC Gaseous'!P33</f>
        <v>10104.322</v>
      </c>
      <c r="Q33" s="3">
        <f>'PEC Solid'!Q33+'PEC Liquid'!Q33+'PEC Gaseous'!Q33</f>
        <v>9946.64</v>
      </c>
      <c r="R33" s="3">
        <f>'PEC Solid'!R33+'PEC Liquid'!R33+'PEC Gaseous'!R33</f>
        <v>9413.6920000000009</v>
      </c>
      <c r="S33" s="3">
        <f>'PEC Solid'!S33+'PEC Liquid'!S33+'PEC Gaseous'!S33</f>
        <v>8773.6959999999999</v>
      </c>
      <c r="T33" s="3">
        <f>'PEC Solid'!T33+'PEC Liquid'!T33+'PEC Gaseous'!T33</f>
        <v>9823.2389999999996</v>
      </c>
      <c r="U33" s="3">
        <f>'PEC Solid'!U33+'PEC Liquid'!U33+'PEC Gaseous'!U33</f>
        <v>8894.51</v>
      </c>
      <c r="V33" s="3">
        <f ca="1">'PEC Solid'!V33+'PEC Liquid'!V33+'PEC Gaseous'!V33</f>
        <v>8723.9553329344981</v>
      </c>
    </row>
    <row r="34" spans="1:22">
      <c r="B34" t="s">
        <v>163</v>
      </c>
      <c r="C34" t="s">
        <v>163</v>
      </c>
      <c r="D34" s="3">
        <f>'PEC Solid'!D34+'PEC Liquid'!D34+'PEC Gaseous'!D34</f>
        <v>197148.32799999998</v>
      </c>
      <c r="E34" s="3">
        <f>'PEC Solid'!E34+'PEC Liquid'!E34+'PEC Gaseous'!E34</f>
        <v>195543.57699999999</v>
      </c>
      <c r="F34" s="3">
        <f>'PEC Solid'!F34+'PEC Liquid'!F34+'PEC Gaseous'!F34</f>
        <v>192671.79699999999</v>
      </c>
      <c r="G34" s="3">
        <f>'PEC Solid'!G34+'PEC Liquid'!G34+'PEC Gaseous'!G34</f>
        <v>190931.42100000003</v>
      </c>
      <c r="H34" s="3">
        <f>'PEC Solid'!H34+'PEC Liquid'!H34+'PEC Gaseous'!H34</f>
        <v>173406.30800000002</v>
      </c>
      <c r="I34" s="3">
        <f>'PEC Solid'!I34+'PEC Liquid'!I34+'PEC Gaseous'!I34</f>
        <v>183109.587</v>
      </c>
      <c r="J34" s="3">
        <f>'PEC Solid'!J34+'PEC Liquid'!J34+'PEC Gaseous'!J34</f>
        <v>165073.443</v>
      </c>
      <c r="K34" s="3">
        <f>'PEC Solid'!K34+'PEC Liquid'!K34+'PEC Gaseous'!K34</f>
        <v>169337.495</v>
      </c>
      <c r="L34" s="3">
        <f>'PEC Solid'!L34+'PEC Liquid'!L34+'PEC Gaseous'!L34</f>
        <v>163678.364</v>
      </c>
      <c r="M34" s="3">
        <f>'PEC Solid'!M34+'PEC Liquid'!M34+'PEC Gaseous'!M34</f>
        <v>151898.391</v>
      </c>
      <c r="N34" s="3">
        <f>'PEC Solid'!N34+'PEC Liquid'!N34+'PEC Gaseous'!N34</f>
        <v>149587.68600000002</v>
      </c>
      <c r="O34" s="3">
        <f>'PEC Solid'!O34+'PEC Liquid'!O34+'PEC Gaseous'!O34</f>
        <v>145781.48300000001</v>
      </c>
      <c r="P34" s="3">
        <f>'PEC Solid'!P34+'PEC Liquid'!P34+'PEC Gaseous'!P34</f>
        <v>142664.37700000001</v>
      </c>
      <c r="Q34" s="3">
        <f>'PEC Solid'!Q34+'PEC Liquid'!Q34+'PEC Gaseous'!Q34</f>
        <v>141070.908</v>
      </c>
      <c r="R34" s="3">
        <f>'PEC Solid'!R34+'PEC Liquid'!R34+'PEC Gaseous'!R34</f>
        <v>136822.80800000002</v>
      </c>
      <c r="S34" s="3">
        <f>'PEC Solid'!S34+'PEC Liquid'!S34+'PEC Gaseous'!S34</f>
        <v>0</v>
      </c>
      <c r="T34" s="3">
        <f>'PEC Solid'!T34+'PEC Liquid'!T34+'PEC Gaseous'!T34</f>
        <v>0</v>
      </c>
      <c r="U34" s="3">
        <f>'PEC Solid'!U34+'PEC Liquid'!U34+'PEC Gaseous'!U34</f>
        <v>0</v>
      </c>
      <c r="V34" s="3">
        <f ca="1">'PEC Solid'!V34+'PEC Liquid'!V34+'PEC Gaseous'!V34</f>
        <v>0</v>
      </c>
    </row>
    <row r="35" spans="1:22">
      <c r="B35" s="40" t="s">
        <v>189</v>
      </c>
      <c r="C35" s="40" t="s">
        <v>189</v>
      </c>
      <c r="D35" s="41">
        <f>SUM(D7:D34)</f>
        <v>1331031.6129999997</v>
      </c>
      <c r="E35" s="41">
        <f t="shared" ref="E35:U35" si="0">SUM(E7:E34)</f>
        <v>1335573.55</v>
      </c>
      <c r="F35" s="41">
        <f t="shared" si="0"/>
        <v>1311240.8550000004</v>
      </c>
      <c r="G35" s="41">
        <f t="shared" si="0"/>
        <v>1293763.0620000002</v>
      </c>
      <c r="H35" s="41">
        <f t="shared" si="0"/>
        <v>1198741.9120000002</v>
      </c>
      <c r="I35" s="41">
        <f t="shared" si="0"/>
        <v>1239041.03</v>
      </c>
      <c r="J35" s="41">
        <f t="shared" si="0"/>
        <v>1183620.0410000002</v>
      </c>
      <c r="K35" s="41">
        <f t="shared" si="0"/>
        <v>1160835.3589999999</v>
      </c>
      <c r="L35" s="41">
        <f t="shared" si="0"/>
        <v>1136091.9630000005</v>
      </c>
      <c r="M35" s="41">
        <f t="shared" si="0"/>
        <v>1068513.8769999999</v>
      </c>
      <c r="N35" s="41">
        <f t="shared" si="0"/>
        <v>1083403.257</v>
      </c>
      <c r="O35" s="41">
        <f t="shared" si="0"/>
        <v>1096205.8230000003</v>
      </c>
      <c r="P35" s="41">
        <f t="shared" si="0"/>
        <v>1110264.8130000003</v>
      </c>
      <c r="Q35" s="41">
        <f t="shared" si="0"/>
        <v>1089147.564</v>
      </c>
      <c r="R35" s="41">
        <f t="shared" ref="R35:S35" si="1">SUM(R7:R34)</f>
        <v>1060809.8180000002</v>
      </c>
      <c r="S35" s="41">
        <f t="shared" si="1"/>
        <v>819015.32299999974</v>
      </c>
      <c r="T35" s="41">
        <f t="shared" ref="T35" si="2">SUM(T7:T34)</f>
        <v>874700.7080000001</v>
      </c>
      <c r="U35" s="41">
        <f t="shared" si="0"/>
        <v>855132.64199999988</v>
      </c>
      <c r="V35" s="41">
        <f t="shared" ref="V35" ca="1" si="3">SUM(V7:V34)</f>
        <v>791501.71704917029</v>
      </c>
    </row>
    <row r="36" spans="1:22">
      <c r="B36" s="40" t="s">
        <v>190</v>
      </c>
      <c r="C36" s="40" t="s">
        <v>190</v>
      </c>
      <c r="D36" s="41">
        <f>SUM(D7:D33)</f>
        <v>1133883.2849999997</v>
      </c>
      <c r="E36" s="41">
        <f t="shared" ref="E36:U36" si="4">SUM(E7:E33)</f>
        <v>1140029.973</v>
      </c>
      <c r="F36" s="41">
        <f t="shared" si="4"/>
        <v>1118569.0580000004</v>
      </c>
      <c r="G36" s="41">
        <f t="shared" si="4"/>
        <v>1102831.6410000001</v>
      </c>
      <c r="H36" s="41">
        <f t="shared" si="4"/>
        <v>1025335.6040000002</v>
      </c>
      <c r="I36" s="41">
        <f t="shared" si="4"/>
        <v>1055931.443</v>
      </c>
      <c r="J36" s="41">
        <f t="shared" si="4"/>
        <v>1018546.5980000002</v>
      </c>
      <c r="K36" s="41">
        <f t="shared" si="4"/>
        <v>991497.86399999994</v>
      </c>
      <c r="L36" s="41">
        <f t="shared" si="4"/>
        <v>972413.59900000051</v>
      </c>
      <c r="M36" s="41">
        <f t="shared" si="4"/>
        <v>916615.48599999992</v>
      </c>
      <c r="N36" s="41">
        <f t="shared" si="4"/>
        <v>933815.571</v>
      </c>
      <c r="O36" s="41">
        <f t="shared" si="4"/>
        <v>950424.3400000002</v>
      </c>
      <c r="P36" s="41">
        <f t="shared" si="4"/>
        <v>967600.43600000022</v>
      </c>
      <c r="Q36" s="41">
        <f t="shared" si="4"/>
        <v>948076.65599999996</v>
      </c>
      <c r="R36" s="41">
        <f t="shared" ref="R36:S36" si="5">SUM(R7:R33)</f>
        <v>923987.01000000013</v>
      </c>
      <c r="S36" s="41">
        <f t="shared" si="5"/>
        <v>819015.32299999974</v>
      </c>
      <c r="T36" s="41">
        <f t="shared" ref="T36" si="6">SUM(T7:T33)</f>
        <v>874700.7080000001</v>
      </c>
      <c r="U36" s="41">
        <f t="shared" si="4"/>
        <v>855132.64199999988</v>
      </c>
      <c r="V36" s="41">
        <f t="shared" ref="V36" ca="1" si="7">SUM(V7:V33)</f>
        <v>791501.71704917029</v>
      </c>
    </row>
    <row r="40" spans="1:22">
      <c r="A40" s="5"/>
      <c r="D40" t="s">
        <v>173</v>
      </c>
    </row>
    <row r="41" spans="1:22">
      <c r="B41" t="str">
        <f t="shared" ref="B41:M41" si="8">B6</f>
        <v>MS Code 1</v>
      </c>
      <c r="C41" t="str">
        <f t="shared" si="8"/>
        <v>MS Code 2</v>
      </c>
      <c r="D41" s="1">
        <f t="shared" si="8"/>
        <v>2005</v>
      </c>
      <c r="E41" s="1">
        <f t="shared" si="8"/>
        <v>2006</v>
      </c>
      <c r="F41" s="1">
        <f t="shared" si="8"/>
        <v>2007</v>
      </c>
      <c r="G41" s="1">
        <f t="shared" si="8"/>
        <v>2008</v>
      </c>
      <c r="H41" s="1">
        <f t="shared" si="8"/>
        <v>2009</v>
      </c>
      <c r="I41" s="1">
        <f t="shared" si="8"/>
        <v>2010</v>
      </c>
      <c r="J41" s="1">
        <f t="shared" si="8"/>
        <v>2011</v>
      </c>
      <c r="K41" s="1">
        <f t="shared" si="8"/>
        <v>2012</v>
      </c>
      <c r="L41" s="1">
        <f t="shared" si="8"/>
        <v>2013</v>
      </c>
      <c r="M41" s="1">
        <f t="shared" si="8"/>
        <v>2014</v>
      </c>
      <c r="N41" s="1">
        <f t="shared" ref="N41:U41" si="9">N6</f>
        <v>2015</v>
      </c>
      <c r="O41" s="1">
        <f t="shared" si="9"/>
        <v>2016</v>
      </c>
      <c r="P41" s="1">
        <f t="shared" si="9"/>
        <v>2017</v>
      </c>
      <c r="Q41" s="1">
        <f t="shared" si="9"/>
        <v>2018</v>
      </c>
      <c r="R41" s="1">
        <f t="shared" ref="R41" si="10">R6</f>
        <v>2019</v>
      </c>
      <c r="S41" s="1">
        <f t="shared" si="9"/>
        <v>2020</v>
      </c>
      <c r="T41" s="1">
        <f t="shared" si="9"/>
        <v>2021</v>
      </c>
      <c r="U41" s="1">
        <f t="shared" si="9"/>
        <v>2022</v>
      </c>
      <c r="V41" s="2">
        <f>YearProxy</f>
        <v>2023</v>
      </c>
    </row>
    <row r="42" spans="1:22">
      <c r="B42" t="str">
        <f t="shared" ref="B42:C69" si="11">B7</f>
        <v>AT</v>
      </c>
      <c r="C42" t="str">
        <f t="shared" si="11"/>
        <v>AT</v>
      </c>
      <c r="D42" s="8"/>
      <c r="E42" s="8">
        <f t="shared" ref="E42:M42" si="12">IFERROR(E7/D7-1,0)</f>
        <v>-4.05607581936549E-2</v>
      </c>
      <c r="F42" s="8">
        <f t="shared" si="12"/>
        <v>-4.0792195018121147E-2</v>
      </c>
      <c r="G42" s="8">
        <f t="shared" si="12"/>
        <v>3.4211579817622351E-4</v>
      </c>
      <c r="H42" s="8">
        <f t="shared" si="12"/>
        <v>-8.6058918278108076E-2</v>
      </c>
      <c r="I42" s="8">
        <f t="shared" si="12"/>
        <v>8.0193978373212849E-2</v>
      </c>
      <c r="J42" s="8">
        <f t="shared" si="12"/>
        <v>-4.4413996777652009E-2</v>
      </c>
      <c r="K42" s="8">
        <f t="shared" si="12"/>
        <v>-4.6842141512730695E-2</v>
      </c>
      <c r="L42" s="8">
        <f t="shared" si="12"/>
        <v>5.1598208519323396E-3</v>
      </c>
      <c r="M42" s="8">
        <f t="shared" si="12"/>
        <v>-6.0962389725215504E-2</v>
      </c>
      <c r="N42" s="8">
        <f t="shared" ref="N42:N71" si="13">IFERROR(N7/M7-1,0)</f>
        <v>4.1678640653602494E-2</v>
      </c>
      <c r="O42" s="8">
        <f t="shared" ref="O42:R69" si="14">IFERROR(O7/N7-1,0)</f>
        <v>1.528544151925737E-2</v>
      </c>
      <c r="P42" s="8">
        <f t="shared" si="14"/>
        <v>4.0553267382629654E-2</v>
      </c>
      <c r="Q42" s="8">
        <f t="shared" si="14"/>
        <v>-3.5298441235308231E-2</v>
      </c>
      <c r="R42" s="8">
        <f t="shared" si="14"/>
        <v>2.8364380745572015E-2</v>
      </c>
      <c r="S42" s="8">
        <f t="shared" ref="S42:T71" si="15">IFERROR(S7/R7-1,0)</f>
        <v>-0.11349304757412748</v>
      </c>
      <c r="T42" s="8">
        <f t="shared" si="15"/>
        <v>5.3326613271237333E-2</v>
      </c>
      <c r="U42" s="8">
        <f>IFERROR(U7/S7-1,0)</f>
        <v>7.4780619618874944E-4</v>
      </c>
      <c r="V42" s="8">
        <f ca="1">IFERROR(V7/T7-1,0)</f>
        <v>-9.3240843873454216E-2</v>
      </c>
    </row>
    <row r="43" spans="1:22">
      <c r="B43" t="str">
        <f t="shared" si="11"/>
        <v>BE</v>
      </c>
      <c r="C43" t="str">
        <f t="shared" si="11"/>
        <v>BE</v>
      </c>
      <c r="D43" s="8"/>
      <c r="E43" s="8">
        <f t="shared" ref="E43:M43" si="16">IFERROR(E8/D8-1,0)</f>
        <v>-1.4689761300737181E-2</v>
      </c>
      <c r="F43" s="8">
        <f t="shared" si="16"/>
        <v>-3.9655703596416569E-2</v>
      </c>
      <c r="G43" s="8">
        <f t="shared" si="16"/>
        <v>2.3129210655474575E-2</v>
      </c>
      <c r="H43" s="8">
        <f t="shared" si="16"/>
        <v>-1.5588536865301927E-2</v>
      </c>
      <c r="I43" s="8">
        <f t="shared" si="16"/>
        <v>7.5295092304897837E-2</v>
      </c>
      <c r="J43" s="8">
        <f t="shared" si="16"/>
        <v>-0.10958977798830194</v>
      </c>
      <c r="K43" s="8">
        <f t="shared" si="16"/>
        <v>-4.4073866562212904E-2</v>
      </c>
      <c r="L43" s="8">
        <f t="shared" si="16"/>
        <v>2.5826018636114556E-2</v>
      </c>
      <c r="M43" s="8">
        <f t="shared" si="16"/>
        <v>-5.3350263007267973E-2</v>
      </c>
      <c r="N43" s="8">
        <f t="shared" si="13"/>
        <v>5.5785599154153376E-2</v>
      </c>
      <c r="O43" s="8">
        <f t="shared" si="14"/>
        <v>-1.3722973919501835E-2</v>
      </c>
      <c r="P43" s="8">
        <f t="shared" si="14"/>
        <v>6.7162418722734873E-3</v>
      </c>
      <c r="Q43" s="8">
        <f t="shared" si="14"/>
        <v>7.6859207590402878E-3</v>
      </c>
      <c r="R43" s="8">
        <f t="shared" si="14"/>
        <v>-5.1591248846148963E-3</v>
      </c>
      <c r="S43" s="8">
        <f t="shared" si="15"/>
        <v>-8.9217027676881666E-2</v>
      </c>
      <c r="T43" s="8">
        <f t="shared" ref="T43" si="17">IFERROR(T8/S8-1,0)</f>
        <v>4.9772430896942055E-2</v>
      </c>
      <c r="U43" s="8">
        <f t="shared" ref="U43" si="18">IFERROR(U8/T8-1,0)</f>
        <v>-6.6587133981260149E-2</v>
      </c>
      <c r="V43" s="8">
        <f t="shared" ref="V43" ca="1" si="19">IFERROR(V8/U8-1,0)</f>
        <v>-3.8812211422969756E-2</v>
      </c>
    </row>
    <row r="44" spans="1:22">
      <c r="B44" t="str">
        <f t="shared" si="11"/>
        <v>BG</v>
      </c>
      <c r="C44" t="str">
        <f t="shared" si="11"/>
        <v>BG</v>
      </c>
      <c r="D44" s="8"/>
      <c r="E44" s="8">
        <f t="shared" ref="E44:M44" si="20">IFERROR(E9/D9-1,0)</f>
        <v>2.8167388092423806E-2</v>
      </c>
      <c r="F44" s="8">
        <f t="shared" si="20"/>
        <v>5.5008921915293385E-2</v>
      </c>
      <c r="G44" s="8">
        <f t="shared" si="20"/>
        <v>-4.9715617131379064E-2</v>
      </c>
      <c r="H44" s="8">
        <f t="shared" si="20"/>
        <v>-0.13454745596817508</v>
      </c>
      <c r="I44" s="8">
        <f t="shared" si="20"/>
        <v>3.7260669640939881E-2</v>
      </c>
      <c r="J44" s="8">
        <f t="shared" si="20"/>
        <v>9.3600398792301087E-2</v>
      </c>
      <c r="K44" s="8">
        <f t="shared" si="20"/>
        <v>-7.947953386495088E-2</v>
      </c>
      <c r="L44" s="8">
        <f t="shared" si="20"/>
        <v>-0.10610793925212281</v>
      </c>
      <c r="M44" s="8">
        <f t="shared" si="20"/>
        <v>5.8507104493535023E-2</v>
      </c>
      <c r="N44" s="8">
        <f t="shared" si="13"/>
        <v>5.893122097232939E-2</v>
      </c>
      <c r="O44" s="8">
        <f t="shared" si="14"/>
        <v>-5.4586790780977723E-2</v>
      </c>
      <c r="P44" s="8">
        <f t="shared" si="14"/>
        <v>5.8820446218153188E-2</v>
      </c>
      <c r="Q44" s="8">
        <f t="shared" si="14"/>
        <v>-5.5418121463146397E-2</v>
      </c>
      <c r="R44" s="8">
        <f t="shared" si="14"/>
        <v>-3.4292127375874615E-2</v>
      </c>
      <c r="S44" s="8">
        <f t="shared" si="15"/>
        <v>-0.10914477203216633</v>
      </c>
      <c r="T44" s="8">
        <f t="shared" si="15"/>
        <v>0.15543151779379283</v>
      </c>
      <c r="U44" s="8">
        <f t="shared" ref="U44:U71" si="21">IFERROR(U9/T9-1,0)</f>
        <v>7.057087486858582E-2</v>
      </c>
      <c r="V44" s="8">
        <f t="shared" ref="V44:V71" ca="1" si="22">IFERROR(V9/U9-1,0)</f>
        <v>-0.19990040688495803</v>
      </c>
    </row>
    <row r="45" spans="1:22">
      <c r="B45" t="str">
        <f t="shared" si="11"/>
        <v>CY</v>
      </c>
      <c r="C45" t="str">
        <f t="shared" si="11"/>
        <v>CY</v>
      </c>
      <c r="D45" s="8"/>
      <c r="E45" s="8">
        <f t="shared" ref="E45:M45" si="23">IFERROR(E10/D10-1,0)</f>
        <v>4.0781745920171586E-2</v>
      </c>
      <c r="F45" s="8">
        <f t="shared" si="23"/>
        <v>4.2437092638633045E-2</v>
      </c>
      <c r="G45" s="8">
        <f t="shared" si="23"/>
        <v>4.7420418128054198E-2</v>
      </c>
      <c r="H45" s="8">
        <f t="shared" si="23"/>
        <v>-3.3323133314728248E-2</v>
      </c>
      <c r="I45" s="8">
        <f t="shared" si="23"/>
        <v>-3.6931966815430872E-2</v>
      </c>
      <c r="J45" s="8">
        <f t="shared" si="23"/>
        <v>-1.4931270584529366E-2</v>
      </c>
      <c r="K45" s="8">
        <f t="shared" si="23"/>
        <v>-6.1729776353695143E-2</v>
      </c>
      <c r="L45" s="8">
        <f t="shared" si="23"/>
        <v>-0.13916348748724028</v>
      </c>
      <c r="M45" s="8">
        <f t="shared" si="23"/>
        <v>2.1083986691967649E-2</v>
      </c>
      <c r="N45" s="8">
        <f t="shared" si="13"/>
        <v>1.3947760242653429E-2</v>
      </c>
      <c r="O45" s="8">
        <f t="shared" si="14"/>
        <v>6.6687131525783538E-2</v>
      </c>
      <c r="P45" s="8">
        <f t="shared" si="14"/>
        <v>3.8385701126173233E-2</v>
      </c>
      <c r="Q45" s="8">
        <f t="shared" si="14"/>
        <v>-6.2539274450179594E-4</v>
      </c>
      <c r="R45" s="8">
        <f t="shared" si="14"/>
        <v>-1.0234999076325524E-2</v>
      </c>
      <c r="S45" s="8">
        <f t="shared" si="15"/>
        <v>-0.16275548957774877</v>
      </c>
      <c r="T45" s="8">
        <f t="shared" si="15"/>
        <v>4.6680390615301937E-2</v>
      </c>
      <c r="U45" s="8">
        <f t="shared" si="21"/>
        <v>7.7219424691516547E-2</v>
      </c>
      <c r="V45" s="8">
        <f t="shared" ca="1" si="22"/>
        <v>-3.2231747698833191E-3</v>
      </c>
    </row>
    <row r="46" spans="1:22">
      <c r="B46" t="str">
        <f t="shared" si="11"/>
        <v>CZ</v>
      </c>
      <c r="C46" t="str">
        <f t="shared" si="11"/>
        <v>CZ</v>
      </c>
      <c r="D46" s="8"/>
      <c r="E46" s="8">
        <f t="shared" ref="E46:M46" si="24">IFERROR(E11/D11-1,0)</f>
        <v>1.4881883726146405E-2</v>
      </c>
      <c r="F46" s="8">
        <f t="shared" si="24"/>
        <v>8.730771654349212E-3</v>
      </c>
      <c r="G46" s="8">
        <f t="shared" si="24"/>
        <v>-5.1472620489911747E-2</v>
      </c>
      <c r="H46" s="8">
        <f t="shared" si="24"/>
        <v>-7.5578579688492353E-2</v>
      </c>
      <c r="I46" s="8">
        <f t="shared" si="24"/>
        <v>6.4539553232414226E-2</v>
      </c>
      <c r="J46" s="8">
        <f t="shared" si="24"/>
        <v>-5.5735221088794917E-2</v>
      </c>
      <c r="K46" s="8">
        <f t="shared" si="24"/>
        <v>-3.8476594943604114E-2</v>
      </c>
      <c r="L46" s="8">
        <f t="shared" si="24"/>
        <v>-5.4689979437487768E-3</v>
      </c>
      <c r="M46" s="8">
        <f t="shared" si="24"/>
        <v>-5.8947980092330932E-2</v>
      </c>
      <c r="N46" s="8">
        <f t="shared" si="13"/>
        <v>3.3635445100990591E-2</v>
      </c>
      <c r="O46" s="8">
        <f t="shared" si="14"/>
        <v>2.7813610283778711E-2</v>
      </c>
      <c r="P46" s="8">
        <f t="shared" si="14"/>
        <v>-1.1093534130911964E-2</v>
      </c>
      <c r="Q46" s="8">
        <f t="shared" si="14"/>
        <v>-9.2118697792306081E-3</v>
      </c>
      <c r="R46" s="8">
        <f t="shared" si="14"/>
        <v>-4.1962764215598969E-2</v>
      </c>
      <c r="S46" s="8">
        <f t="shared" si="15"/>
        <v>-9.0165606874048843E-2</v>
      </c>
      <c r="T46" s="8">
        <f t="shared" si="15"/>
        <v>6.0939723404968893E-2</v>
      </c>
      <c r="U46" s="8">
        <f t="shared" si="21"/>
        <v>-2.2180732261941949E-2</v>
      </c>
      <c r="V46" s="8">
        <f t="shared" ca="1" si="22"/>
        <v>-9.4732252624111668E-2</v>
      </c>
    </row>
    <row r="47" spans="1:22">
      <c r="B47" t="str">
        <f t="shared" si="11"/>
        <v>DE</v>
      </c>
      <c r="C47" t="str">
        <f t="shared" si="11"/>
        <v>DE</v>
      </c>
      <c r="D47" s="8"/>
      <c r="E47" s="8">
        <f t="shared" ref="E47:M47" si="25">IFERROR(E12/D12-1,0)</f>
        <v>2.582672382387563E-2</v>
      </c>
      <c r="F47" s="8">
        <f t="shared" si="25"/>
        <v>-5.2404175695142108E-2</v>
      </c>
      <c r="G47" s="8">
        <f t="shared" si="25"/>
        <v>6.1737526600009751E-3</v>
      </c>
      <c r="H47" s="8">
        <f t="shared" si="25"/>
        <v>-7.2104420460784358E-2</v>
      </c>
      <c r="I47" s="8">
        <f t="shared" si="25"/>
        <v>4.2576163632796149E-2</v>
      </c>
      <c r="J47" s="8">
        <f t="shared" si="25"/>
        <v>-4.4747495046767005E-2</v>
      </c>
      <c r="K47" s="8">
        <f t="shared" si="25"/>
        <v>1.2288653088110557E-2</v>
      </c>
      <c r="L47" s="8">
        <f t="shared" si="25"/>
        <v>3.176224904628544E-2</v>
      </c>
      <c r="M47" s="8">
        <f t="shared" si="25"/>
        <v>-5.893386470014883E-2</v>
      </c>
      <c r="N47" s="8">
        <f t="shared" si="13"/>
        <v>1.1239899157176714E-2</v>
      </c>
      <c r="O47" s="8">
        <f t="shared" si="14"/>
        <v>1.5613110173172684E-2</v>
      </c>
      <c r="P47" s="8">
        <f t="shared" si="14"/>
        <v>8.7785532435291636E-4</v>
      </c>
      <c r="Q47" s="8">
        <f t="shared" si="14"/>
        <v>-2.9580204705597524E-2</v>
      </c>
      <c r="R47" s="8">
        <f t="shared" si="14"/>
        <v>-4.1712210907337788E-2</v>
      </c>
      <c r="S47" s="8">
        <f t="shared" si="15"/>
        <v>-0.10459075450591249</v>
      </c>
      <c r="T47" s="8">
        <f t="shared" si="15"/>
        <v>4.120593080961954E-2</v>
      </c>
      <c r="U47" s="8">
        <f t="shared" si="21"/>
        <v>-1.4931330628995765E-2</v>
      </c>
      <c r="V47" s="8">
        <f t="shared" ca="1" si="22"/>
        <v>-9.2709691920660586E-2</v>
      </c>
    </row>
    <row r="48" spans="1:22">
      <c r="B48" t="str">
        <f t="shared" si="11"/>
        <v>DK</v>
      </c>
      <c r="C48" t="str">
        <f t="shared" si="11"/>
        <v>DK</v>
      </c>
      <c r="D48" s="8"/>
      <c r="E48" s="8">
        <f t="shared" ref="E48:M48" si="26">IFERROR(E13/D13-1,0)</f>
        <v>0.12756586468466846</v>
      </c>
      <c r="F48" s="8">
        <f t="shared" si="26"/>
        <v>-7.2596799556660763E-2</v>
      </c>
      <c r="G48" s="8">
        <f t="shared" si="26"/>
        <v>-4.3871735096817299E-2</v>
      </c>
      <c r="H48" s="8">
        <f t="shared" si="26"/>
        <v>-4.5068607732750232E-2</v>
      </c>
      <c r="I48" s="8">
        <f t="shared" si="26"/>
        <v>2.5897846777852562E-2</v>
      </c>
      <c r="J48" s="8">
        <f t="shared" si="26"/>
        <v>-0.11158493013398607</v>
      </c>
      <c r="K48" s="8">
        <f t="shared" si="26"/>
        <v>-8.9430376046971016E-2</v>
      </c>
      <c r="L48" s="8">
        <f t="shared" si="26"/>
        <v>2.2980730502351721E-2</v>
      </c>
      <c r="M48" s="8">
        <f t="shared" si="26"/>
        <v>-9.8466526918502328E-2</v>
      </c>
      <c r="N48" s="8">
        <f t="shared" si="13"/>
        <v>-5.4836601679847718E-2</v>
      </c>
      <c r="O48" s="8">
        <f t="shared" si="14"/>
        <v>3.1368114263951252E-2</v>
      </c>
      <c r="P48" s="8">
        <f t="shared" si="14"/>
        <v>-3.5755175685076801E-2</v>
      </c>
      <c r="Q48" s="8">
        <f t="shared" si="14"/>
        <v>1.7942338441319094E-3</v>
      </c>
      <c r="R48" s="8">
        <f t="shared" si="14"/>
        <v>-7.5767353887200017E-2</v>
      </c>
      <c r="S48" s="8">
        <f t="shared" si="15"/>
        <v>-0.16320342002694876</v>
      </c>
      <c r="T48" s="8">
        <f t="shared" si="15"/>
        <v>3.5824294372083898E-2</v>
      </c>
      <c r="U48" s="8">
        <f t="shared" si="21"/>
        <v>8.5208787023609567E-3</v>
      </c>
      <c r="V48" s="8">
        <f t="shared" ca="1" si="22"/>
        <v>-4.6165215220486111E-2</v>
      </c>
    </row>
    <row r="49" spans="2:22">
      <c r="B49" t="str">
        <f t="shared" si="11"/>
        <v>EE</v>
      </c>
      <c r="C49" t="str">
        <f t="shared" si="11"/>
        <v>EE</v>
      </c>
      <c r="D49" s="8"/>
      <c r="E49" s="8">
        <f t="shared" ref="E49:M49" si="27">IFERROR(E14/D14-1,0)</f>
        <v>-1.5744655124078411E-2</v>
      </c>
      <c r="F49" s="8">
        <f t="shared" si="27"/>
        <v>0.211316267270937</v>
      </c>
      <c r="G49" s="8">
        <f t="shared" si="27"/>
        <v>-0.16499492381555414</v>
      </c>
      <c r="H49" s="8">
        <f t="shared" si="27"/>
        <v>-0.25132825781408252</v>
      </c>
      <c r="I49" s="8">
        <f t="shared" si="27"/>
        <v>0.46109990507666221</v>
      </c>
      <c r="J49" s="8">
        <f t="shared" si="27"/>
        <v>-1.9162710401381067E-2</v>
      </c>
      <c r="K49" s="8">
        <f t="shared" si="27"/>
        <v>-0.12133320875660691</v>
      </c>
      <c r="L49" s="8">
        <f t="shared" si="27"/>
        <v>0.11984068364664502</v>
      </c>
      <c r="M49" s="8">
        <f t="shared" si="27"/>
        <v>-5.6265353845184052E-2</v>
      </c>
      <c r="N49" s="8">
        <f t="shared" si="13"/>
        <v>-0.19474929662610141</v>
      </c>
      <c r="O49" s="8">
        <f t="shared" si="14"/>
        <v>0.31836437687344166</v>
      </c>
      <c r="P49" s="8">
        <f t="shared" si="14"/>
        <v>-3.8502513546962325E-2</v>
      </c>
      <c r="Q49" s="8">
        <f t="shared" si="14"/>
        <v>-6.8977216395164409E-2</v>
      </c>
      <c r="R49" s="8">
        <f t="shared" si="14"/>
        <v>-0.25595771156572866</v>
      </c>
      <c r="S49" s="8">
        <f t="shared" si="15"/>
        <v>-0.21688218827698647</v>
      </c>
      <c r="T49" s="8">
        <f t="shared" si="15"/>
        <v>8.1726760168345125E-2</v>
      </c>
      <c r="U49" s="8">
        <f t="shared" si="21"/>
        <v>0.1433598797812532</v>
      </c>
      <c r="V49" s="8">
        <f t="shared" ca="1" si="22"/>
        <v>-0.18077360570320589</v>
      </c>
    </row>
    <row r="50" spans="2:22">
      <c r="B50" t="str">
        <f t="shared" si="11"/>
        <v>ES</v>
      </c>
      <c r="C50" t="str">
        <f t="shared" si="11"/>
        <v>ES</v>
      </c>
      <c r="D50" s="8"/>
      <c r="E50" s="8">
        <f t="shared" ref="E50:M50" si="28">IFERROR(E15/D15-1,0)</f>
        <v>-6.8864946122031423E-3</v>
      </c>
      <c r="F50" s="8">
        <f t="shared" si="28"/>
        <v>2.5539186974992356E-2</v>
      </c>
      <c r="G50" s="8">
        <f t="shared" si="28"/>
        <v>-5.2499153134522358E-2</v>
      </c>
      <c r="H50" s="8">
        <f t="shared" si="28"/>
        <v>-0.10888527333734244</v>
      </c>
      <c r="I50" s="8">
        <f t="shared" si="28"/>
        <v>-4.8628779440754277E-2</v>
      </c>
      <c r="J50" s="8">
        <f t="shared" si="28"/>
        <v>7.9396270246638867E-3</v>
      </c>
      <c r="K50" s="8">
        <f t="shared" si="28"/>
        <v>-1.5308310584137508E-2</v>
      </c>
      <c r="L50" s="8">
        <f t="shared" si="28"/>
        <v>-8.8861014226605972E-2</v>
      </c>
      <c r="M50" s="8">
        <f t="shared" si="28"/>
        <v>-2.8122062253789215E-2</v>
      </c>
      <c r="N50" s="8">
        <f t="shared" si="13"/>
        <v>6.4114483812541367E-2</v>
      </c>
      <c r="O50" s="8">
        <f t="shared" si="14"/>
        <v>-1.3563032075242565E-2</v>
      </c>
      <c r="P50" s="8">
        <f t="shared" si="14"/>
        <v>8.7802001554774467E-2</v>
      </c>
      <c r="Q50" s="8">
        <f t="shared" si="14"/>
        <v>-1.7945264681781592E-2</v>
      </c>
      <c r="R50" s="8">
        <f t="shared" si="14"/>
        <v>-4.5228538521631001E-2</v>
      </c>
      <c r="S50" s="8">
        <f t="shared" si="15"/>
        <v>-0.1829628128403028</v>
      </c>
      <c r="T50" s="8">
        <f t="shared" si="15"/>
        <v>9.1482263691542443E-2</v>
      </c>
      <c r="U50" s="8">
        <f t="shared" si="21"/>
        <v>4.3078279449603851E-2</v>
      </c>
      <c r="V50" s="8">
        <f t="shared" ca="1" si="22"/>
        <v>-7.4353138922816586E-2</v>
      </c>
    </row>
    <row r="51" spans="2:22">
      <c r="B51" t="str">
        <f t="shared" si="11"/>
        <v>FI</v>
      </c>
      <c r="C51" t="str">
        <f t="shared" si="11"/>
        <v>FI</v>
      </c>
      <c r="D51" s="8"/>
      <c r="E51" s="8">
        <f t="shared" ref="E51:M51" si="29">IFERROR(E16/D16-1,0)</f>
        <v>0.17302483015757497</v>
      </c>
      <c r="F51" s="8">
        <f t="shared" si="29"/>
        <v>-4.0195471326643362E-2</v>
      </c>
      <c r="G51" s="8">
        <f t="shared" si="29"/>
        <v>-9.260498230492753E-2</v>
      </c>
      <c r="H51" s="8">
        <f t="shared" si="29"/>
        <v>-4.915709088161313E-2</v>
      </c>
      <c r="I51" s="8">
        <f t="shared" si="29"/>
        <v>0.12332704736762867</v>
      </c>
      <c r="J51" s="8">
        <f t="shared" si="29"/>
        <v>-7.1490940211245135E-2</v>
      </c>
      <c r="K51" s="8">
        <f t="shared" si="29"/>
        <v>-0.12877384384566681</v>
      </c>
      <c r="L51" s="8">
        <f t="shared" si="29"/>
        <v>-5.8983705626893701E-2</v>
      </c>
      <c r="M51" s="8">
        <f t="shared" si="29"/>
        <v>3.8600270793678337E-3</v>
      </c>
      <c r="N51" s="8">
        <f t="shared" si="13"/>
        <v>-9.846861170482224E-2</v>
      </c>
      <c r="O51" s="8">
        <f t="shared" si="14"/>
        <v>5.0683445181346265E-2</v>
      </c>
      <c r="P51" s="8">
        <f t="shared" si="14"/>
        <v>-4.4933866744517048E-2</v>
      </c>
      <c r="Q51" s="8">
        <f t="shared" si="14"/>
        <v>2.7481725821192127E-2</v>
      </c>
      <c r="R51" s="8">
        <f t="shared" si="14"/>
        <v>-7.9978290108976835E-2</v>
      </c>
      <c r="S51" s="8">
        <f t="shared" si="15"/>
        <v>-0.11136391907596688</v>
      </c>
      <c r="T51" s="8">
        <f t="shared" si="15"/>
        <v>-2.5703345526847721E-2</v>
      </c>
      <c r="U51" s="8">
        <f t="shared" si="21"/>
        <v>-4.5226069729955576E-2</v>
      </c>
      <c r="V51" s="8">
        <f t="shared" ca="1" si="22"/>
        <v>-9.195561628568194E-2</v>
      </c>
    </row>
    <row r="52" spans="2:22">
      <c r="B52" t="str">
        <f t="shared" si="11"/>
        <v>FR</v>
      </c>
      <c r="C52" t="str">
        <f t="shared" si="11"/>
        <v>FR</v>
      </c>
      <c r="D52" s="8"/>
      <c r="E52" s="8">
        <f t="shared" ref="E52:M52" si="30">IFERROR(E17/D17-1,0)</f>
        <v>-2.8043706138611291E-2</v>
      </c>
      <c r="F52" s="8">
        <f t="shared" si="30"/>
        <v>-2.0625383774016681E-2</v>
      </c>
      <c r="G52" s="8">
        <f t="shared" si="30"/>
        <v>-3.4084469746442636E-4</v>
      </c>
      <c r="H52" s="8">
        <f t="shared" si="30"/>
        <v>-3.7560066855316432E-2</v>
      </c>
      <c r="I52" s="8">
        <f t="shared" si="30"/>
        <v>1.3481501037482024E-2</v>
      </c>
      <c r="J52" s="8">
        <f t="shared" si="30"/>
        <v>-3.4623861019979496E-2</v>
      </c>
      <c r="K52" s="8">
        <f t="shared" si="30"/>
        <v>8.8364549254893454E-4</v>
      </c>
      <c r="L52" s="8">
        <f t="shared" si="30"/>
        <v>-2.0972676728000517E-3</v>
      </c>
      <c r="M52" s="8">
        <f t="shared" si="30"/>
        <v>-9.0840764673485008E-2</v>
      </c>
      <c r="N52" s="8">
        <f t="shared" si="13"/>
        <v>3.1912109797451516E-2</v>
      </c>
      <c r="O52" s="8">
        <f t="shared" si="14"/>
        <v>7.6159662734807121E-3</v>
      </c>
      <c r="P52" s="8">
        <f t="shared" si="14"/>
        <v>7.8774556819525277E-3</v>
      </c>
      <c r="Q52" s="8">
        <f t="shared" si="14"/>
        <v>-3.6639828517451289E-2</v>
      </c>
      <c r="R52" s="8">
        <f t="shared" si="14"/>
        <v>-4.3047016541695182E-3</v>
      </c>
      <c r="S52" s="8">
        <f t="shared" si="15"/>
        <v>-0.15142161430554002</v>
      </c>
      <c r="T52" s="8">
        <f t="shared" si="15"/>
        <v>9.4100601870863887E-2</v>
      </c>
      <c r="U52" s="8">
        <f t="shared" si="21"/>
        <v>-1.4535192224062632E-2</v>
      </c>
      <c r="V52" s="8">
        <f t="shared" ca="1" si="22"/>
        <v>-6.8187715981815056E-2</v>
      </c>
    </row>
    <row r="53" spans="2:22">
      <c r="B53" t="str">
        <f t="shared" si="11"/>
        <v>EL</v>
      </c>
      <c r="C53" t="str">
        <f t="shared" si="11"/>
        <v>GR</v>
      </c>
      <c r="D53" s="8"/>
      <c r="E53" s="8">
        <f t="shared" ref="E53:M53" si="31">IFERROR(E18/D18-1,0)</f>
        <v>-6.3328100259694153E-3</v>
      </c>
      <c r="F53" s="8">
        <f t="shared" si="31"/>
        <v>4.0534958523785747E-3</v>
      </c>
      <c r="G53" s="8">
        <f t="shared" si="31"/>
        <v>2.1696022544952509E-3</v>
      </c>
      <c r="H53" s="8">
        <f t="shared" si="31"/>
        <v>-3.9030987238882209E-2</v>
      </c>
      <c r="I53" s="8">
        <f t="shared" si="31"/>
        <v>-9.6058514312336141E-2</v>
      </c>
      <c r="J53" s="8">
        <f t="shared" si="31"/>
        <v>-1.5294538874533692E-2</v>
      </c>
      <c r="K53" s="8">
        <f t="shared" si="31"/>
        <v>-1.1927271643133452E-2</v>
      </c>
      <c r="L53" s="8">
        <f t="shared" si="31"/>
        <v>-0.13841951639654693</v>
      </c>
      <c r="M53" s="8">
        <f t="shared" si="31"/>
        <v>-2.6986877349987837E-2</v>
      </c>
      <c r="N53" s="8">
        <f t="shared" si="13"/>
        <v>-1.8557931811945649E-2</v>
      </c>
      <c r="O53" s="8">
        <f t="shared" si="14"/>
        <v>-4.6436511664876834E-3</v>
      </c>
      <c r="P53" s="8">
        <f t="shared" si="14"/>
        <v>2.7226347568545917E-2</v>
      </c>
      <c r="Q53" s="8">
        <f t="shared" si="14"/>
        <v>-4.2416032076188048E-2</v>
      </c>
      <c r="R53" s="8">
        <f t="shared" si="14"/>
        <v>-3.4244152352532975E-2</v>
      </c>
      <c r="S53" s="8">
        <f t="shared" si="15"/>
        <v>-0.16473014181741996</v>
      </c>
      <c r="T53" s="8">
        <f t="shared" si="15"/>
        <v>7.1273248644166509E-2</v>
      </c>
      <c r="U53" s="8">
        <f t="shared" si="21"/>
        <v>4.8472053476472432E-2</v>
      </c>
      <c r="V53" s="8">
        <f t="shared" ca="1" si="22"/>
        <v>-5.8477293408966236E-2</v>
      </c>
    </row>
    <row r="54" spans="2:22">
      <c r="B54" t="str">
        <f t="shared" si="11"/>
        <v>HR</v>
      </c>
      <c r="C54" t="str">
        <f t="shared" si="11"/>
        <v>HR</v>
      </c>
      <c r="D54" s="8"/>
      <c r="E54" s="8">
        <f t="shared" ref="E54:M54" si="32">IFERROR(E19/D19-1,0)</f>
        <v>5.6217089265193643E-3</v>
      </c>
      <c r="F54" s="8">
        <f t="shared" si="32"/>
        <v>6.3363922230329051E-2</v>
      </c>
      <c r="G54" s="8">
        <f t="shared" si="32"/>
        <v>-4.6687697502682979E-2</v>
      </c>
      <c r="H54" s="8">
        <f t="shared" si="32"/>
        <v>-5.0990889262946371E-2</v>
      </c>
      <c r="I54" s="8">
        <f t="shared" si="32"/>
        <v>-3.5144076551797743E-2</v>
      </c>
      <c r="J54" s="8">
        <f t="shared" si="32"/>
        <v>-1.8691366924223018E-2</v>
      </c>
      <c r="K54" s="8">
        <f t="shared" si="32"/>
        <v>-8.5740207197489648E-2</v>
      </c>
      <c r="L54" s="8">
        <f t="shared" si="32"/>
        <v>-3.5460149054307277E-2</v>
      </c>
      <c r="M54" s="8">
        <f t="shared" si="32"/>
        <v>-5.999555338803142E-2</v>
      </c>
      <c r="N54" s="8">
        <f t="shared" si="13"/>
        <v>3.0967247973741729E-2</v>
      </c>
      <c r="O54" s="8">
        <f t="shared" si="14"/>
        <v>2.8199160817010904E-2</v>
      </c>
      <c r="P54" s="8">
        <f t="shared" si="14"/>
        <v>4.8467494722386428E-2</v>
      </c>
      <c r="Q54" s="8">
        <f t="shared" si="14"/>
        <v>-5.189443039916819E-2</v>
      </c>
      <c r="R54" s="8">
        <f t="shared" si="14"/>
        <v>1.4837775524747521E-3</v>
      </c>
      <c r="S54" s="8">
        <f t="shared" si="15"/>
        <v>-7.0923668937445394E-2</v>
      </c>
      <c r="T54" s="8">
        <f t="shared" si="15"/>
        <v>4.7219990906998799E-2</v>
      </c>
      <c r="U54" s="8">
        <f t="shared" si="21"/>
        <v>4.7654273558417337E-2</v>
      </c>
      <c r="V54" s="8">
        <f t="shared" ca="1" si="22"/>
        <v>2.6217855975607662E-4</v>
      </c>
    </row>
    <row r="55" spans="2:22">
      <c r="B55" t="str">
        <f t="shared" si="11"/>
        <v>HU</v>
      </c>
      <c r="C55" t="str">
        <f t="shared" si="11"/>
        <v>HU</v>
      </c>
      <c r="D55" s="8"/>
      <c r="E55" s="8">
        <f t="shared" ref="E55:M55" si="33">IFERROR(E20/D20-1,0)</f>
        <v>-1.7911806453178802E-2</v>
      </c>
      <c r="F55" s="8">
        <f t="shared" si="33"/>
        <v>-4.1542343214936439E-2</v>
      </c>
      <c r="G55" s="8">
        <f t="shared" si="33"/>
        <v>-1.7652319254572557E-2</v>
      </c>
      <c r="H55" s="8">
        <f t="shared" si="33"/>
        <v>-0.10146987337962066</v>
      </c>
      <c r="I55" s="8">
        <f t="shared" si="33"/>
        <v>2.1402410044423448E-2</v>
      </c>
      <c r="J55" s="8">
        <f t="shared" si="33"/>
        <v>-2.7413314906875819E-2</v>
      </c>
      <c r="K55" s="8">
        <f t="shared" si="33"/>
        <v>-8.5777742417717406E-2</v>
      </c>
      <c r="L55" s="8">
        <f t="shared" si="33"/>
        <v>-7.139605055928433E-2</v>
      </c>
      <c r="M55" s="8">
        <f t="shared" si="33"/>
        <v>-2.6284721140780731E-2</v>
      </c>
      <c r="N55" s="8">
        <f t="shared" si="13"/>
        <v>7.398645847766594E-2</v>
      </c>
      <c r="O55" s="8">
        <f t="shared" si="14"/>
        <v>2.3754278181406629E-2</v>
      </c>
      <c r="P55" s="8">
        <f t="shared" si="14"/>
        <v>5.2872067772429476E-2</v>
      </c>
      <c r="Q55" s="8">
        <f t="shared" si="14"/>
        <v>7.1794847649297999E-3</v>
      </c>
      <c r="R55" s="8">
        <f t="shared" si="14"/>
        <v>5.7349020402901463E-3</v>
      </c>
      <c r="S55" s="8">
        <f t="shared" si="15"/>
        <v>-4.1537185644746732E-2</v>
      </c>
      <c r="T55" s="8">
        <f t="shared" si="15"/>
        <v>4.2765615652742728E-2</v>
      </c>
      <c r="U55" s="8">
        <f t="shared" si="21"/>
        <v>-5.9924593541220705E-2</v>
      </c>
      <c r="V55" s="8">
        <f t="shared" ca="1" si="22"/>
        <v>-9.4359033268264336E-2</v>
      </c>
    </row>
    <row r="56" spans="2:22">
      <c r="B56" t="str">
        <f t="shared" si="11"/>
        <v>IE</v>
      </c>
      <c r="C56" t="str">
        <f t="shared" si="11"/>
        <v>IE</v>
      </c>
      <c r="D56" s="8"/>
      <c r="E56" s="8">
        <f t="shared" ref="E56:M56" si="34">IFERROR(E21/D21-1,0)</f>
        <v>9.8159400175257261E-3</v>
      </c>
      <c r="F56" s="8">
        <f t="shared" si="34"/>
        <v>5.7783083964771942E-2</v>
      </c>
      <c r="G56" s="8">
        <f t="shared" si="34"/>
        <v>-2.2815887479662234E-2</v>
      </c>
      <c r="H56" s="8">
        <f t="shared" si="34"/>
        <v>-5.8271556659128088E-2</v>
      </c>
      <c r="I56" s="8">
        <f t="shared" si="34"/>
        <v>-1.168423971932453E-2</v>
      </c>
      <c r="J56" s="8">
        <f t="shared" si="34"/>
        <v>-9.2813509064628485E-2</v>
      </c>
      <c r="K56" s="8">
        <f t="shared" si="34"/>
        <v>1.1089575092077641E-2</v>
      </c>
      <c r="L56" s="8">
        <f t="shared" si="34"/>
        <v>-7.5773226194589482E-2</v>
      </c>
      <c r="M56" s="8">
        <f t="shared" si="34"/>
        <v>5.9634180530705461E-3</v>
      </c>
      <c r="N56" s="8">
        <f t="shared" si="13"/>
        <v>6.2353543290856184E-2</v>
      </c>
      <c r="O56" s="8">
        <f t="shared" si="14"/>
        <v>6.7794333539429319E-2</v>
      </c>
      <c r="P56" s="8">
        <f t="shared" si="14"/>
        <v>-2.5726501395838208E-2</v>
      </c>
      <c r="Q56" s="8">
        <f t="shared" si="14"/>
        <v>-1.1582043537536002E-2</v>
      </c>
      <c r="R56" s="8">
        <f t="shared" si="14"/>
        <v>-1.1580074601238444E-2</v>
      </c>
      <c r="S56" s="8">
        <f t="shared" si="15"/>
        <v>-9.9700925316381972E-2</v>
      </c>
      <c r="T56" s="8">
        <f t="shared" si="15"/>
        <v>3.2710746401811708E-2</v>
      </c>
      <c r="U56" s="8">
        <f t="shared" si="21"/>
        <v>3.6527070408326923E-2</v>
      </c>
      <c r="V56" s="8">
        <f t="shared" ca="1" si="22"/>
        <v>-5.5314575845808678E-2</v>
      </c>
    </row>
    <row r="57" spans="2:22">
      <c r="B57" t="str">
        <f t="shared" si="11"/>
        <v>IT</v>
      </c>
      <c r="C57" t="str">
        <f t="shared" si="11"/>
        <v>IT</v>
      </c>
      <c r="D57" s="8"/>
      <c r="E57" s="8">
        <f t="shared" ref="E57:M57" si="35">IFERROR(E22/D22-1,0)</f>
        <v>-1.7539747647357884E-2</v>
      </c>
      <c r="F57" s="8">
        <f t="shared" si="35"/>
        <v>-1.3007771547628777E-2</v>
      </c>
      <c r="G57" s="8">
        <f t="shared" si="35"/>
        <v>-2.997450660933787E-2</v>
      </c>
      <c r="H57" s="8">
        <f t="shared" si="35"/>
        <v>-9.0852477201247006E-2</v>
      </c>
      <c r="I57" s="8">
        <f t="shared" si="35"/>
        <v>1.5848443624705721E-2</v>
      </c>
      <c r="J57" s="8">
        <f t="shared" si="35"/>
        <v>-3.3223617801935279E-2</v>
      </c>
      <c r="K57" s="8">
        <f t="shared" si="35"/>
        <v>-5.9406092338231131E-2</v>
      </c>
      <c r="L57" s="8">
        <f t="shared" si="35"/>
        <v>-5.4111881721779276E-2</v>
      </c>
      <c r="M57" s="8">
        <f t="shared" si="35"/>
        <v>-8.0139946848123644E-2</v>
      </c>
      <c r="N57" s="8">
        <f t="shared" si="13"/>
        <v>5.8339867052947136E-2</v>
      </c>
      <c r="O57" s="8">
        <f t="shared" si="14"/>
        <v>-5.7004633451795961E-4</v>
      </c>
      <c r="P57" s="8">
        <f t="shared" si="14"/>
        <v>6.8498464735597953E-3</v>
      </c>
      <c r="Q57" s="8">
        <f t="shared" si="14"/>
        <v>-2.3309211277752429E-2</v>
      </c>
      <c r="R57" s="8">
        <f t="shared" si="14"/>
        <v>-1.0685213502016122E-2</v>
      </c>
      <c r="S57" s="8">
        <f t="shared" si="15"/>
        <v>-0.11304132994832261</v>
      </c>
      <c r="T57" s="8">
        <f t="shared" si="15"/>
        <v>0.11412894366128779</v>
      </c>
      <c r="U57" s="8">
        <f t="shared" si="21"/>
        <v>-3.293367771538569E-2</v>
      </c>
      <c r="V57" s="8">
        <f t="shared" ca="1" si="22"/>
        <v>-7.7427703291656047E-2</v>
      </c>
    </row>
    <row r="58" spans="2:22">
      <c r="B58" t="str">
        <f t="shared" si="11"/>
        <v>LT</v>
      </c>
      <c r="C58" t="str">
        <f t="shared" si="11"/>
        <v>LT</v>
      </c>
      <c r="D58" s="8"/>
      <c r="E58" s="8">
        <f t="shared" ref="E58:M58" si="36">IFERROR(E23/D23-1,0)</f>
        <v>1.6536185657507474E-3</v>
      </c>
      <c r="F58" s="8">
        <f t="shared" si="36"/>
        <v>-1.004977099461124E-2</v>
      </c>
      <c r="G58" s="8">
        <f t="shared" si="36"/>
        <v>1.2802994296577941E-2</v>
      </c>
      <c r="H58" s="8">
        <f t="shared" si="36"/>
        <v>-0.10057559759495549</v>
      </c>
      <c r="I58" s="8">
        <f t="shared" si="36"/>
        <v>9.9864070979454045E-2</v>
      </c>
      <c r="J58" s="8">
        <f t="shared" si="36"/>
        <v>-6.9174772097436055E-2</v>
      </c>
      <c r="K58" s="8">
        <f t="shared" si="36"/>
        <v>-3.6676706309985985E-3</v>
      </c>
      <c r="L58" s="8">
        <f t="shared" si="36"/>
        <v>-6.4696949751767652E-2</v>
      </c>
      <c r="M58" s="8">
        <f t="shared" si="36"/>
        <v>-4.4522367495766435E-2</v>
      </c>
      <c r="N58" s="8">
        <f t="shared" si="13"/>
        <v>-1.8271796924854256E-2</v>
      </c>
      <c r="O58" s="8">
        <f t="shared" si="14"/>
        <v>2.2011702349418849E-2</v>
      </c>
      <c r="P58" s="8">
        <f t="shared" si="14"/>
        <v>-1.6996142245363499E-3</v>
      </c>
      <c r="Q58" s="8">
        <f t="shared" si="14"/>
        <v>3.5219301286374183E-2</v>
      </c>
      <c r="R58" s="8">
        <f t="shared" si="14"/>
        <v>-1.69661574866109E-2</v>
      </c>
      <c r="S58" s="8">
        <f t="shared" si="15"/>
        <v>-3.2772984119553428E-3</v>
      </c>
      <c r="T58" s="8">
        <f t="shared" si="15"/>
        <v>2.2054435495876712E-2</v>
      </c>
      <c r="U58" s="8">
        <f t="shared" si="21"/>
        <v>-4.2724401266887702E-2</v>
      </c>
      <c r="V58" s="8">
        <f t="shared" ca="1" si="22"/>
        <v>7.6450014025057911E-3</v>
      </c>
    </row>
    <row r="59" spans="2:22">
      <c r="B59" t="str">
        <f t="shared" si="11"/>
        <v>LU</v>
      </c>
      <c r="C59" t="str">
        <f t="shared" si="11"/>
        <v>LU</v>
      </c>
      <c r="D59" s="8"/>
      <c r="E59" s="8">
        <f t="shared" ref="E59:M59" si="37">IFERROR(E24/D24-1,0)</f>
        <v>-2.5306593591451931E-2</v>
      </c>
      <c r="F59" s="8">
        <f t="shared" si="37"/>
        <v>-3.9517256088320685E-2</v>
      </c>
      <c r="G59" s="8">
        <f t="shared" si="37"/>
        <v>-8.7551295592630529E-3</v>
      </c>
      <c r="H59" s="8">
        <f t="shared" si="37"/>
        <v>-4.3565161429778732E-2</v>
      </c>
      <c r="I59" s="8">
        <f t="shared" si="37"/>
        <v>5.3503797485259463E-2</v>
      </c>
      <c r="J59" s="8">
        <f t="shared" si="37"/>
        <v>-2.7470861209353714E-2</v>
      </c>
      <c r="K59" s="8">
        <f t="shared" si="37"/>
        <v>-2.3432322221565105E-2</v>
      </c>
      <c r="L59" s="8">
        <f t="shared" si="37"/>
        <v>-5.3009261219998272E-2</v>
      </c>
      <c r="M59" s="8">
        <f t="shared" si="37"/>
        <v>-3.9322893161847561E-2</v>
      </c>
      <c r="N59" s="8">
        <f t="shared" si="13"/>
        <v>-3.4565678937456434E-2</v>
      </c>
      <c r="O59" s="8">
        <f t="shared" si="14"/>
        <v>-1.8844103988149175E-2</v>
      </c>
      <c r="P59" s="8">
        <f t="shared" si="14"/>
        <v>3.1299853574207281E-2</v>
      </c>
      <c r="Q59" s="8">
        <f t="shared" si="14"/>
        <v>4.0204296652972982E-2</v>
      </c>
      <c r="R59" s="8">
        <f t="shared" si="14"/>
        <v>1.0975616528117849E-2</v>
      </c>
      <c r="S59" s="8">
        <f t="shared" si="15"/>
        <v>-0.16888565425758328</v>
      </c>
      <c r="T59" s="8">
        <f t="shared" si="15"/>
        <v>7.3893369003889875E-2</v>
      </c>
      <c r="U59" s="8">
        <f t="shared" si="21"/>
        <v>-0.1129807137544776</v>
      </c>
      <c r="V59" s="8">
        <f t="shared" ca="1" si="22"/>
        <v>-3.3198106737823307E-2</v>
      </c>
    </row>
    <row r="60" spans="2:22">
      <c r="B60" t="str">
        <f t="shared" si="11"/>
        <v>LV</v>
      </c>
      <c r="C60" t="str">
        <f t="shared" si="11"/>
        <v>LV</v>
      </c>
      <c r="D60" s="8"/>
      <c r="E60" s="8">
        <f t="shared" ref="E60:M60" si="38">IFERROR(E25/D25-1,0)</f>
        <v>6.3561715945581021E-2</v>
      </c>
      <c r="F60" s="8">
        <f t="shared" si="38"/>
        <v>3.1770170685586185E-2</v>
      </c>
      <c r="G60" s="8">
        <f t="shared" si="38"/>
        <v>-4.0380487046889235E-2</v>
      </c>
      <c r="H60" s="8">
        <f t="shared" si="38"/>
        <v>-8.5350973674539032E-2</v>
      </c>
      <c r="I60" s="8">
        <f t="shared" si="38"/>
        <v>0.10878935253458022</v>
      </c>
      <c r="J60" s="8">
        <f t="shared" si="38"/>
        <v>-0.10495194930685836</v>
      </c>
      <c r="K60" s="8">
        <f t="shared" si="38"/>
        <v>-4.2454319322655421E-2</v>
      </c>
      <c r="L60" s="8">
        <f t="shared" si="38"/>
        <v>-3.5145383926503682E-3</v>
      </c>
      <c r="M60" s="8">
        <f t="shared" si="38"/>
        <v>-3.7931703230210667E-2</v>
      </c>
      <c r="N60" s="8">
        <f t="shared" si="13"/>
        <v>1.5060277394545851E-2</v>
      </c>
      <c r="O60" s="8">
        <f t="shared" si="14"/>
        <v>1.1088996755398872E-2</v>
      </c>
      <c r="P60" s="8">
        <f t="shared" si="14"/>
        <v>-1.38817743278703E-2</v>
      </c>
      <c r="Q60" s="8">
        <f t="shared" si="14"/>
        <v>7.8276637631647494E-2</v>
      </c>
      <c r="R60" s="8">
        <f t="shared" si="14"/>
        <v>-3.9764297325254883E-2</v>
      </c>
      <c r="S60" s="8">
        <f t="shared" si="15"/>
        <v>-0.12934956828459587</v>
      </c>
      <c r="T60" s="8">
        <f t="shared" si="15"/>
        <v>4.4969321222378733E-2</v>
      </c>
      <c r="U60" s="8">
        <f t="shared" si="21"/>
        <v>-9.0277575147088673E-2</v>
      </c>
      <c r="V60" s="8">
        <f t="shared" ca="1" si="22"/>
        <v>-2.2366828920484805E-3</v>
      </c>
    </row>
    <row r="61" spans="2:22">
      <c r="B61" t="str">
        <f t="shared" si="11"/>
        <v>MT</v>
      </c>
      <c r="C61" t="str">
        <f t="shared" si="11"/>
        <v>MT</v>
      </c>
      <c r="D61" s="8"/>
      <c r="E61" s="8">
        <f t="shared" ref="E61:M61" si="39">IFERROR(E26/D26-1,0)</f>
        <v>9.5313020722358477E-3</v>
      </c>
      <c r="F61" s="8">
        <f t="shared" si="39"/>
        <v>2.6373552631294039E-2</v>
      </c>
      <c r="G61" s="8">
        <f t="shared" si="39"/>
        <v>9.4950357751097947E-3</v>
      </c>
      <c r="H61" s="8">
        <f t="shared" si="39"/>
        <v>-7.7739324279292865E-2</v>
      </c>
      <c r="I61" s="8">
        <f t="shared" si="39"/>
        <v>4.7288955338838035E-2</v>
      </c>
      <c r="J61" s="8">
        <f t="shared" si="39"/>
        <v>-5.5276762345611852E-3</v>
      </c>
      <c r="K61" s="8">
        <f t="shared" si="39"/>
        <v>4.2677124421838242E-2</v>
      </c>
      <c r="L61" s="8">
        <f t="shared" si="39"/>
        <v>-0.10076964717637837</v>
      </c>
      <c r="M61" s="8">
        <f t="shared" si="39"/>
        <v>7.508078753053482E-3</v>
      </c>
      <c r="N61" s="8">
        <f t="shared" si="13"/>
        <v>-0.2629853870144403</v>
      </c>
      <c r="O61" s="8">
        <f t="shared" si="14"/>
        <v>-0.13472325708903288</v>
      </c>
      <c r="P61" s="8">
        <f t="shared" si="14"/>
        <v>0.2664352303170785</v>
      </c>
      <c r="Q61" s="8">
        <f t="shared" si="14"/>
        <v>4.9458389580325113E-2</v>
      </c>
      <c r="R61" s="8">
        <f t="shared" si="14"/>
        <v>6.2307885604069302E-2</v>
      </c>
      <c r="S61" s="8">
        <f t="shared" si="15"/>
        <v>-0.15295996481209884</v>
      </c>
      <c r="T61" s="8">
        <f t="shared" si="15"/>
        <v>3.1656298729430876E-2</v>
      </c>
      <c r="U61" s="8">
        <f t="shared" si="21"/>
        <v>0.1520258109828363</v>
      </c>
      <c r="V61" s="8">
        <f t="shared" ca="1" si="22"/>
        <v>1.2905774487775634E-2</v>
      </c>
    </row>
    <row r="62" spans="2:22">
      <c r="B62" t="str">
        <f t="shared" si="11"/>
        <v>NL</v>
      </c>
      <c r="C62" t="str">
        <f t="shared" si="11"/>
        <v>NL</v>
      </c>
      <c r="D62" s="8"/>
      <c r="E62" s="8">
        <f t="shared" ref="E62:M62" si="40">IFERROR(E27/D27-1,0)</f>
        <v>-1.302999831892182E-2</v>
      </c>
      <c r="F62" s="8">
        <f t="shared" si="40"/>
        <v>-2.2730073973307174E-3</v>
      </c>
      <c r="G62" s="8">
        <f t="shared" si="40"/>
        <v>3.7996724936872894E-3</v>
      </c>
      <c r="H62" s="8">
        <f t="shared" si="40"/>
        <v>-2.4529993099412395E-2</v>
      </c>
      <c r="I62" s="8">
        <f t="shared" si="40"/>
        <v>7.0193513610030456E-2</v>
      </c>
      <c r="J62" s="8">
        <f t="shared" si="40"/>
        <v>-8.2199600442897758E-2</v>
      </c>
      <c r="K62" s="8">
        <f t="shared" si="40"/>
        <v>-1.6963138918569265E-2</v>
      </c>
      <c r="L62" s="8">
        <f t="shared" si="40"/>
        <v>-5.0144928819576551E-3</v>
      </c>
      <c r="M62" s="8">
        <f t="shared" si="40"/>
        <v>-6.5051195526990013E-2</v>
      </c>
      <c r="N62" s="8">
        <f t="shared" si="13"/>
        <v>-5.4542609275874621E-2</v>
      </c>
      <c r="O62" s="8">
        <f t="shared" si="14"/>
        <v>7.4456817112300566E-2</v>
      </c>
      <c r="P62" s="8">
        <f t="shared" si="14"/>
        <v>-2.7394843122439227E-2</v>
      </c>
      <c r="Q62" s="8">
        <f t="shared" si="14"/>
        <v>-6.6110568778540157E-2</v>
      </c>
      <c r="R62" s="8">
        <f t="shared" si="14"/>
        <v>0.10019435038871238</v>
      </c>
      <c r="S62" s="8">
        <f t="shared" si="15"/>
        <v>-0.11039683895176244</v>
      </c>
      <c r="T62" s="8">
        <f t="shared" si="15"/>
        <v>1.7630881710712032E-2</v>
      </c>
      <c r="U62" s="8">
        <f t="shared" si="21"/>
        <v>-9.1381171003562356E-2</v>
      </c>
      <c r="V62" s="8">
        <f t="shared" ca="1" si="22"/>
        <v>-5.0821842385542104E-2</v>
      </c>
    </row>
    <row r="63" spans="2:22">
      <c r="B63" t="str">
        <f t="shared" si="11"/>
        <v>PL</v>
      </c>
      <c r="C63" t="str">
        <f t="shared" si="11"/>
        <v>PL</v>
      </c>
      <c r="D63" s="8"/>
      <c r="E63" s="8">
        <f t="shared" ref="E63:M63" si="41">IFERROR(E28/D28-1,0)</f>
        <v>4.7860779325693548E-2</v>
      </c>
      <c r="F63" s="8">
        <f t="shared" si="41"/>
        <v>-1.1404475874849274E-2</v>
      </c>
      <c r="G63" s="8">
        <f t="shared" si="41"/>
        <v>4.9816384983603079E-4</v>
      </c>
      <c r="H63" s="8">
        <f t="shared" si="41"/>
        <v>-4.837789586298713E-2</v>
      </c>
      <c r="I63" s="8">
        <f t="shared" si="41"/>
        <v>7.0903044146782168E-2</v>
      </c>
      <c r="J63" s="8">
        <f t="shared" si="41"/>
        <v>-4.3791775303803071E-3</v>
      </c>
      <c r="K63" s="8">
        <f t="shared" si="41"/>
        <v>-5.199752553879855E-2</v>
      </c>
      <c r="L63" s="8">
        <f t="shared" si="41"/>
        <v>9.0132131565232587E-3</v>
      </c>
      <c r="M63" s="8">
        <f t="shared" si="41"/>
        <v>-5.4101399925489013E-2</v>
      </c>
      <c r="N63" s="8">
        <f t="shared" si="13"/>
        <v>5.0396218823214323E-3</v>
      </c>
      <c r="O63" s="8">
        <f t="shared" si="14"/>
        <v>5.679596614360416E-2</v>
      </c>
      <c r="P63" s="8">
        <f t="shared" si="14"/>
        <v>4.6718792418886324E-2</v>
      </c>
      <c r="Q63" s="8">
        <f t="shared" si="14"/>
        <v>1.5056309779235777E-2</v>
      </c>
      <c r="R63" s="8">
        <f t="shared" si="14"/>
        <v>-5.213459836564871E-2</v>
      </c>
      <c r="S63" s="8">
        <f t="shared" si="15"/>
        <v>-4.3992182233174582E-2</v>
      </c>
      <c r="T63" s="8">
        <f t="shared" si="15"/>
        <v>9.9776121104003135E-2</v>
      </c>
      <c r="U63" s="8">
        <f t="shared" si="21"/>
        <v>-6.1912955975824913E-2</v>
      </c>
      <c r="V63" s="8">
        <f t="shared" ca="1" si="22"/>
        <v>-6.8394419988816457E-2</v>
      </c>
    </row>
    <row r="64" spans="2:22">
      <c r="B64" t="str">
        <f t="shared" si="11"/>
        <v>PT</v>
      </c>
      <c r="C64" t="str">
        <f t="shared" si="11"/>
        <v>PT</v>
      </c>
      <c r="D64" s="8"/>
      <c r="E64" s="8">
        <f t="shared" ref="E64:M64" si="42">IFERROR(E29/D29-1,0)</f>
        <v>-6.9328090731351821E-2</v>
      </c>
      <c r="F64" s="8">
        <f t="shared" si="42"/>
        <v>-3.1970967499221792E-2</v>
      </c>
      <c r="G64" s="8">
        <f t="shared" si="42"/>
        <v>-1.4899674592698142E-2</v>
      </c>
      <c r="H64" s="8">
        <f t="shared" si="42"/>
        <v>-1.8490637528938425E-3</v>
      </c>
      <c r="I64" s="8">
        <f t="shared" si="42"/>
        <v>-8.0991609487617633E-2</v>
      </c>
      <c r="J64" s="8">
        <f t="shared" si="42"/>
        <v>-2.129559278313875E-2</v>
      </c>
      <c r="K64" s="8">
        <f t="shared" si="42"/>
        <v>-3.6203207074059107E-2</v>
      </c>
      <c r="L64" s="8">
        <f t="shared" si="42"/>
        <v>-3.3400342753245882E-2</v>
      </c>
      <c r="M64" s="8">
        <f t="shared" si="42"/>
        <v>-2.6553992291275308E-2</v>
      </c>
      <c r="N64" s="8">
        <f t="shared" si="13"/>
        <v>9.4705770704704317E-2</v>
      </c>
      <c r="O64" s="8">
        <f t="shared" si="14"/>
        <v>2.226229022231685E-3</v>
      </c>
      <c r="P64" s="8">
        <f t="shared" si="14"/>
        <v>0.10109007418451843</v>
      </c>
      <c r="Q64" s="8">
        <f t="shared" si="14"/>
        <v>-4.2462765739370689E-2</v>
      </c>
      <c r="R64" s="8">
        <f t="shared" si="14"/>
        <v>-6.0307237607805875E-2</v>
      </c>
      <c r="S64" s="8">
        <f t="shared" si="15"/>
        <v>-0.16554325155872651</v>
      </c>
      <c r="T64" s="8">
        <f t="shared" si="15"/>
        <v>-3.5438048732045813E-2</v>
      </c>
      <c r="U64" s="8">
        <f t="shared" si="21"/>
        <v>8.2489525300146083E-2</v>
      </c>
      <c r="V64" s="8">
        <f t="shared" ca="1" si="22"/>
        <v>-9.4786439125564947E-2</v>
      </c>
    </row>
    <row r="65" spans="2:22">
      <c r="B65" t="str">
        <f t="shared" si="11"/>
        <v>RO</v>
      </c>
      <c r="C65" t="str">
        <f t="shared" si="11"/>
        <v>RO</v>
      </c>
      <c r="D65" s="8"/>
      <c r="E65" s="8">
        <f t="shared" ref="E65:M65" si="43">IFERROR(E30/D30-1,0)</f>
        <v>5.8145989481126925E-2</v>
      </c>
      <c r="F65" s="8">
        <f t="shared" si="43"/>
        <v>-2.568286769766237E-2</v>
      </c>
      <c r="G65" s="8">
        <f t="shared" si="43"/>
        <v>-4.5624307315540569E-2</v>
      </c>
      <c r="H65" s="8">
        <f t="shared" si="43"/>
        <v>-0.16330015434560363</v>
      </c>
      <c r="I65" s="8">
        <f t="shared" si="43"/>
        <v>-9.9526775280392998E-3</v>
      </c>
      <c r="J65" s="8">
        <f t="shared" si="43"/>
        <v>5.2888037254426923E-2</v>
      </c>
      <c r="K65" s="8">
        <f t="shared" si="43"/>
        <v>-2.3974405107610841E-2</v>
      </c>
      <c r="L65" s="8">
        <f t="shared" si="43"/>
        <v>-0.11730162268805222</v>
      </c>
      <c r="M65" s="8">
        <f t="shared" si="43"/>
        <v>-2.3852285013099883E-2</v>
      </c>
      <c r="N65" s="8">
        <f t="shared" si="13"/>
        <v>3.7030865212414943E-2</v>
      </c>
      <c r="O65" s="8">
        <f t="shared" si="14"/>
        <v>-1.5259484691100167E-2</v>
      </c>
      <c r="P65" s="8">
        <f t="shared" si="14"/>
        <v>7.5598485682147443E-2</v>
      </c>
      <c r="Q65" s="8">
        <f t="shared" si="14"/>
        <v>1.8229687640907155E-3</v>
      </c>
      <c r="R65" s="8">
        <f t="shared" si="14"/>
        <v>-3.2932918306425529E-2</v>
      </c>
      <c r="S65" s="8">
        <f t="shared" si="15"/>
        <v>-6.0934517851432002E-2</v>
      </c>
      <c r="T65" s="8">
        <f t="shared" si="15"/>
        <v>8.3141503103323133E-2</v>
      </c>
      <c r="U65" s="8">
        <f t="shared" si="21"/>
        <v>-6.7523168043328252E-2</v>
      </c>
      <c r="V65" s="8">
        <f t="shared" ca="1" si="22"/>
        <v>-5.8330621816045536E-2</v>
      </c>
    </row>
    <row r="66" spans="2:22">
      <c r="B66" t="str">
        <f t="shared" si="11"/>
        <v>SE</v>
      </c>
      <c r="C66" t="str">
        <f t="shared" si="11"/>
        <v>SE</v>
      </c>
      <c r="D66" s="8"/>
      <c r="E66" s="8">
        <f t="shared" ref="E66:M66" si="44">IFERROR(E31/D31-1,0)</f>
        <v>-4.1852848897220962E-2</v>
      </c>
      <c r="F66" s="8">
        <f t="shared" si="44"/>
        <v>-3.6973873982906635E-2</v>
      </c>
      <c r="G66" s="8">
        <f t="shared" si="44"/>
        <v>3.2201011985241612E-2</v>
      </c>
      <c r="H66" s="8">
        <f t="shared" si="44"/>
        <v>-9.1159202141205764E-2</v>
      </c>
      <c r="I66" s="8">
        <f t="shared" si="44"/>
        <v>0.19203300864904049</v>
      </c>
      <c r="J66" s="8">
        <f t="shared" si="44"/>
        <v>-1.4700200594759516E-2</v>
      </c>
      <c r="K66" s="8">
        <f t="shared" si="44"/>
        <v>-9.5295627719988008E-2</v>
      </c>
      <c r="L66" s="8">
        <f t="shared" si="44"/>
        <v>-5.947781549747222E-2</v>
      </c>
      <c r="M66" s="8">
        <f t="shared" si="44"/>
        <v>-3.915152423213808E-2</v>
      </c>
      <c r="N66" s="8">
        <f t="shared" si="13"/>
        <v>-0.20019015033382292</v>
      </c>
      <c r="O66" s="8">
        <f t="shared" si="14"/>
        <v>0.10113479427535665</v>
      </c>
      <c r="P66" s="8">
        <f t="shared" si="14"/>
        <v>-3.2918749363426647E-2</v>
      </c>
      <c r="Q66" s="8">
        <f t="shared" si="14"/>
        <v>0.12407452833207144</v>
      </c>
      <c r="R66" s="8">
        <f t="shared" si="14"/>
        <v>-0.11487759883462412</v>
      </c>
      <c r="S66" s="8">
        <f t="shared" si="15"/>
        <v>-0.14177849149063537</v>
      </c>
      <c r="T66" s="8">
        <f t="shared" si="15"/>
        <v>3.9385151439957689E-2</v>
      </c>
      <c r="U66" s="8">
        <f t="shared" si="21"/>
        <v>-5.6241317129548385E-3</v>
      </c>
      <c r="V66" s="8">
        <f t="shared" ca="1" si="22"/>
        <v>6.0737093123575114E-3</v>
      </c>
    </row>
    <row r="67" spans="2:22">
      <c r="B67" t="str">
        <f t="shared" si="11"/>
        <v>SI</v>
      </c>
      <c r="C67" t="str">
        <f t="shared" si="11"/>
        <v>SI</v>
      </c>
      <c r="D67" s="8"/>
      <c r="E67" s="8">
        <f t="shared" ref="E67:M67" si="45">IFERROR(E32/D32-1,0)</f>
        <v>1.2829270970111883E-2</v>
      </c>
      <c r="F67" s="8">
        <f t="shared" si="45"/>
        <v>-6.2675186212224343E-4</v>
      </c>
      <c r="G67" s="8">
        <f t="shared" si="45"/>
        <v>7.2855386469979244E-2</v>
      </c>
      <c r="H67" s="8">
        <f t="shared" si="45"/>
        <v>-0.10469671085218935</v>
      </c>
      <c r="I67" s="8">
        <f t="shared" si="45"/>
        <v>2.2198236413367267E-2</v>
      </c>
      <c r="J67" s="8">
        <f t="shared" si="45"/>
        <v>-1.078204274454686E-2</v>
      </c>
      <c r="K67" s="8">
        <f t="shared" si="45"/>
        <v>-3.6686682516723357E-2</v>
      </c>
      <c r="L67" s="8">
        <f t="shared" si="45"/>
        <v>-4.4663470294086793E-2</v>
      </c>
      <c r="M67" s="8">
        <f t="shared" si="45"/>
        <v>-9.9250751500141954E-2</v>
      </c>
      <c r="N67" s="8">
        <f t="shared" si="13"/>
        <v>8.9894922697051349E-3</v>
      </c>
      <c r="O67" s="8">
        <f t="shared" si="14"/>
        <v>5.9531221157664849E-2</v>
      </c>
      <c r="P67" s="8">
        <f t="shared" si="14"/>
        <v>1.1142533073223992E-2</v>
      </c>
      <c r="Q67" s="8">
        <f t="shared" si="14"/>
        <v>-3.6175725455573904E-3</v>
      </c>
      <c r="R67" s="8">
        <f t="shared" si="14"/>
        <v>-3.512882082836688E-2</v>
      </c>
      <c r="S67" s="8">
        <f t="shared" si="15"/>
        <v>-9.7699365896714352E-2</v>
      </c>
      <c r="T67" s="8">
        <f t="shared" si="15"/>
        <v>3.6177405952059871E-2</v>
      </c>
      <c r="U67" s="8">
        <f t="shared" si="21"/>
        <v>-1.4674418586050564E-2</v>
      </c>
      <c r="V67" s="8">
        <f t="shared" ca="1" si="22"/>
        <v>-0.10876012908913857</v>
      </c>
    </row>
    <row r="68" spans="2:22">
      <c r="B68" t="str">
        <f t="shared" si="11"/>
        <v>SK</v>
      </c>
      <c r="C68" t="str">
        <f t="shared" si="11"/>
        <v>SK</v>
      </c>
      <c r="D68" s="8"/>
      <c r="E68" s="8">
        <f t="shared" ref="E68:M68" si="46">IFERROR(E33/D33-1,0)</f>
        <v>-2.8836626791760023E-2</v>
      </c>
      <c r="F68" s="8">
        <f t="shared" si="46"/>
        <v>-4.8572212973967077E-2</v>
      </c>
      <c r="G68" s="8">
        <f t="shared" si="46"/>
        <v>2.8325146829054848E-2</v>
      </c>
      <c r="H68" s="8">
        <f t="shared" si="46"/>
        <v>-9.1742268050201581E-2</v>
      </c>
      <c r="I68" s="8">
        <f t="shared" si="46"/>
        <v>8.7229426059789672E-2</v>
      </c>
      <c r="J68" s="8">
        <f t="shared" si="46"/>
        <v>-7.1131663191583039E-2</v>
      </c>
      <c r="K68" s="8">
        <f t="shared" si="46"/>
        <v>-4.2554799088574069E-2</v>
      </c>
      <c r="L68" s="8">
        <f t="shared" si="46"/>
        <v>-6.2488712227549703E-3</v>
      </c>
      <c r="M68" s="8">
        <f t="shared" si="46"/>
        <v>-9.2460140246708011E-2</v>
      </c>
      <c r="N68" s="8">
        <f t="shared" si="13"/>
        <v>1.1849120944451563E-2</v>
      </c>
      <c r="O68" s="8">
        <f t="shared" si="14"/>
        <v>2.7059179293686952E-2</v>
      </c>
      <c r="P68" s="8">
        <f t="shared" si="14"/>
        <v>6.7470793919836236E-2</v>
      </c>
      <c r="Q68" s="8">
        <f t="shared" si="14"/>
        <v>-1.5605401332222102E-2</v>
      </c>
      <c r="R68" s="8">
        <f t="shared" si="14"/>
        <v>-5.3580706650687926E-2</v>
      </c>
      <c r="S68" s="8">
        <f t="shared" si="15"/>
        <v>-6.7985653237858323E-2</v>
      </c>
      <c r="T68" s="8">
        <f t="shared" si="15"/>
        <v>0.11962381646229825</v>
      </c>
      <c r="U68" s="8">
        <f t="shared" si="21"/>
        <v>-9.4544070443567496E-2</v>
      </c>
      <c r="V68" s="8">
        <f t="shared" ca="1" si="22"/>
        <v>-1.9175274080922122E-2</v>
      </c>
    </row>
    <row r="69" spans="2:22">
      <c r="B69" t="str">
        <f t="shared" si="11"/>
        <v>UK</v>
      </c>
      <c r="C69" t="str">
        <f t="shared" si="11"/>
        <v>UK</v>
      </c>
      <c r="D69" s="8"/>
      <c r="E69" s="8">
        <f t="shared" ref="E69:M71" si="47">IFERROR(E34/D34-1,0)</f>
        <v>-8.13981541857145E-3</v>
      </c>
      <c r="F69" s="8">
        <f t="shared" si="47"/>
        <v>-1.4686138220740386E-2</v>
      </c>
      <c r="G69" s="8">
        <f t="shared" si="47"/>
        <v>-9.0328528985482714E-3</v>
      </c>
      <c r="H69" s="8">
        <f t="shared" si="47"/>
        <v>-9.1787474833699645E-2</v>
      </c>
      <c r="I69" s="8">
        <f t="shared" si="47"/>
        <v>5.5956897484951806E-2</v>
      </c>
      <c r="J69" s="8">
        <f t="shared" si="47"/>
        <v>-9.8499179073567533E-2</v>
      </c>
      <c r="K69" s="8">
        <f t="shared" si="47"/>
        <v>2.5831241673440974E-2</v>
      </c>
      <c r="L69" s="8">
        <f t="shared" si="47"/>
        <v>-3.3419243623510564E-2</v>
      </c>
      <c r="M69" s="8">
        <f t="shared" si="47"/>
        <v>-7.1970251364438131E-2</v>
      </c>
      <c r="N69" s="8">
        <f t="shared" si="13"/>
        <v>-1.5212175618107726E-2</v>
      </c>
      <c r="O69" s="8">
        <f t="shared" si="14"/>
        <v>-2.5444627841893386E-2</v>
      </c>
      <c r="P69" s="8">
        <f t="shared" si="14"/>
        <v>-2.1382043424541086E-2</v>
      </c>
      <c r="Q69" s="8">
        <f t="shared" si="14"/>
        <v>-1.1169354491345929E-2</v>
      </c>
      <c r="R69" s="8">
        <f t="shared" si="14"/>
        <v>-3.0113225045662717E-2</v>
      </c>
      <c r="S69" s="8">
        <f t="shared" si="15"/>
        <v>-1</v>
      </c>
      <c r="T69" s="8">
        <f t="shared" si="15"/>
        <v>0</v>
      </c>
      <c r="U69" s="8">
        <f t="shared" si="21"/>
        <v>0</v>
      </c>
      <c r="V69" s="8">
        <f t="shared" ca="1" si="22"/>
        <v>0</v>
      </c>
    </row>
    <row r="70" spans="2:22">
      <c r="B70" s="40" t="s">
        <v>189</v>
      </c>
      <c r="C70" s="40" t="s">
        <v>189</v>
      </c>
      <c r="D70" s="41"/>
      <c r="E70" s="49">
        <f t="shared" si="47"/>
        <v>3.4123434452193457E-3</v>
      </c>
      <c r="F70" s="49">
        <f t="shared" ref="F70:F71" si="48">IFERROR(F35/E35-1,0)</f>
        <v>-1.8218910519753551E-2</v>
      </c>
      <c r="G70" s="49">
        <f t="shared" ref="G70:G71" si="49">IFERROR(G35/F35-1,0)</f>
        <v>-1.3329201064285257E-2</v>
      </c>
      <c r="H70" s="49">
        <f t="shared" ref="H70:H71" si="50">IFERROR(H35/G35-1,0)</f>
        <v>-7.3445557993523813E-2</v>
      </c>
      <c r="I70" s="49">
        <f t="shared" ref="I70:I71" si="51">IFERROR(I35/H35-1,0)</f>
        <v>3.3617843504582412E-2</v>
      </c>
      <c r="J70" s="49">
        <f t="shared" ref="J70:J71" si="52">IFERROR(J35/I35-1,0)</f>
        <v>-4.4728937668835567E-2</v>
      </c>
      <c r="K70" s="49">
        <f t="shared" ref="K70:K71" si="53">IFERROR(K35/J35-1,0)</f>
        <v>-1.9249996798592739E-2</v>
      </c>
      <c r="L70" s="49">
        <f t="shared" ref="L70:L71" si="54">IFERROR(L35/K35-1,0)</f>
        <v>-2.1315163953409044E-2</v>
      </c>
      <c r="M70" s="49">
        <f t="shared" ref="M70:M71" si="55">IFERROR(M35/L35-1,0)</f>
        <v>-5.9482936417886267E-2</v>
      </c>
      <c r="N70" s="49">
        <f t="shared" si="13"/>
        <v>1.3934662263632935E-2</v>
      </c>
      <c r="O70" s="49">
        <f t="shared" ref="O70:O71" si="56">IFERROR(O35/N35-1,0)</f>
        <v>1.1816990504026403E-2</v>
      </c>
      <c r="P70" s="49">
        <f t="shared" ref="P70:P71" si="57">IFERROR(P35/O35-1,0)</f>
        <v>1.2825137127555619E-2</v>
      </c>
      <c r="Q70" s="49">
        <f t="shared" ref="Q70:R71" si="58">IFERROR(Q35/P35-1,0)</f>
        <v>-1.9020011039474705E-2</v>
      </c>
      <c r="R70" s="49">
        <f t="shared" si="58"/>
        <v>-2.6018279741568451E-2</v>
      </c>
      <c r="S70" s="49">
        <f t="shared" si="15"/>
        <v>-0.22793387739931381</v>
      </c>
      <c r="T70" s="49">
        <f t="shared" ref="T70:T71" si="59">IFERROR(T35/S35-1,0)</f>
        <v>6.7990651012521219E-2</v>
      </c>
      <c r="U70" s="49">
        <f t="shared" si="21"/>
        <v>-2.2371156009170834E-2</v>
      </c>
      <c r="V70" s="49">
        <f t="shared" ca="1" si="22"/>
        <v>-7.4410590621366568E-2</v>
      </c>
    </row>
    <row r="71" spans="2:22">
      <c r="B71" s="40" t="s">
        <v>190</v>
      </c>
      <c r="C71" s="40" t="s">
        <v>190</v>
      </c>
      <c r="D71" s="41"/>
      <c r="E71" s="49">
        <f t="shared" si="47"/>
        <v>5.4209177269954889E-3</v>
      </c>
      <c r="F71" s="49">
        <f t="shared" si="48"/>
        <v>-1.8824869089647644E-2</v>
      </c>
      <c r="G71" s="49">
        <f t="shared" si="49"/>
        <v>-1.4069240416983098E-2</v>
      </c>
      <c r="H71" s="49">
        <f t="shared" si="50"/>
        <v>-7.0270052217335621E-2</v>
      </c>
      <c r="I71" s="49">
        <f t="shared" si="51"/>
        <v>2.9839828911276012E-2</v>
      </c>
      <c r="J71" s="49">
        <f t="shared" si="52"/>
        <v>-3.5404613858060596E-2</v>
      </c>
      <c r="K71" s="49">
        <f t="shared" si="53"/>
        <v>-2.6556206709749675E-2</v>
      </c>
      <c r="L71" s="49">
        <f t="shared" si="54"/>
        <v>-1.9247913377249071E-2</v>
      </c>
      <c r="M71" s="49">
        <f t="shared" si="55"/>
        <v>-5.7381049645317206E-2</v>
      </c>
      <c r="N71" s="49">
        <f t="shared" si="13"/>
        <v>1.8764776793221305E-2</v>
      </c>
      <c r="O71" s="49">
        <f t="shared" si="56"/>
        <v>1.7785919956565088E-2</v>
      </c>
      <c r="P71" s="49">
        <f t="shared" si="57"/>
        <v>1.8072028752967428E-2</v>
      </c>
      <c r="Q71" s="49">
        <f t="shared" si="58"/>
        <v>-2.0177522946052351E-2</v>
      </c>
      <c r="R71" s="49">
        <f t="shared" si="58"/>
        <v>-2.5408964399182277E-2</v>
      </c>
      <c r="S71" s="49">
        <f t="shared" si="15"/>
        <v>-0.1136073190033271</v>
      </c>
      <c r="T71" s="49">
        <f t="shared" si="59"/>
        <v>6.7990651012521219E-2</v>
      </c>
      <c r="U71" s="49">
        <f t="shared" si="21"/>
        <v>-2.2371156009170834E-2</v>
      </c>
      <c r="V71" s="49">
        <f t="shared" ca="1" si="22"/>
        <v>-7.4410590621366568E-2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AN73"/>
  <sheetViews>
    <sheetView zoomScale="85" zoomScaleNormal="85" workbookViewId="0">
      <pane xSplit="3" ySplit="6" topLeftCell="D7" activePane="bottomRight" state="frozen"/>
      <selection pane="topRight" activeCell="AF27" sqref="AF27"/>
      <selection pane="bottomLeft" activeCell="AF27" sqref="AF27"/>
      <selection pane="bottomRight" activeCell="Y50" sqref="Y50"/>
    </sheetView>
  </sheetViews>
  <sheetFormatPr baseColWidth="10" defaultColWidth="11.5" defaultRowHeight="13"/>
  <cols>
    <col min="1" max="1" width="13.5" customWidth="1"/>
    <col min="25" max="25" width="11.6640625" customWidth="1"/>
    <col min="26" max="26" width="11.5" customWidth="1"/>
    <col min="27" max="27" width="12.5" customWidth="1"/>
    <col min="36" max="36" width="12.5" bestFit="1" customWidth="1"/>
    <col min="37" max="37" width="10.6640625" customWidth="1"/>
    <col min="38" max="38" width="11.33203125" customWidth="1"/>
  </cols>
  <sheetData>
    <row r="1" spans="1:40">
      <c r="A1" t="s">
        <v>46</v>
      </c>
    </row>
    <row r="3" spans="1:40">
      <c r="AH3" t="s">
        <v>192</v>
      </c>
      <c r="AI3" s="122">
        <v>0.5</v>
      </c>
      <c r="AK3" t="s">
        <v>193</v>
      </c>
    </row>
    <row r="4" spans="1:40" ht="14.25" customHeight="1">
      <c r="AA4">
        <v>1</v>
      </c>
      <c r="AB4">
        <v>2</v>
      </c>
      <c r="AC4">
        <v>3</v>
      </c>
      <c r="AD4">
        <v>4</v>
      </c>
      <c r="AE4">
        <v>5</v>
      </c>
      <c r="AF4">
        <v>6</v>
      </c>
      <c r="AI4" s="36"/>
      <c r="AJ4" s="37" t="s">
        <v>194</v>
      </c>
      <c r="AK4" s="10">
        <v>5</v>
      </c>
      <c r="AL4" s="10">
        <v>5</v>
      </c>
    </row>
    <row r="5" spans="1:40">
      <c r="A5" t="s">
        <v>195</v>
      </c>
      <c r="D5" t="s">
        <v>173</v>
      </c>
      <c r="AA5" t="s">
        <v>196</v>
      </c>
      <c r="AB5" t="s">
        <v>197</v>
      </c>
      <c r="AC5" t="s">
        <v>198</v>
      </c>
      <c r="AD5" t="str">
        <f>AD40</f>
        <v>5yr mean chg</v>
      </c>
      <c r="AE5" t="s">
        <v>199</v>
      </c>
      <c r="AF5" t="s">
        <v>200</v>
      </c>
      <c r="AG5" t="s">
        <v>201</v>
      </c>
      <c r="AI5" s="146" t="s">
        <v>202</v>
      </c>
      <c r="AJ5" s="37" t="s">
        <v>203</v>
      </c>
      <c r="AK5" s="21">
        <v>0.9</v>
      </c>
      <c r="AL5" s="35">
        <v>0.05</v>
      </c>
      <c r="AN5" t="s">
        <v>204</v>
      </c>
    </row>
    <row r="6" spans="1:40">
      <c r="B6" t="s">
        <v>175</v>
      </c>
      <c r="C6" t="s">
        <v>176</v>
      </c>
      <c r="D6" s="1">
        <f>'PEC Total'!D6</f>
        <v>2005</v>
      </c>
      <c r="E6" s="1">
        <f>'PEC Total'!E6</f>
        <v>2006</v>
      </c>
      <c r="F6" s="1">
        <f>'PEC Total'!F6</f>
        <v>2007</v>
      </c>
      <c r="G6" s="1">
        <f>'PEC Total'!G6</f>
        <v>2008</v>
      </c>
      <c r="H6" s="1">
        <f>'PEC Total'!H6</f>
        <v>2009</v>
      </c>
      <c r="I6" s="1">
        <f>'PEC Total'!I6</f>
        <v>2010</v>
      </c>
      <c r="J6" s="1">
        <f>'PEC Total'!J6</f>
        <v>2011</v>
      </c>
      <c r="K6" s="1">
        <f>'PEC Total'!K6</f>
        <v>2012</v>
      </c>
      <c r="L6" s="1">
        <f>'PEC Total'!L6</f>
        <v>2013</v>
      </c>
      <c r="M6" s="1">
        <f>'PEC Total'!M6</f>
        <v>2014</v>
      </c>
      <c r="N6" s="1">
        <f>'PEC Total'!N6</f>
        <v>2015</v>
      </c>
      <c r="O6" s="1">
        <f>'PEC Total'!O6</f>
        <v>2016</v>
      </c>
      <c r="P6" s="1">
        <f>'PEC Total'!P6</f>
        <v>2017</v>
      </c>
      <c r="Q6" s="1">
        <f>'PEC Total'!Q6</f>
        <v>2018</v>
      </c>
      <c r="R6" s="1">
        <f>'PEC Total'!R6</f>
        <v>2019</v>
      </c>
      <c r="S6" s="1">
        <f>'PEC Total'!S6</f>
        <v>2020</v>
      </c>
      <c r="T6" s="1">
        <f>'PEC Total'!T6</f>
        <v>2021</v>
      </c>
      <c r="U6" s="1">
        <v>2022</v>
      </c>
      <c r="V6" s="2">
        <f>YearProxy</f>
        <v>2023</v>
      </c>
      <c r="W6" s="21" t="s">
        <v>205</v>
      </c>
      <c r="AA6" s="2">
        <f>YearProxy</f>
        <v>2023</v>
      </c>
      <c r="AB6" s="2">
        <f>YearProxy</f>
        <v>2023</v>
      </c>
      <c r="AC6" s="2">
        <f>YearProxy</f>
        <v>2023</v>
      </c>
      <c r="AD6" s="2">
        <f>YearProxy</f>
        <v>2023</v>
      </c>
      <c r="AE6" s="2">
        <f t="shared" ref="AE6" si="0">AD6</f>
        <v>2023</v>
      </c>
      <c r="AF6" s="2">
        <f>AA6</f>
        <v>2023</v>
      </c>
      <c r="AG6" s="6">
        <f>YearProxy</f>
        <v>2023</v>
      </c>
      <c r="AI6" s="146"/>
      <c r="AK6" s="6" t="s">
        <v>199</v>
      </c>
      <c r="AL6" s="6" t="s">
        <v>206</v>
      </c>
    </row>
    <row r="7" spans="1:40">
      <c r="A7">
        <v>2</v>
      </c>
      <c r="B7" t="s">
        <v>106</v>
      </c>
      <c r="C7" t="s">
        <v>106</v>
      </c>
      <c r="D7" s="3">
        <v>4042.2109999999998</v>
      </c>
      <c r="E7" s="3">
        <v>3986.951</v>
      </c>
      <c r="F7" s="3">
        <v>3855.0239999999999</v>
      </c>
      <c r="G7" s="3">
        <v>3816.5619999999999</v>
      </c>
      <c r="H7" s="3">
        <v>2854.6030000000001</v>
      </c>
      <c r="I7" s="3">
        <v>3367.7640000000001</v>
      </c>
      <c r="J7" s="3">
        <v>3456.11</v>
      </c>
      <c r="K7" s="3">
        <v>3217.3539999999998</v>
      </c>
      <c r="L7" s="3">
        <v>3280.1759999999999</v>
      </c>
      <c r="M7" s="3">
        <v>3013.0970000000002</v>
      </c>
      <c r="N7" s="3">
        <v>3204.6350000000002</v>
      </c>
      <c r="O7" s="3">
        <v>2998.0650000000001</v>
      </c>
      <c r="P7" s="3">
        <v>3071.127</v>
      </c>
      <c r="Q7" s="3">
        <v>2714.2489999999998</v>
      </c>
      <c r="R7" s="3">
        <v>2858.35</v>
      </c>
      <c r="S7" s="3">
        <v>2449.069</v>
      </c>
      <c r="T7" s="3">
        <v>2516.1289999999999</v>
      </c>
      <c r="U7" s="3">
        <v>2398.2689999999998</v>
      </c>
      <c r="V7" s="3">
        <f ca="1">INDEX($AA7:$AH7,1,W7)</f>
        <v>2422.3573988443741</v>
      </c>
      <c r="W7" s="16">
        <f ca="1">IF(ISNUMBER(AF7),6,IF(ISNUMBER(AG7),AG7,IF(AI7&gt;0,AI7,IF(AND(AK7&gt;$AK$5,AE7&gt;0),5,IF(AND(AL7&lt;&gt;0,AL7&lt;$AL$5),4,1)))))</f>
        <v>6</v>
      </c>
      <c r="X7" t="str">
        <f ca="1">INDEX($AA$5:$AG$5,W7)</f>
        <v>Based on MS Stats</v>
      </c>
      <c r="Y7" s="16"/>
      <c r="AA7" s="3">
        <f t="shared" ref="AA7:AA34" ca="1" si="1">OFFSET($A7,0,OffsetLast)</f>
        <v>2398.2689999999998</v>
      </c>
      <c r="AB7" s="3">
        <f t="shared" ref="AB7:AD34" ca="1" si="2">$AA7*(1+AB42)</f>
        <v>2289.3298114469744</v>
      </c>
      <c r="AC7" s="3">
        <f t="shared" ca="1" si="2"/>
        <v>2239.0561177654627</v>
      </c>
      <c r="AD7" s="3">
        <f t="shared" ca="1" si="2"/>
        <v>2289.9816378849096</v>
      </c>
      <c r="AE7" s="3">
        <f ca="1">FORECAST(AC$6,OFFSET($A7,0,OffsetLast-TrendDuration+1,1,TrendDuration),OFFSET($A$6,0,OffsetLast-TrendDuration+1,1,TrendDuration))</f>
        <v>2294.9588999999978</v>
      </c>
      <c r="AF7" s="3">
        <f ca="1">IF(ISNUMBER(AF42),$AA7*(1+AF42),"")</f>
        <v>2422.3573988443741</v>
      </c>
      <c r="AI7">
        <f>IFERROR(IF(ABS(AG42)&gt;$AH$3,0,IF(ABS(AB42)&lt;ABS(AC42),2,3)),IF(ISNUMBER(AB42),2,IF(ISNUMBER(AC42),3,0)))</f>
        <v>2</v>
      </c>
      <c r="AJ7" s="7"/>
      <c r="AK7" s="7">
        <f ca="1">IFERROR(RSQ(OFFSET($A7,0,OffsetLast-TrendDuration+1,1,TrendDuration),OFFSET($A$6,0,OffsetLast-TrendDuration+1,1,TrendDuration)),0)</f>
        <v>0.63484441714066808</v>
      </c>
      <c r="AL7" s="18">
        <f t="shared" ref="AL7:AL34" ca="1" si="3">_xlfn.STDEV.S(OFFSET($A42,0,OffsetLast-TrendDuration+1,1,TrendDuration))</f>
        <v>8.5987009710021101E-2</v>
      </c>
      <c r="AM7" s="38"/>
      <c r="AN7" s="7" t="str">
        <f>IFERROR(INDEX('MS Stats list'!P:P, MATCH(B7,'MS Stats list'!B:B,0)),"")</f>
        <v>Statistics Austria - Preliminary energy balance 2022</v>
      </c>
    </row>
    <row r="8" spans="1:40">
      <c r="A8">
        <v>3</v>
      </c>
      <c r="B8" t="s">
        <v>177</v>
      </c>
      <c r="C8" t="s">
        <v>177</v>
      </c>
      <c r="D8" s="3">
        <v>5006.2809999999999</v>
      </c>
      <c r="E8" s="3">
        <v>4784.6360000000004</v>
      </c>
      <c r="F8" s="3">
        <v>4237.7150000000001</v>
      </c>
      <c r="G8" s="3">
        <v>4360.3620000000001</v>
      </c>
      <c r="H8" s="3">
        <v>2968.2649999999999</v>
      </c>
      <c r="I8" s="3">
        <v>3616.3020000000001</v>
      </c>
      <c r="J8" s="3">
        <v>3348.6370000000002</v>
      </c>
      <c r="K8" s="3">
        <v>3070.1860000000001</v>
      </c>
      <c r="L8" s="3">
        <v>3391.3090000000002</v>
      </c>
      <c r="M8" s="3">
        <v>3262.373</v>
      </c>
      <c r="N8" s="3">
        <v>3162.84</v>
      </c>
      <c r="O8" s="3">
        <v>2911.5949999999998</v>
      </c>
      <c r="P8" s="3">
        <v>2821.9059999999999</v>
      </c>
      <c r="Q8" s="3">
        <v>2817.7950000000001</v>
      </c>
      <c r="R8" s="3">
        <v>2792.4409999999998</v>
      </c>
      <c r="S8" s="3">
        <v>2121.2460000000001</v>
      </c>
      <c r="T8" s="3">
        <v>2378.3359999999998</v>
      </c>
      <c r="U8" s="3">
        <v>2518.145</v>
      </c>
      <c r="V8" s="3">
        <f t="shared" ref="V8:V34" ca="1" si="4">INDEX($AA8:$AH8,1,W8)</f>
        <v>2236.921809214849</v>
      </c>
      <c r="W8" s="16">
        <f t="shared" ref="W8:W34" si="5">IF(ISNUMBER(AF8),6,IF(ISNUMBER(AG8),AG8,IF(AI8&gt;0,AI8,IF(AND(AK8&gt;$AK$5,AE8&gt;0),5,IF(AND(AL8&lt;&gt;0,AL8&lt;$AL$5),4,1)))))</f>
        <v>2</v>
      </c>
      <c r="X8" t="str">
        <f t="shared" ref="X8:X34" si="6">INDEX($AA$5:$AG$5,W8)</f>
        <v>Eurostat</v>
      </c>
      <c r="Y8" s="16"/>
      <c r="AA8" s="3">
        <f t="shared" ca="1" si="1"/>
        <v>2518.145</v>
      </c>
      <c r="AB8" s="3">
        <f t="shared" ca="1" si="2"/>
        <v>2236.921809214849</v>
      </c>
      <c r="AC8" s="3">
        <f t="shared" ca="1" si="2"/>
        <v>2142.2594146928727</v>
      </c>
      <c r="AD8" s="3">
        <f t="shared" ca="1" si="2"/>
        <v>2482.4709385552001</v>
      </c>
      <c r="AE8" s="3">
        <f t="shared" ref="AE8:AE33" ca="1" si="7">FORECAST(AC$6,OFFSET($A8,0,OffsetLast-TrendDuration+1,1,TrendDuration),OFFSET($A$6,0,OffsetLast-TrendDuration+1,1,TrendDuration))</f>
        <v>2221.571100000001</v>
      </c>
      <c r="AF8" s="3" t="str">
        <f t="shared" ref="AF8:AF34" si="8">IF(ISNUMBER(AF43),$AA8*(1+AF43),"")</f>
        <v/>
      </c>
      <c r="AI8">
        <f t="shared" ref="AI8:AI34" si="9">IFERROR(IF(ABS(AG43)&gt;$AH$3,0,IF(ABS(AB43)&lt;ABS(AC43),2,3)),IF(ISNUMBER(AB43),2,IF(ISNUMBER(AC43),3,0)))</f>
        <v>2</v>
      </c>
      <c r="AJ8" s="7"/>
      <c r="AK8" s="7">
        <f t="shared" ref="AK8:AK34" ca="1" si="10">IFERROR(RSQ(OFFSET($A8,0,OffsetLast-TrendDuration+1,1,TrendDuration),OFFSET($A$6,0,OffsetLast-TrendDuration+1,1,TrendDuration)),0)</f>
        <v>0.30044183906370209</v>
      </c>
      <c r="AL8" s="18">
        <f t="shared" ca="1" si="3"/>
        <v>0.13692850256553821</v>
      </c>
      <c r="AM8" s="38"/>
      <c r="AN8" s="7" t="str">
        <f>IFERROR(INDEX('MS Stats list'!P:P, MATCH(B8,'MS Stats list'!B:B,0)),"")</f>
        <v/>
      </c>
    </row>
    <row r="9" spans="1:40">
      <c r="A9">
        <v>4</v>
      </c>
      <c r="B9" t="s">
        <v>178</v>
      </c>
      <c r="C9" t="s">
        <v>178</v>
      </c>
      <c r="D9" s="3">
        <v>6915.8429999999998</v>
      </c>
      <c r="E9" s="3">
        <v>6980.29</v>
      </c>
      <c r="F9" s="3">
        <v>7884.0420000000004</v>
      </c>
      <c r="G9" s="3">
        <v>7426.7120000000004</v>
      </c>
      <c r="H9" s="3">
        <v>6364.4960000000001</v>
      </c>
      <c r="I9" s="3">
        <v>6881.674</v>
      </c>
      <c r="J9" s="3">
        <v>8037.857</v>
      </c>
      <c r="K9" s="3">
        <v>6862.77</v>
      </c>
      <c r="L9" s="3">
        <v>5894.06</v>
      </c>
      <c r="M9" s="3">
        <v>6300.143</v>
      </c>
      <c r="N9" s="3">
        <v>6554.4660000000003</v>
      </c>
      <c r="O9" s="3">
        <v>5641.3239999999996</v>
      </c>
      <c r="P9" s="3">
        <v>6074.74</v>
      </c>
      <c r="Q9" s="3">
        <v>5443.1469999999999</v>
      </c>
      <c r="R9" s="3">
        <v>5034.3900000000003</v>
      </c>
      <c r="S9" s="3">
        <v>4117.6329999999998</v>
      </c>
      <c r="T9" s="3">
        <v>5225.4470000000001</v>
      </c>
      <c r="U9" s="3">
        <v>6212.3389999999999</v>
      </c>
      <c r="V9" s="3">
        <f t="shared" ca="1" si="4"/>
        <v>3808.3399162672658</v>
      </c>
      <c r="W9" s="16">
        <f t="shared" si="5"/>
        <v>3</v>
      </c>
      <c r="X9" t="str">
        <f t="shared" si="6"/>
        <v>BP</v>
      </c>
      <c r="Y9" s="16"/>
      <c r="AA9" s="3">
        <f t="shared" ca="1" si="1"/>
        <v>6212.3389999999999</v>
      </c>
      <c r="AB9" s="3">
        <f t="shared" ca="1" si="2"/>
        <v>3623.8932224565965</v>
      </c>
      <c r="AC9" s="3">
        <f t="shared" ca="1" si="2"/>
        <v>3808.3399162672658</v>
      </c>
      <c r="AD9" s="3">
        <f t="shared" ca="1" si="2"/>
        <v>6332.5342720193066</v>
      </c>
      <c r="AE9" s="3">
        <f t="shared" ca="1" si="7"/>
        <v>5725.4235000000335</v>
      </c>
      <c r="AF9" s="3" t="str">
        <f t="shared" si="8"/>
        <v/>
      </c>
      <c r="AI9">
        <f t="shared" si="9"/>
        <v>3</v>
      </c>
      <c r="AJ9" s="7"/>
      <c r="AK9" s="7">
        <f t="shared" ca="1" si="10"/>
        <v>0.13099163766741398</v>
      </c>
      <c r="AL9" s="18">
        <f t="shared" ca="1" si="3"/>
        <v>0.19735118182973654</v>
      </c>
      <c r="AM9" s="38"/>
      <c r="AN9" s="7" t="str">
        <f>IFERROR(INDEX('MS Stats list'!P:P, MATCH(B9,'MS Stats list'!B:B,0)),"")</f>
        <v/>
      </c>
    </row>
    <row r="10" spans="1:40">
      <c r="A10">
        <v>5</v>
      </c>
      <c r="B10" t="s">
        <v>179</v>
      </c>
      <c r="C10" t="s">
        <v>179</v>
      </c>
      <c r="D10" s="3">
        <v>35.670999999999999</v>
      </c>
      <c r="E10" s="3">
        <v>38.81</v>
      </c>
      <c r="F10" s="3">
        <v>33.314999999999998</v>
      </c>
      <c r="G10" s="3">
        <v>28.068999999999999</v>
      </c>
      <c r="H10" s="3">
        <v>14.558999999999999</v>
      </c>
      <c r="I10" s="3">
        <v>16.779</v>
      </c>
      <c r="J10" s="3">
        <v>7.46</v>
      </c>
      <c r="K10" s="3">
        <v>0.124</v>
      </c>
      <c r="L10" s="3">
        <v>0.124</v>
      </c>
      <c r="M10" s="3">
        <v>2.218</v>
      </c>
      <c r="N10" s="3">
        <v>3.6789999999999998</v>
      </c>
      <c r="O10" s="3">
        <v>0</v>
      </c>
      <c r="P10" s="3">
        <v>2.98</v>
      </c>
      <c r="Q10" s="3">
        <v>13.614000000000001</v>
      </c>
      <c r="R10" s="3">
        <v>17.199000000000002</v>
      </c>
      <c r="S10" s="3">
        <v>14.004</v>
      </c>
      <c r="T10" s="3">
        <v>40.104999999999997</v>
      </c>
      <c r="U10" s="3">
        <v>30.593</v>
      </c>
      <c r="V10" s="3">
        <f t="shared" ca="1" si="4"/>
        <v>27.849758979223981</v>
      </c>
      <c r="W10" s="16">
        <f t="shared" si="5"/>
        <v>2</v>
      </c>
      <c r="X10" t="str">
        <f t="shared" si="6"/>
        <v>Eurostat</v>
      </c>
      <c r="Y10" s="16"/>
      <c r="AA10" s="3">
        <f t="shared" ca="1" si="1"/>
        <v>30.593</v>
      </c>
      <c r="AB10" s="3">
        <f t="shared" ca="1" si="2"/>
        <v>27.849758979223981</v>
      </c>
      <c r="AC10" s="3">
        <f t="shared" ca="1" si="2"/>
        <v>27.849757532376525</v>
      </c>
      <c r="AD10" s="3">
        <f t="shared" ca="1" si="2"/>
        <v>62.85435155215243</v>
      </c>
      <c r="AE10" s="3">
        <f t="shared" ca="1" si="7"/>
        <v>40.162199999998847</v>
      </c>
      <c r="AF10" s="3" t="str">
        <f t="shared" si="8"/>
        <v/>
      </c>
      <c r="AI10">
        <f t="shared" si="9"/>
        <v>2</v>
      </c>
      <c r="AJ10" s="7"/>
      <c r="AK10" s="7">
        <f t="shared" ca="1" si="10"/>
        <v>0.58487226025654504</v>
      </c>
      <c r="AL10" s="18">
        <f t="shared" ca="1" si="3"/>
        <v>1.6437473817696973</v>
      </c>
      <c r="AM10" s="38"/>
      <c r="AN10" s="7" t="str">
        <f>IFERROR(INDEX('MS Stats list'!P:P, MATCH(B10,'MS Stats list'!B:B,0)),"")</f>
        <v/>
      </c>
    </row>
    <row r="11" spans="1:40">
      <c r="A11">
        <v>6</v>
      </c>
      <c r="B11" t="s">
        <v>180</v>
      </c>
      <c r="C11" t="s">
        <v>180</v>
      </c>
      <c r="D11" s="3">
        <v>19943.041000000001</v>
      </c>
      <c r="E11" s="3">
        <v>20570.131000000001</v>
      </c>
      <c r="F11" s="3">
        <v>20928.385999999999</v>
      </c>
      <c r="G11" s="3">
        <v>19340.726999999999</v>
      </c>
      <c r="H11" s="3">
        <v>17369.66</v>
      </c>
      <c r="I11" s="3">
        <v>18508.439999999999</v>
      </c>
      <c r="J11" s="3">
        <v>17974.857</v>
      </c>
      <c r="K11" s="3">
        <v>16921.309000000001</v>
      </c>
      <c r="L11" s="3">
        <v>16896.043000000001</v>
      </c>
      <c r="M11" s="3">
        <v>15610.630999999999</v>
      </c>
      <c r="N11" s="3">
        <v>16000.541999999999</v>
      </c>
      <c r="O11" s="3">
        <v>16172.17</v>
      </c>
      <c r="P11" s="3">
        <v>15477.130999999999</v>
      </c>
      <c r="Q11" s="3">
        <v>15464.55</v>
      </c>
      <c r="R11" s="3">
        <v>13840.290999999999</v>
      </c>
      <c r="S11" s="3">
        <v>12018.674999999999</v>
      </c>
      <c r="T11" s="3">
        <v>12584.885</v>
      </c>
      <c r="U11" s="3">
        <v>13138.154</v>
      </c>
      <c r="V11" s="3">
        <f t="shared" ca="1" si="4"/>
        <v>11162.011403884668</v>
      </c>
      <c r="W11" s="16">
        <f t="shared" si="5"/>
        <v>2</v>
      </c>
      <c r="X11" t="str">
        <f t="shared" si="6"/>
        <v>Eurostat</v>
      </c>
      <c r="Y11" s="16"/>
      <c r="AA11" s="3">
        <f t="shared" ca="1" si="1"/>
        <v>13138.154</v>
      </c>
      <c r="AB11" s="3">
        <f t="shared" ca="1" si="2"/>
        <v>11162.011403884668</v>
      </c>
      <c r="AC11" s="3">
        <f t="shared" ca="1" si="2"/>
        <v>11124.207305626169</v>
      </c>
      <c r="AD11" s="3">
        <f t="shared" ca="1" si="2"/>
        <v>12753.502864277843</v>
      </c>
      <c r="AE11" s="3">
        <f t="shared" ca="1" si="7"/>
        <v>11636.851599999936</v>
      </c>
      <c r="AF11" s="3" t="str">
        <f t="shared" si="8"/>
        <v/>
      </c>
      <c r="AI11">
        <f t="shared" si="9"/>
        <v>2</v>
      </c>
      <c r="AJ11" s="7"/>
      <c r="AK11" s="7">
        <f t="shared" ca="1" si="10"/>
        <v>0.49186514843294149</v>
      </c>
      <c r="AL11" s="18">
        <f t="shared" ca="1" si="3"/>
        <v>8.3996343631704565E-2</v>
      </c>
      <c r="AM11" s="38"/>
      <c r="AN11" s="7" t="str">
        <f>IFERROR(INDEX('MS Stats list'!P:P, MATCH(B11,'MS Stats list'!B:B,0)),"")</f>
        <v/>
      </c>
    </row>
    <row r="12" spans="1:40">
      <c r="A12">
        <v>7</v>
      </c>
      <c r="B12" t="s">
        <v>91</v>
      </c>
      <c r="C12" t="s">
        <v>91</v>
      </c>
      <c r="D12" s="3">
        <v>81600.438999999998</v>
      </c>
      <c r="E12" s="3">
        <v>85842.312999999995</v>
      </c>
      <c r="F12" s="3">
        <v>85796.483999999997</v>
      </c>
      <c r="G12" s="3">
        <v>79781.577999999994</v>
      </c>
      <c r="H12" s="3">
        <v>71730.861999999994</v>
      </c>
      <c r="I12" s="3">
        <v>78721.364000000001</v>
      </c>
      <c r="J12" s="3">
        <v>77599.752999999997</v>
      </c>
      <c r="K12" s="3">
        <v>79574.741999999998</v>
      </c>
      <c r="L12" s="3">
        <v>81189.146999999997</v>
      </c>
      <c r="M12" s="3">
        <v>79255.159</v>
      </c>
      <c r="N12" s="3">
        <v>79053.922000000006</v>
      </c>
      <c r="O12" s="3">
        <v>76759.960000000006</v>
      </c>
      <c r="P12" s="3">
        <v>70917.228000000003</v>
      </c>
      <c r="Q12" s="3">
        <v>69356.668000000005</v>
      </c>
      <c r="R12" s="3">
        <v>56076.794999999998</v>
      </c>
      <c r="S12" s="3">
        <v>44281.726000000002</v>
      </c>
      <c r="T12" s="3">
        <v>53544.925000000003</v>
      </c>
      <c r="U12" s="3">
        <v>55145.472000000002</v>
      </c>
      <c r="V12" s="3">
        <f t="shared" ca="1" si="4"/>
        <v>43591.182628571434</v>
      </c>
      <c r="W12" s="16">
        <f t="shared" ca="1" si="5"/>
        <v>6</v>
      </c>
      <c r="X12" t="str">
        <f t="shared" ca="1" si="6"/>
        <v>Based on MS Stats</v>
      </c>
      <c r="Y12" s="16"/>
      <c r="AA12" s="3">
        <f t="shared" ca="1" si="1"/>
        <v>55145.472000000002</v>
      </c>
      <c r="AB12" s="3">
        <f t="shared" ca="1" si="2"/>
        <v>42746.054995163853</v>
      </c>
      <c r="AC12" s="3">
        <f t="shared" ca="1" si="2"/>
        <v>43584.822300683081</v>
      </c>
      <c r="AD12" s="3">
        <f t="shared" ca="1" si="2"/>
        <v>53108.003049857551</v>
      </c>
      <c r="AE12" s="3">
        <f t="shared" ca="1" si="7"/>
        <v>46394.838600000367</v>
      </c>
      <c r="AF12" s="3">
        <f t="shared" ca="1" si="8"/>
        <v>43591.182628571434</v>
      </c>
      <c r="AI12">
        <f t="shared" si="9"/>
        <v>3</v>
      </c>
      <c r="AJ12" s="7"/>
      <c r="AK12" s="7">
        <f t="shared" ca="1" si="10"/>
        <v>0.29759158090889964</v>
      </c>
      <c r="AL12" s="18">
        <f t="shared" ca="1" si="3"/>
        <v>0.17263793204787506</v>
      </c>
      <c r="AM12" s="38"/>
      <c r="AN12" s="7" t="str">
        <f>IFERROR(INDEX('MS Stats list'!P:P, MATCH(B12,'MS Stats list'!B:B,0)),"")</f>
        <v>BMWi - Gesamtausgabe der Energiedaten - Datensammlung des BMWi, AGEB - Primärenergieverbrauch Jahr 2021</v>
      </c>
    </row>
    <row r="13" spans="1:40">
      <c r="A13">
        <v>8</v>
      </c>
      <c r="B13" t="s">
        <v>115</v>
      </c>
      <c r="C13" t="s">
        <v>115</v>
      </c>
      <c r="D13" s="3">
        <v>3713.87</v>
      </c>
      <c r="E13" s="3">
        <v>5477.0020000000004</v>
      </c>
      <c r="F13" s="3">
        <v>4651.6760000000004</v>
      </c>
      <c r="G13" s="3">
        <v>4005.8649999999998</v>
      </c>
      <c r="H13" s="3">
        <v>4003.471</v>
      </c>
      <c r="I13" s="3">
        <v>3808.9409999999998</v>
      </c>
      <c r="J13" s="3">
        <v>3234.4749999999999</v>
      </c>
      <c r="K13" s="3">
        <v>2467.7640000000001</v>
      </c>
      <c r="L13" s="3">
        <v>3173.5450000000001</v>
      </c>
      <c r="M13" s="3">
        <v>2533.67</v>
      </c>
      <c r="N13" s="3">
        <v>1817.65</v>
      </c>
      <c r="O13" s="3">
        <v>2004.7739999999999</v>
      </c>
      <c r="P13" s="3">
        <v>1535.847</v>
      </c>
      <c r="Q13" s="3">
        <v>1592.4780000000001</v>
      </c>
      <c r="R13" s="3">
        <v>968.92600000000004</v>
      </c>
      <c r="S13" s="3">
        <v>819.71400000000006</v>
      </c>
      <c r="T13" s="3">
        <v>1120.0170000000001</v>
      </c>
      <c r="U13" s="3">
        <v>1075.4860000000001</v>
      </c>
      <c r="V13" s="3">
        <f t="shared" ca="1" si="4"/>
        <v>715.2097284728053</v>
      </c>
      <c r="W13" s="16">
        <f t="shared" ca="1" si="5"/>
        <v>6</v>
      </c>
      <c r="X13" t="str">
        <f t="shared" ca="1" si="6"/>
        <v>Based on MS Stats</v>
      </c>
      <c r="Y13" s="16"/>
      <c r="AA13" s="3">
        <f t="shared" ca="1" si="1"/>
        <v>1075.4860000000001</v>
      </c>
      <c r="AB13" s="3">
        <f t="shared" ca="1" si="2"/>
        <v>711.71749995889115</v>
      </c>
      <c r="AC13" s="3">
        <f t="shared" ca="1" si="2"/>
        <v>714.44092876087973</v>
      </c>
      <c r="AD13" s="3">
        <f t="shared" ca="1" si="2"/>
        <v>1036.3181774781397</v>
      </c>
      <c r="AE13" s="3">
        <f t="shared" ca="1" si="7"/>
        <v>850.45630000001984</v>
      </c>
      <c r="AF13" s="3">
        <f t="shared" ca="1" si="8"/>
        <v>715.2097284728053</v>
      </c>
      <c r="AI13">
        <f t="shared" si="9"/>
        <v>3</v>
      </c>
      <c r="AJ13" s="7"/>
      <c r="AK13" s="7">
        <f t="shared" ca="1" si="10"/>
        <v>0.23055128016958676</v>
      </c>
      <c r="AL13" s="18">
        <f t="shared" ca="1" si="3"/>
        <v>0.27728904264709053</v>
      </c>
      <c r="AM13" s="38"/>
      <c r="AN13" s="7" t="str">
        <f>IFERROR(INDEX('MS Stats list'!P:P, MATCH(B13,'MS Stats list'!B:B,0)),"")</f>
        <v>Danish Energy Agency - Preliminary Energy Statsticis 2022</v>
      </c>
    </row>
    <row r="14" spans="1:40">
      <c r="A14">
        <v>9</v>
      </c>
      <c r="B14" t="s">
        <v>120</v>
      </c>
      <c r="C14" t="s">
        <v>120</v>
      </c>
      <c r="D14" s="3">
        <v>3418.1779999999999</v>
      </c>
      <c r="E14" s="3">
        <v>3346.252</v>
      </c>
      <c r="F14" s="3">
        <v>4343.915</v>
      </c>
      <c r="G14" s="3">
        <v>3470.663</v>
      </c>
      <c r="H14" s="3">
        <v>2571.7260000000001</v>
      </c>
      <c r="I14" s="3">
        <v>4172.5410000000002</v>
      </c>
      <c r="J14" s="3">
        <v>4147.6360000000004</v>
      </c>
      <c r="K14" s="3">
        <v>3488.2379999999998</v>
      </c>
      <c r="L14" s="3">
        <v>4154.4459999999999</v>
      </c>
      <c r="M14" s="3">
        <v>3985.4389999999999</v>
      </c>
      <c r="N14" s="3">
        <v>3203.567</v>
      </c>
      <c r="O14" s="3">
        <v>4244.37</v>
      </c>
      <c r="P14" s="3">
        <v>4330.0789999999997</v>
      </c>
      <c r="Q14" s="3">
        <v>4056.319</v>
      </c>
      <c r="R14" s="3">
        <v>3014.694</v>
      </c>
      <c r="S14" s="3">
        <v>2431.1509999999998</v>
      </c>
      <c r="T14" s="3">
        <v>2658.0259999999998</v>
      </c>
      <c r="U14" s="3">
        <v>2890.6190000000001</v>
      </c>
      <c r="V14" s="3">
        <f t="shared" ca="1" si="4"/>
        <v>2322.3457737974936</v>
      </c>
      <c r="W14" s="16">
        <f t="shared" si="5"/>
        <v>3</v>
      </c>
      <c r="X14" t="str">
        <f t="shared" si="6"/>
        <v>BP</v>
      </c>
      <c r="Y14" s="16"/>
      <c r="AA14" s="3">
        <f t="shared" ca="1" si="1"/>
        <v>2890.6190000000001</v>
      </c>
      <c r="AB14" s="3">
        <f t="shared" ca="1" si="2"/>
        <v>0</v>
      </c>
      <c r="AC14" s="3">
        <f t="shared" ca="1" si="2"/>
        <v>2322.3457737974936</v>
      </c>
      <c r="AD14" s="3">
        <f t="shared" ca="1" si="2"/>
        <v>2698.2460505285808</v>
      </c>
      <c r="AE14" s="3">
        <f t="shared" ca="1" si="7"/>
        <v>2203.7414000000572</v>
      </c>
      <c r="AF14" s="3" t="str">
        <f t="shared" si="8"/>
        <v/>
      </c>
      <c r="AI14">
        <f t="shared" si="9"/>
        <v>3</v>
      </c>
      <c r="AJ14" s="7"/>
      <c r="AK14" s="7">
        <f t="shared" ca="1" si="10"/>
        <v>0.46082065864932753</v>
      </c>
      <c r="AL14" s="18">
        <f t="shared" ca="1" si="3"/>
        <v>0.15939523328926844</v>
      </c>
      <c r="AM14" s="38"/>
      <c r="AN14" s="7">
        <f>IFERROR(INDEX('MS Stats list'!P:P, MATCH(B14,'MS Stats list'!B:B,0)),"")</f>
        <v>0</v>
      </c>
    </row>
    <row r="15" spans="1:40">
      <c r="A15">
        <v>11</v>
      </c>
      <c r="B15" t="s">
        <v>85</v>
      </c>
      <c r="C15" t="s">
        <v>85</v>
      </c>
      <c r="D15" s="3">
        <v>20516.621999999999</v>
      </c>
      <c r="E15" s="3">
        <v>17851.634999999998</v>
      </c>
      <c r="F15" s="3">
        <v>19980.971000000001</v>
      </c>
      <c r="G15" s="3">
        <v>13446.439</v>
      </c>
      <c r="H15" s="3">
        <v>9665.2279999999992</v>
      </c>
      <c r="I15" s="3">
        <v>7281.0870000000004</v>
      </c>
      <c r="J15" s="3">
        <v>12716.137000000001</v>
      </c>
      <c r="K15" s="3">
        <v>15518.743</v>
      </c>
      <c r="L15" s="3">
        <v>11447.726000000001</v>
      </c>
      <c r="M15" s="3">
        <v>11568.18</v>
      </c>
      <c r="N15" s="3">
        <v>13583.196</v>
      </c>
      <c r="O15" s="3">
        <v>10795.880999999999</v>
      </c>
      <c r="P15" s="3">
        <v>12869.106</v>
      </c>
      <c r="Q15" s="3">
        <v>11472.62</v>
      </c>
      <c r="R15" s="3">
        <v>5036.5469999999996</v>
      </c>
      <c r="S15" s="3">
        <v>3081.364</v>
      </c>
      <c r="T15" s="3">
        <v>3064.2919999999999</v>
      </c>
      <c r="U15" s="3">
        <v>3555.7</v>
      </c>
      <c r="V15" s="3">
        <f t="shared" ca="1" si="4"/>
        <v>2762.778580533492</v>
      </c>
      <c r="W15" s="16">
        <f t="shared" ca="1" si="5"/>
        <v>6</v>
      </c>
      <c r="X15" t="str">
        <f t="shared" ca="1" si="6"/>
        <v>Based on MS Stats</v>
      </c>
      <c r="Y15" s="16"/>
      <c r="AA15" s="3">
        <f t="shared" ca="1" si="1"/>
        <v>3555.7</v>
      </c>
      <c r="AB15" s="3">
        <f t="shared" ca="1" si="2"/>
        <v>2696.3855243317339</v>
      </c>
      <c r="AC15" s="3">
        <f t="shared" ca="1" si="2"/>
        <v>2696.3855862138053</v>
      </c>
      <c r="AD15" s="3">
        <f t="shared" ca="1" si="2"/>
        <v>2913.624233409545</v>
      </c>
      <c r="AE15" s="3">
        <f t="shared" ca="1" si="7"/>
        <v>-99.723900000099093</v>
      </c>
      <c r="AF15" s="3">
        <f t="shared" ca="1" si="8"/>
        <v>2762.778580533492</v>
      </c>
      <c r="AI15">
        <f t="shared" si="9"/>
        <v>3</v>
      </c>
      <c r="AJ15" s="7"/>
      <c r="AK15" s="7">
        <f t="shared" ca="1" si="10"/>
        <v>0.62025500813771173</v>
      </c>
      <c r="AL15" s="18">
        <f t="shared" ca="1" si="3"/>
        <v>0.29150344540354378</v>
      </c>
      <c r="AM15" s="38"/>
      <c r="AN15" s="7" t="str">
        <f>IFERROR(INDEX('MS Stats list'!P:P, MATCH(B15,'MS Stats list'!B:B,0)),"")</f>
        <v>Ministry of Ecological Transition</v>
      </c>
    </row>
    <row r="16" spans="1:40">
      <c r="A16">
        <v>12</v>
      </c>
      <c r="B16" t="s">
        <v>2</v>
      </c>
      <c r="C16" t="s">
        <v>2</v>
      </c>
      <c r="D16" s="3">
        <v>4914.3100000000004</v>
      </c>
      <c r="E16" s="3">
        <v>7332.4229999999998</v>
      </c>
      <c r="F16" s="3">
        <v>7205.8620000000001</v>
      </c>
      <c r="G16" s="3">
        <v>5379.9549999999999</v>
      </c>
      <c r="H16" s="3">
        <v>5301.7740000000003</v>
      </c>
      <c r="I16" s="3">
        <v>6877.63</v>
      </c>
      <c r="J16" s="3">
        <v>5978.5360000000001</v>
      </c>
      <c r="K16" s="3">
        <v>4552.7420000000002</v>
      </c>
      <c r="L16" s="3">
        <v>5138.1530000000002</v>
      </c>
      <c r="M16" s="3">
        <v>4497.402</v>
      </c>
      <c r="N16" s="3">
        <v>4120.5879999999997</v>
      </c>
      <c r="O16" s="3">
        <v>4302.0959999999995</v>
      </c>
      <c r="P16" s="3">
        <v>4119.5720000000001</v>
      </c>
      <c r="Q16" s="3">
        <v>4213.2830000000004</v>
      </c>
      <c r="R16" s="3">
        <v>3481.7249999999999</v>
      </c>
      <c r="S16" s="3">
        <v>2869.0430000000001</v>
      </c>
      <c r="T16" s="3">
        <v>2994.3980000000001</v>
      </c>
      <c r="U16" s="3">
        <v>3028.7689999999998</v>
      </c>
      <c r="V16" s="3">
        <f t="shared" ca="1" si="4"/>
        <v>2388.6946441777604</v>
      </c>
      <c r="W16" s="16">
        <f t="shared" ca="1" si="5"/>
        <v>6</v>
      </c>
      <c r="X16" t="str">
        <f t="shared" ca="1" si="6"/>
        <v>Based on MS Stats</v>
      </c>
      <c r="Y16" s="16"/>
      <c r="AA16" s="3">
        <f t="shared" ca="1" si="1"/>
        <v>3028.7689999999998</v>
      </c>
      <c r="AB16" s="3">
        <f t="shared" ca="1" si="2"/>
        <v>2492.0251265822781</v>
      </c>
      <c r="AC16" s="3">
        <f t="shared" ca="1" si="2"/>
        <v>2238.0131140531562</v>
      </c>
      <c r="AD16" s="3">
        <f t="shared" ca="1" si="2"/>
        <v>2864.195560021848</v>
      </c>
      <c r="AE16" s="3">
        <f t="shared" ca="1" si="7"/>
        <v>2460.5370999999577</v>
      </c>
      <c r="AF16" s="3">
        <f t="shared" ca="1" si="8"/>
        <v>2388.6946441777604</v>
      </c>
      <c r="AI16">
        <f t="shared" si="9"/>
        <v>2</v>
      </c>
      <c r="AJ16" s="7"/>
      <c r="AK16" s="7">
        <f t="shared" ca="1" si="10"/>
        <v>0.66970014094266039</v>
      </c>
      <c r="AL16" s="18">
        <f t="shared" ca="1" si="3"/>
        <v>0.11057734280793863</v>
      </c>
      <c r="AM16" s="38"/>
      <c r="AN16" s="7" t="str">
        <f>IFERROR(INDEX('MS Stats list'!P:P, MATCH(B16,'MS Stats list'!B:B,0)),"")</f>
        <v>Statistics Finland - Energy supply and consumption</v>
      </c>
    </row>
    <row r="17" spans="1:40">
      <c r="A17">
        <v>13</v>
      </c>
      <c r="B17" t="s">
        <v>82</v>
      </c>
      <c r="C17" t="s">
        <v>82</v>
      </c>
      <c r="D17" s="3">
        <v>14065.181</v>
      </c>
      <c r="E17" s="3">
        <v>12960.495000000001</v>
      </c>
      <c r="F17" s="3">
        <v>13410.790999999999</v>
      </c>
      <c r="G17" s="3">
        <v>12690.17</v>
      </c>
      <c r="H17" s="3">
        <v>11070.674999999999</v>
      </c>
      <c r="I17" s="3">
        <v>11916.643</v>
      </c>
      <c r="J17" s="3">
        <v>10995.088</v>
      </c>
      <c r="K17" s="3">
        <v>12274.555</v>
      </c>
      <c r="L17" s="3">
        <v>12976.879000000001</v>
      </c>
      <c r="M17" s="3">
        <v>9500.3819999999996</v>
      </c>
      <c r="N17" s="3">
        <v>9022.5949999999993</v>
      </c>
      <c r="O17" s="3">
        <v>8792.268</v>
      </c>
      <c r="P17" s="3">
        <v>9624.3639999999996</v>
      </c>
      <c r="Q17" s="3">
        <v>8799.1239999999998</v>
      </c>
      <c r="R17" s="3">
        <v>7059.9679999999998</v>
      </c>
      <c r="S17" s="3">
        <v>5055.8999999999996</v>
      </c>
      <c r="T17" s="3">
        <v>8184.9290000000001</v>
      </c>
      <c r="U17" s="3">
        <v>7203.0559999999996</v>
      </c>
      <c r="V17" s="3">
        <f t="shared" ca="1" si="4"/>
        <v>5481.8936083919662</v>
      </c>
      <c r="W17" s="16">
        <f t="shared" ca="1" si="5"/>
        <v>6</v>
      </c>
      <c r="X17" t="str">
        <f t="shared" ca="1" si="6"/>
        <v>Based on MS Stats</v>
      </c>
      <c r="Y17" s="16"/>
      <c r="AA17" s="3">
        <f t="shared" ca="1" si="1"/>
        <v>7203.0559999999996</v>
      </c>
      <c r="AB17" s="3">
        <f t="shared" ca="1" si="2"/>
        <v>5691.713660956324</v>
      </c>
      <c r="AC17" s="3">
        <f t="shared" ca="1" si="2"/>
        <v>5521.7596901823636</v>
      </c>
      <c r="AD17" s="3">
        <f t="shared" ca="1" si="2"/>
        <v>7104.613306990399</v>
      </c>
      <c r="AE17" s="3">
        <f t="shared" ca="1" si="7"/>
        <v>6640.4428999999654</v>
      </c>
      <c r="AF17" s="3">
        <f ca="1">IF(ISNUMBER(AF52),$AA17*(1+AF52),"")</f>
        <v>5481.8936083919662</v>
      </c>
      <c r="AI17">
        <f t="shared" si="9"/>
        <v>2</v>
      </c>
      <c r="AJ17" s="7"/>
      <c r="AK17" s="7">
        <f t="shared" ca="1" si="10"/>
        <v>5.2588809635459102E-2</v>
      </c>
      <c r="AL17" s="18">
        <f t="shared" ca="1" si="3"/>
        <v>0.36175755219614619</v>
      </c>
      <c r="AM17" s="38"/>
      <c r="AN17" s="7" t="str">
        <f>IFERROR(INDEX('MS Stats list'!P:P, MATCH(B17,'MS Stats list'!B:B,0)),"")</f>
        <v>Ministère de la Transition écologique et solidaire - Données et études statistiques</v>
      </c>
    </row>
    <row r="18" spans="1:40">
      <c r="A18">
        <v>10</v>
      </c>
      <c r="B18" t="s">
        <v>181</v>
      </c>
      <c r="C18" t="s">
        <v>182</v>
      </c>
      <c r="D18" s="3">
        <v>8952.4879999999994</v>
      </c>
      <c r="E18" s="3">
        <v>8427.3940000000002</v>
      </c>
      <c r="F18" s="3">
        <v>8835.9879999999994</v>
      </c>
      <c r="G18" s="3">
        <v>8321.2070000000003</v>
      </c>
      <c r="H18" s="3">
        <v>8425.2569999999996</v>
      </c>
      <c r="I18" s="3">
        <v>7863.0330000000004</v>
      </c>
      <c r="J18" s="3">
        <v>7886.86</v>
      </c>
      <c r="K18" s="3">
        <v>8134.8419999999996</v>
      </c>
      <c r="L18" s="3">
        <v>6981.0039999999999</v>
      </c>
      <c r="M18" s="3">
        <v>6687.0829999999996</v>
      </c>
      <c r="N18" s="3">
        <v>5606.3739999999998</v>
      </c>
      <c r="O18" s="3">
        <v>4369.4840000000004</v>
      </c>
      <c r="P18" s="3">
        <v>4816.6350000000002</v>
      </c>
      <c r="Q18" s="3">
        <v>4564.0690000000004</v>
      </c>
      <c r="R18" s="3">
        <v>3196.0880000000002</v>
      </c>
      <c r="S18" s="3">
        <v>1830.92</v>
      </c>
      <c r="T18" s="3">
        <v>1710.922</v>
      </c>
      <c r="U18" s="3">
        <v>1562.47</v>
      </c>
      <c r="V18" s="3">
        <f t="shared" ca="1" si="4"/>
        <v>1127.4055439380743</v>
      </c>
      <c r="W18" s="16">
        <f t="shared" si="5"/>
        <v>2</v>
      </c>
      <c r="X18" t="str">
        <f t="shared" si="6"/>
        <v>Eurostat</v>
      </c>
      <c r="Y18" s="16"/>
      <c r="AA18" s="3">
        <f t="shared" ca="1" si="1"/>
        <v>1562.47</v>
      </c>
      <c r="AB18" s="3">
        <f t="shared" ca="1" si="2"/>
        <v>1127.4055439380743</v>
      </c>
      <c r="AC18" s="3">
        <f t="shared" ca="1" si="2"/>
        <v>1120.5645491224927</v>
      </c>
      <c r="AD18" s="3">
        <f t="shared" ca="1" si="2"/>
        <v>1271.3478626231069</v>
      </c>
      <c r="AE18" s="3">
        <f t="shared" ca="1" si="7"/>
        <v>326.38459999999031</v>
      </c>
      <c r="AF18" s="3" t="str">
        <f t="shared" si="8"/>
        <v/>
      </c>
      <c r="AI18">
        <f t="shared" si="9"/>
        <v>2</v>
      </c>
      <c r="AJ18" s="7"/>
      <c r="AK18" s="7">
        <f t="shared" ca="1" si="10"/>
        <v>0.84101285274534565</v>
      </c>
      <c r="AL18" s="18">
        <f t="shared" ca="1" si="3"/>
        <v>0.16828388935315627</v>
      </c>
      <c r="AM18" s="38"/>
      <c r="AN18" s="7" t="str">
        <f>IFERROR(INDEX('MS Stats list'!P:P, MATCH(B18,'MS Stats list'!B:B,0)),"")</f>
        <v/>
      </c>
    </row>
    <row r="19" spans="1:40">
      <c r="A19">
        <v>14</v>
      </c>
      <c r="B19" t="s">
        <v>183</v>
      </c>
      <c r="C19" t="s">
        <v>183</v>
      </c>
      <c r="D19" s="3">
        <v>683.59</v>
      </c>
      <c r="E19" s="3">
        <v>634.62900000000002</v>
      </c>
      <c r="F19" s="3">
        <v>689.16800000000001</v>
      </c>
      <c r="G19" s="3">
        <v>709.14099999999996</v>
      </c>
      <c r="H19" s="3">
        <v>506.56799999999998</v>
      </c>
      <c r="I19" s="3">
        <v>682.45100000000002</v>
      </c>
      <c r="J19" s="3">
        <v>702.84500000000003</v>
      </c>
      <c r="K19" s="3">
        <v>631.55499999999995</v>
      </c>
      <c r="L19" s="3">
        <v>674.76400000000001</v>
      </c>
      <c r="M19" s="3">
        <v>646.75400000000002</v>
      </c>
      <c r="N19" s="3">
        <v>605.36199999999997</v>
      </c>
      <c r="O19" s="3">
        <v>651.15099999999995</v>
      </c>
      <c r="P19" s="3">
        <v>392.33499999999998</v>
      </c>
      <c r="Q19" s="3">
        <v>366.35500000000002</v>
      </c>
      <c r="R19" s="3">
        <v>418.43099999999998</v>
      </c>
      <c r="S19" s="3">
        <v>361.19099999999997</v>
      </c>
      <c r="T19" s="3">
        <v>415.33499999999998</v>
      </c>
      <c r="U19" s="3">
        <v>406.488</v>
      </c>
      <c r="V19" s="3">
        <f t="shared" ca="1" si="4"/>
        <v>336.60467621776507</v>
      </c>
      <c r="W19" s="16">
        <f t="shared" si="5"/>
        <v>2</v>
      </c>
      <c r="X19" t="str">
        <f t="shared" si="6"/>
        <v>Eurostat</v>
      </c>
      <c r="Y19" s="16"/>
      <c r="AA19" s="3">
        <f t="shared" ca="1" si="1"/>
        <v>406.488</v>
      </c>
      <c r="AB19" s="3">
        <f t="shared" ca="1" si="2"/>
        <v>336.60467621776507</v>
      </c>
      <c r="AC19" s="3">
        <f t="shared" ca="1" si="2"/>
        <v>335.92065160032047</v>
      </c>
      <c r="AD19" s="3">
        <f t="shared" ca="1" si="2"/>
        <v>411.99459543971568</v>
      </c>
      <c r="AE19" s="3">
        <f t="shared" ca="1" si="7"/>
        <v>416.71099999999933</v>
      </c>
      <c r="AF19" s="3" t="str">
        <f t="shared" si="8"/>
        <v/>
      </c>
      <c r="AI19">
        <f t="shared" si="9"/>
        <v>2</v>
      </c>
      <c r="AJ19" s="7"/>
      <c r="AK19" s="7">
        <f t="shared" ca="1" si="10"/>
        <v>0.19539916334870389</v>
      </c>
      <c r="AL19" s="18">
        <f t="shared" ca="1" si="3"/>
        <v>0.12778032266963149</v>
      </c>
      <c r="AM19" s="38"/>
      <c r="AN19" s="7" t="str">
        <f>IFERROR(INDEX('MS Stats list'!P:P, MATCH(B19,'MS Stats list'!B:B,0)),"")</f>
        <v/>
      </c>
    </row>
    <row r="20" spans="1:40">
      <c r="A20">
        <v>15</v>
      </c>
      <c r="B20" t="s">
        <v>88</v>
      </c>
      <c r="C20" t="s">
        <v>88</v>
      </c>
      <c r="D20" s="3">
        <v>3070.1379999999999</v>
      </c>
      <c r="E20" s="3">
        <v>3075.92</v>
      </c>
      <c r="F20" s="3">
        <v>3128.5369999999998</v>
      </c>
      <c r="G20" s="3">
        <v>3037.9879999999998</v>
      </c>
      <c r="H20" s="3">
        <v>2559.692</v>
      </c>
      <c r="I20" s="3">
        <v>2703.3150000000001</v>
      </c>
      <c r="J20" s="3">
        <v>2708.4270000000001</v>
      </c>
      <c r="K20" s="3">
        <v>2604.277</v>
      </c>
      <c r="L20" s="3">
        <v>2265.0790000000002</v>
      </c>
      <c r="M20" s="3">
        <v>2203.3409999999999</v>
      </c>
      <c r="N20" s="3">
        <v>2345.7719999999999</v>
      </c>
      <c r="O20" s="3">
        <v>2177.4090000000001</v>
      </c>
      <c r="P20" s="3">
        <v>2230.4920000000002</v>
      </c>
      <c r="Q20" s="3">
        <v>2132.5129999999999</v>
      </c>
      <c r="R20" s="3">
        <v>1818.4110000000001</v>
      </c>
      <c r="S20" s="3">
        <v>1675.7429999999999</v>
      </c>
      <c r="T20" s="3">
        <v>1366.454</v>
      </c>
      <c r="U20" s="3">
        <v>1227.9459999999999</v>
      </c>
      <c r="V20" s="3">
        <f t="shared" ca="1" si="4"/>
        <v>897.05031388642976</v>
      </c>
      <c r="W20" s="16">
        <f t="shared" ca="1" si="5"/>
        <v>6</v>
      </c>
      <c r="X20" t="str">
        <f t="shared" ca="1" si="6"/>
        <v>Based on MS Stats</v>
      </c>
      <c r="Y20" s="16"/>
      <c r="AA20" s="3">
        <f t="shared" ca="1" si="1"/>
        <v>1227.9459999999999</v>
      </c>
      <c r="AB20" s="3">
        <f t="shared" ca="1" si="2"/>
        <v>929.72525753553452</v>
      </c>
      <c r="AC20" s="3">
        <f t="shared" ca="1" si="2"/>
        <v>856.73634151342776</v>
      </c>
      <c r="AD20" s="3">
        <f t="shared" ca="1" si="2"/>
        <v>1091.4946980451871</v>
      </c>
      <c r="AE20" s="3">
        <f t="shared" ca="1" si="7"/>
        <v>965.88610000000335</v>
      </c>
      <c r="AF20" s="3">
        <f ca="1">IF(ISNUMBER(AF55),$AA20*(1+AF55),"")</f>
        <v>897.05031388642976</v>
      </c>
      <c r="AI20">
        <f t="shared" si="9"/>
        <v>2</v>
      </c>
      <c r="AJ20" s="7"/>
      <c r="AK20" s="7">
        <f t="shared" ca="1" si="10"/>
        <v>0.98279329624901923</v>
      </c>
      <c r="AL20" s="18">
        <f t="shared" ca="1" si="3"/>
        <v>5.5632687361298165E-2</v>
      </c>
      <c r="AM20" s="38"/>
      <c r="AN20" s="7" t="str">
        <f>IFERROR(INDEX('MS Stats list'!P:P, MATCH(B20,'MS Stats list'!B:B,0)),"")</f>
        <v>MEKH - Official Statistics - 7.2 National simplified Energy Balance - IEA format</v>
      </c>
    </row>
    <row r="21" spans="1:40">
      <c r="A21">
        <v>16</v>
      </c>
      <c r="B21" t="s">
        <v>133</v>
      </c>
      <c r="C21" t="s">
        <v>133</v>
      </c>
      <c r="D21" s="3">
        <v>2644.3710000000001</v>
      </c>
      <c r="E21" s="3">
        <v>2365.3139999999999</v>
      </c>
      <c r="F21" s="3">
        <v>2406.4850000000001</v>
      </c>
      <c r="G21" s="3">
        <v>2412.7420000000002</v>
      </c>
      <c r="H21" s="3">
        <v>2215.6990000000001</v>
      </c>
      <c r="I21" s="3">
        <v>1849.876</v>
      </c>
      <c r="J21" s="3">
        <v>1928.38</v>
      </c>
      <c r="K21" s="3">
        <v>2601.0610000000001</v>
      </c>
      <c r="L21" s="3">
        <v>1692.8019999999999</v>
      </c>
      <c r="M21" s="3">
        <v>1921.5730000000001</v>
      </c>
      <c r="N21" s="3">
        <v>2227.8519999999999</v>
      </c>
      <c r="O21" s="3">
        <v>2223.0129999999999</v>
      </c>
      <c r="P21" s="3">
        <v>1820.088</v>
      </c>
      <c r="Q21" s="3">
        <v>1395.4380000000001</v>
      </c>
      <c r="R21" s="3">
        <v>1146.077</v>
      </c>
      <c r="S21" s="3">
        <v>1047.1980000000001</v>
      </c>
      <c r="T21" s="3">
        <v>1264.2239999999999</v>
      </c>
      <c r="U21" s="3">
        <v>1048.1469999999999</v>
      </c>
      <c r="V21" s="3">
        <f t="shared" ca="1" si="4"/>
        <v>716.18740202930849</v>
      </c>
      <c r="W21" s="16">
        <f t="shared" ca="1" si="5"/>
        <v>6</v>
      </c>
      <c r="X21" t="str">
        <f t="shared" ca="1" si="6"/>
        <v>Based on MS Stats</v>
      </c>
      <c r="Y21" s="16"/>
      <c r="AA21" s="3">
        <f t="shared" ca="1" si="1"/>
        <v>1048.1469999999999</v>
      </c>
      <c r="AB21" s="3">
        <f t="shared" ca="1" si="2"/>
        <v>732.56525003678098</v>
      </c>
      <c r="AC21" s="3">
        <f t="shared" ca="1" si="2"/>
        <v>716.18740011434363</v>
      </c>
      <c r="AD21" s="3">
        <f t="shared" ca="1" si="2"/>
        <v>951.30692204963646</v>
      </c>
      <c r="AE21" s="3">
        <f t="shared" ca="1" si="7"/>
        <v>1007.2862999999925</v>
      </c>
      <c r="AF21" s="3">
        <f ca="1">IF(ISNUMBER(AF56),$AA21*(1+AF56),"")</f>
        <v>716.18740202930849</v>
      </c>
      <c r="AI21">
        <f t="shared" si="9"/>
        <v>2</v>
      </c>
      <c r="AJ21" s="7"/>
      <c r="AK21" s="7">
        <f t="shared" ca="1" si="10"/>
        <v>0.37051714740469532</v>
      </c>
      <c r="AL21" s="18">
        <f t="shared" ca="1" si="3"/>
        <v>0.17556541115561836</v>
      </c>
      <c r="AM21" s="38"/>
      <c r="AN21" s="7" t="str">
        <f>IFERROR(INDEX('MS Stats list'!P:P, MATCH(B21,'MS Stats list'!B:B,0)),"")</f>
        <v>SEAI - 2022 Provisional Energy Balance</v>
      </c>
    </row>
    <row r="22" spans="1:40">
      <c r="A22">
        <v>17</v>
      </c>
      <c r="B22" t="s">
        <v>157</v>
      </c>
      <c r="C22" t="s">
        <v>157</v>
      </c>
      <c r="D22" s="3">
        <v>16305.370999999999</v>
      </c>
      <c r="E22" s="3">
        <v>16505.377</v>
      </c>
      <c r="F22" s="3">
        <v>16160.573</v>
      </c>
      <c r="G22" s="3">
        <v>15635.605</v>
      </c>
      <c r="H22" s="3">
        <v>12266.950999999999</v>
      </c>
      <c r="I22" s="3">
        <v>13543.734</v>
      </c>
      <c r="J22" s="3">
        <v>15168.565000000001</v>
      </c>
      <c r="K22" s="3">
        <v>15574.032999999999</v>
      </c>
      <c r="L22" s="3">
        <v>13406.674000000001</v>
      </c>
      <c r="M22" s="3">
        <v>12966.324000000001</v>
      </c>
      <c r="N22" s="3">
        <v>12233.075999999999</v>
      </c>
      <c r="O22" s="3">
        <v>10983.003000000001</v>
      </c>
      <c r="P22" s="3">
        <v>9341.7970000000005</v>
      </c>
      <c r="Q22" s="3">
        <v>8538.1610000000001</v>
      </c>
      <c r="R22" s="3">
        <v>6480.37</v>
      </c>
      <c r="S22" s="3">
        <v>5094.549</v>
      </c>
      <c r="T22" s="3">
        <v>5532.8450000000003</v>
      </c>
      <c r="U22" s="3">
        <v>7401.7569999999996</v>
      </c>
      <c r="V22" s="3">
        <f t="shared" ca="1" si="4"/>
        <v>5159.6690454165373</v>
      </c>
      <c r="W22" s="16">
        <f t="shared" si="5"/>
        <v>2</v>
      </c>
      <c r="X22" t="str">
        <f t="shared" si="6"/>
        <v>Eurostat</v>
      </c>
      <c r="Y22" s="16"/>
      <c r="AA22" s="3">
        <f t="shared" ca="1" si="1"/>
        <v>7401.7569999999996</v>
      </c>
      <c r="AB22" s="3">
        <f t="shared" ca="1" si="2"/>
        <v>5159.6690454165373</v>
      </c>
      <c r="AC22" s="3">
        <f t="shared" ca="1" si="2"/>
        <v>5159.6690209649923</v>
      </c>
      <c r="AD22" s="3">
        <f t="shared" ca="1" si="2"/>
        <v>7228.4543372586886</v>
      </c>
      <c r="AE22" s="3">
        <f t="shared" ca="1" si="7"/>
        <v>5643.4364999999525</v>
      </c>
      <c r="AF22" s="3" t="str">
        <f t="shared" si="8"/>
        <v/>
      </c>
      <c r="AI22">
        <f t="shared" si="9"/>
        <v>2</v>
      </c>
      <c r="AJ22" s="7"/>
      <c r="AK22" s="7">
        <f t="shared" ca="1" si="10"/>
        <v>0.13264379228229325</v>
      </c>
      <c r="AL22" s="18">
        <f t="shared" ca="1" si="3"/>
        <v>0.23977981358952571</v>
      </c>
      <c r="AM22" s="38"/>
      <c r="AN22" s="7" t="str">
        <f>IFERROR(INDEX('MS Stats list'!P:P, MATCH(B22,'MS Stats list'!B:B,0)),"")</f>
        <v>Ministry of Ecological Transition</v>
      </c>
    </row>
    <row r="23" spans="1:40">
      <c r="A23">
        <v>18</v>
      </c>
      <c r="B23" t="s">
        <v>137</v>
      </c>
      <c r="C23" t="s">
        <v>137</v>
      </c>
      <c r="D23" s="3">
        <v>184.31299999999999</v>
      </c>
      <c r="E23" s="3">
        <v>250.922</v>
      </c>
      <c r="F23" s="3">
        <v>248.76400000000001</v>
      </c>
      <c r="G23" s="3">
        <v>210.886</v>
      </c>
      <c r="H23" s="3">
        <v>167.06</v>
      </c>
      <c r="I23" s="3">
        <v>205.964</v>
      </c>
      <c r="J23" s="3">
        <v>239.321</v>
      </c>
      <c r="K23" s="3">
        <v>233.52600000000001</v>
      </c>
      <c r="L23" s="3">
        <v>268.02100000000002</v>
      </c>
      <c r="M23" s="3">
        <v>226.71299999999999</v>
      </c>
      <c r="N23" s="3">
        <v>180.709</v>
      </c>
      <c r="O23" s="3">
        <v>184.28899999999999</v>
      </c>
      <c r="P23" s="3">
        <v>196.79300000000001</v>
      </c>
      <c r="Q23" s="3">
        <v>209.95</v>
      </c>
      <c r="R23" s="3">
        <v>196.505</v>
      </c>
      <c r="S23" s="3">
        <v>152.76499999999999</v>
      </c>
      <c r="T23" s="3">
        <v>182.00899999999999</v>
      </c>
      <c r="U23" s="3">
        <v>180.721</v>
      </c>
      <c r="V23" s="3">
        <f t="shared" ca="1" si="4"/>
        <v>116.24116693944354</v>
      </c>
      <c r="W23" s="16">
        <f t="shared" ca="1" si="5"/>
        <v>6</v>
      </c>
      <c r="X23" t="str">
        <f t="shared" ca="1" si="6"/>
        <v>Based on MS Stats</v>
      </c>
      <c r="Y23" s="16"/>
      <c r="AA23" s="3">
        <f t="shared" ca="1" si="1"/>
        <v>180.721</v>
      </c>
      <c r="AB23" s="3">
        <f t="shared" ca="1" si="2"/>
        <v>109.10225320206274</v>
      </c>
      <c r="AC23" s="3">
        <f t="shared" ca="1" si="2"/>
        <v>110.73466578721813</v>
      </c>
      <c r="AD23" s="3">
        <f t="shared" ca="1" si="2"/>
        <v>179.4408790666441</v>
      </c>
      <c r="AE23" s="3">
        <f t="shared" ca="1" si="7"/>
        <v>162.50380000000041</v>
      </c>
      <c r="AF23" s="3">
        <f t="shared" ca="1" si="8"/>
        <v>116.24116693944354</v>
      </c>
      <c r="AI23">
        <f t="shared" si="9"/>
        <v>3</v>
      </c>
      <c r="AJ23" s="7"/>
      <c r="AK23" s="7">
        <f t="shared" ca="1" si="10"/>
        <v>0.29253646686563467</v>
      </c>
      <c r="AL23" s="18">
        <f t="shared" ca="1" si="3"/>
        <v>0.15375484255908844</v>
      </c>
      <c r="AM23" s="38"/>
      <c r="AN23" s="7" t="str">
        <f>IFERROR(INDEX('MS Stats list'!P:P, MATCH(B23,'MS Stats list'!B:B,0)),"")</f>
        <v>Statistics Lithuania - Energy balances</v>
      </c>
    </row>
    <row r="24" spans="1:40">
      <c r="A24">
        <v>19</v>
      </c>
      <c r="B24" t="s">
        <v>184</v>
      </c>
      <c r="C24" t="s">
        <v>184</v>
      </c>
      <c r="D24" s="3">
        <v>77.597999999999999</v>
      </c>
      <c r="E24" s="3">
        <v>92.596000000000004</v>
      </c>
      <c r="F24" s="3">
        <v>78.349999999999994</v>
      </c>
      <c r="G24" s="3">
        <v>74.915999999999997</v>
      </c>
      <c r="H24" s="3">
        <v>66.908000000000001</v>
      </c>
      <c r="I24" s="3">
        <v>65.575999999999993</v>
      </c>
      <c r="J24" s="3">
        <v>59.128</v>
      </c>
      <c r="K24" s="3">
        <v>54.823999999999998</v>
      </c>
      <c r="L24" s="3">
        <v>52.561999999999998</v>
      </c>
      <c r="M24" s="3">
        <v>52.088000000000001</v>
      </c>
      <c r="N24" s="3">
        <v>49.215000000000003</v>
      </c>
      <c r="O24" s="3">
        <v>50.93</v>
      </c>
      <c r="P24" s="3">
        <v>47.116</v>
      </c>
      <c r="Q24" s="3">
        <v>41.76</v>
      </c>
      <c r="R24" s="3">
        <v>45.756999999999998</v>
      </c>
      <c r="S24" s="3">
        <v>38.442</v>
      </c>
      <c r="T24" s="3">
        <v>39.427</v>
      </c>
      <c r="U24" s="3">
        <v>41.073</v>
      </c>
      <c r="V24" s="3">
        <f t="shared" ca="1" si="4"/>
        <v>33.490736173930927</v>
      </c>
      <c r="W24" s="16">
        <f t="shared" si="5"/>
        <v>2</v>
      </c>
      <c r="X24" t="str">
        <f t="shared" si="6"/>
        <v>Eurostat</v>
      </c>
      <c r="Y24" s="16"/>
      <c r="AA24" s="3">
        <f t="shared" ca="1" si="1"/>
        <v>41.073</v>
      </c>
      <c r="AB24" s="3">
        <f t="shared" ca="1" si="2"/>
        <v>33.490736173930927</v>
      </c>
      <c r="AC24" s="3">
        <f t="shared" ca="1" si="2"/>
        <v>33.490735107529325</v>
      </c>
      <c r="AD24" s="3">
        <f t="shared" ca="1" si="2"/>
        <v>40.165627820690332</v>
      </c>
      <c r="AE24" s="3">
        <f t="shared" ca="1" si="7"/>
        <v>38.980599999999868</v>
      </c>
      <c r="AF24" s="3" t="str">
        <f t="shared" si="8"/>
        <v/>
      </c>
      <c r="AI24">
        <f t="shared" si="9"/>
        <v>2</v>
      </c>
      <c r="AJ24" s="7"/>
      <c r="AK24" s="7">
        <f t="shared" ca="1" si="10"/>
        <v>0.18661721064778419</v>
      </c>
      <c r="AL24" s="18">
        <f t="shared" ca="1" si="3"/>
        <v>0.10908708450059623</v>
      </c>
      <c r="AM24" s="38"/>
      <c r="AN24" s="7" t="str">
        <f>IFERROR(INDEX('MS Stats list'!P:P, MATCH(B24,'MS Stats list'!B:B,0)),"")</f>
        <v/>
      </c>
    </row>
    <row r="25" spans="1:40">
      <c r="A25">
        <v>20</v>
      </c>
      <c r="B25" t="s">
        <v>93</v>
      </c>
      <c r="C25" t="s">
        <v>93</v>
      </c>
      <c r="D25" s="3">
        <v>81.55</v>
      </c>
      <c r="E25" s="3">
        <v>86.932000000000002</v>
      </c>
      <c r="F25" s="3">
        <v>106.173</v>
      </c>
      <c r="G25" s="3">
        <v>106.812</v>
      </c>
      <c r="H25" s="3">
        <v>85.331999999999994</v>
      </c>
      <c r="I25" s="3">
        <v>108.904</v>
      </c>
      <c r="J25" s="3">
        <v>110.595</v>
      </c>
      <c r="K25" s="3">
        <v>91.694999999999993</v>
      </c>
      <c r="L25" s="3">
        <v>72.814999999999998</v>
      </c>
      <c r="M25" s="3">
        <v>59.584000000000003</v>
      </c>
      <c r="N25" s="3">
        <v>46.497999999999998</v>
      </c>
      <c r="O25" s="3">
        <v>41.033000000000001</v>
      </c>
      <c r="P25" s="3">
        <v>41.043999999999997</v>
      </c>
      <c r="Q25" s="3">
        <v>48.036999999999999</v>
      </c>
      <c r="R25" s="3">
        <v>40.29</v>
      </c>
      <c r="S25" s="3">
        <v>23.533000000000001</v>
      </c>
      <c r="T25" s="3">
        <v>18.141999999999999</v>
      </c>
      <c r="U25" s="3">
        <v>12</v>
      </c>
      <c r="V25" s="3">
        <f t="shared" ca="1" si="4"/>
        <v>11.2</v>
      </c>
      <c r="W25" s="16">
        <f t="shared" ca="1" si="5"/>
        <v>6</v>
      </c>
      <c r="X25" t="str">
        <f t="shared" ca="1" si="6"/>
        <v>Based on MS Stats</v>
      </c>
      <c r="Y25" s="16"/>
      <c r="AA25" s="3">
        <f t="shared" ca="1" si="1"/>
        <v>12</v>
      </c>
      <c r="AB25" s="3">
        <f t="shared" ca="1" si="2"/>
        <v>4.9375085915376786</v>
      </c>
      <c r="AC25" s="3">
        <f t="shared" ca="1" si="2"/>
        <v>6.5559842143190243</v>
      </c>
      <c r="AD25" s="3">
        <f t="shared" ca="1" si="2"/>
        <v>9.6613511121114684</v>
      </c>
      <c r="AE25" s="3">
        <f t="shared" ca="1" si="7"/>
        <v>0.13379999999961001</v>
      </c>
      <c r="AF25" s="3">
        <f t="shared" ca="1" si="8"/>
        <v>11.2</v>
      </c>
      <c r="AI25">
        <f t="shared" si="9"/>
        <v>3</v>
      </c>
      <c r="AJ25" s="7"/>
      <c r="AK25" s="7">
        <f t="shared" ca="1" si="10"/>
        <v>0.95990780428906286</v>
      </c>
      <c r="AL25" s="18">
        <f t="shared" ca="1" si="3"/>
        <v>0.22649968803536846</v>
      </c>
      <c r="AM25" s="38"/>
      <c r="AN25" s="7" t="str">
        <f>IFERROR(INDEX('MS Stats list'!P:P, MATCH(B25,'MS Stats list'!B:B,0)),"")</f>
        <v/>
      </c>
    </row>
    <row r="26" spans="1:40">
      <c r="A26">
        <v>21</v>
      </c>
      <c r="B26" t="s">
        <v>141</v>
      </c>
      <c r="C26" t="s">
        <v>141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f t="shared" ca="1" si="4"/>
        <v>0</v>
      </c>
      <c r="W26" s="16">
        <f t="shared" ca="1" si="5"/>
        <v>1</v>
      </c>
      <c r="X26" t="str">
        <f t="shared" ca="1" si="6"/>
        <v>No Change</v>
      </c>
      <c r="Y26" s="16"/>
      <c r="AA26" s="3">
        <f t="shared" ca="1" si="1"/>
        <v>0</v>
      </c>
      <c r="AB26" s="3" t="e">
        <f t="shared" ca="1" si="2"/>
        <v>#VALUE!</v>
      </c>
      <c r="AC26" s="3" t="e">
        <f t="shared" ca="1" si="2"/>
        <v>#N/A</v>
      </c>
      <c r="AD26" s="3">
        <f t="shared" ca="1" si="2"/>
        <v>0</v>
      </c>
      <c r="AE26" s="3">
        <f t="shared" ca="1" si="7"/>
        <v>0</v>
      </c>
      <c r="AF26" s="3" t="str">
        <f t="shared" si="8"/>
        <v/>
      </c>
      <c r="AI26">
        <f t="shared" si="9"/>
        <v>0</v>
      </c>
      <c r="AJ26" s="7"/>
      <c r="AK26" s="7">
        <f t="shared" ca="1" si="10"/>
        <v>0</v>
      </c>
      <c r="AL26" s="18">
        <f t="shared" ca="1" si="3"/>
        <v>0</v>
      </c>
      <c r="AM26" s="38"/>
      <c r="AN26" s="7" t="str">
        <f>IFERROR(INDEX('MS Stats list'!P:P, MATCH(B26,'MS Stats list'!B:B,0)),"")</f>
        <v>Msdata from consultations</v>
      </c>
    </row>
    <row r="27" spans="1:40">
      <c r="A27">
        <v>22</v>
      </c>
      <c r="B27" t="s">
        <v>145</v>
      </c>
      <c r="C27" t="s">
        <v>145</v>
      </c>
      <c r="D27" s="3">
        <v>7946.4809999999998</v>
      </c>
      <c r="E27" s="3">
        <v>7740.3789999999999</v>
      </c>
      <c r="F27" s="3">
        <v>8254.2430000000004</v>
      </c>
      <c r="G27" s="3">
        <v>7810.6279999999997</v>
      </c>
      <c r="H27" s="3">
        <v>7325.8739999999998</v>
      </c>
      <c r="I27" s="3">
        <v>7408.6170000000002</v>
      </c>
      <c r="J27" s="3">
        <v>7302.6760000000004</v>
      </c>
      <c r="K27" s="3">
        <v>8020.951</v>
      </c>
      <c r="L27" s="3">
        <v>8004.5439999999999</v>
      </c>
      <c r="M27" s="3">
        <v>8948.241</v>
      </c>
      <c r="N27" s="3">
        <v>11003.984</v>
      </c>
      <c r="O27" s="3">
        <v>10199.047</v>
      </c>
      <c r="P27" s="3">
        <v>9138.26</v>
      </c>
      <c r="Q27" s="3">
        <v>8184.4949999999999</v>
      </c>
      <c r="R27" s="3">
        <v>6351.9380000000001</v>
      </c>
      <c r="S27" s="3">
        <v>4043.0390000000002</v>
      </c>
      <c r="T27" s="3">
        <v>5548.866</v>
      </c>
      <c r="U27" s="3">
        <v>5495.5720000000001</v>
      </c>
      <c r="V27" s="3">
        <f t="shared" ca="1" si="4"/>
        <v>4029.1875698556219</v>
      </c>
      <c r="W27" s="16">
        <f>IF(ISNUMBER(AF27),6,IF(ISNUMBER(AG27),AG27,IF(AI27&gt;0,AI27,IF(AND(AK27&gt;$AK$5,AE27&gt;0),5,IF(AND(AL27&lt;&gt;0,AL27&lt;$AL$5),4,1)))))</f>
        <v>2</v>
      </c>
      <c r="X27" t="str">
        <f t="shared" si="6"/>
        <v>Eurostat</v>
      </c>
      <c r="Y27" s="16"/>
      <c r="AA27" s="3">
        <f t="shared" ca="1" si="1"/>
        <v>5495.5720000000001</v>
      </c>
      <c r="AB27" s="3">
        <f t="shared" ca="1" si="2"/>
        <v>4029.1875698556219</v>
      </c>
      <c r="AC27" s="3">
        <f t="shared" ca="1" si="2"/>
        <v>3757.8958205053491</v>
      </c>
      <c r="AD27" s="3">
        <f t="shared" ca="1" si="2"/>
        <v>5134.0437512549361</v>
      </c>
      <c r="AE27" s="3">
        <f t="shared" ca="1" si="7"/>
        <v>4070.5065999997314</v>
      </c>
      <c r="AF27" s="3" t="str">
        <f>IF(ISNUMBER(AF62),$AA27*(1+AF62),"")</f>
        <v/>
      </c>
      <c r="AI27">
        <f t="shared" si="9"/>
        <v>2</v>
      </c>
      <c r="AJ27" s="7"/>
      <c r="AK27" s="7">
        <f t="shared" ca="1" si="10"/>
        <v>0.4172875980445297</v>
      </c>
      <c r="AL27" s="18">
        <f t="shared" ca="1" si="3"/>
        <v>0.27853544677251807</v>
      </c>
      <c r="AM27" s="38"/>
      <c r="AN27" s="7" t="str">
        <f>IFERROR(INDEX('MS Stats list'!P:P, MATCH(B27,'MS Stats list'!B:B,0)),"")</f>
        <v>CBS - Energy balance sheet; supply, transformation and consumption</v>
      </c>
    </row>
    <row r="28" spans="1:40">
      <c r="A28">
        <v>23</v>
      </c>
      <c r="B28" t="s">
        <v>185</v>
      </c>
      <c r="C28" t="s">
        <v>185</v>
      </c>
      <c r="D28" s="3">
        <v>54475.839</v>
      </c>
      <c r="E28" s="3">
        <v>57107.987000000001</v>
      </c>
      <c r="F28" s="3">
        <v>55595.936999999998</v>
      </c>
      <c r="G28" s="3">
        <v>54615.934999999998</v>
      </c>
      <c r="H28" s="3">
        <v>51131.713000000003</v>
      </c>
      <c r="I28" s="3">
        <v>55137.512000000002</v>
      </c>
      <c r="J28" s="3">
        <v>54544.858999999997</v>
      </c>
      <c r="K28" s="3">
        <v>50176.22</v>
      </c>
      <c r="L28" s="3">
        <v>53067.792000000001</v>
      </c>
      <c r="M28" s="3">
        <v>49145.120999999999</v>
      </c>
      <c r="N28" s="3">
        <v>48273.186000000002</v>
      </c>
      <c r="O28" s="3">
        <v>49441.303</v>
      </c>
      <c r="P28" s="3">
        <v>49568.038</v>
      </c>
      <c r="Q28" s="3">
        <v>49147.682999999997</v>
      </c>
      <c r="R28" s="3">
        <v>43775.862000000001</v>
      </c>
      <c r="S28" s="3">
        <v>40806.985999999997</v>
      </c>
      <c r="T28" s="3">
        <v>45802.805</v>
      </c>
      <c r="U28" s="3">
        <v>42024.031999999999</v>
      </c>
      <c r="V28" s="3">
        <f t="shared" ca="1" si="4"/>
        <v>35468.702057393377</v>
      </c>
      <c r="W28" s="16">
        <f t="shared" si="5"/>
        <v>3</v>
      </c>
      <c r="X28" t="str">
        <f t="shared" si="6"/>
        <v>BP</v>
      </c>
      <c r="Y28" s="16"/>
      <c r="AA28" s="3">
        <f t="shared" ca="1" si="1"/>
        <v>42024.031999999999</v>
      </c>
      <c r="AB28" s="3">
        <f t="shared" ca="1" si="2"/>
        <v>34205.442376505584</v>
      </c>
      <c r="AC28" s="3">
        <f t="shared" ca="1" si="2"/>
        <v>35468.702057393377</v>
      </c>
      <c r="AD28" s="3">
        <f t="shared" ca="1" si="2"/>
        <v>40799.660144549547</v>
      </c>
      <c r="AE28" s="3">
        <f t="shared" ca="1" si="7"/>
        <v>40645.365900000092</v>
      </c>
      <c r="AF28" s="3" t="str">
        <f>IF(ISNUMBER(AF63),$AA28*(1+AF63),"")</f>
        <v/>
      </c>
      <c r="AI28">
        <f t="shared" si="9"/>
        <v>3</v>
      </c>
      <c r="AJ28" s="7"/>
      <c r="AK28" s="7">
        <f t="shared" ca="1" si="10"/>
        <v>0.34398634187038435</v>
      </c>
      <c r="AL28" s="18">
        <f t="shared" ca="1" si="3"/>
        <v>9.2422978179748511E-2</v>
      </c>
      <c r="AM28" s="38"/>
      <c r="AN28" s="7" t="str">
        <f>IFERROR(INDEX('MS Stats list'!P:P, MATCH(B28,'MS Stats list'!B:B,0)),"")</f>
        <v/>
      </c>
    </row>
    <row r="29" spans="1:40">
      <c r="A29">
        <v>24</v>
      </c>
      <c r="B29" t="s">
        <v>149</v>
      </c>
      <c r="C29" t="s">
        <v>149</v>
      </c>
      <c r="D29" s="3">
        <v>3349.0680000000002</v>
      </c>
      <c r="E29" s="3">
        <v>3309.087</v>
      </c>
      <c r="F29" s="3">
        <v>2887.0390000000002</v>
      </c>
      <c r="G29" s="3">
        <v>2525.7570000000001</v>
      </c>
      <c r="H29" s="3">
        <v>2861.1559999999999</v>
      </c>
      <c r="I29" s="3">
        <v>1657.624</v>
      </c>
      <c r="J29" s="3">
        <v>2208.3850000000002</v>
      </c>
      <c r="K29" s="3">
        <v>2934.3510000000001</v>
      </c>
      <c r="L29" s="3">
        <v>2650.1610000000001</v>
      </c>
      <c r="M29" s="3">
        <v>2680.395</v>
      </c>
      <c r="N29" s="3">
        <v>3258.2829999999999</v>
      </c>
      <c r="O29" s="3">
        <v>2846.4470000000001</v>
      </c>
      <c r="P29" s="3">
        <v>3227.1480000000001</v>
      </c>
      <c r="Q29" s="3">
        <v>2696.2049999999999</v>
      </c>
      <c r="R29" s="3">
        <v>1248.145</v>
      </c>
      <c r="S29" s="3">
        <v>565.73500000000001</v>
      </c>
      <c r="T29" s="3">
        <v>195.59800000000001</v>
      </c>
      <c r="U29" s="3">
        <v>6.7960000000000003</v>
      </c>
      <c r="V29" s="3">
        <f t="shared" ca="1" si="4"/>
        <v>4.8543899506119823</v>
      </c>
      <c r="W29" s="16">
        <f t="shared" si="5"/>
        <v>2</v>
      </c>
      <c r="X29" t="str">
        <f t="shared" si="6"/>
        <v>Eurostat</v>
      </c>
      <c r="Y29" s="16"/>
      <c r="AA29" s="3">
        <f t="shared" ca="1" si="1"/>
        <v>6.7960000000000003</v>
      </c>
      <c r="AB29" s="3">
        <f t="shared" ca="1" si="2"/>
        <v>4.8543899506119823</v>
      </c>
      <c r="AC29" s="3">
        <f t="shared" ca="1" si="2"/>
        <v>4.8542854732589769</v>
      </c>
      <c r="AD29" s="3">
        <f t="shared" ca="1" si="2"/>
        <v>2.8980175163838124</v>
      </c>
      <c r="AE29" s="3">
        <f t="shared" ca="1" si="7"/>
        <v>-986.9136999999173</v>
      </c>
      <c r="AF29" s="3" t="str">
        <f t="shared" si="8"/>
        <v/>
      </c>
      <c r="AI29">
        <f t="shared" si="9"/>
        <v>2</v>
      </c>
      <c r="AJ29" s="7"/>
      <c r="AK29" s="7">
        <f t="shared" ca="1" si="10"/>
        <v>0.87184273214163455</v>
      </c>
      <c r="AL29" s="18">
        <f t="shared" ca="1" si="3"/>
        <v>0.28692272173174982</v>
      </c>
      <c r="AM29" s="38"/>
      <c r="AN29" s="7" t="str">
        <f>IFERROR(INDEX('MS Stats list'!P:P, MATCH(B29,'MS Stats list'!B:B,0)),"")</f>
        <v>DGEG - Balanço Energético Sintético 2022</v>
      </c>
    </row>
    <row r="30" spans="1:40">
      <c r="A30">
        <v>25</v>
      </c>
      <c r="B30" t="s">
        <v>186</v>
      </c>
      <c r="C30" t="s">
        <v>186</v>
      </c>
      <c r="D30" s="3">
        <v>8757.0589999999993</v>
      </c>
      <c r="E30" s="3">
        <v>9485.4490000000005</v>
      </c>
      <c r="F30" s="3">
        <v>10086.897999999999</v>
      </c>
      <c r="G30" s="3">
        <v>9565.5939999999991</v>
      </c>
      <c r="H30" s="3">
        <v>7528.5349999999999</v>
      </c>
      <c r="I30" s="3">
        <v>6957.107</v>
      </c>
      <c r="J30" s="3">
        <v>8100.8320000000003</v>
      </c>
      <c r="K30" s="3">
        <v>7560.4350000000004</v>
      </c>
      <c r="L30" s="3">
        <v>5711.8770000000004</v>
      </c>
      <c r="M30" s="3">
        <v>5722.5010000000002</v>
      </c>
      <c r="N30" s="3">
        <v>5892.2330000000002</v>
      </c>
      <c r="O30" s="3">
        <v>5286.75</v>
      </c>
      <c r="P30" s="3">
        <v>5399.2730000000001</v>
      </c>
      <c r="Q30" s="3">
        <v>5061.45</v>
      </c>
      <c r="R30" s="3">
        <v>4907.7439999999997</v>
      </c>
      <c r="S30" s="3">
        <v>3497.7220000000002</v>
      </c>
      <c r="T30" s="3">
        <v>4062.0419999999999</v>
      </c>
      <c r="U30" s="3">
        <v>3530.8049999999998</v>
      </c>
      <c r="V30" s="3">
        <f t="shared" ca="1" si="4"/>
        <v>2789.4199906861222</v>
      </c>
      <c r="W30" s="16">
        <f t="shared" si="5"/>
        <v>2</v>
      </c>
      <c r="X30" t="str">
        <f t="shared" si="6"/>
        <v>Eurostat</v>
      </c>
      <c r="Y30" s="16"/>
      <c r="AA30" s="3">
        <f t="shared" ca="1" si="1"/>
        <v>3530.8049999999998</v>
      </c>
      <c r="AB30" s="3">
        <f t="shared" ca="1" si="2"/>
        <v>2789.4199906861222</v>
      </c>
      <c r="AC30" s="3">
        <f t="shared" ca="1" si="2"/>
        <v>2664.6214431672661</v>
      </c>
      <c r="AD30" s="3">
        <f t="shared" ca="1" si="2"/>
        <v>3283.8723420433748</v>
      </c>
      <c r="AE30" s="3">
        <f t="shared" ca="1" si="7"/>
        <v>3039.8549999999814</v>
      </c>
      <c r="AF30" s="3" t="str">
        <f t="shared" si="8"/>
        <v/>
      </c>
      <c r="AI30">
        <f t="shared" si="9"/>
        <v>2</v>
      </c>
      <c r="AJ30" s="7"/>
      <c r="AK30" s="7">
        <f t="shared" ca="1" si="10"/>
        <v>0.69311011344081164</v>
      </c>
      <c r="AL30" s="18">
        <f t="shared" ca="1" si="3"/>
        <v>0.16283409821379799</v>
      </c>
      <c r="AM30" s="38"/>
      <c r="AN30" s="7" t="str">
        <f>IFERROR(INDEX('MS Stats list'!P:P, MATCH(B30,'MS Stats list'!B:B,0)),"")</f>
        <v/>
      </c>
    </row>
    <row r="31" spans="1:40">
      <c r="A31">
        <v>26</v>
      </c>
      <c r="B31" t="s">
        <v>187</v>
      </c>
      <c r="C31" t="s">
        <v>187</v>
      </c>
      <c r="D31" s="3">
        <v>2609.9589999999998</v>
      </c>
      <c r="E31" s="3">
        <v>2673.3989999999999</v>
      </c>
      <c r="F31" s="3">
        <v>2655.1089999999999</v>
      </c>
      <c r="G31" s="3">
        <v>2411.7710000000002</v>
      </c>
      <c r="H31" s="3">
        <v>1915.71</v>
      </c>
      <c r="I31" s="3">
        <v>2474.6179999999999</v>
      </c>
      <c r="J31" s="3">
        <v>2476.1779999999999</v>
      </c>
      <c r="K31" s="3">
        <v>2181.1869999999999</v>
      </c>
      <c r="L31" s="3">
        <v>2203.2429999999999</v>
      </c>
      <c r="M31" s="3">
        <v>2086.5630000000001</v>
      </c>
      <c r="N31" s="3">
        <v>2102.9839999999999</v>
      </c>
      <c r="O31" s="3">
        <v>2036.223</v>
      </c>
      <c r="P31" s="3">
        <v>2030.1659999999999</v>
      </c>
      <c r="Q31" s="3">
        <v>2182.3969999999999</v>
      </c>
      <c r="R31" s="3">
        <v>1970.3530000000001</v>
      </c>
      <c r="S31" s="3">
        <v>1553.713</v>
      </c>
      <c r="T31" s="3">
        <v>1705.96</v>
      </c>
      <c r="U31" s="3">
        <v>1496.7370000000001</v>
      </c>
      <c r="V31" s="3">
        <f t="shared" ca="1" si="4"/>
        <v>1470.9073322033898</v>
      </c>
      <c r="W31" s="16">
        <f t="shared" si="5"/>
        <v>2</v>
      </c>
      <c r="X31" t="str">
        <f t="shared" si="6"/>
        <v>Eurostat</v>
      </c>
      <c r="Y31" s="16"/>
      <c r="AA31" s="3">
        <f t="shared" ca="1" si="1"/>
        <v>1496.7370000000001</v>
      </c>
      <c r="AB31" s="3">
        <f t="shared" ca="1" si="2"/>
        <v>1470.9073322033898</v>
      </c>
      <c r="AC31" s="3">
        <f t="shared" ca="1" si="2"/>
        <v>1469.8126139432707</v>
      </c>
      <c r="AD31" s="3">
        <f t="shared" ca="1" si="2"/>
        <v>1419.4202699306225</v>
      </c>
      <c r="AE31" s="3">
        <f t="shared" ca="1" si="7"/>
        <v>1291.1180999999633</v>
      </c>
      <c r="AF31" s="3" t="str">
        <f t="shared" si="8"/>
        <v/>
      </c>
      <c r="AI31">
        <f t="shared" si="9"/>
        <v>2</v>
      </c>
      <c r="AJ31" s="7"/>
      <c r="AK31" s="7">
        <f t="shared" ca="1" si="10"/>
        <v>0.79851526316326604</v>
      </c>
      <c r="AL31" s="18">
        <f t="shared" ca="1" si="3"/>
        <v>0.13330118369229321</v>
      </c>
      <c r="AM31" s="38"/>
      <c r="AN31" s="7" t="str">
        <f>IFERROR(INDEX('MS Stats list'!P:P, MATCH(B31,'MS Stats list'!B:B,0)),"")</f>
        <v/>
      </c>
    </row>
    <row r="32" spans="1:40">
      <c r="A32">
        <v>27</v>
      </c>
      <c r="B32" t="s">
        <v>79</v>
      </c>
      <c r="C32" t="s">
        <v>79</v>
      </c>
      <c r="D32" s="3">
        <v>1512.876</v>
      </c>
      <c r="E32" s="3">
        <v>1543.1690000000001</v>
      </c>
      <c r="F32" s="3">
        <v>1577.5239999999999</v>
      </c>
      <c r="G32" s="3">
        <v>1530.961</v>
      </c>
      <c r="H32" s="3">
        <v>1424.194</v>
      </c>
      <c r="I32" s="3">
        <v>1448.402</v>
      </c>
      <c r="J32" s="3">
        <v>1460.4</v>
      </c>
      <c r="K32" s="3">
        <v>1388.6289999999999</v>
      </c>
      <c r="L32" s="3">
        <v>1346.9929999999999</v>
      </c>
      <c r="M32" s="3">
        <v>1042.1880000000001</v>
      </c>
      <c r="N32" s="3">
        <v>1061.057</v>
      </c>
      <c r="O32" s="3">
        <v>1141.193</v>
      </c>
      <c r="P32" s="3">
        <v>1133.4570000000001</v>
      </c>
      <c r="Q32" s="3">
        <v>1124.17</v>
      </c>
      <c r="R32" s="3">
        <v>1059.549</v>
      </c>
      <c r="S32" s="3">
        <v>1013.855</v>
      </c>
      <c r="T32" s="3">
        <v>928.28800000000001</v>
      </c>
      <c r="U32" s="3">
        <v>742.17600000000004</v>
      </c>
      <c r="V32" s="3">
        <f t="shared" ca="1" si="4"/>
        <v>637.92566444284341</v>
      </c>
      <c r="W32" s="16">
        <f t="shared" ca="1" si="5"/>
        <v>6</v>
      </c>
      <c r="X32" t="str">
        <f t="shared" ca="1" si="6"/>
        <v>Based on MS Stats</v>
      </c>
      <c r="Y32" s="16"/>
      <c r="AA32" s="3">
        <f t="shared" ca="1" si="1"/>
        <v>742.17600000000004</v>
      </c>
      <c r="AB32" s="3">
        <f t="shared" ca="1" si="2"/>
        <v>672.07027447989071</v>
      </c>
      <c r="AC32" s="3">
        <f t="shared" ca="1" si="2"/>
        <v>678.87035445425954</v>
      </c>
      <c r="AD32" s="3">
        <f t="shared" ca="1" si="2"/>
        <v>683.73856302610375</v>
      </c>
      <c r="AE32" s="3">
        <f t="shared" ca="1" si="7"/>
        <v>705.03289999999106</v>
      </c>
      <c r="AF32" s="3">
        <f t="shared" ca="1" si="8"/>
        <v>637.92566444284341</v>
      </c>
      <c r="AI32">
        <f t="shared" si="9"/>
        <v>3</v>
      </c>
      <c r="AJ32" s="7"/>
      <c r="AK32" s="7">
        <f t="shared" ca="1" si="10"/>
        <v>0.91817793255707736</v>
      </c>
      <c r="AL32" s="18">
        <f t="shared" ca="1" si="3"/>
        <v>7.3402943858987449E-2</v>
      </c>
      <c r="AM32" s="38"/>
      <c r="AN32" s="7" t="str">
        <f>IFERROR(INDEX('MS Stats list'!P:P, MATCH(B32,'MS Stats list'!B:B,0)),"")</f>
        <v>Statistical Office of Slovenia - Energy balance</v>
      </c>
    </row>
    <row r="33" spans="1:40">
      <c r="A33">
        <v>28</v>
      </c>
      <c r="B33" t="s">
        <v>188</v>
      </c>
      <c r="C33" t="s">
        <v>188</v>
      </c>
      <c r="D33" s="3">
        <v>4202.2240000000002</v>
      </c>
      <c r="E33" s="3">
        <v>4414.3360000000002</v>
      </c>
      <c r="F33" s="3">
        <v>3954.2950000000001</v>
      </c>
      <c r="G33" s="3">
        <v>3957.6219999999998</v>
      </c>
      <c r="H33" s="3">
        <v>3829.8649999999998</v>
      </c>
      <c r="I33" s="3">
        <v>3846.5430000000001</v>
      </c>
      <c r="J33" s="3">
        <v>3647.3429999999998</v>
      </c>
      <c r="K33" s="3">
        <v>3421.1640000000002</v>
      </c>
      <c r="L33" s="3">
        <v>3400.2420000000002</v>
      </c>
      <c r="M33" s="3">
        <v>3377.0819999999999</v>
      </c>
      <c r="N33" s="3">
        <v>3236.3229999999999</v>
      </c>
      <c r="O33" s="3">
        <v>3173.5340000000001</v>
      </c>
      <c r="P33" s="3">
        <v>3324.098</v>
      </c>
      <c r="Q33" s="3">
        <v>3283.5819999999999</v>
      </c>
      <c r="R33" s="3">
        <v>2680.7429999999999</v>
      </c>
      <c r="S33" s="3">
        <v>2261.498</v>
      </c>
      <c r="T33" s="3">
        <v>2771.51</v>
      </c>
      <c r="U33" s="3">
        <v>2361.4520000000002</v>
      </c>
      <c r="V33" s="3">
        <f t="shared" ca="1" si="4"/>
        <v>2346.9594837804666</v>
      </c>
      <c r="W33" s="16">
        <f t="shared" si="5"/>
        <v>2</v>
      </c>
      <c r="X33" t="str">
        <f t="shared" si="6"/>
        <v>Eurostat</v>
      </c>
      <c r="Y33" s="16"/>
      <c r="AA33" s="3">
        <f t="shared" ca="1" si="1"/>
        <v>2361.4520000000002</v>
      </c>
      <c r="AB33" s="3">
        <f t="shared" ca="1" si="2"/>
        <v>2346.9594837804666</v>
      </c>
      <c r="AC33" s="3">
        <f t="shared" ca="1" si="2"/>
        <v>2255.034450817067</v>
      </c>
      <c r="AD33" s="3">
        <f t="shared" ca="1" si="2"/>
        <v>2231.7577616010112</v>
      </c>
      <c r="AE33" s="3">
        <f t="shared" ca="1" si="7"/>
        <v>2145.7090999999782</v>
      </c>
      <c r="AF33" s="3" t="str">
        <f t="shared" si="8"/>
        <v/>
      </c>
      <c r="AI33">
        <f t="shared" si="9"/>
        <v>2</v>
      </c>
      <c r="AJ33" s="7"/>
      <c r="AK33" s="7">
        <f t="shared" ca="1" si="10"/>
        <v>0.47379253823457895</v>
      </c>
      <c r="AL33" s="18">
        <f t="shared" ca="1" si="3"/>
        <v>0.17027966737775543</v>
      </c>
      <c r="AM33" s="38"/>
      <c r="AN33" s="7" t="str">
        <f>IFERROR(INDEX('MS Stats list'!P:P, MATCH(B33,'MS Stats list'!B:B,0)),"")</f>
        <v/>
      </c>
    </row>
    <row r="34" spans="1:40">
      <c r="A34">
        <v>29</v>
      </c>
      <c r="B34" t="s">
        <v>163</v>
      </c>
      <c r="C34" t="s">
        <v>163</v>
      </c>
      <c r="D34" s="3">
        <v>37593.807999999997</v>
      </c>
      <c r="E34" s="3">
        <v>41001.461000000003</v>
      </c>
      <c r="F34" s="3">
        <v>39183.474999999999</v>
      </c>
      <c r="G34" s="3">
        <v>35837.690999999999</v>
      </c>
      <c r="H34" s="3">
        <v>29023.864000000001</v>
      </c>
      <c r="I34" s="3">
        <v>31735.080999999998</v>
      </c>
      <c r="J34" s="3">
        <v>30753.87</v>
      </c>
      <c r="K34" s="3">
        <v>39200.017</v>
      </c>
      <c r="L34" s="3">
        <v>36800.315999999999</v>
      </c>
      <c r="M34" s="3">
        <v>29459.213</v>
      </c>
      <c r="N34" s="3">
        <v>24577.147000000001</v>
      </c>
      <c r="O34" s="3">
        <v>12593.582</v>
      </c>
      <c r="P34" s="3">
        <v>10100.156999999999</v>
      </c>
      <c r="Q34" s="3">
        <v>8144.8339999999998</v>
      </c>
      <c r="R34" s="3">
        <v>5825.1710000000003</v>
      </c>
      <c r="S34" s="3">
        <v>0</v>
      </c>
      <c r="T34" s="3">
        <v>0</v>
      </c>
      <c r="U34" s="3">
        <v>0</v>
      </c>
      <c r="V34" s="3">
        <f t="shared" ca="1" si="4"/>
        <v>0</v>
      </c>
      <c r="W34" s="16">
        <f t="shared" si="5"/>
        <v>3</v>
      </c>
      <c r="X34" t="str">
        <f t="shared" si="6"/>
        <v>BP</v>
      </c>
      <c r="Y34" s="16"/>
      <c r="AA34" s="3">
        <f t="shared" ca="1" si="1"/>
        <v>0</v>
      </c>
      <c r="AB34" s="3">
        <f t="shared" ca="1" si="2"/>
        <v>0</v>
      </c>
      <c r="AC34" s="3">
        <f t="shared" ca="1" si="2"/>
        <v>0</v>
      </c>
      <c r="AD34" s="3">
        <f t="shared" ca="1" si="2"/>
        <v>0</v>
      </c>
      <c r="AE34" s="3">
        <f ca="1">FORECAST(AC$6,OFFSET($A34,0,OffsetLast-TrendDuration+1,1,TrendDuration),OFFSET($A$6,0,OffsetLast-TrendDuration+1,1,TrendDuration))</f>
        <v>-3840.4506999999285</v>
      </c>
      <c r="AF34" s="3" t="str">
        <f t="shared" si="8"/>
        <v/>
      </c>
      <c r="AI34">
        <f t="shared" si="9"/>
        <v>3</v>
      </c>
      <c r="AJ34" s="7"/>
      <c r="AK34" s="7">
        <f t="shared" ca="1" si="10"/>
        <v>0.79862221666473476</v>
      </c>
      <c r="AL34" s="18">
        <f t="shared" ca="1" si="3"/>
        <v>0.41275295643897392</v>
      </c>
      <c r="AM34" s="38"/>
      <c r="AN34" s="7" t="str">
        <f>IFERROR(INDEX('MS Stats list'!P:P, MATCH(B34,'MS Stats list'!B:B,0)),"")</f>
        <v>BEIS - Digest of UK Energy Statistics (DUKES)</v>
      </c>
    </row>
    <row r="35" spans="1:40">
      <c r="B35" s="40" t="s">
        <v>189</v>
      </c>
      <c r="C35" s="40" t="s">
        <v>189</v>
      </c>
      <c r="D35" s="41">
        <f>SUM(D7:D34)</f>
        <v>316618.38</v>
      </c>
      <c r="E35" s="41">
        <f t="shared" ref="E35:Q35" si="11">SUM(E7:E34)</f>
        <v>327885.28899999999</v>
      </c>
      <c r="F35" s="41">
        <f t="shared" si="11"/>
        <v>328176.73899999988</v>
      </c>
      <c r="G35" s="41">
        <f t="shared" si="11"/>
        <v>302512.35800000001</v>
      </c>
      <c r="H35" s="41">
        <f t="shared" si="11"/>
        <v>265249.69699999999</v>
      </c>
      <c r="I35" s="41">
        <f t="shared" si="11"/>
        <v>282857.522</v>
      </c>
      <c r="J35" s="41">
        <f t="shared" si="11"/>
        <v>286795.21000000002</v>
      </c>
      <c r="K35" s="41">
        <f t="shared" si="11"/>
        <v>292757.29399999994</v>
      </c>
      <c r="L35" s="41">
        <f t="shared" si="11"/>
        <v>286140.49699999997</v>
      </c>
      <c r="M35" s="41">
        <f t="shared" si="11"/>
        <v>266753.45799999998</v>
      </c>
      <c r="N35" s="41">
        <f t="shared" si="11"/>
        <v>262427.73499999999</v>
      </c>
      <c r="O35" s="41">
        <f t="shared" si="11"/>
        <v>242020.89399999997</v>
      </c>
      <c r="P35" s="41">
        <f t="shared" si="11"/>
        <v>233650.97699999996</v>
      </c>
      <c r="Q35" s="41">
        <f t="shared" si="11"/>
        <v>223064.946</v>
      </c>
      <c r="R35" s="41">
        <f t="shared" ref="R35:S35" si="12">SUM(R7:R34)</f>
        <v>181342.76</v>
      </c>
      <c r="S35" s="41">
        <f t="shared" si="12"/>
        <v>143226.41399999999</v>
      </c>
      <c r="T35" s="41">
        <f t="shared" ref="T35:U35" si="13">SUM(T7:T34)</f>
        <v>165855.91600000003</v>
      </c>
      <c r="U35" s="41">
        <f t="shared" si="13"/>
        <v>164734.774</v>
      </c>
      <c r="V35" s="41">
        <f ca="1">SUM(V7:V34)</f>
        <v>132065.39062404927</v>
      </c>
      <c r="AE35" s="3"/>
    </row>
    <row r="36" spans="1:40">
      <c r="B36" s="40" t="s">
        <v>190</v>
      </c>
      <c r="C36" s="40" t="s">
        <v>190</v>
      </c>
      <c r="D36" s="41">
        <f>SUM(D7:D33)</f>
        <v>279024.57199999999</v>
      </c>
      <c r="E36" s="41">
        <f t="shared" ref="E36:Q36" si="14">SUM(E7:E33)</f>
        <v>286883.82799999998</v>
      </c>
      <c r="F36" s="41">
        <f t="shared" si="14"/>
        <v>288993.26399999991</v>
      </c>
      <c r="G36" s="41">
        <f t="shared" si="14"/>
        <v>266674.66700000002</v>
      </c>
      <c r="H36" s="41">
        <f t="shared" si="14"/>
        <v>236225.83299999998</v>
      </c>
      <c r="I36" s="41">
        <f t="shared" si="14"/>
        <v>251122.44099999999</v>
      </c>
      <c r="J36" s="41">
        <f t="shared" si="14"/>
        <v>256041.34</v>
      </c>
      <c r="K36" s="41">
        <f t="shared" si="14"/>
        <v>253557.27699999994</v>
      </c>
      <c r="L36" s="41">
        <f t="shared" si="14"/>
        <v>249340.18099999995</v>
      </c>
      <c r="M36" s="41">
        <f t="shared" si="14"/>
        <v>237294.24499999997</v>
      </c>
      <c r="N36" s="41">
        <f t="shared" si="14"/>
        <v>237850.58799999999</v>
      </c>
      <c r="O36" s="41">
        <f t="shared" si="14"/>
        <v>229427.31199999998</v>
      </c>
      <c r="P36" s="41">
        <f t="shared" si="14"/>
        <v>223550.81999999995</v>
      </c>
      <c r="Q36" s="41">
        <f t="shared" si="14"/>
        <v>214920.11199999999</v>
      </c>
      <c r="R36" s="41">
        <f t="shared" ref="R36:S36" si="15">SUM(R7:R33)</f>
        <v>175517.58900000001</v>
      </c>
      <c r="S36" s="41">
        <f t="shared" si="15"/>
        <v>143226.41399999999</v>
      </c>
      <c r="T36" s="41">
        <f t="shared" ref="T36:U36" si="16">SUM(T7:T33)</f>
        <v>165855.91600000003</v>
      </c>
      <c r="U36" s="41">
        <f t="shared" si="16"/>
        <v>164734.774</v>
      </c>
      <c r="V36" s="41">
        <f ca="1">SUM(V7:V33)</f>
        <v>132065.39062404927</v>
      </c>
      <c r="AE36" s="3"/>
    </row>
    <row r="39" spans="1:40">
      <c r="A39" s="5"/>
    </row>
    <row r="40" spans="1:40">
      <c r="A40" s="5" t="s">
        <v>191</v>
      </c>
      <c r="D40" t="s">
        <v>173</v>
      </c>
      <c r="AA40" t="s">
        <v>207</v>
      </c>
      <c r="AB40" t="s">
        <v>197</v>
      </c>
      <c r="AC40" t="s">
        <v>198</v>
      </c>
      <c r="AD40" t="str">
        <f>TrendDuration&amp;"yr mean chg"</f>
        <v>5yr mean chg</v>
      </c>
      <c r="AE40" t="str">
        <f>AE5</f>
        <v>5yr lin trend</v>
      </c>
      <c r="AF40" t="str">
        <f>AF5</f>
        <v>Based on MS Stats</v>
      </c>
      <c r="AG40" s="147" t="s">
        <v>208</v>
      </c>
    </row>
    <row r="41" spans="1:40">
      <c r="A41">
        <f t="shared" ref="A41:M41" si="17">A6</f>
        <v>0</v>
      </c>
      <c r="B41" t="str">
        <f t="shared" si="17"/>
        <v>MS Code 1</v>
      </c>
      <c r="C41" t="str">
        <f t="shared" si="17"/>
        <v>MS Code 2</v>
      </c>
      <c r="D41" s="1">
        <f t="shared" si="17"/>
        <v>2005</v>
      </c>
      <c r="E41" s="1">
        <f t="shared" si="17"/>
        <v>2006</v>
      </c>
      <c r="F41" s="1">
        <f t="shared" si="17"/>
        <v>2007</v>
      </c>
      <c r="G41" s="1">
        <f t="shared" si="17"/>
        <v>2008</v>
      </c>
      <c r="H41" s="1">
        <f t="shared" si="17"/>
        <v>2009</v>
      </c>
      <c r="I41" s="1">
        <f t="shared" si="17"/>
        <v>2010</v>
      </c>
      <c r="J41" s="1">
        <f t="shared" si="17"/>
        <v>2011</v>
      </c>
      <c r="K41" s="1">
        <f t="shared" si="17"/>
        <v>2012</v>
      </c>
      <c r="L41" s="1">
        <f t="shared" si="17"/>
        <v>2013</v>
      </c>
      <c r="M41" s="1">
        <f t="shared" si="17"/>
        <v>2014</v>
      </c>
      <c r="N41" s="1">
        <f t="shared" ref="N41:U41" si="18">N6</f>
        <v>2015</v>
      </c>
      <c r="O41" s="1">
        <f t="shared" si="18"/>
        <v>2016</v>
      </c>
      <c r="P41" s="1">
        <f t="shared" si="18"/>
        <v>2017</v>
      </c>
      <c r="Q41" s="1">
        <f t="shared" si="18"/>
        <v>2018</v>
      </c>
      <c r="R41" s="1">
        <f t="shared" ref="R41" si="19">R6</f>
        <v>2019</v>
      </c>
      <c r="S41" s="1">
        <f t="shared" si="18"/>
        <v>2020</v>
      </c>
      <c r="T41" s="1">
        <f t="shared" si="18"/>
        <v>2021</v>
      </c>
      <c r="U41" s="1">
        <f t="shared" si="18"/>
        <v>2022</v>
      </c>
      <c r="V41" s="2">
        <f>YearProxy</f>
        <v>2023</v>
      </c>
      <c r="AA41" s="2">
        <f>YearProxy</f>
        <v>2023</v>
      </c>
      <c r="AB41" s="2">
        <f>YearProxy</f>
        <v>2023</v>
      </c>
      <c r="AC41" s="2">
        <f>YearProxy</f>
        <v>2023</v>
      </c>
      <c r="AD41" s="2">
        <f>YearProxy</f>
        <v>2023</v>
      </c>
      <c r="AE41" s="2">
        <f>AD41</f>
        <v>2023</v>
      </c>
      <c r="AF41" s="2">
        <f>AE41</f>
        <v>2023</v>
      </c>
      <c r="AG41" s="147"/>
    </row>
    <row r="42" spans="1:40">
      <c r="A42">
        <f t="shared" ref="A42:C69" si="20">A7</f>
        <v>2</v>
      </c>
      <c r="B42" t="str">
        <f t="shared" si="20"/>
        <v>AT</v>
      </c>
      <c r="C42" t="str">
        <f t="shared" si="20"/>
        <v>AT</v>
      </c>
      <c r="D42" s="8"/>
      <c r="E42" s="8">
        <f t="shared" ref="E42:R42" si="21">IFERROR(E7/D7-1,0)</f>
        <v>-1.3670736139206885E-2</v>
      </c>
      <c r="F42" s="8">
        <f t="shared" si="21"/>
        <v>-3.308969686359331E-2</v>
      </c>
      <c r="G42" s="8">
        <f t="shared" si="21"/>
        <v>-9.9771103889365609E-3</v>
      </c>
      <c r="H42" s="8">
        <f t="shared" si="21"/>
        <v>-0.25204857146300774</v>
      </c>
      <c r="I42" s="8">
        <f t="shared" si="21"/>
        <v>0.17976615312181776</v>
      </c>
      <c r="J42" s="8">
        <f t="shared" si="21"/>
        <v>2.6232835792531883E-2</v>
      </c>
      <c r="K42" s="8">
        <f t="shared" si="21"/>
        <v>-6.9082291940939511E-2</v>
      </c>
      <c r="L42" s="8">
        <f t="shared" si="21"/>
        <v>1.9525983152615556E-2</v>
      </c>
      <c r="M42" s="8">
        <f t="shared" si="21"/>
        <v>-8.1422155396539631E-2</v>
      </c>
      <c r="N42" s="8">
        <f t="shared" si="21"/>
        <v>6.3568481200572124E-2</v>
      </c>
      <c r="O42" s="8">
        <f t="shared" si="21"/>
        <v>-6.4459759067725386E-2</v>
      </c>
      <c r="P42" s="8">
        <f t="shared" si="21"/>
        <v>2.4369718468412183E-2</v>
      </c>
      <c r="Q42" s="8">
        <f t="shared" si="21"/>
        <v>-0.11620424684488795</v>
      </c>
      <c r="R42" s="8">
        <f t="shared" si="21"/>
        <v>5.3090560224946293E-2</v>
      </c>
      <c r="S42" s="8">
        <f t="shared" ref="S42:V71" si="22">IFERROR(S7/R7-1,0)</f>
        <v>-0.14318785313205173</v>
      </c>
      <c r="T42" s="8">
        <f t="shared" si="22"/>
        <v>2.7381833668222555E-2</v>
      </c>
      <c r="U42" s="8">
        <f t="shared" si="22"/>
        <v>-4.6841795472330805E-2</v>
      </c>
      <c r="V42" s="8">
        <f t="shared" ca="1" si="22"/>
        <v>1.0044077142461694E-2</v>
      </c>
      <c r="Y42" s="8"/>
      <c r="AA42" s="8">
        <v>0</v>
      </c>
      <c r="AB42" s="8">
        <v>-4.5424090689170159E-2</v>
      </c>
      <c r="AC42" s="8">
        <v>-6.6386582253507617E-2</v>
      </c>
      <c r="AD42" s="8">
        <f t="shared" ref="AD42:AD69" ca="1" si="23">AVERAGE(OFFSET($A42,0,OffsetLast-TrendDuration+1,1,TrendDuration))</f>
        <v>-4.5152300311220327E-2</v>
      </c>
      <c r="AE42" s="8">
        <f ca="1">AE7/AA7-1</f>
        <v>-4.3076944246038251E-2</v>
      </c>
      <c r="AF42" s="50">
        <v>1.0044077142461694E-2</v>
      </c>
      <c r="AG42" s="17">
        <f t="shared" ref="AG42:AG69" si="24">AC42-AB42</f>
        <v>-2.0962491564337458E-2</v>
      </c>
      <c r="AI42" s="18"/>
      <c r="AJ42" s="3"/>
      <c r="AK42" s="3"/>
      <c r="AL42" s="7"/>
    </row>
    <row r="43" spans="1:40">
      <c r="A43">
        <f t="shared" si="20"/>
        <v>3</v>
      </c>
      <c r="B43" t="str">
        <f t="shared" si="20"/>
        <v>BE</v>
      </c>
      <c r="C43" t="str">
        <f t="shared" si="20"/>
        <v>BE</v>
      </c>
      <c r="D43" s="8"/>
      <c r="E43" s="8">
        <f t="shared" ref="E43:R43" si="25">IFERROR(E8/D8-1,0)</f>
        <v>-4.4273383775301323E-2</v>
      </c>
      <c r="F43" s="8">
        <f t="shared" si="25"/>
        <v>-0.11430775507269519</v>
      </c>
      <c r="G43" s="8">
        <f t="shared" si="25"/>
        <v>2.894177640544493E-2</v>
      </c>
      <c r="H43" s="8">
        <f t="shared" si="25"/>
        <v>-0.31926179523626708</v>
      </c>
      <c r="I43" s="8">
        <f t="shared" si="25"/>
        <v>0.21832181425849795</v>
      </c>
      <c r="J43" s="8">
        <f t="shared" si="25"/>
        <v>-7.4016218778188314E-2</v>
      </c>
      <c r="K43" s="8">
        <f t="shared" si="25"/>
        <v>-8.3153533810920721E-2</v>
      </c>
      <c r="L43" s="8">
        <f t="shared" si="25"/>
        <v>0.10459398876810733</v>
      </c>
      <c r="M43" s="8">
        <f t="shared" si="25"/>
        <v>-3.8019537588583119E-2</v>
      </c>
      <c r="N43" s="8">
        <f t="shared" si="25"/>
        <v>-3.0509386878814881E-2</v>
      </c>
      <c r="O43" s="8">
        <f t="shared" si="25"/>
        <v>-7.9436519077790924E-2</v>
      </c>
      <c r="P43" s="8">
        <f t="shared" si="25"/>
        <v>-3.080407817708164E-2</v>
      </c>
      <c r="Q43" s="8">
        <f t="shared" si="25"/>
        <v>-1.4568167756119355E-3</v>
      </c>
      <c r="R43" s="8">
        <f t="shared" si="25"/>
        <v>-8.9978156679247911E-3</v>
      </c>
      <c r="S43" s="8">
        <f t="shared" si="22"/>
        <v>-0.24036138990940181</v>
      </c>
      <c r="T43" s="8">
        <f t="shared" si="22"/>
        <v>0.12119763572918929</v>
      </c>
      <c r="U43" s="8">
        <f t="shared" si="22"/>
        <v>5.878437697617156E-2</v>
      </c>
      <c r="V43" s="8">
        <f t="shared" ca="1" si="22"/>
        <v>-0.11167871222076209</v>
      </c>
      <c r="AA43" s="8">
        <v>0</v>
      </c>
      <c r="AB43" s="8">
        <v>-0.11167871222076217</v>
      </c>
      <c r="AC43" s="8">
        <v>-0.14927082646437251</v>
      </c>
      <c r="AD43" s="8">
        <f t="shared" ca="1" si="23"/>
        <v>-1.4166801929515537E-2</v>
      </c>
      <c r="AE43" s="8">
        <f t="shared" ref="AE43:AE69" ca="1" si="26">AE8/AA8-1</f>
        <v>-0.11777475085827027</v>
      </c>
      <c r="AF43" s="8"/>
      <c r="AG43" s="17">
        <f t="shared" si="24"/>
        <v>-3.7592114243610336E-2</v>
      </c>
      <c r="AI43" s="18"/>
      <c r="AJ43" s="3"/>
      <c r="AK43" s="3"/>
      <c r="AL43" s="7"/>
    </row>
    <row r="44" spans="1:40">
      <c r="A44">
        <f t="shared" si="20"/>
        <v>4</v>
      </c>
      <c r="B44" t="str">
        <f t="shared" si="20"/>
        <v>BG</v>
      </c>
      <c r="C44" t="str">
        <f t="shared" si="20"/>
        <v>BG</v>
      </c>
      <c r="D44" s="8"/>
      <c r="E44" s="8">
        <f t="shared" ref="E44:R44" si="27">IFERROR(E9/D9-1,0)</f>
        <v>9.3187482711796221E-3</v>
      </c>
      <c r="F44" s="8">
        <f t="shared" si="27"/>
        <v>0.12947198468831522</v>
      </c>
      <c r="G44" s="8">
        <f t="shared" si="27"/>
        <v>-5.8007047653982569E-2</v>
      </c>
      <c r="H44" s="8">
        <f t="shared" si="27"/>
        <v>-0.1430264159967426</v>
      </c>
      <c r="I44" s="8">
        <f t="shared" si="27"/>
        <v>8.1259851526342297E-2</v>
      </c>
      <c r="J44" s="8">
        <f t="shared" si="27"/>
        <v>0.16800897572305806</v>
      </c>
      <c r="K44" s="8">
        <f t="shared" si="27"/>
        <v>-0.14619406640352017</v>
      </c>
      <c r="L44" s="8">
        <f t="shared" si="27"/>
        <v>-0.14115437352555893</v>
      </c>
      <c r="M44" s="8">
        <f t="shared" si="27"/>
        <v>6.8896991208097669E-2</v>
      </c>
      <c r="N44" s="8">
        <f t="shared" si="27"/>
        <v>4.0367813873431135E-2</v>
      </c>
      <c r="O44" s="8">
        <f t="shared" si="27"/>
        <v>-0.13931600224945873</v>
      </c>
      <c r="P44" s="8">
        <f t="shared" si="27"/>
        <v>7.682877281999767E-2</v>
      </c>
      <c r="Q44" s="8">
        <f t="shared" si="27"/>
        <v>-0.10397037568686063</v>
      </c>
      <c r="R44" s="8">
        <f t="shared" si="27"/>
        <v>-7.5095712094492284E-2</v>
      </c>
      <c r="S44" s="8">
        <f t="shared" si="22"/>
        <v>-0.18209892360345548</v>
      </c>
      <c r="T44" s="8">
        <f t="shared" si="22"/>
        <v>0.26904146144156127</v>
      </c>
      <c r="U44" s="8">
        <f t="shared" si="22"/>
        <v>0.18886269442595061</v>
      </c>
      <c r="V44" s="8">
        <f t="shared" ca="1" si="22"/>
        <v>-0.38697165169716818</v>
      </c>
      <c r="AA44" s="8">
        <v>0</v>
      </c>
      <c r="AB44" s="8">
        <v>-0.41666202979963002</v>
      </c>
      <c r="AC44" s="8">
        <v>-0.38697165169716818</v>
      </c>
      <c r="AD44" s="8">
        <f t="shared" ca="1" si="23"/>
        <v>1.9347828896540697E-2</v>
      </c>
      <c r="AE44" s="8">
        <f t="shared" ca="1" si="26"/>
        <v>-7.8378771667155678E-2</v>
      </c>
      <c r="AF44" s="8"/>
      <c r="AG44" s="17">
        <f t="shared" si="24"/>
        <v>2.9690378102461834E-2</v>
      </c>
      <c r="AI44" s="18"/>
      <c r="AJ44" s="3"/>
      <c r="AK44" s="3"/>
      <c r="AL44" s="7"/>
    </row>
    <row r="45" spans="1:40">
      <c r="A45">
        <f t="shared" si="20"/>
        <v>5</v>
      </c>
      <c r="B45" t="str">
        <f t="shared" si="20"/>
        <v>CY</v>
      </c>
      <c r="C45" t="str">
        <f t="shared" si="20"/>
        <v>CY</v>
      </c>
      <c r="D45" s="8"/>
      <c r="E45" s="8">
        <f t="shared" ref="E45:R45" si="28">IFERROR(E10/D10-1,0)</f>
        <v>8.7998654369095375E-2</v>
      </c>
      <c r="F45" s="8">
        <f t="shared" si="28"/>
        <v>-0.14158721978871436</v>
      </c>
      <c r="G45" s="8">
        <f t="shared" si="28"/>
        <v>-0.15746660663364853</v>
      </c>
      <c r="H45" s="8">
        <f t="shared" si="28"/>
        <v>-0.48131390501977267</v>
      </c>
      <c r="I45" s="8">
        <f t="shared" si="28"/>
        <v>0.15248300020605821</v>
      </c>
      <c r="J45" s="8">
        <f t="shared" si="28"/>
        <v>-0.5553966267358007</v>
      </c>
      <c r="K45" s="8">
        <f t="shared" si="28"/>
        <v>-0.9833780160857909</v>
      </c>
      <c r="L45" s="8">
        <f t="shared" si="28"/>
        <v>0</v>
      </c>
      <c r="M45" s="8">
        <f t="shared" si="28"/>
        <v>16.887096774193548</v>
      </c>
      <c r="N45" s="8">
        <f t="shared" si="28"/>
        <v>0.65870153291253386</v>
      </c>
      <c r="O45" s="8">
        <f t="shared" si="28"/>
        <v>-1</v>
      </c>
      <c r="P45" s="8">
        <f t="shared" si="28"/>
        <v>0</v>
      </c>
      <c r="Q45" s="8">
        <f t="shared" si="28"/>
        <v>3.5684563758389265</v>
      </c>
      <c r="R45" s="8">
        <f t="shared" si="28"/>
        <v>0.26333186425738209</v>
      </c>
      <c r="S45" s="8">
        <f t="shared" si="22"/>
        <v>-0.18576661433804298</v>
      </c>
      <c r="T45" s="8">
        <f t="shared" si="22"/>
        <v>1.8638246215367036</v>
      </c>
      <c r="U45" s="8">
        <f t="shared" si="22"/>
        <v>-0.23717740930058595</v>
      </c>
      <c r="V45" s="8">
        <f t="shared" ca="1" si="22"/>
        <v>-8.9668911867944234E-2</v>
      </c>
      <c r="AA45" s="8">
        <v>0</v>
      </c>
      <c r="AB45" s="8">
        <v>-8.9668911867944207E-2</v>
      </c>
      <c r="AC45" s="8">
        <v>-8.9668959161359599E-2</v>
      </c>
      <c r="AD45" s="8">
        <f t="shared" ca="1" si="23"/>
        <v>1.0545337675988766</v>
      </c>
      <c r="AE45" s="8">
        <f t="shared" ca="1" si="26"/>
        <v>0.31279050763242733</v>
      </c>
      <c r="AF45" s="8"/>
      <c r="AG45" s="17">
        <f t="shared" si="24"/>
        <v>-4.7293415392224425E-8</v>
      </c>
      <c r="AI45" s="18"/>
      <c r="AJ45" s="3"/>
      <c r="AK45" s="3"/>
      <c r="AL45" s="7"/>
    </row>
    <row r="46" spans="1:40">
      <c r="A46">
        <f t="shared" si="20"/>
        <v>6</v>
      </c>
      <c r="B46" t="str">
        <f t="shared" si="20"/>
        <v>CZ</v>
      </c>
      <c r="C46" t="str">
        <f t="shared" si="20"/>
        <v>CZ</v>
      </c>
      <c r="D46" s="8"/>
      <c r="E46" s="8">
        <f t="shared" ref="E46:R46" si="29">IFERROR(E11/D11-1,0)</f>
        <v>3.1444051085288249E-2</v>
      </c>
      <c r="F46" s="8">
        <f t="shared" si="29"/>
        <v>1.7416272166667079E-2</v>
      </c>
      <c r="G46" s="8">
        <f t="shared" si="29"/>
        <v>-7.5861511728615882E-2</v>
      </c>
      <c r="H46" s="8">
        <f t="shared" si="29"/>
        <v>-0.10191276677448569</v>
      </c>
      <c r="I46" s="8">
        <f t="shared" si="29"/>
        <v>6.5561444495747079E-2</v>
      </c>
      <c r="J46" s="8">
        <f t="shared" si="29"/>
        <v>-2.882917198856294E-2</v>
      </c>
      <c r="K46" s="8">
        <f t="shared" si="29"/>
        <v>-5.8612316081290583E-2</v>
      </c>
      <c r="L46" s="8">
        <f t="shared" si="29"/>
        <v>-1.4931468954322291E-3</v>
      </c>
      <c r="M46" s="8">
        <f t="shared" si="29"/>
        <v>-7.6077694641283888E-2</v>
      </c>
      <c r="N46" s="8">
        <f t="shared" si="29"/>
        <v>2.4977273500347286E-2</v>
      </c>
      <c r="O46" s="8">
        <f t="shared" si="29"/>
        <v>1.0726386643652441E-2</v>
      </c>
      <c r="P46" s="8">
        <f t="shared" si="29"/>
        <v>-4.2977473029284341E-2</v>
      </c>
      <c r="Q46" s="8">
        <f t="shared" si="29"/>
        <v>-8.12876753449987E-4</v>
      </c>
      <c r="R46" s="8">
        <f t="shared" si="29"/>
        <v>-0.10503111956054334</v>
      </c>
      <c r="S46" s="8">
        <f t="shared" si="22"/>
        <v>-0.13161688580102837</v>
      </c>
      <c r="T46" s="8">
        <f t="shared" si="22"/>
        <v>4.7110850405722937E-2</v>
      </c>
      <c r="U46" s="8">
        <f t="shared" si="22"/>
        <v>4.3962976221078032E-2</v>
      </c>
      <c r="V46" s="8">
        <f t="shared" ca="1" si="22"/>
        <v>-0.15041250057773203</v>
      </c>
      <c r="AA46" s="8">
        <v>0</v>
      </c>
      <c r="AB46" s="8">
        <v>-0.15041250057773206</v>
      </c>
      <c r="AC46" s="8">
        <v>-0.15328992903978989</v>
      </c>
      <c r="AD46" s="8">
        <f t="shared" ca="1" si="23"/>
        <v>-2.9277411097644146E-2</v>
      </c>
      <c r="AE46" s="8">
        <f t="shared" ca="1" si="26"/>
        <v>-0.114270421856835</v>
      </c>
      <c r="AF46" s="8"/>
      <c r="AG46" s="17">
        <f t="shared" si="24"/>
        <v>-2.8774284620578239E-3</v>
      </c>
      <c r="AI46" s="18"/>
      <c r="AJ46" s="3"/>
      <c r="AK46" s="3"/>
      <c r="AL46" s="7"/>
    </row>
    <row r="47" spans="1:40">
      <c r="A47">
        <f t="shared" si="20"/>
        <v>7</v>
      </c>
      <c r="B47" t="str">
        <f t="shared" si="20"/>
        <v>DE</v>
      </c>
      <c r="C47" t="str">
        <f t="shared" si="20"/>
        <v>DE</v>
      </c>
      <c r="D47" s="8"/>
      <c r="E47" s="8">
        <f t="shared" ref="E47:R47" si="30">IFERROR(E12/D12-1,0)</f>
        <v>5.1983470334026061E-2</v>
      </c>
      <c r="F47" s="8">
        <f t="shared" si="30"/>
        <v>-5.338742445115674E-4</v>
      </c>
      <c r="G47" s="8">
        <f t="shared" si="30"/>
        <v>-7.010667243660007E-2</v>
      </c>
      <c r="H47" s="8">
        <f t="shared" si="30"/>
        <v>-0.10090946057747818</v>
      </c>
      <c r="I47" s="8">
        <f t="shared" si="30"/>
        <v>9.7454593533254918E-2</v>
      </c>
      <c r="J47" s="8">
        <f t="shared" si="30"/>
        <v>-1.4247860339411833E-2</v>
      </c>
      <c r="K47" s="8">
        <f t="shared" si="30"/>
        <v>2.5450970185433519E-2</v>
      </c>
      <c r="L47" s="8">
        <f t="shared" si="30"/>
        <v>2.0287907436759234E-2</v>
      </c>
      <c r="M47" s="8">
        <f t="shared" si="30"/>
        <v>-2.3820770034694405E-2</v>
      </c>
      <c r="N47" s="8">
        <f t="shared" si="30"/>
        <v>-2.5391028488125356E-3</v>
      </c>
      <c r="O47" s="8">
        <f t="shared" si="30"/>
        <v>-2.9017687446297735E-2</v>
      </c>
      <c r="P47" s="8">
        <f t="shared" si="30"/>
        <v>-7.6116923458532382E-2</v>
      </c>
      <c r="Q47" s="8">
        <f t="shared" si="30"/>
        <v>-2.2005372234797371E-2</v>
      </c>
      <c r="R47" s="8">
        <f t="shared" si="30"/>
        <v>-0.19147218836983348</v>
      </c>
      <c r="S47" s="8">
        <f t="shared" si="22"/>
        <v>-0.21033778767135314</v>
      </c>
      <c r="T47" s="8">
        <f t="shared" si="22"/>
        <v>0.20918784873019636</v>
      </c>
      <c r="U47" s="8">
        <f t="shared" si="22"/>
        <v>2.9891665736762052E-2</v>
      </c>
      <c r="V47" s="8">
        <f t="shared" ca="1" si="22"/>
        <v>-0.20952380952380945</v>
      </c>
      <c r="AA47" s="8">
        <v>0</v>
      </c>
      <c r="AB47" s="8">
        <v>-0.22484923158942496</v>
      </c>
      <c r="AC47" s="8">
        <v>-0.20963914678827883</v>
      </c>
      <c r="AD47" s="8">
        <f t="shared" ca="1" si="23"/>
        <v>-3.6947166761805116E-2</v>
      </c>
      <c r="AE47" s="8">
        <f t="shared" ca="1" si="26"/>
        <v>-0.15868271832000336</v>
      </c>
      <c r="AF47" s="8">
        <v>-0.20952380952380945</v>
      </c>
      <c r="AG47" s="17">
        <f t="shared" si="24"/>
        <v>1.5210084801146134E-2</v>
      </c>
      <c r="AI47" s="18"/>
      <c r="AJ47" s="3"/>
      <c r="AK47" s="3"/>
      <c r="AL47" s="7"/>
    </row>
    <row r="48" spans="1:40">
      <c r="A48">
        <f t="shared" si="20"/>
        <v>8</v>
      </c>
      <c r="B48" t="str">
        <f t="shared" si="20"/>
        <v>DK</v>
      </c>
      <c r="C48" t="str">
        <f t="shared" si="20"/>
        <v>DK</v>
      </c>
      <c r="D48" s="8"/>
      <c r="E48" s="8">
        <f t="shared" ref="E48:R48" si="31">IFERROR(E13/D13-1,0)</f>
        <v>0.47474251925888633</v>
      </c>
      <c r="F48" s="8">
        <f t="shared" si="31"/>
        <v>-0.15068937349301681</v>
      </c>
      <c r="G48" s="8">
        <f t="shared" si="31"/>
        <v>-0.13883404605135885</v>
      </c>
      <c r="H48" s="8">
        <f t="shared" si="31"/>
        <v>-5.9762373419969261E-4</v>
      </c>
      <c r="I48" s="8">
        <f t="shared" si="31"/>
        <v>-4.8590335736165002E-2</v>
      </c>
      <c r="J48" s="8">
        <f t="shared" si="31"/>
        <v>-0.15082039863573626</v>
      </c>
      <c r="K48" s="8">
        <f t="shared" si="31"/>
        <v>-0.23704341508281868</v>
      </c>
      <c r="L48" s="8">
        <f t="shared" si="31"/>
        <v>0.2860002009916669</v>
      </c>
      <c r="M48" s="8">
        <f t="shared" si="31"/>
        <v>-0.20162783259730044</v>
      </c>
      <c r="N48" s="8">
        <f t="shared" si="31"/>
        <v>-0.28260191737676965</v>
      </c>
      <c r="O48" s="8">
        <f t="shared" si="31"/>
        <v>0.10294831238137148</v>
      </c>
      <c r="P48" s="8">
        <f t="shared" si="31"/>
        <v>-0.23390516836311726</v>
      </c>
      <c r="Q48" s="8">
        <f t="shared" si="31"/>
        <v>3.6872813502907498E-2</v>
      </c>
      <c r="R48" s="8">
        <f t="shared" si="31"/>
        <v>-0.39156082533008307</v>
      </c>
      <c r="S48" s="8">
        <f t="shared" si="22"/>
        <v>-0.15399731248826021</v>
      </c>
      <c r="T48" s="8">
        <f t="shared" si="22"/>
        <v>0.36635094679363767</v>
      </c>
      <c r="U48" s="8">
        <f t="shared" si="22"/>
        <v>-3.9759217940441904E-2</v>
      </c>
      <c r="V48" s="8">
        <f t="shared" ca="1" si="22"/>
        <v>-0.33498927138725632</v>
      </c>
      <c r="AA48" s="8">
        <v>0</v>
      </c>
      <c r="AB48" s="8">
        <v>-0.33823638805257239</v>
      </c>
      <c r="AC48" s="8">
        <v>-0.33570411073609535</v>
      </c>
      <c r="AD48" s="8">
        <f t="shared" ca="1" si="23"/>
        <v>-3.6418719092448003E-2</v>
      </c>
      <c r="AE48" s="8">
        <f t="shared" ca="1" si="26"/>
        <v>-0.2092353596420411</v>
      </c>
      <c r="AF48" s="8">
        <v>-0.33498927138725632</v>
      </c>
      <c r="AG48" s="17">
        <f t="shared" si="24"/>
        <v>2.5322773164770385E-3</v>
      </c>
      <c r="AI48" s="18"/>
      <c r="AJ48" s="3"/>
      <c r="AK48" s="3"/>
      <c r="AL48" s="7"/>
    </row>
    <row r="49" spans="1:38">
      <c r="A49">
        <f t="shared" si="20"/>
        <v>9</v>
      </c>
      <c r="B49" t="str">
        <f t="shared" si="20"/>
        <v>EE</v>
      </c>
      <c r="C49" t="str">
        <f t="shared" si="20"/>
        <v>EE</v>
      </c>
      <c r="D49" s="8"/>
      <c r="E49" s="8">
        <f t="shared" ref="E49:R49" si="32">IFERROR(E14/D14-1,0)</f>
        <v>-2.1042204355653737E-2</v>
      </c>
      <c r="F49" s="8">
        <f t="shared" si="32"/>
        <v>0.29814341537935585</v>
      </c>
      <c r="G49" s="8">
        <f t="shared" si="32"/>
        <v>-0.20102879545294972</v>
      </c>
      <c r="H49" s="8">
        <f t="shared" si="32"/>
        <v>-0.2590101660691343</v>
      </c>
      <c r="I49" s="8">
        <f t="shared" si="32"/>
        <v>0.62246716796423884</v>
      </c>
      <c r="J49" s="8">
        <f t="shared" si="32"/>
        <v>-5.9687849682004135E-3</v>
      </c>
      <c r="K49" s="8">
        <f t="shared" si="32"/>
        <v>-0.15898164641255896</v>
      </c>
      <c r="L49" s="8">
        <f t="shared" si="32"/>
        <v>0.19098696820572458</v>
      </c>
      <c r="M49" s="8">
        <f t="shared" si="32"/>
        <v>-4.0680995733245795E-2</v>
      </c>
      <c r="N49" s="8">
        <f t="shared" si="32"/>
        <v>-0.19618215207910594</v>
      </c>
      <c r="O49" s="8">
        <f t="shared" si="32"/>
        <v>0.32488878802909382</v>
      </c>
      <c r="P49" s="8">
        <f t="shared" si="32"/>
        <v>2.0193574075775711E-2</v>
      </c>
      <c r="Q49" s="8">
        <f t="shared" si="32"/>
        <v>-6.3222864986989813E-2</v>
      </c>
      <c r="R49" s="8">
        <f t="shared" si="32"/>
        <v>-0.25679070112582369</v>
      </c>
      <c r="S49" s="8">
        <f t="shared" si="22"/>
        <v>-0.19356624586110571</v>
      </c>
      <c r="T49" s="8">
        <f t="shared" si="22"/>
        <v>9.3319995343769335E-2</v>
      </c>
      <c r="U49" s="8">
        <f t="shared" si="22"/>
        <v>8.7505916044463117E-2</v>
      </c>
      <c r="V49" s="8">
        <f t="shared" ca="1" si="22"/>
        <v>-0.19659222685608391</v>
      </c>
      <c r="AA49" s="8">
        <v>0</v>
      </c>
      <c r="AB49" s="8">
        <v>-1</v>
      </c>
      <c r="AC49" s="8">
        <v>-0.19659222685608391</v>
      </c>
      <c r="AD49" s="8">
        <f t="shared" ca="1" si="23"/>
        <v>-6.6550780117137359E-2</v>
      </c>
      <c r="AE49" s="8">
        <f t="shared" ca="1" si="26"/>
        <v>-0.23762301430937216</v>
      </c>
      <c r="AF49" s="8"/>
      <c r="AG49" s="17">
        <f t="shared" si="24"/>
        <v>0.80340777314391609</v>
      </c>
      <c r="AI49" s="18"/>
      <c r="AJ49" s="3"/>
      <c r="AK49" s="3"/>
      <c r="AL49" s="7"/>
    </row>
    <row r="50" spans="1:38">
      <c r="A50">
        <f t="shared" si="20"/>
        <v>11</v>
      </c>
      <c r="B50" t="str">
        <f t="shared" si="20"/>
        <v>ES</v>
      </c>
      <c r="C50" t="str">
        <f t="shared" si="20"/>
        <v>ES</v>
      </c>
      <c r="D50" s="8"/>
      <c r="E50" s="8">
        <f t="shared" ref="E50:R50" si="33">IFERROR(E15/D15-1,0)</f>
        <v>-0.1298940439610381</v>
      </c>
      <c r="F50" s="8">
        <f t="shared" si="33"/>
        <v>0.11927960660186043</v>
      </c>
      <c r="G50" s="8">
        <f t="shared" si="33"/>
        <v>-0.32703776007682517</v>
      </c>
      <c r="H50" s="8">
        <f t="shared" si="33"/>
        <v>-0.28120538084469804</v>
      </c>
      <c r="I50" s="8">
        <f t="shared" si="33"/>
        <v>-0.24667198745854713</v>
      </c>
      <c r="J50" s="8">
        <f t="shared" si="33"/>
        <v>0.74646134567544653</v>
      </c>
      <c r="K50" s="8">
        <f t="shared" si="33"/>
        <v>0.22039759401774295</v>
      </c>
      <c r="L50" s="8">
        <f t="shared" si="33"/>
        <v>-0.26232904301591953</v>
      </c>
      <c r="M50" s="8">
        <f t="shared" si="33"/>
        <v>1.0522089714586125E-2</v>
      </c>
      <c r="N50" s="8">
        <f t="shared" si="33"/>
        <v>0.17418608631608423</v>
      </c>
      <c r="O50" s="8">
        <f t="shared" si="33"/>
        <v>-0.20520317898674223</v>
      </c>
      <c r="P50" s="8">
        <f t="shared" si="33"/>
        <v>0.19203851913521475</v>
      </c>
      <c r="Q50" s="8">
        <f t="shared" si="33"/>
        <v>-0.10851460855167394</v>
      </c>
      <c r="R50" s="8">
        <f t="shared" si="33"/>
        <v>-0.56099417569831478</v>
      </c>
      <c r="S50" s="8">
        <f t="shared" si="22"/>
        <v>-0.38819909751661197</v>
      </c>
      <c r="T50" s="8">
        <f t="shared" si="22"/>
        <v>-5.5404035355771653E-3</v>
      </c>
      <c r="U50" s="8">
        <f t="shared" si="22"/>
        <v>0.16036591813051748</v>
      </c>
      <c r="V50" s="8">
        <f t="shared" ca="1" si="22"/>
        <v>-0.22300008984630537</v>
      </c>
      <c r="AA50" s="8">
        <v>0</v>
      </c>
      <c r="AB50" s="8">
        <v>-0.24167237834132968</v>
      </c>
      <c r="AC50" s="8">
        <v>-0.24167236093770417</v>
      </c>
      <c r="AD50" s="8">
        <f t="shared" ca="1" si="23"/>
        <v>-0.18057647343433211</v>
      </c>
      <c r="AE50" s="8">
        <f t="shared" ca="1" si="26"/>
        <v>-1.0280462074978483</v>
      </c>
      <c r="AF50" s="8">
        <v>-0.22300008984630537</v>
      </c>
      <c r="AG50" s="17">
        <f t="shared" si="24"/>
        <v>1.7403625512946164E-8</v>
      </c>
      <c r="AI50" s="18"/>
      <c r="AJ50" s="3"/>
      <c r="AK50" s="3"/>
      <c r="AL50" s="7"/>
    </row>
    <row r="51" spans="1:38">
      <c r="A51">
        <f t="shared" si="20"/>
        <v>12</v>
      </c>
      <c r="B51" t="str">
        <f t="shared" si="20"/>
        <v>FI</v>
      </c>
      <c r="C51" t="str">
        <f t="shared" si="20"/>
        <v>FI</v>
      </c>
      <c r="D51" s="8"/>
      <c r="E51" s="8">
        <f t="shared" ref="E51:R51" si="34">IFERROR(E16/D16-1,0)</f>
        <v>0.4920554462376201</v>
      </c>
      <c r="F51" s="8">
        <f t="shared" si="34"/>
        <v>-1.726046083266064E-2</v>
      </c>
      <c r="G51" s="8">
        <f t="shared" si="34"/>
        <v>-0.2533918912130152</v>
      </c>
      <c r="H51" s="8">
        <f t="shared" si="34"/>
        <v>-1.4531905936016165E-2</v>
      </c>
      <c r="I51" s="8">
        <f t="shared" si="34"/>
        <v>0.2972318322131422</v>
      </c>
      <c r="J51" s="8">
        <f t="shared" si="34"/>
        <v>-0.13072729995652577</v>
      </c>
      <c r="K51" s="8">
        <f t="shared" si="34"/>
        <v>-0.23848547537390419</v>
      </c>
      <c r="L51" s="8">
        <f t="shared" si="34"/>
        <v>0.12858426855727823</v>
      </c>
      <c r="M51" s="8">
        <f t="shared" si="34"/>
        <v>-0.12470453877103316</v>
      </c>
      <c r="N51" s="8">
        <f t="shared" si="34"/>
        <v>-8.3784816211670665E-2</v>
      </c>
      <c r="O51" s="8">
        <f t="shared" si="34"/>
        <v>4.4049053193379262E-2</v>
      </c>
      <c r="P51" s="8">
        <f t="shared" si="34"/>
        <v>-4.2426761281012637E-2</v>
      </c>
      <c r="Q51" s="8">
        <f t="shared" si="34"/>
        <v>2.27477514654435E-2</v>
      </c>
      <c r="R51" s="8">
        <f t="shared" si="34"/>
        <v>-0.17363134638712863</v>
      </c>
      <c r="S51" s="8">
        <f t="shared" si="22"/>
        <v>-0.17597081906238998</v>
      </c>
      <c r="T51" s="8">
        <f t="shared" si="22"/>
        <v>4.3692269512865423E-2</v>
      </c>
      <c r="U51" s="8">
        <f t="shared" si="22"/>
        <v>1.1478434062539344E-2</v>
      </c>
      <c r="V51" s="8">
        <f t="shared" ca="1" si="22"/>
        <v>-0.21133151977659548</v>
      </c>
      <c r="AA51" s="8">
        <v>0</v>
      </c>
      <c r="AB51" s="8">
        <v>-0.17721518987341772</v>
      </c>
      <c r="AC51" s="8">
        <v>-0.26108160970573968</v>
      </c>
      <c r="AD51" s="8">
        <f t="shared" ca="1" si="23"/>
        <v>-5.4336742081734071E-2</v>
      </c>
      <c r="AE51" s="8">
        <f t="shared" ca="1" si="26"/>
        <v>-0.18761150157045392</v>
      </c>
      <c r="AF51" s="8">
        <v>-0.21133151977659548</v>
      </c>
      <c r="AG51" s="17">
        <f t="shared" si="24"/>
        <v>-8.3866419832321959E-2</v>
      </c>
      <c r="AI51" s="18"/>
      <c r="AJ51" s="3"/>
      <c r="AK51" s="3"/>
      <c r="AL51" s="7"/>
    </row>
    <row r="52" spans="1:38">
      <c r="A52">
        <f t="shared" si="20"/>
        <v>13</v>
      </c>
      <c r="B52" t="str">
        <f t="shared" si="20"/>
        <v>FR</v>
      </c>
      <c r="C52" t="str">
        <f t="shared" si="20"/>
        <v>FR</v>
      </c>
      <c r="D52" s="8"/>
      <c r="E52" s="8">
        <f t="shared" ref="E52:R52" si="35">IFERROR(E17/D17-1,0)</f>
        <v>-7.8540475234552543E-2</v>
      </c>
      <c r="F52" s="8">
        <f t="shared" si="35"/>
        <v>3.4743734710749763E-2</v>
      </c>
      <c r="G52" s="8">
        <f t="shared" si="35"/>
        <v>-5.3734414323510005E-2</v>
      </c>
      <c r="H52" s="8">
        <f t="shared" si="35"/>
        <v>-0.12761806973429046</v>
      </c>
      <c r="I52" s="8">
        <f t="shared" si="35"/>
        <v>7.6415214067796278E-2</v>
      </c>
      <c r="J52" s="8">
        <f t="shared" si="35"/>
        <v>-7.7333440298580802E-2</v>
      </c>
      <c r="K52" s="8">
        <f t="shared" si="35"/>
        <v>0.11636714503785694</v>
      </c>
      <c r="L52" s="8">
        <f t="shared" si="35"/>
        <v>5.7217878774423969E-2</v>
      </c>
      <c r="M52" s="8">
        <f t="shared" si="35"/>
        <v>-0.26789931539008738</v>
      </c>
      <c r="N52" s="8">
        <f t="shared" si="35"/>
        <v>-5.0291346179553664E-2</v>
      </c>
      <c r="O52" s="8">
        <f t="shared" si="35"/>
        <v>-2.5527799928956041E-2</v>
      </c>
      <c r="P52" s="8">
        <f t="shared" si="35"/>
        <v>9.4639517357751002E-2</v>
      </c>
      <c r="Q52" s="8">
        <f t="shared" si="35"/>
        <v>-8.5744886623157601E-2</v>
      </c>
      <c r="R52" s="8">
        <f t="shared" si="35"/>
        <v>-0.19765103889887226</v>
      </c>
      <c r="S52" s="8">
        <f t="shared" si="22"/>
        <v>-0.28386360958010015</v>
      </c>
      <c r="T52" s="8">
        <f t="shared" si="22"/>
        <v>0.61888664728337206</v>
      </c>
      <c r="U52" s="8">
        <f t="shared" si="22"/>
        <v>-0.11996108946088602</v>
      </c>
      <c r="V52" s="8">
        <f t="shared" ca="1" si="22"/>
        <v>-0.23894891162973519</v>
      </c>
      <c r="AA52" s="8">
        <v>0</v>
      </c>
      <c r="AB52" s="8">
        <v>-0.20981960143634526</v>
      </c>
      <c r="AC52" s="8">
        <v>-0.23341430495856702</v>
      </c>
      <c r="AD52" s="8">
        <f t="shared" ca="1" si="23"/>
        <v>-1.3666795455928794E-2</v>
      </c>
      <c r="AE52" s="8">
        <f t="shared" ca="1" si="26"/>
        <v>-7.8107556015118318E-2</v>
      </c>
      <c r="AF52" s="8">
        <v>-0.23894891162973519</v>
      </c>
      <c r="AG52" s="17">
        <f t="shared" si="24"/>
        <v>-2.359470352222176E-2</v>
      </c>
      <c r="AI52" s="18"/>
      <c r="AJ52" s="3"/>
      <c r="AK52" s="3"/>
      <c r="AL52" s="7"/>
    </row>
    <row r="53" spans="1:38">
      <c r="A53">
        <f t="shared" si="20"/>
        <v>10</v>
      </c>
      <c r="B53" t="str">
        <f t="shared" si="20"/>
        <v>EL</v>
      </c>
      <c r="C53" t="str">
        <f t="shared" si="20"/>
        <v>GR</v>
      </c>
      <c r="D53" s="8"/>
      <c r="E53" s="8">
        <f t="shared" ref="E53:R53" si="36">IFERROR(E18/D18-1,0)</f>
        <v>-5.8653415676178433E-2</v>
      </c>
      <c r="F53" s="8">
        <f t="shared" si="36"/>
        <v>4.8484027209360292E-2</v>
      </c>
      <c r="G53" s="8">
        <f t="shared" si="36"/>
        <v>-5.8259585685267901E-2</v>
      </c>
      <c r="H53" s="8">
        <f t="shared" si="36"/>
        <v>1.2504195605276935E-2</v>
      </c>
      <c r="I53" s="8">
        <f t="shared" si="36"/>
        <v>-6.6730783405182681E-2</v>
      </c>
      <c r="J53" s="8">
        <f t="shared" si="36"/>
        <v>3.0302556278218873E-3</v>
      </c>
      <c r="K53" s="8">
        <f t="shared" si="36"/>
        <v>3.1442424488326237E-2</v>
      </c>
      <c r="L53" s="8">
        <f t="shared" si="36"/>
        <v>-0.14183901789364806</v>
      </c>
      <c r="M53" s="8">
        <f t="shared" si="36"/>
        <v>-4.2102969716103944E-2</v>
      </c>
      <c r="N53" s="8">
        <f t="shared" si="36"/>
        <v>-0.16161142309733556</v>
      </c>
      <c r="O53" s="8">
        <f t="shared" si="36"/>
        <v>-0.22062209906081887</v>
      </c>
      <c r="P53" s="8">
        <f t="shared" si="36"/>
        <v>0.10233496678326315</v>
      </c>
      <c r="Q53" s="8">
        <f t="shared" si="36"/>
        <v>-5.2436192487078537E-2</v>
      </c>
      <c r="R53" s="8">
        <f t="shared" si="36"/>
        <v>-0.29972837833959132</v>
      </c>
      <c r="S53" s="8">
        <f t="shared" si="22"/>
        <v>-0.42713717519667793</v>
      </c>
      <c r="T53" s="8">
        <f t="shared" si="22"/>
        <v>-6.5539728661000995E-2</v>
      </c>
      <c r="U53" s="8">
        <f t="shared" si="22"/>
        <v>-8.6767251809258372E-2</v>
      </c>
      <c r="V53" s="8">
        <f t="shared" ca="1" si="22"/>
        <v>-0.27844659805431515</v>
      </c>
      <c r="AA53" s="8">
        <v>0</v>
      </c>
      <c r="AB53" s="8">
        <v>-0.27844659805431504</v>
      </c>
      <c r="AC53" s="8">
        <v>-0.28282491880004562</v>
      </c>
      <c r="AD53" s="8">
        <f t="shared" ca="1" si="23"/>
        <v>-0.18632174529872142</v>
      </c>
      <c r="AE53" s="8">
        <f t="shared" ca="1" si="26"/>
        <v>-0.79110984530903616</v>
      </c>
      <c r="AF53" s="8"/>
      <c r="AG53" s="17">
        <f t="shared" si="24"/>
        <v>-4.3783207457305795E-3</v>
      </c>
      <c r="AI53" s="18"/>
      <c r="AJ53" s="3"/>
      <c r="AK53" s="3"/>
      <c r="AL53" s="7"/>
    </row>
    <row r="54" spans="1:38" ht="14.5" customHeight="1">
      <c r="A54">
        <f t="shared" si="20"/>
        <v>14</v>
      </c>
      <c r="B54" t="str">
        <f t="shared" si="20"/>
        <v>HR</v>
      </c>
      <c r="C54" t="str">
        <f t="shared" si="20"/>
        <v>HR</v>
      </c>
      <c r="D54" s="8"/>
      <c r="E54" s="8">
        <f t="shared" ref="E54:R54" si="37">IFERROR(E19/D19-1,0)</f>
        <v>-7.1623341476616087E-2</v>
      </c>
      <c r="F54" s="8">
        <f t="shared" si="37"/>
        <v>8.5938398654962223E-2</v>
      </c>
      <c r="G54" s="8">
        <f t="shared" si="37"/>
        <v>2.8981322406147703E-2</v>
      </c>
      <c r="H54" s="8">
        <f t="shared" si="37"/>
        <v>-0.28565969250120915</v>
      </c>
      <c r="I54" s="8">
        <f t="shared" si="37"/>
        <v>0.34720511362739059</v>
      </c>
      <c r="J54" s="8">
        <f t="shared" si="37"/>
        <v>2.9883464160796791E-2</v>
      </c>
      <c r="K54" s="8">
        <f t="shared" si="37"/>
        <v>-0.10143061414678922</v>
      </c>
      <c r="L54" s="8">
        <f t="shared" si="37"/>
        <v>6.841684413867366E-2</v>
      </c>
      <c r="M54" s="8">
        <f t="shared" si="37"/>
        <v>-4.1510809705319174E-2</v>
      </c>
      <c r="N54" s="8">
        <f t="shared" si="37"/>
        <v>-6.3999604177167879E-2</v>
      </c>
      <c r="O54" s="8">
        <f t="shared" si="37"/>
        <v>7.5639039120394047E-2</v>
      </c>
      <c r="P54" s="8">
        <f t="shared" si="37"/>
        <v>-0.39747462570125824</v>
      </c>
      <c r="Q54" s="8">
        <f t="shared" si="37"/>
        <v>-6.6218920055564623E-2</v>
      </c>
      <c r="R54" s="8">
        <f t="shared" si="37"/>
        <v>0.14214627888250453</v>
      </c>
      <c r="S54" s="8">
        <f t="shared" si="22"/>
        <v>-0.13679674785090012</v>
      </c>
      <c r="T54" s="8">
        <f t="shared" si="22"/>
        <v>0.14990406737709416</v>
      </c>
      <c r="U54" s="8">
        <f t="shared" si="22"/>
        <v>-2.1300877604825019E-2</v>
      </c>
      <c r="V54" s="8">
        <f t="shared" ca="1" si="22"/>
        <v>-0.17191977077363885</v>
      </c>
      <c r="AA54" s="8">
        <v>0</v>
      </c>
      <c r="AB54" s="8">
        <v>-0.17191977077363896</v>
      </c>
      <c r="AC54" s="8">
        <v>-0.17360253783550697</v>
      </c>
      <c r="AD54" s="8">
        <f t="shared" ca="1" si="23"/>
        <v>1.3546760149661784E-2</v>
      </c>
      <c r="AE54" s="8">
        <f t="shared" ca="1" si="26"/>
        <v>2.5149573911159351E-2</v>
      </c>
      <c r="AF54" s="8"/>
      <c r="AG54" s="17">
        <f t="shared" si="24"/>
        <v>-1.6827670618680124E-3</v>
      </c>
      <c r="AI54" s="18"/>
      <c r="AJ54" s="3"/>
      <c r="AK54" s="3"/>
      <c r="AL54" s="7"/>
    </row>
    <row r="55" spans="1:38">
      <c r="A55">
        <f t="shared" si="20"/>
        <v>15</v>
      </c>
      <c r="B55" t="str">
        <f t="shared" si="20"/>
        <v>HU</v>
      </c>
      <c r="C55" t="str">
        <f t="shared" si="20"/>
        <v>HU</v>
      </c>
      <c r="D55" s="8"/>
      <c r="E55" s="8">
        <f t="shared" ref="E55:R55" si="38">IFERROR(E20/D20-1,0)</f>
        <v>1.8833029655345168E-3</v>
      </c>
      <c r="F55" s="8">
        <f t="shared" si="38"/>
        <v>1.7106101589118072E-2</v>
      </c>
      <c r="G55" s="8">
        <f t="shared" si="38"/>
        <v>-2.8942921244019204E-2</v>
      </c>
      <c r="H55" s="8">
        <f t="shared" si="38"/>
        <v>-0.15743840989496993</v>
      </c>
      <c r="I55" s="8">
        <f t="shared" si="38"/>
        <v>5.6109485047419749E-2</v>
      </c>
      <c r="J55" s="8">
        <f t="shared" si="38"/>
        <v>1.8910115913239878E-3</v>
      </c>
      <c r="K55" s="8">
        <f t="shared" si="38"/>
        <v>-3.8454054696692941E-2</v>
      </c>
      <c r="L55" s="8">
        <f t="shared" si="38"/>
        <v>-0.13024651371570684</v>
      </c>
      <c r="M55" s="8">
        <f t="shared" si="38"/>
        <v>-2.7256444477212649E-2</v>
      </c>
      <c r="N55" s="8">
        <f t="shared" si="38"/>
        <v>6.4643194131094539E-2</v>
      </c>
      <c r="O55" s="8">
        <f t="shared" si="38"/>
        <v>-7.177296003192124E-2</v>
      </c>
      <c r="P55" s="8">
        <f t="shared" si="38"/>
        <v>2.4378975194830232E-2</v>
      </c>
      <c r="Q55" s="8">
        <f t="shared" si="38"/>
        <v>-4.3927079765361254E-2</v>
      </c>
      <c r="R55" s="8">
        <f t="shared" si="38"/>
        <v>-0.1472919508579783</v>
      </c>
      <c r="S55" s="8">
        <f t="shared" si="22"/>
        <v>-7.8457510430810284E-2</v>
      </c>
      <c r="T55" s="8">
        <f t="shared" si="22"/>
        <v>-0.1845682780712794</v>
      </c>
      <c r="U55" s="8">
        <f t="shared" si="22"/>
        <v>-0.10136309015890765</v>
      </c>
      <c r="V55" s="8">
        <f t="shared" ca="1" si="22"/>
        <v>-0.26947087747634679</v>
      </c>
      <c r="AA55" s="8">
        <v>0</v>
      </c>
      <c r="AB55" s="8">
        <v>-0.2428614470542397</v>
      </c>
      <c r="AC55" s="8">
        <v>-0.30230128888939101</v>
      </c>
      <c r="AD55" s="8">
        <f t="shared" ca="1" si="23"/>
        <v>-0.11112158185686738</v>
      </c>
      <c r="AE55" s="8">
        <f t="shared" ca="1" si="26"/>
        <v>-0.21341321198163155</v>
      </c>
      <c r="AF55" s="8">
        <v>-0.26947087747634679</v>
      </c>
      <c r="AG55" s="17">
        <f t="shared" si="24"/>
        <v>-5.9439841835151302E-2</v>
      </c>
      <c r="AI55" s="18"/>
      <c r="AJ55" s="3"/>
      <c r="AK55" s="3"/>
      <c r="AL55" s="7"/>
    </row>
    <row r="56" spans="1:38">
      <c r="A56">
        <f t="shared" si="20"/>
        <v>16</v>
      </c>
      <c r="B56" t="str">
        <f t="shared" si="20"/>
        <v>IE</v>
      </c>
      <c r="C56" t="str">
        <f t="shared" si="20"/>
        <v>IE</v>
      </c>
      <c r="D56" s="8"/>
      <c r="E56" s="8">
        <f t="shared" ref="E56:R56" si="39">IFERROR(E21/D21-1,0)</f>
        <v>-0.10552868716227803</v>
      </c>
      <c r="F56" s="8">
        <f t="shared" si="39"/>
        <v>1.740614565338916E-2</v>
      </c>
      <c r="G56" s="8">
        <f t="shared" si="39"/>
        <v>2.6000577605926889E-3</v>
      </c>
      <c r="H56" s="8">
        <f t="shared" si="39"/>
        <v>-8.1667662767092475E-2</v>
      </c>
      <c r="I56" s="8">
        <f t="shared" si="39"/>
        <v>-0.16510500749424906</v>
      </c>
      <c r="J56" s="8">
        <f t="shared" si="39"/>
        <v>4.2437439049968884E-2</v>
      </c>
      <c r="K56" s="8">
        <f t="shared" si="39"/>
        <v>0.3488321803793859</v>
      </c>
      <c r="L56" s="8">
        <f t="shared" si="39"/>
        <v>-0.3491878890960266</v>
      </c>
      <c r="M56" s="8">
        <f t="shared" si="39"/>
        <v>0.13514338948087268</v>
      </c>
      <c r="N56" s="8">
        <f t="shared" si="39"/>
        <v>0.15938972914377958</v>
      </c>
      <c r="O56" s="8">
        <f t="shared" si="39"/>
        <v>-2.1720473352807579E-3</v>
      </c>
      <c r="P56" s="8">
        <f t="shared" si="39"/>
        <v>-0.18125175156420581</v>
      </c>
      <c r="Q56" s="8">
        <f t="shared" si="39"/>
        <v>-0.23331289476113237</v>
      </c>
      <c r="R56" s="8">
        <f t="shared" si="39"/>
        <v>-0.17869729790933031</v>
      </c>
      <c r="S56" s="8">
        <f t="shared" si="22"/>
        <v>-8.6276053005164499E-2</v>
      </c>
      <c r="T56" s="8">
        <f t="shared" si="22"/>
        <v>0.2072444752568281</v>
      </c>
      <c r="U56" s="8">
        <f t="shared" si="22"/>
        <v>-0.17091670463462172</v>
      </c>
      <c r="V56" s="8">
        <f t="shared" ca="1" si="22"/>
        <v>-0.31671091742922652</v>
      </c>
      <c r="AA56" s="8">
        <v>0</v>
      </c>
      <c r="AB56" s="8">
        <v>-0.30108539161321735</v>
      </c>
      <c r="AC56" s="8">
        <v>-0.3167109192562268</v>
      </c>
      <c r="AD56" s="8">
        <f t="shared" ca="1" si="23"/>
        <v>-9.2391695010684158E-2</v>
      </c>
      <c r="AE56" s="8">
        <f t="shared" ca="1" si="26"/>
        <v>-3.8983749416835134E-2</v>
      </c>
      <c r="AF56" s="8">
        <v>-0.31671091742922652</v>
      </c>
      <c r="AG56" s="17">
        <f t="shared" si="24"/>
        <v>-1.5625527643009451E-2</v>
      </c>
      <c r="AI56" s="18"/>
      <c r="AJ56" s="3"/>
      <c r="AL56" s="7"/>
    </row>
    <row r="57" spans="1:38">
      <c r="A57">
        <f t="shared" si="20"/>
        <v>17</v>
      </c>
      <c r="B57" t="str">
        <f t="shared" si="20"/>
        <v>IT</v>
      </c>
      <c r="C57" t="str">
        <f t="shared" si="20"/>
        <v>IT</v>
      </c>
      <c r="D57" s="8"/>
      <c r="E57" s="8">
        <f t="shared" ref="E57:R57" si="40">IFERROR(E22/D22-1,0)</f>
        <v>1.2266264901301671E-2</v>
      </c>
      <c r="F57" s="8">
        <f t="shared" si="40"/>
        <v>-2.0890404381553984E-2</v>
      </c>
      <c r="G57" s="8">
        <f t="shared" si="40"/>
        <v>-3.2484491731821663E-2</v>
      </c>
      <c r="H57" s="8">
        <f t="shared" si="40"/>
        <v>-0.21544762738634038</v>
      </c>
      <c r="I57" s="8">
        <f t="shared" si="40"/>
        <v>0.10408315807245017</v>
      </c>
      <c r="J57" s="8">
        <f t="shared" si="40"/>
        <v>0.11996920494746877</v>
      </c>
      <c r="K57" s="8">
        <f t="shared" si="40"/>
        <v>2.6730808088965441E-2</v>
      </c>
      <c r="L57" s="8">
        <f t="shared" si="40"/>
        <v>-0.13916491637073058</v>
      </c>
      <c r="M57" s="8">
        <f t="shared" si="40"/>
        <v>-3.2845581238120647E-2</v>
      </c>
      <c r="N57" s="8">
        <f t="shared" si="40"/>
        <v>-5.6550183382738317E-2</v>
      </c>
      <c r="O57" s="8">
        <f t="shared" si="40"/>
        <v>-0.10218795338147157</v>
      </c>
      <c r="P57" s="8">
        <f t="shared" si="40"/>
        <v>-0.14943144420519594</v>
      </c>
      <c r="Q57" s="8">
        <f t="shared" si="40"/>
        <v>-8.6025847061330984E-2</v>
      </c>
      <c r="R57" s="8">
        <f t="shared" si="40"/>
        <v>-0.24101103270364665</v>
      </c>
      <c r="S57" s="8">
        <f t="shared" si="22"/>
        <v>-0.21384905491507433</v>
      </c>
      <c r="T57" s="8">
        <f t="shared" si="22"/>
        <v>8.6032345552079281E-2</v>
      </c>
      <c r="U57" s="8">
        <f t="shared" si="22"/>
        <v>0.33778499126579531</v>
      </c>
      <c r="V57" s="8">
        <f t="shared" ca="1" si="22"/>
        <v>-0.30291293737195946</v>
      </c>
      <c r="AA57" s="8">
        <v>0</v>
      </c>
      <c r="AB57" s="8">
        <v>-0.30291293737195951</v>
      </c>
      <c r="AC57" s="8">
        <v>-0.30291294067543795</v>
      </c>
      <c r="AD57" s="8">
        <f t="shared" ca="1" si="23"/>
        <v>-2.3413719572435477E-2</v>
      </c>
      <c r="AE57" s="8">
        <f t="shared" ca="1" si="26"/>
        <v>-0.23755447524149298</v>
      </c>
      <c r="AF57" s="8"/>
      <c r="AG57" s="17">
        <f t="shared" si="24"/>
        <v>-3.3034784352459212E-9</v>
      </c>
      <c r="AI57" s="18"/>
      <c r="AJ57" s="3"/>
      <c r="AK57" s="3"/>
      <c r="AL57" s="7"/>
    </row>
    <row r="58" spans="1:38">
      <c r="A58">
        <f t="shared" si="20"/>
        <v>18</v>
      </c>
      <c r="B58" t="str">
        <f t="shared" si="20"/>
        <v>LT</v>
      </c>
      <c r="C58" t="str">
        <f t="shared" si="20"/>
        <v>LT</v>
      </c>
      <c r="D58" s="8"/>
      <c r="E58" s="8">
        <f t="shared" ref="E58:R58" si="41">IFERROR(E23/D23-1,0)</f>
        <v>0.36139067781437029</v>
      </c>
      <c r="F58" s="8">
        <f t="shared" si="41"/>
        <v>-8.6002821593961221E-3</v>
      </c>
      <c r="G58" s="8">
        <f t="shared" si="41"/>
        <v>-0.15226479715714503</v>
      </c>
      <c r="H58" s="8">
        <f t="shared" si="41"/>
        <v>-0.2078184421915158</v>
      </c>
      <c r="I58" s="8">
        <f t="shared" si="41"/>
        <v>0.23287441637734951</v>
      </c>
      <c r="J58" s="8">
        <f t="shared" si="41"/>
        <v>0.16195548736672438</v>
      </c>
      <c r="K58" s="8">
        <f t="shared" si="41"/>
        <v>-2.4214339736170154E-2</v>
      </c>
      <c r="L58" s="8">
        <f t="shared" si="41"/>
        <v>0.14771374493632394</v>
      </c>
      <c r="M58" s="8">
        <f t="shared" si="41"/>
        <v>-0.15412225161461235</v>
      </c>
      <c r="N58" s="8">
        <f t="shared" si="41"/>
        <v>-0.20291734483686419</v>
      </c>
      <c r="O58" s="8">
        <f t="shared" si="41"/>
        <v>1.9810856127807641E-2</v>
      </c>
      <c r="P58" s="8">
        <f t="shared" si="41"/>
        <v>6.7849953062852464E-2</v>
      </c>
      <c r="Q58" s="8">
        <f t="shared" si="41"/>
        <v>6.6857052842326681E-2</v>
      </c>
      <c r="R58" s="8">
        <f t="shared" si="41"/>
        <v>-6.4039056918313908E-2</v>
      </c>
      <c r="S58" s="8">
        <f t="shared" si="22"/>
        <v>-0.22258975598585284</v>
      </c>
      <c r="T58" s="8">
        <f t="shared" si="22"/>
        <v>0.19143128334369774</v>
      </c>
      <c r="U58" s="8">
        <f t="shared" si="22"/>
        <v>-7.076573136493125E-3</v>
      </c>
      <c r="V58" s="8">
        <f t="shared" ca="1" si="22"/>
        <v>-0.35679214402618653</v>
      </c>
      <c r="AA58" s="8">
        <v>0</v>
      </c>
      <c r="AB58" s="8">
        <v>-0.39629454683150966</v>
      </c>
      <c r="AC58" s="8">
        <v>-0.38726176931724521</v>
      </c>
      <c r="AD58" s="8">
        <f t="shared" ca="1" si="23"/>
        <v>-7.0834099709270902E-3</v>
      </c>
      <c r="AE58" s="8">
        <f t="shared" ca="1" si="26"/>
        <v>-0.10080289507029949</v>
      </c>
      <c r="AF58" s="8">
        <v>-0.35679214402618653</v>
      </c>
      <c r="AG58" s="17">
        <f t="shared" si="24"/>
        <v>9.0327775142644562E-3</v>
      </c>
      <c r="AI58" s="18"/>
      <c r="AJ58" s="3"/>
      <c r="AK58" s="3"/>
      <c r="AL58" s="7"/>
    </row>
    <row r="59" spans="1:38">
      <c r="A59">
        <f t="shared" si="20"/>
        <v>19</v>
      </c>
      <c r="B59" t="str">
        <f t="shared" si="20"/>
        <v>LU</v>
      </c>
      <c r="C59" t="str">
        <f t="shared" si="20"/>
        <v>LU</v>
      </c>
      <c r="D59" s="8"/>
      <c r="E59" s="8">
        <f t="shared" ref="E59:R59" si="42">IFERROR(E24/D24-1,0)</f>
        <v>0.19327817727261021</v>
      </c>
      <c r="F59" s="8">
        <f t="shared" si="42"/>
        <v>-0.15385113827811148</v>
      </c>
      <c r="G59" s="8">
        <f t="shared" si="42"/>
        <v>-4.3828972559029955E-2</v>
      </c>
      <c r="H59" s="8">
        <f t="shared" si="42"/>
        <v>-0.10689305355331302</v>
      </c>
      <c r="I59" s="8">
        <f t="shared" si="42"/>
        <v>-1.9907933281520962E-2</v>
      </c>
      <c r="J59" s="8">
        <f t="shared" si="42"/>
        <v>-9.8328656825667826E-2</v>
      </c>
      <c r="K59" s="8">
        <f t="shared" si="42"/>
        <v>-7.2791232580165066E-2</v>
      </c>
      <c r="L59" s="8">
        <f t="shared" si="42"/>
        <v>-4.1259302495257555E-2</v>
      </c>
      <c r="M59" s="8">
        <f t="shared" si="42"/>
        <v>-9.0179216924773931E-3</v>
      </c>
      <c r="N59" s="8">
        <f t="shared" si="42"/>
        <v>-5.5156657963446376E-2</v>
      </c>
      <c r="O59" s="8">
        <f t="shared" si="42"/>
        <v>3.4847099461546183E-2</v>
      </c>
      <c r="P59" s="8">
        <f t="shared" si="42"/>
        <v>-7.4887099941095658E-2</v>
      </c>
      <c r="Q59" s="8">
        <f t="shared" si="42"/>
        <v>-0.11367688258765607</v>
      </c>
      <c r="R59" s="8">
        <f t="shared" si="42"/>
        <v>9.5713601532567028E-2</v>
      </c>
      <c r="S59" s="8">
        <f t="shared" si="22"/>
        <v>-0.15986624997268173</v>
      </c>
      <c r="T59" s="8">
        <f t="shared" si="22"/>
        <v>2.5623016492378081E-2</v>
      </c>
      <c r="U59" s="8">
        <f t="shared" si="22"/>
        <v>4.1748040682780818E-2</v>
      </c>
      <c r="V59" s="8">
        <f t="shared" ca="1" si="22"/>
        <v>-0.18460457785087703</v>
      </c>
      <c r="AA59" s="8">
        <v>0</v>
      </c>
      <c r="AB59" s="8">
        <v>-0.18460457785087717</v>
      </c>
      <c r="AC59" s="8">
        <v>-0.18460460381444438</v>
      </c>
      <c r="AD59" s="8">
        <f t="shared" ca="1" si="23"/>
        <v>-2.2091694770522374E-2</v>
      </c>
      <c r="AE59" s="8">
        <f t="shared" ca="1" si="26"/>
        <v>-5.0943442163955188E-2</v>
      </c>
      <c r="AF59" s="8"/>
      <c r="AG59" s="17">
        <f t="shared" si="24"/>
        <v>-2.5963567212849981E-8</v>
      </c>
      <c r="AI59" s="18"/>
      <c r="AJ59" s="3"/>
      <c r="AK59" s="3"/>
      <c r="AL59" s="7"/>
    </row>
    <row r="60" spans="1:38">
      <c r="A60">
        <f t="shared" si="20"/>
        <v>20</v>
      </c>
      <c r="B60" t="str">
        <f t="shared" si="20"/>
        <v>LV</v>
      </c>
      <c r="C60" t="str">
        <f t="shared" si="20"/>
        <v>LV</v>
      </c>
      <c r="D60" s="8"/>
      <c r="E60" s="8">
        <f t="shared" ref="E60:R60" si="43">IFERROR(E25/D25-1,0)</f>
        <v>6.5996321275291203E-2</v>
      </c>
      <c r="F60" s="8">
        <f t="shared" si="43"/>
        <v>0.22133391616435838</v>
      </c>
      <c r="G60" s="8">
        <f t="shared" si="43"/>
        <v>6.0184792743918081E-3</v>
      </c>
      <c r="H60" s="8">
        <f t="shared" si="43"/>
        <v>-0.20110099988765306</v>
      </c>
      <c r="I60" s="8">
        <f t="shared" si="43"/>
        <v>0.27623869122955047</v>
      </c>
      <c r="J60" s="8">
        <f t="shared" si="43"/>
        <v>1.5527437008741707E-2</v>
      </c>
      <c r="K60" s="8">
        <f t="shared" si="43"/>
        <v>-0.17089380170893809</v>
      </c>
      <c r="L60" s="8">
        <f t="shared" si="43"/>
        <v>-0.20589999454713992</v>
      </c>
      <c r="M60" s="8">
        <f t="shared" si="43"/>
        <v>-0.18170706585181617</v>
      </c>
      <c r="N60" s="8">
        <f t="shared" si="43"/>
        <v>-0.21962271750805595</v>
      </c>
      <c r="O60" s="8">
        <f t="shared" si="43"/>
        <v>-0.11753193685749919</v>
      </c>
      <c r="P60" s="8">
        <f t="shared" si="43"/>
        <v>2.6807691370356324E-4</v>
      </c>
      <c r="Q60" s="8">
        <f t="shared" si="43"/>
        <v>0.17037813078647313</v>
      </c>
      <c r="R60" s="8">
        <f t="shared" si="43"/>
        <v>-0.16127151987010013</v>
      </c>
      <c r="S60" s="8">
        <f t="shared" si="22"/>
        <v>-0.415909655001241</v>
      </c>
      <c r="T60" s="8">
        <f t="shared" si="22"/>
        <v>-0.22908256490885148</v>
      </c>
      <c r="U60" s="8">
        <f t="shared" si="22"/>
        <v>-0.33855142762650203</v>
      </c>
      <c r="V60" s="8">
        <f t="shared" ca="1" si="22"/>
        <v>-6.6666666666666763E-2</v>
      </c>
      <c r="AA60" s="8">
        <v>0</v>
      </c>
      <c r="AB60" s="8">
        <v>-0.58854095070519341</v>
      </c>
      <c r="AC60" s="8">
        <v>-0.45366798214008125</v>
      </c>
      <c r="AD60" s="8">
        <f t="shared" ca="1" si="23"/>
        <v>-0.1948874073240443</v>
      </c>
      <c r="AE60" s="8">
        <f t="shared" ca="1" si="26"/>
        <v>-0.98885000000003254</v>
      </c>
      <c r="AF60" s="8">
        <v>-6.6666666666666652E-2</v>
      </c>
      <c r="AG60" s="17">
        <f t="shared" si="24"/>
        <v>0.13487296856511216</v>
      </c>
      <c r="AI60" s="18"/>
      <c r="AJ60" s="3"/>
      <c r="AK60" s="3"/>
      <c r="AL60" s="7"/>
    </row>
    <row r="61" spans="1:38">
      <c r="A61">
        <f t="shared" si="20"/>
        <v>21</v>
      </c>
      <c r="B61" t="str">
        <f t="shared" si="20"/>
        <v>MT</v>
      </c>
      <c r="C61" t="str">
        <f t="shared" si="20"/>
        <v>MT</v>
      </c>
      <c r="D61" s="8"/>
      <c r="E61" s="8">
        <f t="shared" ref="E61:R61" si="44">IFERROR(E26/D26-1,0)</f>
        <v>0</v>
      </c>
      <c r="F61" s="8">
        <f t="shared" si="44"/>
        <v>0</v>
      </c>
      <c r="G61" s="8">
        <f t="shared" si="44"/>
        <v>0</v>
      </c>
      <c r="H61" s="8">
        <f t="shared" si="44"/>
        <v>0</v>
      </c>
      <c r="I61" s="8">
        <f t="shared" si="44"/>
        <v>0</v>
      </c>
      <c r="J61" s="8">
        <f t="shared" si="44"/>
        <v>0</v>
      </c>
      <c r="K61" s="8">
        <f t="shared" si="44"/>
        <v>0</v>
      </c>
      <c r="L61" s="8">
        <f t="shared" si="44"/>
        <v>0</v>
      </c>
      <c r="M61" s="8">
        <f t="shared" si="44"/>
        <v>0</v>
      </c>
      <c r="N61" s="8">
        <f t="shared" si="44"/>
        <v>0</v>
      </c>
      <c r="O61" s="8">
        <f t="shared" si="44"/>
        <v>0</v>
      </c>
      <c r="P61" s="8">
        <f t="shared" si="44"/>
        <v>0</v>
      </c>
      <c r="Q61" s="8">
        <f t="shared" si="44"/>
        <v>0</v>
      </c>
      <c r="R61" s="8">
        <f t="shared" si="44"/>
        <v>0</v>
      </c>
      <c r="S61" s="8">
        <f t="shared" si="22"/>
        <v>0</v>
      </c>
      <c r="T61" s="8">
        <f t="shared" si="22"/>
        <v>0</v>
      </c>
      <c r="U61" s="8">
        <f t="shared" si="22"/>
        <v>0</v>
      </c>
      <c r="V61" s="8">
        <f t="shared" ca="1" si="22"/>
        <v>0</v>
      </c>
      <c r="AA61" s="8">
        <v>0</v>
      </c>
      <c r="AB61" s="8" t="s">
        <v>209</v>
      </c>
      <c r="AC61" s="8" t="e">
        <v>#N/A</v>
      </c>
      <c r="AD61" s="8">
        <f t="shared" ca="1" si="23"/>
        <v>0</v>
      </c>
      <c r="AE61" s="8" t="e">
        <f t="shared" ca="1" si="26"/>
        <v>#DIV/0!</v>
      </c>
      <c r="AF61" s="8"/>
      <c r="AG61" s="17" t="e">
        <f t="shared" si="24"/>
        <v>#N/A</v>
      </c>
      <c r="AI61" s="18"/>
      <c r="AJ61" s="3"/>
      <c r="AK61" s="3"/>
      <c r="AL61" s="7"/>
    </row>
    <row r="62" spans="1:38">
      <c r="A62">
        <f t="shared" si="20"/>
        <v>22</v>
      </c>
      <c r="B62" t="str">
        <f t="shared" si="20"/>
        <v>NL</v>
      </c>
      <c r="C62" t="str">
        <f t="shared" si="20"/>
        <v>NL</v>
      </c>
      <c r="D62" s="8"/>
      <c r="E62" s="8">
        <f t="shared" ref="E62:R62" si="45">IFERROR(E27/D27-1,0)</f>
        <v>-2.5936260339639583E-2</v>
      </c>
      <c r="F62" s="8">
        <f t="shared" si="45"/>
        <v>6.6387446919588866E-2</v>
      </c>
      <c r="G62" s="8">
        <f t="shared" si="45"/>
        <v>-5.3743874513992429E-2</v>
      </c>
      <c r="H62" s="8">
        <f t="shared" si="45"/>
        <v>-6.2063383379671877E-2</v>
      </c>
      <c r="I62" s="8">
        <f t="shared" si="45"/>
        <v>1.1294625050881413E-2</v>
      </c>
      <c r="J62" s="8">
        <f t="shared" si="45"/>
        <v>-1.4299699930499843E-2</v>
      </c>
      <c r="K62" s="8">
        <f t="shared" si="45"/>
        <v>9.8357780079521451E-2</v>
      </c>
      <c r="L62" s="8">
        <f t="shared" si="45"/>
        <v>-2.0455180439327147E-3</v>
      </c>
      <c r="M62" s="8">
        <f t="shared" si="45"/>
        <v>0.11789516054880833</v>
      </c>
      <c r="N62" s="8">
        <f t="shared" si="45"/>
        <v>0.22973710699119532</v>
      </c>
      <c r="O62" s="8">
        <f t="shared" si="45"/>
        <v>-7.3149597454885473E-2</v>
      </c>
      <c r="P62" s="8">
        <f t="shared" si="45"/>
        <v>-0.10400844314179547</v>
      </c>
      <c r="Q62" s="8">
        <f t="shared" si="45"/>
        <v>-0.10437052567994343</v>
      </c>
      <c r="R62" s="8">
        <f t="shared" si="45"/>
        <v>-0.22390593433070705</v>
      </c>
      <c r="S62" s="8">
        <f t="shared" si="22"/>
        <v>-0.36349520414084646</v>
      </c>
      <c r="T62" s="8">
        <f t="shared" si="22"/>
        <v>0.37244928876520844</v>
      </c>
      <c r="U62" s="8">
        <f t="shared" si="22"/>
        <v>-9.6044849524208331E-3</v>
      </c>
      <c r="V62" s="8">
        <f t="shared" ca="1" si="22"/>
        <v>-0.26683017348228322</v>
      </c>
      <c r="AA62" s="8">
        <v>0</v>
      </c>
      <c r="AB62" s="8">
        <v>-0.26683017348228322</v>
      </c>
      <c r="AC62" s="8">
        <v>-0.31619568981984969</v>
      </c>
      <c r="AD62" s="8">
        <f t="shared" ca="1" si="23"/>
        <v>-6.5785372067741862E-2</v>
      </c>
      <c r="AE62" s="8">
        <f t="shared" ca="1" si="26"/>
        <v>-0.25931156938718458</v>
      </c>
      <c r="AF62" s="119"/>
      <c r="AG62" s="17">
        <f t="shared" si="24"/>
        <v>-4.9365516337566473E-2</v>
      </c>
      <c r="AI62" s="18"/>
      <c r="AJ62" s="3"/>
      <c r="AK62" s="3"/>
      <c r="AL62" s="7"/>
    </row>
    <row r="63" spans="1:38">
      <c r="A63">
        <f t="shared" si="20"/>
        <v>23</v>
      </c>
      <c r="B63" t="str">
        <f t="shared" si="20"/>
        <v>PL</v>
      </c>
      <c r="C63" t="str">
        <f t="shared" si="20"/>
        <v>PL</v>
      </c>
      <c r="D63" s="8"/>
      <c r="E63" s="8">
        <f t="shared" ref="E63:R63" si="46">IFERROR(E28/D28-1,0)</f>
        <v>4.8317713840074994E-2</v>
      </c>
      <c r="F63" s="8">
        <f t="shared" si="46"/>
        <v>-2.6477032013052848E-2</v>
      </c>
      <c r="G63" s="8">
        <f t="shared" si="46"/>
        <v>-1.7627223370657474E-2</v>
      </c>
      <c r="H63" s="8">
        <f t="shared" si="46"/>
        <v>-6.3794971192931094E-2</v>
      </c>
      <c r="I63" s="8">
        <f t="shared" si="46"/>
        <v>7.8342749831205483E-2</v>
      </c>
      <c r="J63" s="8">
        <f t="shared" si="46"/>
        <v>-1.0748635157857733E-2</v>
      </c>
      <c r="K63" s="8">
        <f t="shared" si="46"/>
        <v>-8.0092589477589349E-2</v>
      </c>
      <c r="L63" s="8">
        <f t="shared" si="46"/>
        <v>5.7628334697193306E-2</v>
      </c>
      <c r="M63" s="8">
        <f t="shared" si="46"/>
        <v>-7.3918112138526504E-2</v>
      </c>
      <c r="N63" s="8">
        <f t="shared" si="46"/>
        <v>-1.7742046051733129E-2</v>
      </c>
      <c r="O63" s="8">
        <f t="shared" si="46"/>
        <v>2.419805065279923E-2</v>
      </c>
      <c r="P63" s="8">
        <f t="shared" si="46"/>
        <v>2.5633426368232293E-3</v>
      </c>
      <c r="Q63" s="8">
        <f t="shared" si="46"/>
        <v>-8.4803638990109675E-3</v>
      </c>
      <c r="R63" s="8">
        <f t="shared" si="46"/>
        <v>-0.10929957776442878</v>
      </c>
      <c r="S63" s="8">
        <f t="shared" si="22"/>
        <v>-6.7819932363639257E-2</v>
      </c>
      <c r="T63" s="8">
        <f t="shared" si="22"/>
        <v>0.12242558173740159</v>
      </c>
      <c r="U63" s="8">
        <f t="shared" si="22"/>
        <v>-8.2500907968409365E-2</v>
      </c>
      <c r="V63" s="8">
        <f t="shared" ca="1" si="22"/>
        <v>-0.15599002833918041</v>
      </c>
      <c r="AA63" s="8">
        <v>0</v>
      </c>
      <c r="AB63" s="8">
        <v>-0.18605043950790867</v>
      </c>
      <c r="AC63" s="8">
        <v>-0.15599002833918046</v>
      </c>
      <c r="AD63" s="8">
        <f t="shared" ca="1" si="23"/>
        <v>-2.9135040051617357E-2</v>
      </c>
      <c r="AE63" s="8">
        <f t="shared" ca="1" si="26"/>
        <v>-3.280661170255883E-2</v>
      </c>
      <c r="AF63" s="8"/>
      <c r="AG63" s="17">
        <f t="shared" si="24"/>
        <v>3.0060411168728207E-2</v>
      </c>
      <c r="AI63" s="18"/>
      <c r="AJ63" s="3"/>
      <c r="AK63" s="3"/>
      <c r="AL63" s="7"/>
    </row>
    <row r="64" spans="1:38">
      <c r="A64">
        <f t="shared" si="20"/>
        <v>24</v>
      </c>
      <c r="B64" t="str">
        <f t="shared" si="20"/>
        <v>PT</v>
      </c>
      <c r="C64" t="str">
        <f t="shared" si="20"/>
        <v>PT</v>
      </c>
      <c r="D64" s="8"/>
      <c r="E64" s="8">
        <f t="shared" ref="E64:R64" si="47">IFERROR(E29/D29-1,0)</f>
        <v>-1.1937948109742802E-2</v>
      </c>
      <c r="F64" s="8">
        <f t="shared" si="47"/>
        <v>-0.12754212868987724</v>
      </c>
      <c r="G64" s="8">
        <f t="shared" si="47"/>
        <v>-0.12513928630683557</v>
      </c>
      <c r="H64" s="8">
        <f t="shared" si="47"/>
        <v>0.13279147598126029</v>
      </c>
      <c r="I64" s="8">
        <f t="shared" si="47"/>
        <v>-0.42064536152520171</v>
      </c>
      <c r="J64" s="8">
        <f t="shared" si="47"/>
        <v>0.33225930609112808</v>
      </c>
      <c r="K64" s="8">
        <f t="shared" si="47"/>
        <v>0.3287316296750793</v>
      </c>
      <c r="L64" s="8">
        <f t="shared" si="47"/>
        <v>-9.6849354422834932E-2</v>
      </c>
      <c r="M64" s="8">
        <f t="shared" si="47"/>
        <v>1.1408363491878459E-2</v>
      </c>
      <c r="N64" s="8">
        <f t="shared" si="47"/>
        <v>0.2155980741644421</v>
      </c>
      <c r="O64" s="8">
        <f t="shared" si="47"/>
        <v>-0.12639663282778069</v>
      </c>
      <c r="P64" s="8">
        <f t="shared" si="47"/>
        <v>0.133746034969209</v>
      </c>
      <c r="Q64" s="8">
        <f t="shared" si="47"/>
        <v>-0.16452390779722537</v>
      </c>
      <c r="R64" s="8">
        <f t="shared" si="47"/>
        <v>-0.53707340502669498</v>
      </c>
      <c r="S64" s="8">
        <f t="shared" si="22"/>
        <v>-0.54673936121203859</v>
      </c>
      <c r="T64" s="8">
        <f t="shared" si="22"/>
        <v>-0.65425861931823204</v>
      </c>
      <c r="U64" s="8">
        <f t="shared" si="22"/>
        <v>-0.96525526845877774</v>
      </c>
      <c r="V64" s="8">
        <f t="shared" ca="1" si="22"/>
        <v>-0.28569894782048522</v>
      </c>
      <c r="AA64" s="8">
        <v>0</v>
      </c>
      <c r="AB64" s="8">
        <v>-0.28569894782048533</v>
      </c>
      <c r="AC64" s="8">
        <v>-0.28571432118025653</v>
      </c>
      <c r="AD64" s="8">
        <f t="shared" ca="1" si="23"/>
        <v>-0.57357011236259381</v>
      </c>
      <c r="AE64" s="8">
        <f t="shared" ca="1" si="26"/>
        <v>-146.21979105354873</v>
      </c>
      <c r="AF64" s="8"/>
      <c r="AG64" s="17">
        <f t="shared" si="24"/>
        <v>-1.5373359771198025E-5</v>
      </c>
      <c r="AI64" s="18"/>
      <c r="AJ64" s="3"/>
      <c r="AK64" s="3"/>
      <c r="AL64" s="7"/>
    </row>
    <row r="65" spans="1:38">
      <c r="A65">
        <f t="shared" si="20"/>
        <v>25</v>
      </c>
      <c r="B65" t="str">
        <f t="shared" si="20"/>
        <v>RO</v>
      </c>
      <c r="C65" t="str">
        <f t="shared" si="20"/>
        <v>RO</v>
      </c>
      <c r="D65" s="8"/>
      <c r="E65" s="8">
        <f t="shared" ref="E65:R65" si="48">IFERROR(E30/D30-1,0)</f>
        <v>8.3177468599903381E-2</v>
      </c>
      <c r="F65" s="8">
        <f t="shared" si="48"/>
        <v>6.3407541382595412E-2</v>
      </c>
      <c r="G65" s="8">
        <f t="shared" si="48"/>
        <v>-5.1681299840644734E-2</v>
      </c>
      <c r="H65" s="8">
        <f t="shared" si="48"/>
        <v>-0.21295687439797251</v>
      </c>
      <c r="I65" s="8">
        <f t="shared" si="48"/>
        <v>-7.5901619637817941E-2</v>
      </c>
      <c r="J65" s="8">
        <f t="shared" si="48"/>
        <v>0.1643966378553614</v>
      </c>
      <c r="K65" s="8">
        <f t="shared" si="48"/>
        <v>-6.6708826945182875E-2</v>
      </c>
      <c r="L65" s="8">
        <f t="shared" si="48"/>
        <v>-0.24450418527505358</v>
      </c>
      <c r="M65" s="8">
        <f t="shared" si="48"/>
        <v>1.8599840297681691E-3</v>
      </c>
      <c r="N65" s="8">
        <f t="shared" si="48"/>
        <v>2.9660457901186987E-2</v>
      </c>
      <c r="O65" s="8">
        <f t="shared" si="48"/>
        <v>-0.10275951409253503</v>
      </c>
      <c r="P65" s="8">
        <f t="shared" si="48"/>
        <v>2.1283964628552532E-2</v>
      </c>
      <c r="Q65" s="8">
        <f t="shared" si="48"/>
        <v>-6.2568238353570949E-2</v>
      </c>
      <c r="R65" s="8">
        <f t="shared" si="48"/>
        <v>-3.0367977555838754E-2</v>
      </c>
      <c r="S65" s="8">
        <f t="shared" si="22"/>
        <v>-0.28730553182888097</v>
      </c>
      <c r="T65" s="8">
        <f t="shared" si="22"/>
        <v>0.16133929454656482</v>
      </c>
      <c r="U65" s="8">
        <f t="shared" si="22"/>
        <v>-0.13078077479257977</v>
      </c>
      <c r="V65" s="8">
        <f t="shared" ca="1" si="22"/>
        <v>-0.20997619786815691</v>
      </c>
      <c r="AA65" s="8">
        <v>0</v>
      </c>
      <c r="AB65" s="8">
        <v>-0.20997619786815688</v>
      </c>
      <c r="AC65" s="8">
        <v>-0.24532183364211105</v>
      </c>
      <c r="AD65" s="8">
        <f t="shared" ca="1" si="23"/>
        <v>-6.9936645596861122E-2</v>
      </c>
      <c r="AE65" s="8">
        <f t="shared" ca="1" si="26"/>
        <v>-0.13904761095558049</v>
      </c>
      <c r="AF65" s="8"/>
      <c r="AG65" s="17">
        <f t="shared" si="24"/>
        <v>-3.5345635773954165E-2</v>
      </c>
      <c r="AI65" s="18"/>
      <c r="AJ65" s="3"/>
      <c r="AK65" s="3"/>
      <c r="AL65" s="7"/>
    </row>
    <row r="66" spans="1:38">
      <c r="A66">
        <f t="shared" si="20"/>
        <v>26</v>
      </c>
      <c r="B66" t="str">
        <f t="shared" si="20"/>
        <v>SE</v>
      </c>
      <c r="C66" t="str">
        <f t="shared" si="20"/>
        <v>SE</v>
      </c>
      <c r="D66" s="8"/>
      <c r="E66" s="8">
        <f t="shared" ref="E66:R66" si="49">IFERROR(E31/D31-1,0)</f>
        <v>2.4306895242415694E-2</v>
      </c>
      <c r="F66" s="8">
        <f t="shared" si="49"/>
        <v>-6.8414778340232241E-3</v>
      </c>
      <c r="G66" s="8">
        <f t="shared" si="49"/>
        <v>-9.1648968083796079E-2</v>
      </c>
      <c r="H66" s="8">
        <f t="shared" si="49"/>
        <v>-0.205683292485066</v>
      </c>
      <c r="I66" s="8">
        <f t="shared" si="49"/>
        <v>0.29174979511512689</v>
      </c>
      <c r="J66" s="8">
        <f t="shared" si="49"/>
        <v>6.3040032845473881E-4</v>
      </c>
      <c r="K66" s="8">
        <f t="shared" si="49"/>
        <v>-0.11913158100911969</v>
      </c>
      <c r="L66" s="8">
        <f t="shared" si="49"/>
        <v>1.0111925295722024E-2</v>
      </c>
      <c r="M66" s="8">
        <f t="shared" si="49"/>
        <v>-5.2958298290292971E-2</v>
      </c>
      <c r="N66" s="8">
        <f t="shared" si="49"/>
        <v>7.8698797975425006E-3</v>
      </c>
      <c r="O66" s="8">
        <f t="shared" si="49"/>
        <v>-3.1745843049685529E-2</v>
      </c>
      <c r="P66" s="8">
        <f t="shared" si="49"/>
        <v>-2.9746250779015826E-3</v>
      </c>
      <c r="Q66" s="8">
        <f t="shared" si="49"/>
        <v>7.4984508655942417E-2</v>
      </c>
      <c r="R66" s="8">
        <f t="shared" si="49"/>
        <v>-9.7161057314503196E-2</v>
      </c>
      <c r="S66" s="8">
        <f t="shared" si="22"/>
        <v>-0.21145449571726493</v>
      </c>
      <c r="T66" s="8">
        <f t="shared" si="22"/>
        <v>9.7989139564385486E-2</v>
      </c>
      <c r="U66" s="8">
        <f t="shared" si="22"/>
        <v>-0.12264238317428311</v>
      </c>
      <c r="V66" s="8">
        <f t="shared" ca="1" si="22"/>
        <v>-1.7257318952234257E-2</v>
      </c>
      <c r="AA66" s="8">
        <v>0</v>
      </c>
      <c r="AB66" s="8">
        <v>-1.7257318952234205E-2</v>
      </c>
      <c r="AC66" s="8">
        <v>-1.7988722171449936E-2</v>
      </c>
      <c r="AD66" s="8">
        <f t="shared" ca="1" si="23"/>
        <v>-5.1656857597144668E-2</v>
      </c>
      <c r="AE66" s="8">
        <f t="shared" ca="1" si="26"/>
        <v>-0.13737810984831456</v>
      </c>
      <c r="AF66" s="8"/>
      <c r="AG66" s="17">
        <f t="shared" si="24"/>
        <v>-7.314032192157309E-4</v>
      </c>
      <c r="AI66" s="18"/>
      <c r="AJ66" s="3"/>
      <c r="AK66" s="3"/>
      <c r="AL66" s="7"/>
    </row>
    <row r="67" spans="1:38">
      <c r="A67">
        <f t="shared" si="20"/>
        <v>27</v>
      </c>
      <c r="B67" t="str">
        <f t="shared" si="20"/>
        <v>SI</v>
      </c>
      <c r="C67" t="str">
        <f t="shared" si="20"/>
        <v>SI</v>
      </c>
      <c r="D67" s="8"/>
      <c r="E67" s="8">
        <f t="shared" ref="E67:R67" si="50">IFERROR(E32/D32-1,0)</f>
        <v>2.0023452021183497E-2</v>
      </c>
      <c r="F67" s="8">
        <f t="shared" si="50"/>
        <v>2.226262969253523E-2</v>
      </c>
      <c r="G67" s="8">
        <f t="shared" si="50"/>
        <v>-2.951650814821194E-2</v>
      </c>
      <c r="H67" s="8">
        <f t="shared" si="50"/>
        <v>-6.9738549838957442E-2</v>
      </c>
      <c r="I67" s="8">
        <f t="shared" si="50"/>
        <v>1.6997684304245197E-2</v>
      </c>
      <c r="J67" s="8">
        <f t="shared" si="50"/>
        <v>8.2836118701852257E-3</v>
      </c>
      <c r="K67" s="8">
        <f t="shared" si="50"/>
        <v>-4.9144754861681905E-2</v>
      </c>
      <c r="L67" s="8">
        <f t="shared" si="50"/>
        <v>-2.998353051823055E-2</v>
      </c>
      <c r="M67" s="8">
        <f t="shared" si="50"/>
        <v>-0.22628551150599885</v>
      </c>
      <c r="N67" s="8">
        <f t="shared" si="50"/>
        <v>1.8105178720154047E-2</v>
      </c>
      <c r="O67" s="8">
        <f t="shared" si="50"/>
        <v>7.5524689060059824E-2</v>
      </c>
      <c r="P67" s="8">
        <f t="shared" si="50"/>
        <v>-6.7788708833649292E-3</v>
      </c>
      <c r="Q67" s="8">
        <f t="shared" si="50"/>
        <v>-8.1935177073325649E-3</v>
      </c>
      <c r="R67" s="8">
        <f t="shared" si="50"/>
        <v>-5.7483298789329118E-2</v>
      </c>
      <c r="S67" s="8">
        <f t="shared" si="22"/>
        <v>-4.3125896018022747E-2</v>
      </c>
      <c r="T67" s="8">
        <f t="shared" si="22"/>
        <v>-8.4397670278294257E-2</v>
      </c>
      <c r="U67" s="8">
        <f t="shared" si="22"/>
        <v>-0.20048950325760961</v>
      </c>
      <c r="V67" s="8">
        <f t="shared" ca="1" si="22"/>
        <v>-0.14046578649425023</v>
      </c>
      <c r="AA67" s="8">
        <v>0</v>
      </c>
      <c r="AB67" s="8">
        <v>-9.445970432903969E-2</v>
      </c>
      <c r="AC67" s="8">
        <v>-8.5297349342663337E-2</v>
      </c>
      <c r="AD67" s="8">
        <f t="shared" ca="1" si="23"/>
        <v>-7.873797721011766E-2</v>
      </c>
      <c r="AE67" s="8">
        <f t="shared" ca="1" si="26"/>
        <v>-5.0046215452950515E-2</v>
      </c>
      <c r="AF67" s="8">
        <v>-0.14046578649425012</v>
      </c>
      <c r="AG67" s="17">
        <f t="shared" si="24"/>
        <v>9.1623549863763531E-3</v>
      </c>
      <c r="AI67" s="18"/>
      <c r="AJ67" s="3"/>
      <c r="AK67" s="3"/>
      <c r="AL67" s="7"/>
    </row>
    <row r="68" spans="1:38">
      <c r="A68">
        <f t="shared" si="20"/>
        <v>28</v>
      </c>
      <c r="B68" t="str">
        <f t="shared" si="20"/>
        <v>SK</v>
      </c>
      <c r="C68" t="str">
        <f t="shared" si="20"/>
        <v>SK</v>
      </c>
      <c r="D68" s="8"/>
      <c r="E68" s="8">
        <f t="shared" ref="E68:R68" si="51">IFERROR(E33/D33-1,0)</f>
        <v>5.0476128830828637E-2</v>
      </c>
      <c r="F68" s="8">
        <f t="shared" si="51"/>
        <v>-0.10421522059036736</v>
      </c>
      <c r="G68" s="8">
        <f t="shared" si="51"/>
        <v>8.4136363119080571E-4</v>
      </c>
      <c r="H68" s="8">
        <f t="shared" si="51"/>
        <v>-3.2281253742777904E-2</v>
      </c>
      <c r="I68" s="8">
        <f t="shared" si="51"/>
        <v>4.3547226860478627E-3</v>
      </c>
      <c r="J68" s="8">
        <f t="shared" si="51"/>
        <v>-5.1786760215601468E-2</v>
      </c>
      <c r="K68" s="8">
        <f t="shared" si="51"/>
        <v>-6.2011990646341664E-2</v>
      </c>
      <c r="L68" s="8">
        <f t="shared" si="51"/>
        <v>-6.1154624566375215E-3</v>
      </c>
      <c r="M68" s="8">
        <f t="shared" si="51"/>
        <v>-6.8112799030187743E-3</v>
      </c>
      <c r="N68" s="8">
        <f t="shared" si="51"/>
        <v>-4.1680658035546658E-2</v>
      </c>
      <c r="O68" s="8">
        <f t="shared" si="51"/>
        <v>-1.9401339112319671E-2</v>
      </c>
      <c r="P68" s="8">
        <f t="shared" si="51"/>
        <v>4.7443638543024802E-2</v>
      </c>
      <c r="Q68" s="8">
        <f t="shared" si="51"/>
        <v>-1.2188569651075287E-2</v>
      </c>
      <c r="R68" s="8">
        <f t="shared" si="51"/>
        <v>-0.18359188227977863</v>
      </c>
      <c r="S68" s="8">
        <f t="shared" si="22"/>
        <v>-0.1563913437431339</v>
      </c>
      <c r="T68" s="8">
        <f t="shared" si="22"/>
        <v>0.22551954500954685</v>
      </c>
      <c r="U68" s="8">
        <f t="shared" si="22"/>
        <v>-0.1479547250415838</v>
      </c>
      <c r="V68" s="8">
        <f t="shared" ca="1" si="22"/>
        <v>-6.1371208136068445E-3</v>
      </c>
      <c r="AA68" s="8">
        <v>0</v>
      </c>
      <c r="AB68" s="8">
        <v>-6.137120813606874E-3</v>
      </c>
      <c r="AC68" s="8">
        <v>-4.5064455759817781E-2</v>
      </c>
      <c r="AD68" s="8">
        <f t="shared" ca="1" si="23"/>
        <v>-5.4921395141204955E-2</v>
      </c>
      <c r="AE68" s="8">
        <f t="shared" ca="1" si="26"/>
        <v>-9.1360273255616464E-2</v>
      </c>
      <c r="AF68" s="8"/>
      <c r="AG68" s="17">
        <f t="shared" si="24"/>
        <v>-3.8927334946210909E-2</v>
      </c>
      <c r="AI68" s="18"/>
      <c r="AJ68" s="3"/>
      <c r="AK68" s="3"/>
      <c r="AL68" s="7"/>
    </row>
    <row r="69" spans="1:38">
      <c r="A69">
        <f t="shared" si="20"/>
        <v>29</v>
      </c>
      <c r="B69" t="str">
        <f t="shared" si="20"/>
        <v>UK</v>
      </c>
      <c r="C69" t="str">
        <f t="shared" si="20"/>
        <v>UK</v>
      </c>
      <c r="D69" s="8"/>
      <c r="E69" s="8">
        <f t="shared" ref="E69:R71" si="52">IFERROR(E34/D34-1,0)</f>
        <v>9.0643996479420341E-2</v>
      </c>
      <c r="F69" s="8">
        <f t="shared" si="52"/>
        <v>-4.4339541949493078E-2</v>
      </c>
      <c r="G69" s="8">
        <f t="shared" si="52"/>
        <v>-8.5387628330565346E-2</v>
      </c>
      <c r="H69" s="8">
        <f t="shared" si="52"/>
        <v>-0.19013019002814657</v>
      </c>
      <c r="I69" s="8">
        <f t="shared" si="52"/>
        <v>9.3413371837740122E-2</v>
      </c>
      <c r="J69" s="8">
        <f t="shared" si="52"/>
        <v>-3.0918811897785892E-2</v>
      </c>
      <c r="K69" s="8">
        <f t="shared" si="52"/>
        <v>0.27463688309796463</v>
      </c>
      <c r="L69" s="8">
        <f t="shared" si="52"/>
        <v>-6.1216835696780492E-2</v>
      </c>
      <c r="M69" s="8">
        <f t="shared" si="52"/>
        <v>-0.19948478159807104</v>
      </c>
      <c r="N69" s="8">
        <f t="shared" si="52"/>
        <v>-0.16572289286886244</v>
      </c>
      <c r="O69" s="8">
        <f t="shared" si="52"/>
        <v>-0.48758975156880491</v>
      </c>
      <c r="P69" s="8">
        <f t="shared" si="52"/>
        <v>-0.19799172308561619</v>
      </c>
      <c r="Q69" s="8">
        <f t="shared" si="52"/>
        <v>-0.19359332731164469</v>
      </c>
      <c r="R69" s="8">
        <f t="shared" si="52"/>
        <v>-0.28480175286568143</v>
      </c>
      <c r="S69" s="8">
        <f t="shared" si="22"/>
        <v>-1</v>
      </c>
      <c r="T69" s="8">
        <f t="shared" si="22"/>
        <v>0</v>
      </c>
      <c r="U69" s="8">
        <f t="shared" si="22"/>
        <v>0</v>
      </c>
      <c r="V69" s="8">
        <f t="shared" ca="1" si="22"/>
        <v>0</v>
      </c>
      <c r="AA69" s="8">
        <v>0</v>
      </c>
      <c r="AB69" s="8">
        <v>0</v>
      </c>
      <c r="AC69" s="8">
        <v>0</v>
      </c>
      <c r="AD69" s="8">
        <f t="shared" ca="1" si="23"/>
        <v>-0.2956790160354652</v>
      </c>
      <c r="AE69" s="8" t="e">
        <f t="shared" ca="1" si="26"/>
        <v>#DIV/0!</v>
      </c>
      <c r="AF69" s="8"/>
      <c r="AG69" s="17">
        <f t="shared" si="24"/>
        <v>0</v>
      </c>
      <c r="AI69" s="18"/>
      <c r="AJ69" s="3"/>
      <c r="AK69" s="3"/>
      <c r="AL69" s="7"/>
    </row>
    <row r="70" spans="1:38">
      <c r="B70" s="40" t="s">
        <v>189</v>
      </c>
      <c r="C70" s="40" t="s">
        <v>189</v>
      </c>
      <c r="D70" s="41"/>
      <c r="E70" s="49">
        <f t="shared" si="52"/>
        <v>3.5585138803375882E-2</v>
      </c>
      <c r="F70" s="49">
        <f t="shared" ref="F70:F71" si="53">IFERROR(F35/E35-1,0)</f>
        <v>8.8887793925973568E-4</v>
      </c>
      <c r="G70" s="49">
        <f t="shared" ref="G70:G71" si="54">IFERROR(G35/F35-1,0)</f>
        <v>-7.8202925284110103E-2</v>
      </c>
      <c r="H70" s="49">
        <f t="shared" ref="H70:H71" si="55">IFERROR(H35/G35-1,0)</f>
        <v>-0.12317731826347411</v>
      </c>
      <c r="I70" s="49">
        <f t="shared" ref="I70:I71" si="56">IFERROR(I35/H35-1,0)</f>
        <v>6.6382073944461606E-2</v>
      </c>
      <c r="J70" s="49">
        <f t="shared" ref="J70:J71" si="57">IFERROR(J35/I35-1,0)</f>
        <v>1.3921100532019892E-2</v>
      </c>
      <c r="K70" s="49">
        <f t="shared" ref="K70:K71" si="58">IFERROR(K35/J35-1,0)</f>
        <v>2.0788645668105454E-2</v>
      </c>
      <c r="L70" s="49">
        <f t="shared" ref="L70:L71" si="59">IFERROR(L35/K35-1,0)</f>
        <v>-2.2601646946497467E-2</v>
      </c>
      <c r="M70" s="49">
        <f t="shared" ref="M70:M71" si="60">IFERROR(M35/L35-1,0)</f>
        <v>-6.7753565829586138E-2</v>
      </c>
      <c r="N70" s="49">
        <f t="shared" ref="N70:N71" si="61">IFERROR(N35/M35-1,0)</f>
        <v>-1.6216183409326179E-2</v>
      </c>
      <c r="O70" s="49">
        <f t="shared" ref="O70:O71" si="62">IFERROR(O35/N35-1,0)</f>
        <v>-7.7761754107278369E-2</v>
      </c>
      <c r="P70" s="49">
        <f t="shared" ref="P70:P71" si="63">IFERROR(P35/O35-1,0)</f>
        <v>-3.4583447989412042E-2</v>
      </c>
      <c r="Q70" s="49">
        <f t="shared" ref="Q70:R71" si="64">IFERROR(Q35/P35-1,0)</f>
        <v>-4.5307026471367862E-2</v>
      </c>
      <c r="R70" s="49">
        <f t="shared" si="64"/>
        <v>-0.18704053123613595</v>
      </c>
      <c r="S70" s="49">
        <f t="shared" si="22"/>
        <v>-0.21018951073646397</v>
      </c>
      <c r="T70" s="49">
        <f t="shared" si="22"/>
        <v>0.15799810501434486</v>
      </c>
      <c r="U70" s="49">
        <f t="shared" si="22"/>
        <v>-6.7597347567633914E-3</v>
      </c>
      <c r="V70" s="49">
        <f t="shared" ca="1" si="22"/>
        <v>-0.19831504049018056</v>
      </c>
      <c r="AC70" s="8"/>
    </row>
    <row r="71" spans="1:38">
      <c r="B71" s="40" t="s">
        <v>190</v>
      </c>
      <c r="C71" s="40" t="s">
        <v>190</v>
      </c>
      <c r="D71" s="41"/>
      <c r="E71" s="49">
        <f t="shared" si="52"/>
        <v>2.8166895638137568E-2</v>
      </c>
      <c r="F71" s="49">
        <f t="shared" si="53"/>
        <v>7.3529275411088335E-3</v>
      </c>
      <c r="G71" s="49">
        <f t="shared" si="54"/>
        <v>-7.722877928393479E-2</v>
      </c>
      <c r="H71" s="49">
        <f t="shared" si="55"/>
        <v>-0.11417970196621652</v>
      </c>
      <c r="I71" s="49">
        <f t="shared" si="56"/>
        <v>6.3060876157435386E-2</v>
      </c>
      <c r="J71" s="49">
        <f t="shared" si="57"/>
        <v>1.9587652064914529E-2</v>
      </c>
      <c r="K71" s="49">
        <f t="shared" si="58"/>
        <v>-9.701804403929648E-3</v>
      </c>
      <c r="L71" s="49">
        <f t="shared" si="59"/>
        <v>-1.6631729327176825E-2</v>
      </c>
      <c r="M71" s="49">
        <f t="shared" si="60"/>
        <v>-4.8311250724567323E-2</v>
      </c>
      <c r="N71" s="49">
        <f t="shared" si="61"/>
        <v>2.3445279930831564E-3</v>
      </c>
      <c r="O71" s="49">
        <f t="shared" si="62"/>
        <v>-3.5414148313982818E-2</v>
      </c>
      <c r="P71" s="49">
        <f t="shared" si="63"/>
        <v>-2.5613742098848369E-2</v>
      </c>
      <c r="Q71" s="49">
        <f t="shared" si="64"/>
        <v>-3.8607364535723776E-2</v>
      </c>
      <c r="R71" s="49">
        <f t="shared" si="64"/>
        <v>-0.18333567125630379</v>
      </c>
      <c r="S71" s="49">
        <f t="shared" si="22"/>
        <v>-0.18397686057549489</v>
      </c>
      <c r="T71" s="49">
        <f t="shared" si="22"/>
        <v>0.15799810501434486</v>
      </c>
      <c r="U71" s="49">
        <f t="shared" si="22"/>
        <v>-6.7597347567633914E-3</v>
      </c>
      <c r="V71" s="49">
        <f t="shared" ca="1" si="22"/>
        <v>-0.19831504049018056</v>
      </c>
    </row>
    <row r="73" spans="1:38">
      <c r="AG73" s="18"/>
    </row>
  </sheetData>
  <sortState xmlns:xlrd2="http://schemas.microsoft.com/office/spreadsheetml/2017/richdata2" ref="A42:N69">
    <sortCondition ref="M42:M69"/>
  </sortState>
  <mergeCells count="2">
    <mergeCell ref="AI5:AI6"/>
    <mergeCell ref="AG40:AG41"/>
  </mergeCells>
  <conditionalFormatting sqref="AK7:AK34">
    <cfRule type="cellIs" dxfId="16" priority="6" operator="greaterThan">
      <formula>$AK$5</formula>
    </cfRule>
  </conditionalFormatting>
  <conditionalFormatting sqref="AL7:AL34">
    <cfRule type="cellIs" dxfId="15" priority="2" operator="lessThan">
      <formula>$AL$5</formula>
    </cfRule>
  </conditionalFormatting>
  <conditionalFormatting sqref="AL42:AL69">
    <cfRule type="cellIs" dxfId="14" priority="4" operator="greaterThan">
      <formula>0.8</formula>
    </cfRule>
  </conditionalFormatting>
  <pageMargins left="0.7" right="0.7" top="0.78740157499999996" bottom="0.78740157499999996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ebabf27-277f-4283-8fd0-f96f30be801e">
      <Terms xmlns="http://schemas.microsoft.com/office/infopath/2007/PartnerControls"/>
    </lcf76f155ced4ddcb4097134ff3c332f>
    <TaxCatchAll xmlns="887d3e31-a616-4149-97ef-6c25ccba462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18DAEAA0632847BCDB077FC9B0AB20" ma:contentTypeVersion="17" ma:contentTypeDescription="Create a new document." ma:contentTypeScope="" ma:versionID="038bae389fb7e74b1826cace4605d9c0">
  <xsd:schema xmlns:xsd="http://www.w3.org/2001/XMLSchema" xmlns:xs="http://www.w3.org/2001/XMLSchema" xmlns:p="http://schemas.microsoft.com/office/2006/metadata/properties" xmlns:ns2="eebabf27-277f-4283-8fd0-f96f30be801e" xmlns:ns3="887d3e31-a616-4149-97ef-6c25ccba4627" targetNamespace="http://schemas.microsoft.com/office/2006/metadata/properties" ma:root="true" ma:fieldsID="11cd50166c9aa7faa214bc9cf7a4e140" ns2:_="" ns3:_="">
    <xsd:import namespace="eebabf27-277f-4283-8fd0-f96f30be801e"/>
    <xsd:import namespace="887d3e31-a616-4149-97ef-6c25ccba46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babf27-277f-4283-8fd0-f96f30be80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de42cbc-566b-46c9-aea5-a71cdcd36d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7d3e31-a616-4149-97ef-6c25ccba4627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ee9b7280-ab75-4486-81ea-68e9379f5e90}" ma:internalName="TaxCatchAll" ma:showField="CatchAllData" ma:web="887d3e31-a616-4149-97ef-6c25ccba46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942FCE-C1ED-4B15-A712-EB97FBF40D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BAB2A2-8C79-4EDD-A21F-53F1E4F655E3}">
  <ds:schemaRefs>
    <ds:schemaRef ds:uri="http://schemas.microsoft.com/office/2006/metadata/properties"/>
    <ds:schemaRef ds:uri="http://schemas.microsoft.com/office/infopath/2007/PartnerControls"/>
    <ds:schemaRef ds:uri="eebabf27-277f-4283-8fd0-f96f30be801e"/>
    <ds:schemaRef ds:uri="887d3e31-a616-4149-97ef-6c25ccba4627"/>
  </ds:schemaRefs>
</ds:datastoreItem>
</file>

<file path=customXml/itemProps3.xml><?xml version="1.0" encoding="utf-8"?>
<ds:datastoreItem xmlns:ds="http://schemas.openxmlformats.org/officeDocument/2006/customXml" ds:itemID="{C03E4401-5690-46AB-B167-92215E0EF0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babf27-277f-4283-8fd0-f96f30be801e"/>
    <ds:schemaRef ds:uri="887d3e31-a616-4149-97ef-6c25ccba46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13</vt:i4>
      </vt:variant>
    </vt:vector>
  </HeadingPairs>
  <TitlesOfParts>
    <vt:vector size="35" baseType="lpstr">
      <vt:lpstr>MS Input</vt:lpstr>
      <vt:lpstr>Normalisiert</vt:lpstr>
      <vt:lpstr>Rohdaten</vt:lpstr>
      <vt:lpstr>Index</vt:lpstr>
      <vt:lpstr>MS Stats list</vt:lpstr>
      <vt:lpstr>Parameters</vt:lpstr>
      <vt:lpstr>PEC Total</vt:lpstr>
      <vt:lpstr>PEC Fossil</vt:lpstr>
      <vt:lpstr>PEC Solid</vt:lpstr>
      <vt:lpstr>PEC Liquid</vt:lpstr>
      <vt:lpstr>PEC Gaseous</vt:lpstr>
      <vt:lpstr>PEC Nuclear</vt:lpstr>
      <vt:lpstr>PEC Waste</vt:lpstr>
      <vt:lpstr>PEC Electricity</vt:lpstr>
      <vt:lpstr>PEC RES</vt:lpstr>
      <vt:lpstr>GFEC Total</vt:lpstr>
      <vt:lpstr>FEC Total</vt:lpstr>
      <vt:lpstr>FEC Industry</vt:lpstr>
      <vt:lpstr>FEC Transport</vt:lpstr>
      <vt:lpstr>FEC Other</vt:lpstr>
      <vt:lpstr>FEC Transport foss</vt:lpstr>
      <vt:lpstr>FEC Transport RES</vt:lpstr>
      <vt:lpstr>ColYearProxy</vt:lpstr>
      <vt:lpstr>OffsetLast</vt:lpstr>
      <vt:lpstr>OffsetLastData</vt:lpstr>
      <vt:lpstr>'FEC Industry'!TrendDuration</vt:lpstr>
      <vt:lpstr>'FEC Other'!TrendDuration</vt:lpstr>
      <vt:lpstr>'FEC Transport foss'!TrendDuration</vt:lpstr>
      <vt:lpstr>'PEC Gaseous'!TrendDuration</vt:lpstr>
      <vt:lpstr>'PEC Liquid'!TrendDuration</vt:lpstr>
      <vt:lpstr>'PEC Solid'!TrendDuration</vt:lpstr>
      <vt:lpstr>'PEC Waste'!TrendDuration</vt:lpstr>
      <vt:lpstr>TrendDuration</vt:lpstr>
      <vt:lpstr>YearLast</vt:lpstr>
      <vt:lpstr>YearProxy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Benjamin Greiner</dc:creator>
  <cp:keywords/>
  <dc:description/>
  <cp:lastModifiedBy>Oezguer Cizer</cp:lastModifiedBy>
  <cp:revision/>
  <dcterms:created xsi:type="dcterms:W3CDTF">2013-05-23T07:01:58Z</dcterms:created>
  <dcterms:modified xsi:type="dcterms:W3CDTF">2025-05-29T20:47:06Z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0x0101009C18DAEAA0632847BCDB077FC9B0AB20</vt:lpwstr>
  </property>
  <property fmtid="{D5CDD505-2E9C-101B-9397-08002B2CF9AE}" pid="3" name="MediaServiceImageTags">
    <vt:lpwstr/>
  </property>
</Properties>
</file>