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אלי יהב גן הדרום/פרוייקט בדיקת התכנות/בדיקת התכנות/"/>
    </mc:Choice>
  </mc:AlternateContent>
  <xr:revisionPtr revIDLastSave="836" documentId="8_{E9A5D54E-385F-4F6C-AF2C-D62B03C85759}" xr6:coauthVersionLast="47" xr6:coauthVersionMax="47" xr10:uidLastSave="{B426C9A0-D11E-4C7E-849B-7A6BA58CD17C}"/>
  <bookViews>
    <workbookView xWindow="-57720" yWindow="-120" windowWidth="29040" windowHeight="15720" activeTab="2" xr2:uid="{A05DD401-26F7-4249-BA87-8825FF0852EB}"/>
  </bookViews>
  <sheets>
    <sheet name="תחשיב לפי שווי שומה (2)" sheetId="6" r:id="rId1"/>
    <sheet name="מ&quot;ר אקו' נחלה" sheetId="3" r:id="rId2"/>
    <sheet name="ניתוח איזור לעסקאות דמה" sheetId="5" r:id="rId3"/>
    <sheet name="סיכום עלויות הסדרה" sheetId="10" r:id="rId4"/>
    <sheet name="חישוב תשלום דמי הסכמה" sheetId="11" r:id="rId5"/>
    <sheet name="דמי הסכמה" sheetId="12" r:id="rId6"/>
    <sheet name="חישוב גדלי בתים" sheetId="4" r:id="rId7"/>
    <sheet name="תבעות" sheetId="8" r:id="rId8"/>
    <sheet name="גיליון1" sheetId="7" r:id="rId9"/>
    <sheet name="בקרה" sheetId="9" r:id="rId10"/>
  </sheets>
  <externalReferences>
    <externalReference r:id="rId11"/>
  </externalReferences>
  <definedNames>
    <definedName name="_xlnm._FilterDatabase" localSheetId="7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8" i="11" l="1"/>
  <c r="K45" i="12"/>
  <c r="K46" i="12" s="1"/>
  <c r="K47" i="12" s="1"/>
  <c r="K42" i="12"/>
  <c r="I37" i="12"/>
  <c r="K37" i="12" s="1"/>
  <c r="K40" i="12" s="1"/>
  <c r="K41" i="12" s="1"/>
  <c r="K43" i="12" s="1"/>
  <c r="H23" i="12"/>
  <c r="H17" i="12"/>
  <c r="H30" i="12" s="1"/>
  <c r="H89" i="11"/>
  <c r="E89" i="11"/>
  <c r="E84" i="11"/>
  <c r="F84" i="11" s="1"/>
  <c r="E81" i="11"/>
  <c r="E78" i="11"/>
  <c r="E75" i="11"/>
  <c r="F75" i="11"/>
  <c r="E72" i="11"/>
  <c r="E69" i="11"/>
  <c r="F66" i="11"/>
  <c r="F63" i="11"/>
  <c r="E66" i="11"/>
  <c r="E63" i="11"/>
  <c r="L9" i="10"/>
  <c r="J13" i="10" s="1"/>
  <c r="H9" i="10"/>
  <c r="D62" i="5"/>
  <c r="F62" i="5" s="1"/>
  <c r="G62" i="5"/>
  <c r="D67" i="5" s="1"/>
  <c r="F67" i="5" s="1"/>
  <c r="F63" i="5"/>
  <c r="D64" i="5"/>
  <c r="F64" i="5" s="1"/>
  <c r="D65" i="5"/>
  <c r="F65" i="5" s="1"/>
  <c r="F66" i="5"/>
  <c r="D49" i="5"/>
  <c r="F49" i="5" s="1"/>
  <c r="G49" i="5"/>
  <c r="F50" i="5"/>
  <c r="D51" i="5"/>
  <c r="F51" i="5" s="1"/>
  <c r="D52" i="5"/>
  <c r="F52" i="5" s="1"/>
  <c r="F40" i="5"/>
  <c r="M40" i="5"/>
  <c r="F41" i="5"/>
  <c r="N41" i="5" s="1"/>
  <c r="F69" i="5" s="1"/>
  <c r="T48" i="11"/>
  <c r="T45" i="11"/>
  <c r="T42" i="11"/>
  <c r="T41" i="11"/>
  <c r="T40" i="11"/>
  <c r="T39" i="11"/>
  <c r="T43" i="11" s="1"/>
  <c r="H47" i="11"/>
  <c r="F40" i="11"/>
  <c r="H40" i="11" s="1"/>
  <c r="H45" i="11" s="1"/>
  <c r="H46" i="11" s="1"/>
  <c r="F13" i="10"/>
  <c r="G16" i="6"/>
  <c r="G15" i="6"/>
  <c r="D26" i="3"/>
  <c r="B23" i="3"/>
  <c r="D23" i="3" s="1"/>
  <c r="B9" i="3"/>
  <c r="D5" i="3"/>
  <c r="C7" i="5"/>
  <c r="H20" i="9" s="1"/>
  <c r="H21" i="9" s="1"/>
  <c r="C3" i="5"/>
  <c r="E28" i="5"/>
  <c r="C6" i="5" s="1"/>
  <c r="E26" i="5"/>
  <c r="D15" i="4"/>
  <c r="L24" i="9"/>
  <c r="J24" i="9"/>
  <c r="L23" i="9"/>
  <c r="L22" i="9"/>
  <c r="L21" i="9"/>
  <c r="L20" i="9"/>
  <c r="C42" i="6"/>
  <c r="N40" i="5" l="1"/>
  <c r="F55" i="5" s="1"/>
  <c r="H8" i="12"/>
  <c r="H31" i="12" s="1"/>
  <c r="H48" i="11"/>
  <c r="D53" i="5"/>
  <c r="F53" i="5" s="1"/>
  <c r="F54" i="5" s="1"/>
  <c r="F56" i="5" s="1"/>
  <c r="O40" i="5" s="1"/>
  <c r="O42" i="5" s="1"/>
  <c r="O43" i="5" s="1"/>
  <c r="E57" i="11"/>
  <c r="T46" i="11"/>
  <c r="T47" i="11" s="1"/>
  <c r="T49" i="11" s="1"/>
  <c r="F68" i="5"/>
  <c r="F70" i="5" s="1"/>
  <c r="O41" i="5" s="1"/>
  <c r="J21" i="9"/>
  <c r="H22" i="9"/>
  <c r="J20" i="9"/>
  <c r="B32" i="6"/>
  <c r="D40" i="6"/>
  <c r="D39" i="6"/>
  <c r="D31" i="6"/>
  <c r="D32" i="6"/>
  <c r="C43" i="6"/>
  <c r="D43" i="6" s="1"/>
  <c r="C34" i="6"/>
  <c r="D34" i="6" s="1"/>
  <c r="E13" i="4"/>
  <c r="G13" i="4"/>
  <c r="F13" i="4"/>
  <c r="H13" i="4"/>
  <c r="D19" i="4"/>
  <c r="E19" i="4"/>
  <c r="F19" i="4"/>
  <c r="G19" i="4"/>
  <c r="H19" i="4"/>
  <c r="I13" i="4"/>
  <c r="I19" i="4"/>
  <c r="E23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H24" i="12" l="1"/>
  <c r="F89" i="11"/>
  <c r="G89" i="11" s="1"/>
  <c r="I89" i="11" s="1"/>
  <c r="I92" i="11" s="1"/>
  <c r="F78" i="11"/>
  <c r="F69" i="11"/>
  <c r="H23" i="9"/>
  <c r="J23" i="9" s="1"/>
  <c r="J22" i="9"/>
  <c r="D42" i="6"/>
  <c r="C35" i="6"/>
  <c r="D35" i="6" s="1"/>
  <c r="G20" i="4"/>
  <c r="I20" i="4"/>
  <c r="H20" i="4"/>
  <c r="D20" i="4"/>
  <c r="F20" i="4"/>
  <c r="E20" i="4"/>
  <c r="C14" i="6" l="1"/>
  <c r="D22" i="4"/>
  <c r="D8" i="6" l="1"/>
  <c r="S19" i="4" l="1"/>
  <c r="R19" i="4"/>
  <c r="Q19" i="4"/>
  <c r="P19" i="4"/>
  <c r="O19" i="4"/>
  <c r="N19" i="4"/>
  <c r="M19" i="4"/>
  <c r="L19" i="4"/>
  <c r="K19" i="4"/>
  <c r="J19" i="4"/>
  <c r="D11" i="3" l="1"/>
  <c r="D8" i="3"/>
  <c r="D7" i="3"/>
  <c r="D6" i="3"/>
  <c r="D4" i="3"/>
  <c r="B10" i="3" l="1"/>
  <c r="B12" i="3" l="1"/>
  <c r="D12" i="3" s="1"/>
  <c r="D14" i="3" s="1"/>
  <c r="S13" i="4"/>
  <c r="R13" i="4"/>
  <c r="Q13" i="4"/>
  <c r="O13" i="4"/>
  <c r="M13" i="4"/>
  <c r="L13" i="4"/>
  <c r="K13" i="4"/>
  <c r="J13" i="4"/>
  <c r="P13" i="4"/>
  <c r="N13" i="4"/>
  <c r="H24" i="3"/>
  <c r="S20" i="4" l="1"/>
  <c r="R20" i="4"/>
  <c r="O20" i="4"/>
  <c r="P20" i="4"/>
  <c r="N20" i="4"/>
  <c r="Q20" i="4"/>
  <c r="M20" i="4"/>
  <c r="L20" i="4"/>
  <c r="K20" i="4"/>
  <c r="J20" i="4"/>
  <c r="E47" i="4"/>
  <c r="F46" i="4"/>
  <c r="F45" i="4"/>
  <c r="F41" i="4"/>
  <c r="E42" i="4"/>
  <c r="D42" i="4"/>
  <c r="F42" i="4" l="1"/>
  <c r="E49" i="4"/>
  <c r="F40" i="4"/>
  <c r="D47" i="4"/>
  <c r="F47" i="4" s="1"/>
  <c r="G11" i="6"/>
  <c r="G12" i="6" s="1"/>
  <c r="F49" i="4" l="1"/>
  <c r="D49" i="4"/>
  <c r="I54" i="3"/>
  <c r="F46" i="3"/>
  <c r="I52" i="3"/>
  <c r="G51" i="3"/>
  <c r="I53" i="3" s="1"/>
  <c r="I50" i="3"/>
  <c r="I49" i="3"/>
  <c r="I48" i="3"/>
  <c r="I13" i="3"/>
  <c r="G11" i="3"/>
  <c r="I11" i="3" s="1"/>
  <c r="H8" i="3"/>
  <c r="H7" i="3"/>
  <c r="H6" i="3"/>
  <c r="H4" i="3"/>
  <c r="G8" i="3"/>
  <c r="F8" i="3"/>
  <c r="G7" i="3"/>
  <c r="G6" i="3"/>
  <c r="F7" i="3"/>
  <c r="F6" i="3"/>
  <c r="F4" i="3"/>
  <c r="G4" i="3"/>
  <c r="D22" i="3"/>
  <c r="D21" i="3"/>
  <c r="D20" i="3"/>
  <c r="G10" i="6"/>
  <c r="I34" i="3"/>
  <c r="G35" i="3"/>
  <c r="I35" i="3" s="1"/>
  <c r="F34" i="3"/>
  <c r="B40" i="3"/>
  <c r="B41" i="3" s="1"/>
  <c r="D42" i="3" s="1"/>
  <c r="D35" i="3"/>
  <c r="D38" i="3"/>
  <c r="D37" i="3"/>
  <c r="D36" i="3"/>
  <c r="F18" i="6"/>
  <c r="D25" i="3" l="1"/>
  <c r="D28" i="3" s="1"/>
  <c r="B4" i="6" s="1"/>
  <c r="I8" i="3"/>
  <c r="I4" i="3"/>
  <c r="G9" i="3"/>
  <c r="G10" i="3" s="1"/>
  <c r="I7" i="3"/>
  <c r="J36" i="3"/>
  <c r="J37" i="3" s="1"/>
  <c r="I55" i="3"/>
  <c r="I56" i="3" s="1"/>
  <c r="G55" i="3"/>
  <c r="I36" i="3"/>
  <c r="I6" i="3"/>
  <c r="D39" i="3"/>
  <c r="D34" i="3"/>
  <c r="D43" i="3" s="1"/>
  <c r="B39" i="6" s="1"/>
  <c r="B40" i="6" s="1"/>
  <c r="B42" i="6" s="1"/>
  <c r="B43" i="6" s="1"/>
  <c r="D6" i="6" l="1"/>
  <c r="B11" i="6" s="1"/>
  <c r="B14" i="6"/>
  <c r="D14" i="6" s="1"/>
  <c r="F14" i="6" s="1"/>
  <c r="B31" i="6"/>
  <c r="B34" i="6" s="1"/>
  <c r="B35" i="6" s="1"/>
  <c r="K36" i="3"/>
  <c r="M36" i="3" s="1"/>
  <c r="D24" i="6"/>
  <c r="D23" i="6"/>
  <c r="F23" i="6" s="1"/>
  <c r="D22" i="6"/>
  <c r="D21" i="6"/>
  <c r="F21" i="6" s="1"/>
  <c r="D20" i="6"/>
  <c r="D19" i="6"/>
  <c r="D18" i="6"/>
  <c r="D17" i="6"/>
  <c r="I37" i="3" l="1"/>
  <c r="K37" i="3" s="1"/>
  <c r="M37" i="3" s="1"/>
  <c r="M38" i="3" s="1"/>
  <c r="B6" i="6"/>
  <c r="B12" i="6" s="1"/>
  <c r="B13" i="6" s="1"/>
  <c r="D11" i="6"/>
  <c r="F11" i="6" s="1"/>
  <c r="H11" i="6" s="1"/>
  <c r="F20" i="6"/>
  <c r="F24" i="6"/>
  <c r="F19" i="6"/>
  <c r="F22" i="6"/>
  <c r="D12" i="6" l="1"/>
  <c r="F12" i="6" s="1"/>
  <c r="F13" i="6" l="1"/>
  <c r="H12" i="6"/>
  <c r="H13" i="6" s="1"/>
  <c r="E29" i="4" l="1"/>
  <c r="D52" i="3"/>
  <c r="B51" i="3"/>
  <c r="B53" i="3" s="1"/>
  <c r="D53" i="3" s="1"/>
  <c r="D50" i="3"/>
  <c r="D49" i="3"/>
  <c r="D48" i="3"/>
  <c r="E27" i="4" l="1"/>
  <c r="D55" i="3"/>
  <c r="D56" i="3" s="1"/>
  <c r="E24" i="4"/>
  <c r="B55" i="3"/>
  <c r="E33" i="4"/>
  <c r="G18" i="6" l="1"/>
  <c r="E28" i="4"/>
  <c r="E30" i="4" s="1"/>
  <c r="E32" i="4" s="1"/>
  <c r="E34" i="4" s="1"/>
  <c r="B5" i="6"/>
  <c r="B10" i="6" s="1"/>
  <c r="D10" i="6" l="1"/>
  <c r="F10" i="6" s="1"/>
  <c r="H10" i="6" s="1"/>
  <c r="G12" i="3" l="1"/>
  <c r="B14" i="3"/>
  <c r="D15" i="3" l="1"/>
  <c r="B3" i="6" s="1"/>
  <c r="I12" i="3"/>
  <c r="G14" i="3"/>
  <c r="B15" i="6" l="1"/>
  <c r="D15" i="6" s="1"/>
  <c r="F15" i="6" s="1"/>
  <c r="H15" i="6" s="1"/>
  <c r="B16" i="6"/>
  <c r="D16" i="6" s="1"/>
  <c r="F16" i="6" s="1"/>
  <c r="H16" i="6" s="1"/>
  <c r="I14" i="3"/>
  <c r="I15" i="3" s="1"/>
  <c r="B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4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5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  <comment ref="G16" authorId="0" shapeId="0" xr:uid="{9D4EA422-DEA6-44AC-BB06-767AA8CF4DEE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<sst xmlns="http://schemas.openxmlformats.org/spreadsheetml/2006/main" count="492" uniqueCount="307">
  <si>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</si>
  <si>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</si>
  <si>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</si>
  <si>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</si>
  <si>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</si>
  <si>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</si>
  <si>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</si>
  <si>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</si>
  <si>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</si>
  <si>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</si>
  <si>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</si>
  <si>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</si>
  <si>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</si>
  <si>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</si>
  <si>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</si>
  <si>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</si>
  <si>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</si>
  <si>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</si>
  <si>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</si>
  <si>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</si>
  <si>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</si>
  <si>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</si>
  <si>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</si>
  <si>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</si>
  <si>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</si>
  <si>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</si>
  <si>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</si>
  <si>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</si>
  <si>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</si>
  <si>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</si>
  <si>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</si>
  <si>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</si>
  <si>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</si>
  <si>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</si>
  <si>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</si>
  <si>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</si>
  <si>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</si>
  <si>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</si>
  <si>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</si>
  <si>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</si>
  <si>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</si>
  <si>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</si>
  <si>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</si>
  <si>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</si>
  <si>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</si>
  <si>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</si>
  <si>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</si>
  <si>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</si>
  <si>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</si>
  <si>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</si>
  <si>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</si>
  <si>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</si>
  <si>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</si>
  <si>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</si>
  <si>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</si>
  <si>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</si>
  <si>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</si>
  <si>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</si>
  <si>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</si>
  <si>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</si>
  <si>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</si>
  <si>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</si>
  <si>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</si>
  <si>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</si>
  <si>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</si>
  <si>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</si>
  <si>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</si>
  <si>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</si>
  <si>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</si>
  <si>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</si>
  <si>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</si>
  <si>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</si>
  <si>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</si>
  <si>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</si>
  <si>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</si>
  <si>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</si>
  <si>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</si>
  <si>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</si>
  <si>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</si>
  <si>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</si>
  <si>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</si>
  <si>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</si>
  <si>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</si>
  <si>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</si>
  <si>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</si>
  <si>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</si>
  <si>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</si>
  <si>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</si>
  <si>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</si>
  <si>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</si>
  <si>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</si>
  <si>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</si>
  <si>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</si>
  <si>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</si>
  <si>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</si>
  <si>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</si>
  <si>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ש"ש עיליים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</si>
  <si>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</si>
  <si>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</si>
  <si>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</si>
  <si>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</si>
  <si>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</si>
  <si>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</si>
  <si>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</si>
  <si>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</si>
  <si>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</si>
  <si>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</si>
  <si>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</si>
  <si>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</si>
  <si>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</si>
  <si>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</si>
  <si>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</si>
  <si>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</si>
  <si>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</si>
  <si>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</si>
  <si>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</si>
  <si>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</si>
  <si>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</si>
  <si>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</si>
  <si>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</si>
  <si>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</si>
  <si>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</si>
  <si>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</si>
  <si>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</si>
  <si>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</si>
  <si>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</si>
  <si>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</si>
  <si>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</si>
  <si>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</si>
  <si>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</si>
  <si>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</si>
  <si>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</si>
  <si>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</si>
  <si>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</si>
  <si>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</si>
  <si>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</si>
  <si>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</si>
  <si>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</si>
  <si>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</si>
  <si>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</si>
  <si>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</si>
  <si>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</si>
  <si>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</si>
  <si>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</si>
  <si>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</si>
  <si>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</si>
  <si>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</si>
  <si>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</si>
  <si>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</si>
  <si>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</si>
  <si>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</si>
  <si>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</si>
  <si>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</si>
  <si>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</si>
  <si>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</si>
  <si>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</si>
  <si>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</si>
  <si>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</si>
  <si>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</si>
  <si>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</si>
  <si>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</si>
  <si>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</si>
  <si>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</si>
  <si>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</si>
  <si>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</si>
  <si>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</si>
  <si>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</si>
  <si>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</si>
  <si>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634-0829846</t>
  </si>
  <si>
    <t>פל"ח</t>
  </si>
  <si>
    <t>גובמאפ</t>
  </si>
  <si>
    <t>634-0454967</t>
  </si>
  <si>
    <t>בתים</t>
  </si>
  <si>
    <t>פיצול</t>
  </si>
  <si>
    <t>3/222/06/6</t>
  </si>
  <si>
    <t>222/03/6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</si>
  <si>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</si>
  <si>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</si>
  <si>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</si>
  <si>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</si>
  <si>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</si>
  <si>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</si>
  <si>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</si>
  <si>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</si>
  <si>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</si>
  <si>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</si>
  <si>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</si>
  <si>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</si>
  <si>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</si>
  <si>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</si>
  <si>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</si>
  <si>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</si>
  <si>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</si>
  <si>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</si>
  <si>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</si>
  <si>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</si>
  <si>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</si>
  <si>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</si>
  <si>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</si>
  <si>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</si>
  <si>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</si>
  <si>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מבנה 1 - בית מגורים</t>
  </si>
  <si>
    <t>שווי למועד קובע 07/23</t>
  </si>
  <si>
    <t>מקדם זמן 7%</t>
  </si>
  <si>
    <t>במעוגל</t>
  </si>
  <si>
    <t>לשומה</t>
  </si>
  <si>
    <t>עדכני</t>
  </si>
  <si>
    <t>יחידת הורים</t>
  </si>
  <si>
    <t>תכסית 45%</t>
  </si>
  <si>
    <t>עורפיות</t>
  </si>
  <si>
    <t>דמי רכישה 20%</t>
  </si>
  <si>
    <t>סוג תשלום</t>
  </si>
  <si>
    <t>הסדרת בית שני במצבו הנוכחי</t>
  </si>
  <si>
    <t>-</t>
  </si>
  <si>
    <t>פתרון מיגון</t>
  </si>
  <si>
    <t>אפשרות א'</t>
  </si>
  <si>
    <t>אפשרות ב'</t>
  </si>
  <si>
    <t>תשלומים לרשות מקרקעי ישראל בעת הסדרה</t>
  </si>
  <si>
    <t>תאריך רכישה</t>
  </si>
  <si>
    <t>מחיר רכישה</t>
  </si>
  <si>
    <t>מדד ל-09/06/2017</t>
  </si>
  <si>
    <t>מחיר רכישה ממודד</t>
  </si>
  <si>
    <t>תאריך מכירה</t>
  </si>
  <si>
    <t>מחיר מכירה</t>
  </si>
  <si>
    <t>מחיר רכישה בשקל</t>
  </si>
  <si>
    <t>עליית ערך המקרקעין</t>
  </si>
  <si>
    <t>תשלום דמי הסכמה 1/3 מעליית ערך המקרקעין</t>
  </si>
  <si>
    <t>מדד המחירים לצרכן</t>
  </si>
  <si>
    <t>מרפסת</t>
  </si>
  <si>
    <t>שווי היסודי של הנחלה במקדם 2%</t>
  </si>
  <si>
    <t>חלופה א'</t>
  </si>
  <si>
    <t>חלופה ב'</t>
  </si>
  <si>
    <t>375 מ"ר בנוי</t>
  </si>
  <si>
    <t>שווי מ"ר בנוי 2017</t>
  </si>
  <si>
    <t>שווי יתרת חצר</t>
  </si>
  <si>
    <t>מבני מגורים</t>
  </si>
  <si>
    <t>27 דונם חקלאי</t>
  </si>
  <si>
    <t>פער</t>
  </si>
  <si>
    <t>תשלום 33%</t>
  </si>
  <si>
    <t>שווי יסודי של הנחלה במקדם 2%</t>
  </si>
  <si>
    <t>מסד</t>
  </si>
  <si>
    <t>גוש חלקה</t>
  </si>
  <si>
    <t>יום מכירה</t>
  </si>
  <si>
    <t>תמורה מוצהרת בש"ח</t>
  </si>
  <si>
    <t>בניכוי יזמות שחוקה 3%</t>
  </si>
  <si>
    <t>מהות</t>
  </si>
  <si>
    <t>חלק נמכר</t>
  </si>
  <si>
    <t>ישוב</t>
  </si>
  <si>
    <t>שטח</t>
  </si>
  <si>
    <t>שטח חלקה</t>
  </si>
  <si>
    <t>תרומת הבנוי</t>
  </si>
  <si>
    <t>שווי יתרת מגרש</t>
  </si>
  <si>
    <t>שווי מ"ר מבונה אקו'</t>
  </si>
  <si>
    <t>000884-0045-000-00</t>
  </si>
  <si>
    <t>קוטג' חד משפחתי</t>
  </si>
  <si>
    <t>גן הדרום</t>
  </si>
  <si>
    <t>000883-0119-000-00</t>
  </si>
  <si>
    <t>ללא תיכנון</t>
  </si>
  <si>
    <t>ממוצע</t>
  </si>
  <si>
    <t>לנחלה</t>
  </si>
  <si>
    <t>ניתוח שטח אקו' מס"ד 1</t>
  </si>
  <si>
    <t>שטח מגרש</t>
  </si>
  <si>
    <t>עיקרי ק.ק</t>
  </si>
  <si>
    <t>עיקרי ק.א</t>
  </si>
  <si>
    <t xml:space="preserve">חצר </t>
  </si>
  <si>
    <t>סה"כ שטח אקו'</t>
  </si>
  <si>
    <t>שווי מגרש</t>
  </si>
  <si>
    <t>שווי מ"ר</t>
  </si>
  <si>
    <t>מרתף</t>
  </si>
  <si>
    <t xml:space="preserve">הסדרת בית ראשון במצבו הנוכחי </t>
  </si>
  <si>
    <t>חשיפה לדמי שימוש</t>
  </si>
  <si>
    <t xml:space="preserve">הסדרת הבית הראשון כשני בתים </t>
  </si>
  <si>
    <t>הסדרת בית שני נוכחי כמבנה חקלאי</t>
  </si>
  <si>
    <t>התמורה</t>
  </si>
  <si>
    <t>התמורה הקודמת</t>
  </si>
  <si>
    <t>מחיר יסודי</t>
  </si>
  <si>
    <t>אין</t>
  </si>
  <si>
    <t>מחיר יסודי מזערי</t>
  </si>
  <si>
    <t>תמורה</t>
  </si>
  <si>
    <t>יסודי מזערי</t>
  </si>
  <si>
    <t>ה1</t>
  </si>
  <si>
    <t>לא קורה</t>
  </si>
  <si>
    <t>ה2</t>
  </si>
  <si>
    <t>תמורה קודמת</t>
  </si>
  <si>
    <t>תנאי 1 מוץ 2 קורה</t>
  </si>
  <si>
    <t>תנאי 2 מתוך 2 לא קורה</t>
  </si>
  <si>
    <t>לא ניתן לדעת</t>
  </si>
  <si>
    <t>ה3</t>
  </si>
  <si>
    <t>קורה 1/3</t>
  </si>
  <si>
    <t>קורה 2/3</t>
  </si>
  <si>
    <t>הנחנו שכן</t>
  </si>
  <si>
    <t>אז:</t>
  </si>
  <si>
    <t>+</t>
  </si>
  <si>
    <t>שיעור תשלון</t>
  </si>
  <si>
    <t>תשלום דמי הסכמה</t>
  </si>
  <si>
    <t>ערכים</t>
  </si>
  <si>
    <t>ביאור ה.1</t>
  </si>
  <si>
    <t>לא מתקיים</t>
  </si>
  <si>
    <t>ביאור ה.2</t>
  </si>
  <si>
    <t>לא ידוע</t>
  </si>
  <si>
    <t>ביאור ה.3</t>
  </si>
  <si>
    <t>מניח שמתקיים</t>
  </si>
  <si>
    <t>סיכום תשלום דמי הסכמה ע"פ סעיף ה.3</t>
  </si>
  <si>
    <t>החלטה 534 רמ"י</t>
  </si>
  <si>
    <t>מדד המחירים לצרכן מיום 09/06/2017</t>
  </si>
  <si>
    <t>סה"כ תשלום ממודד</t>
  </si>
  <si>
    <t>נוהל רמ"י לחישוב דמי הסכמה 37.02B שמפנה לנספח 5 בו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</si>
</sst>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  <numFmt numFmtId="167" formatCode="_-[$$-409]* #,##0_ ;_-[$$-409]* \-#,##0\ ;_-[$$-409]* &quot;-&quot;??_ ;_-@_ "/>
    <numFmt numFmtId="168" formatCode="_ [$₪-40D]\ * #,##0_ ;_ [$₪-40D]\ * \-#,##0_ ;_ [$₪-40D]\ * &quot;-&quot;??_ ;_ @_ "/>
  </numFmts>
  <fonts count="2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8"/>
      <color theme="1"/>
      <name val="Arial"/>
      <family val="2"/>
      <charset val="177"/>
      <scheme val="minor"/>
    </font>
    <font>
      <sz val="20"/>
      <color theme="1"/>
      <name val="Arial"/>
      <family val="2"/>
      <charset val="177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DDFF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40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43" fontId="6" fillId="0" borderId="13" xfId="1" applyFont="1" applyBorder="1"/>
    <xf numFmtId="43" fontId="6" fillId="0" borderId="5" xfId="1" applyFont="1" applyBorder="1"/>
    <xf numFmtId="43" fontId="6" fillId="0" borderId="6" xfId="1" applyFont="1" applyBorder="1"/>
    <xf numFmtId="0" fontId="0" fillId="0" borderId="22" xfId="0" applyBorder="1"/>
    <xf numFmtId="167" fontId="0" fillId="0" borderId="22" xfId="0" applyNumberFormat="1" applyBorder="1"/>
    <xf numFmtId="168" fontId="0" fillId="0" borderId="22" xfId="0" applyNumberFormat="1" applyBorder="1"/>
    <xf numFmtId="0" fontId="0" fillId="0" borderId="49" xfId="0" applyBorder="1"/>
    <xf numFmtId="0" fontId="0" fillId="0" borderId="55" xfId="0" applyBorder="1"/>
    <xf numFmtId="0" fontId="0" fillId="0" borderId="56" xfId="0" applyBorder="1"/>
    <xf numFmtId="14" fontId="0" fillId="0" borderId="46" xfId="0" applyNumberFormat="1" applyBorder="1"/>
    <xf numFmtId="168" fontId="0" fillId="0" borderId="70" xfId="0" applyNumberFormat="1" applyBorder="1"/>
    <xf numFmtId="0" fontId="0" fillId="0" borderId="70" xfId="0" applyBorder="1"/>
    <xf numFmtId="165" fontId="0" fillId="0" borderId="70" xfId="1" applyNumberFormat="1" applyFont="1" applyBorder="1"/>
    <xf numFmtId="165" fontId="19" fillId="0" borderId="74" xfId="0" applyNumberFormat="1" applyFont="1" applyBorder="1"/>
    <xf numFmtId="168" fontId="8" fillId="0" borderId="70" xfId="0" applyNumberFormat="1" applyFont="1" applyBorder="1"/>
    <xf numFmtId="165" fontId="0" fillId="0" borderId="8" xfId="1" applyNumberFormat="1" applyFont="1" applyBorder="1"/>
    <xf numFmtId="165" fontId="0" fillId="0" borderId="8" xfId="0" applyNumberFormat="1" applyBorder="1"/>
    <xf numFmtId="0" fontId="0" fillId="0" borderId="33" xfId="0" applyBorder="1"/>
    <xf numFmtId="0" fontId="19" fillId="0" borderId="33" xfId="0" applyFont="1" applyBorder="1"/>
    <xf numFmtId="165" fontId="19" fillId="0" borderId="35" xfId="0" applyNumberFormat="1" applyFont="1" applyBorder="1"/>
    <xf numFmtId="0" fontId="20" fillId="14" borderId="22" xfId="0" applyFont="1" applyFill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14" fontId="21" fillId="0" borderId="22" xfId="0" applyNumberFormat="1" applyFont="1" applyBorder="1" applyAlignment="1">
      <alignment horizontal="center" vertical="center" wrapText="1"/>
    </xf>
    <xf numFmtId="3" fontId="21" fillId="0" borderId="22" xfId="0" applyNumberFormat="1" applyFont="1" applyBorder="1" applyAlignment="1">
      <alignment horizontal="center" vertical="center" wrapText="1"/>
    </xf>
    <xf numFmtId="165" fontId="21" fillId="0" borderId="22" xfId="1" applyNumberFormat="1" applyFont="1" applyBorder="1" applyAlignment="1">
      <alignment horizontal="center" vertical="center" wrapText="1"/>
    </xf>
    <xf numFmtId="3" fontId="0" fillId="0" borderId="22" xfId="0" applyNumberFormat="1" applyBorder="1" applyAlignment="1">
      <alignment horizontal="center" vertical="center"/>
    </xf>
    <xf numFmtId="3" fontId="0" fillId="0" borderId="22" xfId="0" applyNumberFormat="1" applyBorder="1" applyAlignment="1">
      <alignment horizontal="center"/>
    </xf>
    <xf numFmtId="0" fontId="20" fillId="0" borderId="0" xfId="0" applyFont="1"/>
    <xf numFmtId="0" fontId="21" fillId="0" borderId="0" xfId="0" applyFont="1"/>
    <xf numFmtId="3" fontId="21" fillId="0" borderId="22" xfId="0" applyNumberFormat="1" applyFont="1" applyBorder="1" applyAlignment="1">
      <alignment wrapText="1"/>
    </xf>
    <xf numFmtId="3" fontId="20" fillId="0" borderId="22" xfId="0" applyNumberFormat="1" applyFont="1" applyBorder="1" applyAlignment="1">
      <alignment wrapText="1"/>
    </xf>
    <xf numFmtId="0" fontId="19" fillId="0" borderId="0" xfId="0" applyFont="1"/>
    <xf numFmtId="0" fontId="0" fillId="0" borderId="34" xfId="0" applyBorder="1"/>
    <xf numFmtId="0" fontId="0" fillId="0" borderId="35" xfId="0" applyBorder="1"/>
    <xf numFmtId="168" fontId="0" fillId="0" borderId="0" xfId="0" applyNumberFormat="1"/>
    <xf numFmtId="0" fontId="0" fillId="0" borderId="69" xfId="0" applyBorder="1"/>
    <xf numFmtId="0" fontId="0" fillId="0" borderId="25" xfId="0" applyBorder="1"/>
    <xf numFmtId="0" fontId="0" fillId="0" borderId="31" xfId="0" applyBorder="1"/>
    <xf numFmtId="164" fontId="0" fillId="0" borderId="11" xfId="0" applyNumberFormat="1" applyBorder="1"/>
    <xf numFmtId="0" fontId="0" fillId="0" borderId="21" xfId="0" applyBorder="1"/>
    <xf numFmtId="0" fontId="0" fillId="0" borderId="72" xfId="0" applyBorder="1"/>
    <xf numFmtId="0" fontId="0" fillId="0" borderId="64" xfId="0" applyBorder="1"/>
    <xf numFmtId="0" fontId="0" fillId="0" borderId="11" xfId="0" applyBorder="1"/>
    <xf numFmtId="16" fontId="0" fillId="0" borderId="0" xfId="0" applyNumberFormat="1"/>
    <xf numFmtId="9" fontId="0" fillId="0" borderId="72" xfId="0" applyNumberFormat="1" applyBorder="1"/>
    <xf numFmtId="164" fontId="0" fillId="0" borderId="64" xfId="0" applyNumberFormat="1" applyBorder="1"/>
    <xf numFmtId="164" fontId="0" fillId="0" borderId="21" xfId="0" applyNumberFormat="1" applyBorder="1"/>
    <xf numFmtId="0" fontId="22" fillId="0" borderId="2" xfId="0" applyFont="1" applyBorder="1"/>
    <xf numFmtId="0" fontId="0" fillId="0" borderId="46" xfId="0" applyBorder="1"/>
    <xf numFmtId="164" fontId="0" fillId="0" borderId="70" xfId="2" applyNumberFormat="1" applyFont="1" applyBorder="1"/>
    <xf numFmtId="0" fontId="0" fillId="0" borderId="70" xfId="0" applyBorder="1" applyAlignment="1">
      <alignment horizontal="center"/>
    </xf>
    <xf numFmtId="0" fontId="0" fillId="0" borderId="73" xfId="0" applyBorder="1"/>
    <xf numFmtId="164" fontId="0" fillId="0" borderId="74" xfId="2" applyNumberFormat="1" applyFont="1" applyBorder="1"/>
    <xf numFmtId="164" fontId="0" fillId="0" borderId="8" xfId="0" applyNumberFormat="1" applyBorder="1"/>
    <xf numFmtId="164" fontId="0" fillId="0" borderId="3" xfId="0" applyNumberFormat="1" applyBorder="1"/>
    <xf numFmtId="0" fontId="6" fillId="0" borderId="1" xfId="0" applyFont="1" applyBorder="1"/>
    <xf numFmtId="164" fontId="0" fillId="0" borderId="70" xfId="0" applyNumberFormat="1" applyBorder="1"/>
    <xf numFmtId="0" fontId="23" fillId="0" borderId="2" xfId="0" applyFont="1" applyBorder="1"/>
    <xf numFmtId="168" fontId="19" fillId="0" borderId="74" xfId="0" applyNumberFormat="1" applyFont="1" applyBorder="1"/>
    <xf numFmtId="164" fontId="6" fillId="0" borderId="0" xfId="2" applyNumberFormat="1" applyFont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21" fillId="0" borderId="0" xfId="0" applyFont="1" applyAlignment="1">
      <alignment wrapText="1"/>
    </xf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12" borderId="71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6" fillId="12" borderId="33" xfId="0" applyFont="1" applyFill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8" xfId="0" applyNumberFormat="1" applyFont="1" applyBorder="1" applyAlignment="1">
      <alignment horizontal="center" vertical="center"/>
    </xf>
    <xf numFmtId="166" fontId="6" fillId="0" borderId="33" xfId="0" applyNumberFormat="1" applyFont="1" applyBorder="1" applyAlignment="1">
      <alignment horizontal="center" vertical="center"/>
    </xf>
    <xf numFmtId="166" fontId="6" fillId="0" borderId="34" xfId="0" applyNumberFormat="1" applyFont="1" applyBorder="1" applyAlignment="1">
      <alignment horizontal="center" vertical="center"/>
    </xf>
    <xf numFmtId="166" fontId="6" fillId="0" borderId="35" xfId="0" applyNumberFormat="1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11" borderId="51" xfId="0" applyFont="1" applyFill="1" applyBorder="1" applyAlignment="1">
      <alignment horizontal="center" vertical="center" wrapText="1"/>
    </xf>
    <xf numFmtId="0" fontId="6" fillId="11" borderId="56" xfId="0" applyFont="1" applyFill="1" applyBorder="1" applyAlignment="1">
      <alignment horizontal="center" vertical="center" wrapText="1"/>
    </xf>
    <xf numFmtId="0" fontId="6" fillId="11" borderId="38" xfId="0" applyFont="1" applyFill="1" applyBorder="1" applyAlignment="1">
      <alignment horizontal="center" vertical="center" wrapText="1"/>
    </xf>
    <xf numFmtId="0" fontId="6" fillId="11" borderId="74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1" borderId="34" xfId="0" applyFont="1" applyFill="1" applyBorder="1" applyAlignment="1">
      <alignment horizontal="center" vertical="center" wrapText="1"/>
    </xf>
    <xf numFmtId="0" fontId="6" fillId="11" borderId="35" xfId="0" applyFont="1" applyFill="1" applyBorder="1" applyAlignment="1">
      <alignment horizontal="center" vertical="center" wrapText="1"/>
    </xf>
    <xf numFmtId="0" fontId="6" fillId="13" borderId="60" xfId="0" applyFont="1" applyFill="1" applyBorder="1" applyAlignment="1">
      <alignment horizontal="center" vertical="center"/>
    </xf>
    <xf numFmtId="0" fontId="6" fillId="13" borderId="48" xfId="0" applyFont="1" applyFill="1" applyBorder="1" applyAlignment="1">
      <alignment horizontal="center" vertical="center"/>
    </xf>
    <xf numFmtId="0" fontId="6" fillId="13" borderId="1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6" fontId="0" fillId="0" borderId="22" xfId="2" applyNumberFormat="1" applyFont="1" applyBorder="1" applyAlignment="1">
      <alignment horizontal="center" vertical="center"/>
    </xf>
    <xf numFmtId="166" fontId="0" fillId="0" borderId="53" xfId="2" applyNumberFormat="1" applyFont="1" applyBorder="1" applyAlignment="1">
      <alignment horizontal="center" vertical="center"/>
    </xf>
    <xf numFmtId="166" fontId="0" fillId="0" borderId="5" xfId="2" applyNumberFormat="1" applyFont="1" applyBorder="1" applyAlignment="1">
      <alignment horizontal="center" vertical="center"/>
    </xf>
    <xf numFmtId="166" fontId="0" fillId="0" borderId="6" xfId="2" applyNumberFormat="1" applyFont="1" applyBorder="1" applyAlignment="1">
      <alignment horizontal="center" vertical="center"/>
    </xf>
    <xf numFmtId="166" fontId="0" fillId="0" borderId="11" xfId="2" applyNumberFormat="1" applyFont="1" applyBorder="1" applyAlignment="1">
      <alignment horizontal="center" vertical="center"/>
    </xf>
    <xf numFmtId="166" fontId="0" fillId="0" borderId="12" xfId="2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7" xfId="2" applyNumberFormat="1" applyFont="1" applyBorder="1" applyAlignment="1">
      <alignment horizontal="center" vertical="center"/>
    </xf>
    <xf numFmtId="166" fontId="0" fillId="0" borderId="64" xfId="2" applyNumberFormat="1" applyFont="1" applyBorder="1" applyAlignment="1">
      <alignment horizontal="center" vertical="center"/>
    </xf>
    <xf numFmtId="166" fontId="0" fillId="0" borderId="32" xfId="2" applyNumberFormat="1" applyFont="1" applyBorder="1" applyAlignment="1">
      <alignment horizontal="center" vertical="center"/>
    </xf>
    <xf numFmtId="166" fontId="0" fillId="0" borderId="21" xfId="2" applyNumberFormat="1" applyFont="1" applyBorder="1" applyAlignment="1">
      <alignment horizontal="center" vertical="center"/>
    </xf>
    <xf numFmtId="164" fontId="0" fillId="0" borderId="46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0" fontId="6" fillId="11" borderId="49" xfId="0" applyFont="1" applyFill="1" applyBorder="1" applyAlignment="1">
      <alignment horizontal="center" vertical="center" wrapText="1"/>
    </xf>
    <xf numFmtId="0" fontId="6" fillId="11" borderId="73" xfId="0" applyFont="1" applyFill="1" applyBorder="1" applyAlignment="1">
      <alignment horizontal="center" vertical="center" wrapText="1"/>
    </xf>
    <xf numFmtId="0" fontId="19" fillId="0" borderId="73" xfId="0" applyFont="1" applyBorder="1" applyAlignment="1">
      <alignment horizontal="center"/>
    </xf>
    <xf numFmtId="0" fontId="19" fillId="0" borderId="30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60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0" fillId="0" borderId="46" xfId="0" applyBorder="1" applyAlignment="1">
      <alignment horizontal="center"/>
    </xf>
    <xf numFmtId="14" fontId="0" fillId="0" borderId="46" xfId="0" applyNumberFormat="1" applyBorder="1" applyAlignment="1">
      <alignment horizontal="center"/>
    </xf>
    <xf numFmtId="14" fontId="0" fillId="0" borderId="22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38" xfId="0" applyFont="1" applyBorder="1" applyAlignment="1">
      <alignment horizontal="center"/>
    </xf>
    <xf numFmtId="0" fontId="19" fillId="0" borderId="46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0" borderId="56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19" fillId="0" borderId="49" xfId="0" applyFont="1" applyBorder="1" applyAlignment="1">
      <alignment horizontal="center"/>
    </xf>
    <xf numFmtId="0" fontId="19" fillId="0" borderId="55" xfId="0" applyFont="1" applyBorder="1" applyAlignment="1">
      <alignment horizontal="center"/>
    </xf>
    <xf numFmtId="0" fontId="19" fillId="0" borderId="56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5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523875</xdr:colOff>
      <xdr:row>6</xdr:row>
      <xdr:rowOff>38100</xdr:rowOff>
    </xdr:from>
    <xdr:to>
      <xdr:col>21</xdr:col>
      <xdr:colOff>435068</xdr:colOff>
      <xdr:row>30</xdr:row>
      <xdr:rowOff>93710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9A605F5-DA17-1891-F354-0F4836A29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9600897" y="904875"/>
          <a:ext cx="8401778" cy="42104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687656</xdr:colOff>
      <xdr:row>10</xdr:row>
      <xdr:rowOff>37008</xdr:rowOff>
    </xdr:from>
    <xdr:to>
      <xdr:col>12</xdr:col>
      <xdr:colOff>130968</xdr:colOff>
      <xdr:row>21</xdr:row>
      <xdr:rowOff>83362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8E66C72D-7AC5-991D-7A52-09BB3B8A54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507" r="3355"/>
        <a:stretch/>
      </xdr:blipFill>
      <xdr:spPr>
        <a:xfrm>
          <a:off x="10969665963" y="1955146"/>
          <a:ext cx="8463553" cy="1924443"/>
        </a:xfrm>
        <a:prstGeom prst="rect">
          <a:avLst/>
        </a:prstGeom>
      </xdr:spPr>
    </xdr:pic>
    <xdr:clientData/>
  </xdr:twoCellAnchor>
  <xdr:twoCellAnchor editAs="oneCell">
    <xdr:from>
      <xdr:col>9</xdr:col>
      <xdr:colOff>719334</xdr:colOff>
      <xdr:row>22</xdr:row>
      <xdr:rowOff>88368</xdr:rowOff>
    </xdr:from>
    <xdr:to>
      <xdr:col>15</xdr:col>
      <xdr:colOff>122933</xdr:colOff>
      <xdr:row>33</xdr:row>
      <xdr:rowOff>135018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7A37DE87-3984-AABE-B653-27856AD5A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67628188" y="4056023"/>
          <a:ext cx="3913823" cy="1921564"/>
        </a:xfrm>
        <a:prstGeom prst="rect">
          <a:avLst/>
        </a:prstGeom>
      </xdr:spPr>
    </xdr:pic>
    <xdr:clientData/>
  </xdr:twoCellAnchor>
  <xdr:twoCellAnchor editAs="oneCell">
    <xdr:from>
      <xdr:col>4</xdr:col>
      <xdr:colOff>719713</xdr:colOff>
      <xdr:row>22</xdr:row>
      <xdr:rowOff>98888</xdr:rowOff>
    </xdr:from>
    <xdr:to>
      <xdr:col>9</xdr:col>
      <xdr:colOff>584008</xdr:colOff>
      <xdr:row>33</xdr:row>
      <xdr:rowOff>130321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F6A213E8-DD6B-D79C-B7DA-F87830CCBF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6100" b="7131"/>
        <a:stretch/>
      </xdr:blipFill>
      <xdr:spPr>
        <a:xfrm>
          <a:off x="10971670352" y="4066543"/>
          <a:ext cx="4022866" cy="19063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317862</xdr:colOff>
      <xdr:row>23</xdr:row>
      <xdr:rowOff>41365</xdr:rowOff>
    </xdr:from>
    <xdr:to>
      <xdr:col>14</xdr:col>
      <xdr:colOff>645866</xdr:colOff>
      <xdr:row>35</xdr:row>
      <xdr:rowOff>15512</xdr:rowOff>
    </xdr:to>
    <xdr:pic>
      <xdr:nvPicPr>
        <xdr:cNvPr id="8" name="תמונה 1">
          <a:extLst>
            <a:ext uri="{FF2B5EF4-FFF2-40B4-BE49-F238E27FC236}">
              <a16:creationId xmlns:a16="http://schemas.microsoft.com/office/drawing/2014/main" id="{AE1A28AD-AB7C-3B70-DFC5-B82966EB0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5466776" y="4109901"/>
          <a:ext cx="4614254" cy="2093051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1</xdr:row>
      <xdr:rowOff>165734</xdr:rowOff>
    </xdr:from>
    <xdr:to>
      <xdr:col>7</xdr:col>
      <xdr:colOff>114836</xdr:colOff>
      <xdr:row>22</xdr:row>
      <xdr:rowOff>17144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157D012D-E19D-4AD8-B0FB-0125AD72A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9006164" y="337184"/>
          <a:ext cx="5787836" cy="3455670"/>
        </a:xfrm>
        <a:prstGeom prst="rect">
          <a:avLst/>
        </a:prstGeom>
      </xdr:spPr>
    </xdr:pic>
    <xdr:clientData/>
  </xdr:twoCellAnchor>
  <xdr:twoCellAnchor editAs="oneCell">
    <xdr:from>
      <xdr:col>8</xdr:col>
      <xdr:colOff>330200</xdr:colOff>
      <xdr:row>2</xdr:row>
      <xdr:rowOff>56572</xdr:rowOff>
    </xdr:from>
    <xdr:to>
      <xdr:col>16</xdr:col>
      <xdr:colOff>363754</xdr:colOff>
      <xdr:row>22</xdr:row>
      <xdr:rowOff>97700</xdr:rowOff>
    </xdr:to>
    <xdr:pic>
      <xdr:nvPicPr>
        <xdr:cNvPr id="22" name="תמונה 4">
          <a:extLst>
            <a:ext uri="{FF2B5EF4-FFF2-40B4-BE49-F238E27FC236}">
              <a16:creationId xmlns:a16="http://schemas.microsoft.com/office/drawing/2014/main" id="{EE91B857-00B5-623E-7E04-2E8B6D216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60064883" y="402936"/>
          <a:ext cx="5570007" cy="3671423"/>
        </a:xfrm>
        <a:prstGeom prst="rect">
          <a:avLst/>
        </a:prstGeom>
      </xdr:spPr>
    </xdr:pic>
    <xdr:clientData/>
  </xdr:twoCellAnchor>
  <xdr:twoCellAnchor editAs="oneCell">
    <xdr:from>
      <xdr:col>20</xdr:col>
      <xdr:colOff>316140</xdr:colOff>
      <xdr:row>35</xdr:row>
      <xdr:rowOff>50347</xdr:rowOff>
    </xdr:from>
    <xdr:to>
      <xdr:col>25</xdr:col>
      <xdr:colOff>609278</xdr:colOff>
      <xdr:row>59</xdr:row>
      <xdr:rowOff>19223</xdr:rowOff>
    </xdr:to>
    <xdr:pic>
      <xdr:nvPicPr>
        <xdr:cNvPr id="6" name="תמונה 5">
          <a:extLst>
            <a:ext uri="{FF2B5EF4-FFF2-40B4-BE49-F238E27FC236}">
              <a16:creationId xmlns:a16="http://schemas.microsoft.com/office/drawing/2014/main" id="{F96DD947-B12D-CBA7-6FA6-B53784924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84154722" y="6241597"/>
          <a:ext cx="3558852" cy="4204780"/>
        </a:xfrm>
        <a:prstGeom prst="rect">
          <a:avLst/>
        </a:prstGeom>
      </xdr:spPr>
    </xdr:pic>
    <xdr:clientData/>
  </xdr:twoCellAnchor>
  <xdr:twoCellAnchor editAs="oneCell">
    <xdr:from>
      <xdr:col>1</xdr:col>
      <xdr:colOff>542925</xdr:colOff>
      <xdr:row>23</xdr:row>
      <xdr:rowOff>104775</xdr:rowOff>
    </xdr:from>
    <xdr:to>
      <xdr:col>7</xdr:col>
      <xdr:colOff>526759</xdr:colOff>
      <xdr:row>35</xdr:row>
      <xdr:rowOff>92886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7E43DA54-EE34-54A7-1DE1-B2DB1E10E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18573649" y="4048125"/>
          <a:ext cx="6077476" cy="2034716"/>
        </a:xfrm>
        <a:prstGeom prst="rect">
          <a:avLst/>
        </a:prstGeom>
      </xdr:spPr>
    </xdr:pic>
    <xdr:clientData/>
  </xdr:twoCellAnchor>
  <xdr:twoCellAnchor editAs="oneCell">
    <xdr:from>
      <xdr:col>18</xdr:col>
      <xdr:colOff>138158</xdr:colOff>
      <xdr:row>0</xdr:row>
      <xdr:rowOff>0</xdr:rowOff>
    </xdr:from>
    <xdr:to>
      <xdr:col>26</xdr:col>
      <xdr:colOff>589426</xdr:colOff>
      <xdr:row>29</xdr:row>
      <xdr:rowOff>97738</xdr:rowOff>
    </xdr:to>
    <xdr:pic>
      <xdr:nvPicPr>
        <xdr:cNvPr id="26" name="תמונה 7">
          <a:extLst>
            <a:ext uri="{FF2B5EF4-FFF2-40B4-BE49-F238E27FC236}">
              <a16:creationId xmlns:a16="http://schemas.microsoft.com/office/drawing/2014/main" id="{99E05067-213F-8D42-F183-22F5F7C3B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683505557" y="0"/>
          <a:ext cx="7161856" cy="5228901"/>
        </a:xfrm>
        <a:prstGeom prst="rect">
          <a:avLst/>
        </a:prstGeom>
      </xdr:spPr>
    </xdr:pic>
    <xdr:clientData/>
  </xdr:twoCellAnchor>
  <xdr:twoCellAnchor editAs="oneCell">
    <xdr:from>
      <xdr:col>15</xdr:col>
      <xdr:colOff>469266</xdr:colOff>
      <xdr:row>59</xdr:row>
      <xdr:rowOff>119288</xdr:rowOff>
    </xdr:from>
    <xdr:to>
      <xdr:col>26</xdr:col>
      <xdr:colOff>209117</xdr:colOff>
      <xdr:row>104</xdr:row>
      <xdr:rowOff>96974</xdr:rowOff>
    </xdr:to>
    <xdr:pic>
      <xdr:nvPicPr>
        <xdr:cNvPr id="27" name="תמונה 9">
          <a:extLst>
            <a:ext uri="{FF2B5EF4-FFF2-40B4-BE49-F238E27FC236}">
              <a16:creationId xmlns:a16="http://schemas.microsoft.com/office/drawing/2014/main" id="{D3F99C80-C276-E518-35EC-03C41AFA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83885866" y="10555967"/>
          <a:ext cx="8409868" cy="79340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</xdr:row>
      <xdr:rowOff>73939</xdr:rowOff>
    </xdr:from>
    <xdr:to>
      <xdr:col>5</xdr:col>
      <xdr:colOff>569595</xdr:colOff>
      <xdr:row>28</xdr:row>
      <xdr:rowOff>1315</xdr:rowOff>
    </xdr:to>
    <xdr:pic>
      <xdr:nvPicPr>
        <xdr:cNvPr id="2" name="תמונה 2">
          <a:extLst>
            <a:ext uri="{FF2B5EF4-FFF2-40B4-BE49-F238E27FC236}">
              <a16:creationId xmlns:a16="http://schemas.microsoft.com/office/drawing/2014/main" id="{A66A8459-7F7E-4C8D-9BD6-AB5D0ED11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2090805" y="712114"/>
          <a:ext cx="5779770" cy="4405578"/>
        </a:xfrm>
        <a:prstGeom prst="rect">
          <a:avLst/>
        </a:prstGeom>
      </xdr:spPr>
    </xdr:pic>
    <xdr:clientData/>
  </xdr:twoCellAnchor>
  <xdr:twoCellAnchor editAs="oneCell">
    <xdr:from>
      <xdr:col>2</xdr:col>
      <xdr:colOff>81642</xdr:colOff>
      <xdr:row>31</xdr:row>
      <xdr:rowOff>13607</xdr:rowOff>
    </xdr:from>
    <xdr:to>
      <xdr:col>4</xdr:col>
      <xdr:colOff>358902</xdr:colOff>
      <xdr:row>41</xdr:row>
      <xdr:rowOff>146049</xdr:rowOff>
    </xdr:to>
    <xdr:pic>
      <xdr:nvPicPr>
        <xdr:cNvPr id="3" name="תמונה 1">
          <a:extLst>
            <a:ext uri="{FF2B5EF4-FFF2-40B4-BE49-F238E27FC236}">
              <a16:creationId xmlns:a16="http://schemas.microsoft.com/office/drawing/2014/main" id="{1C598929-76E8-4DB5-A025-7192D9160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22957906" y="5606143"/>
          <a:ext cx="4176523" cy="1902641"/>
        </a:xfrm>
        <a:prstGeom prst="rect">
          <a:avLst/>
        </a:prstGeom>
      </xdr:spPr>
    </xdr:pic>
    <xdr:clientData/>
  </xdr:twoCellAnchor>
  <xdr:twoCellAnchor editAs="oneCell">
    <xdr:from>
      <xdr:col>12</xdr:col>
      <xdr:colOff>174987</xdr:colOff>
      <xdr:row>12</xdr:row>
      <xdr:rowOff>157778</xdr:rowOff>
    </xdr:from>
    <xdr:to>
      <xdr:col>34</xdr:col>
      <xdr:colOff>4158</xdr:colOff>
      <xdr:row>23</xdr:row>
      <xdr:rowOff>115208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7B1A5231-2543-F0F4-4424-7806297B3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1358342" y="2525421"/>
          <a:ext cx="14497671" cy="19032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B8" sqref="B8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45</v>
      </c>
      <c r="B2" s="76">
        <f>'מ"ר אקו'' נחלה'!I15</f>
        <v>905</v>
      </c>
      <c r="K2" s="1"/>
    </row>
    <row r="3" spans="1:11" x14ac:dyDescent="0.35">
      <c r="A3" s="1" t="s">
        <v>17</v>
      </c>
      <c r="B3" s="76">
        <f>'מ"ר אקו'' נחלה'!D15</f>
        <v>910</v>
      </c>
      <c r="K3" s="1"/>
    </row>
    <row r="4" spans="1:11" x14ac:dyDescent="0.35">
      <c r="A4" s="1" t="s">
        <v>90</v>
      </c>
      <c r="B4" s="76">
        <f>'מ"ר אקו'' נחלה'!D28</f>
        <v>164.26834435061687</v>
      </c>
      <c r="K4" s="1"/>
    </row>
    <row r="5" spans="1:11" x14ac:dyDescent="0.35">
      <c r="A5" s="1" t="s">
        <v>3</v>
      </c>
      <c r="B5" s="1">
        <f>'מ"ר אקו'' נחלה'!D56</f>
        <v>806.25</v>
      </c>
      <c r="F5" s="7"/>
      <c r="K5" s="1"/>
    </row>
    <row r="6" spans="1:11" x14ac:dyDescent="0.35">
      <c r="A6" s="1" t="s">
        <v>57</v>
      </c>
      <c r="B6" s="1">
        <f>'מ"ר אקו'' נחלה'!D43</f>
        <v>286.8</v>
      </c>
      <c r="C6" s="1" t="s">
        <v>58</v>
      </c>
      <c r="D6" s="75">
        <f>'מ"ר אקו'' נחלה'!I36</f>
        <v>245</v>
      </c>
      <c r="F6" s="75"/>
      <c r="K6" s="1"/>
    </row>
    <row r="7" spans="1:11" x14ac:dyDescent="0.35">
      <c r="A7" s="1" t="s">
        <v>12</v>
      </c>
      <c r="B7" s="129">
        <v>8000</v>
      </c>
      <c r="C7" s="1" t="s">
        <v>83</v>
      </c>
      <c r="D7" s="5">
        <v>2500</v>
      </c>
      <c r="F7" s="75"/>
      <c r="K7" s="1"/>
    </row>
    <row r="8" spans="1:11" x14ac:dyDescent="0.35">
      <c r="A8" s="3"/>
      <c r="B8" s="5"/>
      <c r="C8" s="1" t="s">
        <v>91</v>
      </c>
      <c r="D8" s="1" t="e">
        <f>'ניתוח איזור לעסקאות דמה'!#REF!</f>
        <v>#REF!</v>
      </c>
      <c r="E8" s="8">
        <v>1.17</v>
      </c>
    </row>
    <row r="9" spans="1:11" x14ac:dyDescent="0.35">
      <c r="B9" s="2" t="s">
        <v>0</v>
      </c>
      <c r="C9" s="4" t="s">
        <v>4</v>
      </c>
      <c r="D9" s="2" t="s">
        <v>1</v>
      </c>
      <c r="E9" s="2" t="s">
        <v>6</v>
      </c>
      <c r="F9" s="2" t="s">
        <v>2</v>
      </c>
      <c r="G9" s="2" t="s">
        <v>67</v>
      </c>
      <c r="J9" s="2"/>
    </row>
    <row r="10" spans="1:11" ht="21" x14ac:dyDescent="0.4">
      <c r="A10" s="77" t="s">
        <v>16</v>
      </c>
      <c r="B10" s="77">
        <f>B5</f>
        <v>806.25</v>
      </c>
      <c r="C10" s="78">
        <v>3.7499999999999999E-2</v>
      </c>
      <c r="D10" s="77">
        <f t="shared" ref="D10:D21" si="0">C10*B10</f>
        <v>30.234375</v>
      </c>
      <c r="E10" s="77">
        <v>1</v>
      </c>
      <c r="F10" s="79">
        <f>D10*$B$7*E10</f>
        <v>241875</v>
      </c>
      <c r="G10" s="75">
        <f>'מ"ר אקו'' נחלה'!D57*-3.75%</f>
        <v>-6562.5</v>
      </c>
      <c r="H10" s="88">
        <f>SUM(F10:G10)</f>
        <v>235312.5</v>
      </c>
      <c r="I10" s="9"/>
      <c r="J10" s="75"/>
    </row>
    <row r="11" spans="1:11" x14ac:dyDescent="0.35">
      <c r="A11" s="82" t="s">
        <v>63</v>
      </c>
      <c r="B11" s="114">
        <f>D6</f>
        <v>245</v>
      </c>
      <c r="C11" s="115">
        <v>0.29249999999999998</v>
      </c>
      <c r="D11" s="82">
        <f t="shared" si="0"/>
        <v>71.662499999999994</v>
      </c>
      <c r="E11" s="82">
        <v>1</v>
      </c>
      <c r="F11" s="84">
        <f>D11*$B$7*E11</f>
        <v>573300</v>
      </c>
      <c r="G11" s="75">
        <f>-'מ"ר אקו'' נחלה'!D44*C11</f>
        <v>-29250</v>
      </c>
      <c r="H11" s="6">
        <f>SUM(F11:G11)</f>
        <v>544050</v>
      </c>
      <c r="J11" s="87"/>
    </row>
    <row r="12" spans="1:11" x14ac:dyDescent="0.35">
      <c r="A12" s="82" t="s">
        <v>64</v>
      </c>
      <c r="B12" s="114">
        <f>B6-B11</f>
        <v>41.800000000000011</v>
      </c>
      <c r="C12" s="115">
        <v>0.33</v>
      </c>
      <c r="D12" s="82">
        <f t="shared" si="0"/>
        <v>13.794000000000004</v>
      </c>
      <c r="E12" s="82">
        <v>1</v>
      </c>
      <c r="F12" s="84">
        <f>D12*$B$7*E12</f>
        <v>110352.00000000003</v>
      </c>
      <c r="G12" s="87">
        <f>G11*53/245</f>
        <v>-6327.5510204081629</v>
      </c>
      <c r="H12" s="6">
        <f>SUM(F12:G12)</f>
        <v>104024.44897959186</v>
      </c>
      <c r="I12" s="9"/>
      <c r="J12" s="75"/>
    </row>
    <row r="13" spans="1:11" ht="21" x14ac:dyDescent="0.4">
      <c r="A13" s="111" t="s">
        <v>65</v>
      </c>
      <c r="B13" s="112">
        <f>SUM(B11:B12)</f>
        <v>286.8</v>
      </c>
      <c r="C13" s="113"/>
      <c r="D13" s="113"/>
      <c r="E13" s="113"/>
      <c r="F13" s="113">
        <f>SUM(F11:F12)</f>
        <v>683652</v>
      </c>
      <c r="G13" s="116"/>
      <c r="H13" s="89">
        <f>SUM(H11:H12)</f>
        <v>648074.44897959183</v>
      </c>
      <c r="J13" s="75"/>
    </row>
    <row r="14" spans="1:11" ht="21" x14ac:dyDescent="0.4">
      <c r="A14" s="77" t="s">
        <v>7</v>
      </c>
      <c r="B14" s="77">
        <f>'מ"ר אקו'' נחלה'!I36</f>
        <v>245</v>
      </c>
      <c r="C14" s="80">
        <f>C35</f>
        <v>0.42499999999999999</v>
      </c>
      <c r="D14" s="77">
        <f>B14*C14</f>
        <v>104.125</v>
      </c>
      <c r="E14" s="77">
        <v>1</v>
      </c>
      <c r="F14" s="79">
        <f>D14*$B$7</f>
        <v>833000</v>
      </c>
      <c r="G14" s="9"/>
      <c r="J14" s="86"/>
    </row>
    <row r="15" spans="1:11" ht="21" x14ac:dyDescent="0.4">
      <c r="A15" s="77" t="s">
        <v>5</v>
      </c>
      <c r="B15" s="81">
        <f>B3+B4</f>
        <v>1074.2683443506169</v>
      </c>
      <c r="C15" s="80">
        <v>0.33</v>
      </c>
      <c r="D15" s="77">
        <f t="shared" si="0"/>
        <v>354.50855363570361</v>
      </c>
      <c r="E15" s="77">
        <v>1</v>
      </c>
      <c r="F15" s="79">
        <f>D15*$B$7*E15</f>
        <v>2836068.4290856291</v>
      </c>
      <c r="G15" s="75">
        <f>-'מ"ר אקו'' נחלה'!D16*C15</f>
        <v>-81510</v>
      </c>
      <c r="H15" s="88">
        <f>SUM(F15:G15)</f>
        <v>2754558.4290856291</v>
      </c>
      <c r="J15" s="137"/>
    </row>
    <row r="16" spans="1:11" ht="21" x14ac:dyDescent="0.4">
      <c r="A16" s="77" t="s">
        <v>210</v>
      </c>
      <c r="B16" s="81">
        <f>B4+B3</f>
        <v>1074.2683443506169</v>
      </c>
      <c r="C16" s="80">
        <v>0.2</v>
      </c>
      <c r="D16" s="77">
        <f t="shared" ref="D16" si="1">C16*B16</f>
        <v>214.85366887012339</v>
      </c>
      <c r="E16" s="77">
        <v>1</v>
      </c>
      <c r="F16" s="79">
        <f>D16*$B$7*E16</f>
        <v>1718829.3509609872</v>
      </c>
      <c r="G16" s="75">
        <f>-C16*'מ"ר אקו'' נחלה'!D16</f>
        <v>-49400</v>
      </c>
      <c r="H16" s="88">
        <f>SUM(F16:G16)</f>
        <v>1669429.3509609872</v>
      </c>
      <c r="J16" s="137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D19*$B$7*E19</f>
        <v>5096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D20*$B$7*E20</f>
        <v>546</v>
      </c>
      <c r="G20" s="9"/>
      <c r="I20" s="6"/>
      <c r="J20" s="9"/>
    </row>
    <row r="21" spans="1:10" ht="21" x14ac:dyDescent="0.4">
      <c r="A21" s="1" t="s">
        <v>70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D21*$D$7*E21</f>
        <v>125</v>
      </c>
      <c r="I21" s="9"/>
    </row>
    <row r="22" spans="1:10" ht="21" x14ac:dyDescent="0.4">
      <c r="A22" s="1" t="s">
        <v>46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D22*$B$7*E22</f>
        <v>2184</v>
      </c>
    </row>
    <row r="23" spans="1:10" ht="21" x14ac:dyDescent="0.4">
      <c r="A23" s="82" t="s">
        <v>84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E23*D23*$D$7</f>
        <v>2275</v>
      </c>
      <c r="I23" s="6"/>
    </row>
    <row r="24" spans="1:10" ht="21" x14ac:dyDescent="0.4">
      <c r="A24" s="1" t="s">
        <v>47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D24*E24*B7</f>
        <v>400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48</v>
      </c>
      <c r="B27" s="85"/>
      <c r="C27" s="8"/>
      <c r="D27" s="186"/>
      <c r="E27" s="186"/>
      <c r="F27" s="5"/>
      <c r="I27" s="75"/>
    </row>
    <row r="29" spans="1:10" x14ac:dyDescent="0.35">
      <c r="A29" s="2" t="s">
        <v>154</v>
      </c>
      <c r="C29" s="75"/>
    </row>
    <row r="30" spans="1:10" x14ac:dyDescent="0.35">
      <c r="A30" s="2"/>
      <c r="B30" s="2" t="s">
        <v>156</v>
      </c>
      <c r="C30" s="2" t="s">
        <v>21</v>
      </c>
      <c r="D30" s="2" t="s">
        <v>155</v>
      </c>
    </row>
    <row r="31" spans="1:10" x14ac:dyDescent="0.35">
      <c r="A31" s="1" t="s">
        <v>152</v>
      </c>
      <c r="B31" s="5">
        <f>'מ"ר אקו'' נחלה'!D43*'תחשיב לפי שווי שומה (2)'!$B$7</f>
        <v>2294400</v>
      </c>
      <c r="C31" s="191">
        <v>1</v>
      </c>
      <c r="D31" s="6">
        <f>C31*$B$7</f>
        <v>8000</v>
      </c>
    </row>
    <row r="32" spans="1:10" x14ac:dyDescent="0.35">
      <c r="A32" s="1" t="s">
        <v>151</v>
      </c>
      <c r="B32" s="6">
        <f>350*$B$7*C32</f>
        <v>420000</v>
      </c>
      <c r="C32" s="191">
        <v>0.15</v>
      </c>
      <c r="D32" s="6">
        <f>C32*$B$7</f>
        <v>1200</v>
      </c>
    </row>
    <row r="33" spans="1:6" x14ac:dyDescent="0.35">
      <c r="C33" s="75"/>
    </row>
    <row r="34" spans="1:6" x14ac:dyDescent="0.35">
      <c r="A34" s="1" t="s">
        <v>149</v>
      </c>
      <c r="B34" s="6">
        <f>B31-B32</f>
        <v>1874400</v>
      </c>
      <c r="C34" s="191">
        <f>C31-C32</f>
        <v>0.85</v>
      </c>
      <c r="D34" s="6">
        <f>C34*$B$7</f>
        <v>6800</v>
      </c>
    </row>
    <row r="35" spans="1:6" x14ac:dyDescent="0.35">
      <c r="A35" s="1" t="s">
        <v>150</v>
      </c>
      <c r="B35" s="6">
        <f>B34*50%</f>
        <v>937200</v>
      </c>
      <c r="C35" s="191">
        <f>C34*50%</f>
        <v>0.42499999999999999</v>
      </c>
      <c r="D35" s="6">
        <f>C35*$B$7</f>
        <v>3400</v>
      </c>
    </row>
    <row r="37" spans="1:6" x14ac:dyDescent="0.35">
      <c r="A37" s="2" t="s">
        <v>158</v>
      </c>
      <c r="C37" s="75"/>
    </row>
    <row r="38" spans="1:6" x14ac:dyDescent="0.35">
      <c r="A38" s="2"/>
      <c r="B38" s="2" t="s">
        <v>156</v>
      </c>
      <c r="C38" s="2" t="s">
        <v>21</v>
      </c>
      <c r="D38" s="2" t="s">
        <v>155</v>
      </c>
    </row>
    <row r="39" spans="1:6" x14ac:dyDescent="0.35">
      <c r="A39" s="1" t="s">
        <v>152</v>
      </c>
      <c r="B39" s="5">
        <f>'מ"ר אקו'' נחלה'!D43*'תחשיב לפי שווי שומה (2)'!$B$7</f>
        <v>2294400</v>
      </c>
      <c r="C39" s="191">
        <v>1</v>
      </c>
      <c r="D39" s="6">
        <f>C39*$B$7</f>
        <v>8000</v>
      </c>
    </row>
    <row r="40" spans="1:6" x14ac:dyDescent="0.35">
      <c r="A40" s="1" t="s">
        <v>159</v>
      </c>
      <c r="B40" s="6">
        <f>B39*70%</f>
        <v>1606080</v>
      </c>
      <c r="C40" s="191">
        <v>0.7</v>
      </c>
      <c r="D40" s="6">
        <f>C40*$B$7</f>
        <v>5600</v>
      </c>
    </row>
    <row r="41" spans="1:6" x14ac:dyDescent="0.35">
      <c r="C41" s="75"/>
    </row>
    <row r="42" spans="1:6" x14ac:dyDescent="0.35">
      <c r="A42" s="1" t="s">
        <v>149</v>
      </c>
      <c r="B42" s="6">
        <f>B39-B40</f>
        <v>688320</v>
      </c>
      <c r="C42" s="191">
        <f>C39-C40</f>
        <v>0.30000000000000004</v>
      </c>
      <c r="D42" s="6">
        <f>C42*$B$7</f>
        <v>2400.0000000000005</v>
      </c>
      <c r="F42" s="6"/>
    </row>
    <row r="43" spans="1:6" x14ac:dyDescent="0.35">
      <c r="A43" s="1" t="s">
        <v>150</v>
      </c>
      <c r="B43" s="6">
        <f>B42*50%</f>
        <v>344160</v>
      </c>
      <c r="C43" s="191">
        <f>C42*50%</f>
        <v>0.15000000000000002</v>
      </c>
      <c r="D43" s="6">
        <f>C43*$B$7</f>
        <v>1200.0000000000002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M57"/>
  <sheetViews>
    <sheetView rightToLeft="1" workbookViewId="0">
      <selection activeCell="A18" sqref="A18:D28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126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55</v>
      </c>
      <c r="B4" s="19">
        <v>345</v>
      </c>
      <c r="C4" s="20">
        <v>1</v>
      </c>
      <c r="D4" s="21">
        <f>C4*B4</f>
        <v>345</v>
      </c>
      <c r="F4" s="18" t="str">
        <f t="shared" ref="F4:H8" si="0">A4</f>
        <v>עיקרי</v>
      </c>
      <c r="G4" s="19">
        <f t="shared" si="0"/>
        <v>345</v>
      </c>
      <c r="H4" s="20">
        <f t="shared" si="0"/>
        <v>1</v>
      </c>
      <c r="I4" s="21">
        <f>H4*G4</f>
        <v>345</v>
      </c>
    </row>
    <row r="5" spans="1:10" x14ac:dyDescent="0.25">
      <c r="A5" s="18" t="s">
        <v>207</v>
      </c>
      <c r="B5" s="19">
        <v>55</v>
      </c>
      <c r="C5" s="20">
        <v>1</v>
      </c>
      <c r="D5" s="21">
        <f>C5*B5</f>
        <v>55</v>
      </c>
      <c r="F5" s="18"/>
      <c r="G5" s="19"/>
      <c r="H5" s="20"/>
      <c r="I5" s="21"/>
    </row>
    <row r="6" spans="1:10" x14ac:dyDescent="0.25">
      <c r="A6" s="18" t="s">
        <v>23</v>
      </c>
      <c r="B6" s="19">
        <v>25</v>
      </c>
      <c r="C6" s="20">
        <v>0.9</v>
      </c>
      <c r="D6" s="21">
        <f>C6*B6</f>
        <v>22.5</v>
      </c>
      <c r="F6" s="18" t="str">
        <f t="shared" si="0"/>
        <v>מרחבים מוגנים</v>
      </c>
      <c r="G6" s="19">
        <f t="shared" si="0"/>
        <v>25</v>
      </c>
      <c r="H6" s="20">
        <f t="shared" si="0"/>
        <v>0.9</v>
      </c>
      <c r="I6" s="21">
        <f>H6*G6</f>
        <v>22.5</v>
      </c>
    </row>
    <row r="7" spans="1:10" x14ac:dyDescent="0.25">
      <c r="A7" s="18" t="s">
        <v>95</v>
      </c>
      <c r="B7" s="19">
        <v>90</v>
      </c>
      <c r="C7" s="20">
        <v>0.45</v>
      </c>
      <c r="D7" s="21">
        <f>C7*B7</f>
        <v>40.5</v>
      </c>
      <c r="F7" s="18" t="str">
        <f t="shared" si="0"/>
        <v>יתרת ש"ש</v>
      </c>
      <c r="G7" s="19">
        <f t="shared" si="0"/>
        <v>90</v>
      </c>
      <c r="H7" s="20">
        <f t="shared" si="0"/>
        <v>0.45</v>
      </c>
      <c r="I7" s="21">
        <f>H7*G7</f>
        <v>40.5</v>
      </c>
    </row>
    <row r="8" spans="1:10" x14ac:dyDescent="0.25">
      <c r="A8" s="18" t="s">
        <v>26</v>
      </c>
      <c r="B8" s="19"/>
      <c r="C8" s="20">
        <v>0.5</v>
      </c>
      <c r="D8" s="21">
        <f>C8*B8</f>
        <v>0</v>
      </c>
      <c r="F8" s="18" t="str">
        <f t="shared" si="0"/>
        <v>מבנה עזר - יתרת שטח</v>
      </c>
      <c r="G8" s="19">
        <f t="shared" si="0"/>
        <v>0</v>
      </c>
      <c r="H8" s="20">
        <f t="shared" si="0"/>
        <v>0.5</v>
      </c>
      <c r="I8" s="21">
        <f>H8*G8</f>
        <v>0</v>
      </c>
    </row>
    <row r="9" spans="1:10" x14ac:dyDescent="0.25">
      <c r="A9" s="22" t="s">
        <v>27</v>
      </c>
      <c r="B9" s="23">
        <f>SUM(B4:B8)</f>
        <v>515</v>
      </c>
      <c r="C9" s="24"/>
      <c r="D9" s="25"/>
      <c r="E9" s="91"/>
      <c r="F9" s="22" t="s">
        <v>27</v>
      </c>
      <c r="G9" s="23">
        <f>SUM(G4:G8)</f>
        <v>460</v>
      </c>
      <c r="H9" s="24"/>
      <c r="I9" s="25"/>
    </row>
    <row r="10" spans="1:10" x14ac:dyDescent="0.25">
      <c r="A10" s="26" t="s">
        <v>28</v>
      </c>
      <c r="B10" s="27">
        <f>B2-B9</f>
        <v>1985</v>
      </c>
      <c r="C10" s="28"/>
      <c r="D10" s="29"/>
      <c r="F10" s="26" t="s">
        <v>28</v>
      </c>
      <c r="G10" s="27">
        <f>G2-G9</f>
        <v>2540</v>
      </c>
      <c r="H10" s="28"/>
      <c r="I10" s="29"/>
    </row>
    <row r="11" spans="1:10" x14ac:dyDescent="0.25">
      <c r="A11" s="22" t="s">
        <v>29</v>
      </c>
      <c r="B11" s="23">
        <v>1000</v>
      </c>
      <c r="C11" s="24">
        <v>0.25</v>
      </c>
      <c r="D11" s="25">
        <f>C11*B11</f>
        <v>250</v>
      </c>
      <c r="F11" s="22" t="s">
        <v>29</v>
      </c>
      <c r="G11" s="23">
        <f>B11</f>
        <v>1000</v>
      </c>
      <c r="H11" s="24">
        <v>0.25</v>
      </c>
      <c r="I11" s="25">
        <f>H11*G11</f>
        <v>250</v>
      </c>
    </row>
    <row r="12" spans="1:10" x14ac:dyDescent="0.25">
      <c r="A12" s="18" t="s">
        <v>30</v>
      </c>
      <c r="B12" s="19">
        <f>B10-B11</f>
        <v>985</v>
      </c>
      <c r="C12" s="20">
        <v>0.2</v>
      </c>
      <c r="D12" s="21">
        <f>C12*B12</f>
        <v>197</v>
      </c>
      <c r="F12" s="18" t="s">
        <v>30</v>
      </c>
      <c r="G12" s="19">
        <f>B12</f>
        <v>985</v>
      </c>
      <c r="H12" s="20">
        <v>0.2</v>
      </c>
      <c r="I12" s="21">
        <f>H12*G12</f>
        <v>197</v>
      </c>
    </row>
    <row r="13" spans="1:10" x14ac:dyDescent="0.25">
      <c r="A13" s="18"/>
      <c r="B13" s="19"/>
      <c r="C13" s="20"/>
      <c r="D13" s="21"/>
      <c r="F13" s="18" t="s">
        <v>71</v>
      </c>
      <c r="G13" s="19">
        <v>500</v>
      </c>
      <c r="H13" s="20">
        <v>0.1</v>
      </c>
      <c r="I13" s="21">
        <f>G13*H13</f>
        <v>50</v>
      </c>
    </row>
    <row r="14" spans="1:10" x14ac:dyDescent="0.25">
      <c r="A14" s="30" t="s">
        <v>31</v>
      </c>
      <c r="B14" s="31">
        <f>SUM(B4:B12)</f>
        <v>5000</v>
      </c>
      <c r="C14" s="32"/>
      <c r="D14" s="33">
        <f>SUM(D4:D13)</f>
        <v>910</v>
      </c>
      <c r="F14" s="30" t="s">
        <v>31</v>
      </c>
      <c r="G14" s="31">
        <f>SUM(G4:G12)</f>
        <v>5445</v>
      </c>
      <c r="H14" s="32"/>
      <c r="I14" s="33">
        <f>SUM(I4:I13)</f>
        <v>905</v>
      </c>
      <c r="J14" s="74"/>
    </row>
    <row r="15" spans="1:10" ht="14.4" thickBot="1" x14ac:dyDescent="0.3">
      <c r="A15" s="34" t="s">
        <v>32</v>
      </c>
      <c r="B15" s="35"/>
      <c r="C15" s="36"/>
      <c r="D15" s="37">
        <f>D14</f>
        <v>910</v>
      </c>
      <c r="E15" s="72"/>
      <c r="F15" s="34" t="s">
        <v>32</v>
      </c>
      <c r="G15" s="35"/>
      <c r="H15" s="36"/>
      <c r="I15" s="37">
        <f>I14</f>
        <v>905</v>
      </c>
    </row>
    <row r="16" spans="1:10" x14ac:dyDescent="0.25">
      <c r="A16" t="s">
        <v>66</v>
      </c>
      <c r="D16" s="17">
        <v>247000</v>
      </c>
      <c r="F16" t="s">
        <v>66</v>
      </c>
      <c r="I16" s="17">
        <v>263000</v>
      </c>
    </row>
    <row r="17" spans="1:9" ht="14.4" thickBot="1" x14ac:dyDescent="0.3">
      <c r="D17" s="17"/>
      <c r="I17" s="17"/>
    </row>
    <row r="18" spans="1:9" x14ac:dyDescent="0.25">
      <c r="A18" s="10" t="s">
        <v>69</v>
      </c>
      <c r="B18" s="11">
        <v>2500</v>
      </c>
      <c r="C18" s="12"/>
      <c r="D18" s="13">
        <v>350</v>
      </c>
      <c r="I18" s="17"/>
    </row>
    <row r="19" spans="1:9" x14ac:dyDescent="0.25">
      <c r="A19" s="14"/>
      <c r="B19" s="15" t="s">
        <v>20</v>
      </c>
      <c r="C19" s="15" t="s">
        <v>21</v>
      </c>
      <c r="D19" s="16" t="s">
        <v>22</v>
      </c>
      <c r="I19" s="17"/>
    </row>
    <row r="20" spans="1:9" x14ac:dyDescent="0.25">
      <c r="A20" s="18" t="s">
        <v>55</v>
      </c>
      <c r="B20" s="19">
        <v>220</v>
      </c>
      <c r="C20" s="20">
        <v>1</v>
      </c>
      <c r="D20" s="21">
        <f>C20*B20</f>
        <v>220</v>
      </c>
      <c r="I20" s="17"/>
    </row>
    <row r="21" spans="1:9" x14ac:dyDescent="0.25">
      <c r="A21" s="18" t="s">
        <v>68</v>
      </c>
      <c r="B21" s="19">
        <v>12</v>
      </c>
      <c r="C21" s="20">
        <v>0.9</v>
      </c>
      <c r="D21" s="21">
        <f>C21*B21</f>
        <v>10.8</v>
      </c>
      <c r="I21" s="17"/>
    </row>
    <row r="22" spans="1:9" x14ac:dyDescent="0.25">
      <c r="A22" s="18" t="s">
        <v>96</v>
      </c>
      <c r="B22" s="19">
        <v>38</v>
      </c>
      <c r="C22" s="20">
        <v>0.5</v>
      </c>
      <c r="D22" s="21">
        <f>C22*B22</f>
        <v>19</v>
      </c>
      <c r="I22" s="17"/>
    </row>
    <row r="23" spans="1:9" x14ac:dyDescent="0.25">
      <c r="A23" s="18" t="s">
        <v>208</v>
      </c>
      <c r="B23" s="19">
        <f>D18*-0.45</f>
        <v>-157.5</v>
      </c>
      <c r="C23" s="20">
        <v>0.2</v>
      </c>
      <c r="D23" s="21">
        <f>C23*B23</f>
        <v>-31.5</v>
      </c>
      <c r="I23" s="17"/>
    </row>
    <row r="24" spans="1:9" x14ac:dyDescent="0.25">
      <c r="A24" s="18" t="s">
        <v>53</v>
      </c>
      <c r="B24" s="19"/>
      <c r="C24" s="20"/>
      <c r="D24" s="21"/>
      <c r="H24">
        <f>876+73</f>
        <v>949</v>
      </c>
      <c r="I24" s="17"/>
    </row>
    <row r="25" spans="1:9" x14ac:dyDescent="0.25">
      <c r="A25" s="18" t="s">
        <v>32</v>
      </c>
      <c r="B25" s="19"/>
      <c r="C25" s="20"/>
      <c r="D25" s="21">
        <f>SUM(D20:D24)</f>
        <v>218.3</v>
      </c>
      <c r="I25" s="17"/>
    </row>
    <row r="26" spans="1:9" x14ac:dyDescent="0.25">
      <c r="A26" s="30" t="s">
        <v>87</v>
      </c>
      <c r="B26" s="31"/>
      <c r="C26" s="32"/>
      <c r="D26" s="214">
        <f>1/1.06^4</f>
        <v>0.79209366323802044</v>
      </c>
      <c r="I26" s="17"/>
    </row>
    <row r="27" spans="1:9" x14ac:dyDescent="0.25">
      <c r="A27" s="43" t="s">
        <v>209</v>
      </c>
      <c r="B27" s="132"/>
      <c r="C27" s="215"/>
      <c r="D27" s="216">
        <v>0.95</v>
      </c>
      <c r="I27" s="17"/>
    </row>
    <row r="28" spans="1:9" ht="14.4" thickBot="1" x14ac:dyDescent="0.3">
      <c r="A28" s="34" t="s">
        <v>32</v>
      </c>
      <c r="B28" s="35"/>
      <c r="C28" s="36"/>
      <c r="D28" s="37">
        <f>D25*D26*D27</f>
        <v>164.26834435061687</v>
      </c>
      <c r="I28" s="17"/>
    </row>
    <row r="29" spans="1:9" x14ac:dyDescent="0.25">
      <c r="D29" s="17"/>
      <c r="I29" s="17"/>
    </row>
    <row r="30" spans="1:9" x14ac:dyDescent="0.25">
      <c r="D30" s="17"/>
      <c r="I30" s="17"/>
    </row>
    <row r="31" spans="1:9" x14ac:dyDescent="0.25">
      <c r="D31" s="17"/>
      <c r="I31" s="17"/>
    </row>
    <row r="32" spans="1:9" ht="14.4" thickBot="1" x14ac:dyDescent="0.3">
      <c r="A32" s="39" t="s">
        <v>157</v>
      </c>
    </row>
    <row r="33" spans="1:13" x14ac:dyDescent="0.25">
      <c r="A33" s="10" t="s">
        <v>51</v>
      </c>
      <c r="B33" s="99">
        <v>350</v>
      </c>
      <c r="C33" s="12" t="s">
        <v>73</v>
      </c>
      <c r="D33" s="13"/>
      <c r="F33" s="10" t="s">
        <v>59</v>
      </c>
      <c r="G33" s="12"/>
      <c r="H33" s="12"/>
      <c r="I33" s="13"/>
      <c r="J33" t="s">
        <v>62</v>
      </c>
    </row>
    <row r="34" spans="1:13" x14ac:dyDescent="0.25">
      <c r="A34" s="22" t="s">
        <v>52</v>
      </c>
      <c r="B34" s="40">
        <v>220</v>
      </c>
      <c r="C34" s="24">
        <v>1</v>
      </c>
      <c r="D34" s="25">
        <f t="shared" ref="D34:D39" si="1">B34*C34</f>
        <v>220</v>
      </c>
      <c r="F34" s="18" t="str">
        <f>A34</f>
        <v>מגורים עיקרי בהרחבה</v>
      </c>
      <c r="G34">
        <v>160</v>
      </c>
      <c r="H34">
        <v>1</v>
      </c>
      <c r="I34" s="21">
        <f>G34*H34</f>
        <v>160</v>
      </c>
      <c r="J34" s="17"/>
      <c r="K34" s="17"/>
    </row>
    <row r="35" spans="1:13" x14ac:dyDescent="0.25">
      <c r="A35" s="18" t="s">
        <v>56</v>
      </c>
      <c r="B35" s="19">
        <v>40</v>
      </c>
      <c r="C35" s="20">
        <v>0.5</v>
      </c>
      <c r="D35" s="21">
        <f t="shared" si="1"/>
        <v>20</v>
      </c>
      <c r="F35" s="18" t="s">
        <v>53</v>
      </c>
      <c r="G35">
        <f>500-G34</f>
        <v>340</v>
      </c>
      <c r="H35">
        <v>0.25</v>
      </c>
      <c r="I35" s="21">
        <f>G35*H35</f>
        <v>85</v>
      </c>
      <c r="J35" s="17"/>
      <c r="K35" s="17"/>
    </row>
    <row r="36" spans="1:13" x14ac:dyDescent="0.25">
      <c r="A36" s="18" t="s">
        <v>23</v>
      </c>
      <c r="B36" s="19">
        <v>12</v>
      </c>
      <c r="C36" s="20">
        <v>0.9</v>
      </c>
      <c r="D36" s="21">
        <f t="shared" si="1"/>
        <v>10.8</v>
      </c>
      <c r="F36" s="43" t="s">
        <v>60</v>
      </c>
      <c r="G36" s="108"/>
      <c r="H36" s="108"/>
      <c r="I36" s="109">
        <f>I34+I35</f>
        <v>245</v>
      </c>
      <c r="J36" s="17">
        <f>'תחשיב לפי שווי שומה (2)'!B7</f>
        <v>8000</v>
      </c>
      <c r="K36" s="17">
        <f>I36*J36</f>
        <v>1960000</v>
      </c>
      <c r="L36" s="110">
        <v>0.29249999999999998</v>
      </c>
      <c r="M36" s="91">
        <f>K36*L36</f>
        <v>573300</v>
      </c>
    </row>
    <row r="37" spans="1:13" ht="14.4" thickBot="1" x14ac:dyDescent="0.3">
      <c r="A37" s="18" t="s">
        <v>24</v>
      </c>
      <c r="B37" s="19">
        <v>11</v>
      </c>
      <c r="C37" s="20">
        <v>0.5</v>
      </c>
      <c r="D37" s="21">
        <f t="shared" si="1"/>
        <v>5.5</v>
      </c>
      <c r="F37" s="101" t="s">
        <v>61</v>
      </c>
      <c r="G37" s="103"/>
      <c r="H37" s="103"/>
      <c r="I37" s="104">
        <f>D43-I36</f>
        <v>41.800000000000011</v>
      </c>
      <c r="J37" s="17">
        <f>J36</f>
        <v>8000</v>
      </c>
      <c r="K37" s="17">
        <f>I37*J37</f>
        <v>334400.00000000012</v>
      </c>
      <c r="L37" s="110">
        <v>0.33</v>
      </c>
      <c r="M37" s="91">
        <f>K37*L37</f>
        <v>110352.00000000004</v>
      </c>
    </row>
    <row r="38" spans="1:13" x14ac:dyDescent="0.25">
      <c r="A38" s="18" t="s">
        <v>25</v>
      </c>
      <c r="B38" s="19">
        <v>30</v>
      </c>
      <c r="C38" s="20">
        <v>0.35</v>
      </c>
      <c r="D38" s="21">
        <f t="shared" si="1"/>
        <v>10.5</v>
      </c>
      <c r="M38" s="91">
        <f>SUM(M36:M37)</f>
        <v>683652</v>
      </c>
    </row>
    <row r="39" spans="1:13" x14ac:dyDescent="0.25">
      <c r="A39" s="100" t="s">
        <v>26</v>
      </c>
      <c r="B39" s="71"/>
      <c r="C39" s="28">
        <v>0.5</v>
      </c>
      <c r="D39" s="29">
        <f t="shared" si="1"/>
        <v>0</v>
      </c>
    </row>
    <row r="40" spans="1:13" x14ac:dyDescent="0.25">
      <c r="A40" s="22" t="s">
        <v>27</v>
      </c>
      <c r="B40" s="23">
        <f>SUM(B34:B39)-B35</f>
        <v>273</v>
      </c>
      <c r="C40" s="24"/>
      <c r="D40" s="25"/>
    </row>
    <row r="41" spans="1:13" x14ac:dyDescent="0.25">
      <c r="A41" s="18" t="s">
        <v>28</v>
      </c>
      <c r="B41" s="19">
        <f>B33-B40</f>
        <v>77</v>
      </c>
      <c r="C41" s="20"/>
      <c r="D41" s="21"/>
    </row>
    <row r="42" spans="1:13" x14ac:dyDescent="0.25">
      <c r="A42" s="26" t="s">
        <v>29</v>
      </c>
      <c r="B42" s="105">
        <v>80</v>
      </c>
      <c r="C42" s="106">
        <v>0.25</v>
      </c>
      <c r="D42" s="107">
        <f>B42*C42</f>
        <v>20</v>
      </c>
    </row>
    <row r="43" spans="1:13" ht="14.4" thickBot="1" x14ac:dyDescent="0.3">
      <c r="A43" s="101" t="s">
        <v>31</v>
      </c>
      <c r="B43" s="102"/>
      <c r="C43" s="103"/>
      <c r="D43" s="104">
        <f>SUM(D34:D42)</f>
        <v>286.8</v>
      </c>
      <c r="F43" s="91"/>
    </row>
    <row r="44" spans="1:13" x14ac:dyDescent="0.25">
      <c r="A44" s="18" t="s">
        <v>74</v>
      </c>
      <c r="B44" s="19"/>
      <c r="D44" s="91">
        <v>100000</v>
      </c>
    </row>
    <row r="46" spans="1:13" ht="14.4" thickBot="1" x14ac:dyDescent="0.3">
      <c r="A46" t="s">
        <v>94</v>
      </c>
      <c r="B46">
        <v>2500</v>
      </c>
      <c r="F46" t="str">
        <f>A46</f>
        <v>לפי שומת הררי 2021</v>
      </c>
      <c r="G46">
        <v>3000</v>
      </c>
    </row>
    <row r="47" spans="1:13" x14ac:dyDescent="0.25">
      <c r="A47" s="10" t="s">
        <v>16</v>
      </c>
      <c r="B47" s="41" t="s">
        <v>20</v>
      </c>
      <c r="C47" s="41" t="s">
        <v>21</v>
      </c>
      <c r="D47" s="42" t="s">
        <v>22</v>
      </c>
      <c r="F47" s="10" t="s">
        <v>16</v>
      </c>
      <c r="G47" s="41" t="s">
        <v>20</v>
      </c>
      <c r="H47" s="41" t="s">
        <v>21</v>
      </c>
      <c r="I47" s="42" t="s">
        <v>22</v>
      </c>
    </row>
    <row r="48" spans="1:13" x14ac:dyDescent="0.25">
      <c r="A48" s="18" t="s">
        <v>14</v>
      </c>
      <c r="B48">
        <v>160</v>
      </c>
      <c r="C48">
        <v>1</v>
      </c>
      <c r="D48" s="21">
        <f t="shared" ref="D48:D53" si="2">C48*B48</f>
        <v>160</v>
      </c>
      <c r="F48" s="18" t="s">
        <v>14</v>
      </c>
      <c r="G48">
        <v>160</v>
      </c>
      <c r="H48">
        <v>1</v>
      </c>
      <c r="I48" s="21">
        <f>H48*G48</f>
        <v>160</v>
      </c>
    </row>
    <row r="49" spans="1:9" x14ac:dyDescent="0.25">
      <c r="A49" s="18" t="s">
        <v>15</v>
      </c>
      <c r="B49">
        <v>160</v>
      </c>
      <c r="C49">
        <v>1</v>
      </c>
      <c r="D49" s="21">
        <f t="shared" si="2"/>
        <v>160</v>
      </c>
      <c r="F49" s="18" t="s">
        <v>15</v>
      </c>
      <c r="G49">
        <v>160</v>
      </c>
      <c r="H49">
        <v>1</v>
      </c>
      <c r="I49" s="21">
        <f>H49*G49</f>
        <v>160</v>
      </c>
    </row>
    <row r="50" spans="1:9" x14ac:dyDescent="0.25">
      <c r="A50" s="18" t="s">
        <v>33</v>
      </c>
      <c r="B50">
        <v>55</v>
      </c>
      <c r="C50">
        <v>1</v>
      </c>
      <c r="D50" s="21">
        <f t="shared" si="2"/>
        <v>55</v>
      </c>
      <c r="F50" s="18" t="s">
        <v>33</v>
      </c>
      <c r="G50">
        <v>55</v>
      </c>
      <c r="H50">
        <v>1</v>
      </c>
      <c r="I50" s="21">
        <f>H50*G50</f>
        <v>55</v>
      </c>
    </row>
    <row r="51" spans="1:9" x14ac:dyDescent="0.25">
      <c r="A51" s="18" t="s">
        <v>27</v>
      </c>
      <c r="B51" s="40">
        <f>SUM(B48:B50)</f>
        <v>375</v>
      </c>
      <c r="D51" s="21"/>
      <c r="F51" s="18" t="s">
        <v>27</v>
      </c>
      <c r="G51" s="40">
        <f>SUM(G48:G50)</f>
        <v>375</v>
      </c>
      <c r="I51" s="21"/>
    </row>
    <row r="52" spans="1:9" x14ac:dyDescent="0.25">
      <c r="A52" s="18" t="s">
        <v>34</v>
      </c>
      <c r="B52">
        <v>1125</v>
      </c>
      <c r="C52" s="20">
        <v>0.25</v>
      </c>
      <c r="D52" s="21">
        <f t="shared" si="2"/>
        <v>281.25</v>
      </c>
      <c r="F52" s="18" t="s">
        <v>34</v>
      </c>
      <c r="G52">
        <v>1125</v>
      </c>
      <c r="H52" s="20">
        <v>0.25</v>
      </c>
      <c r="I52" s="21">
        <f>H52*G52</f>
        <v>281.25</v>
      </c>
    </row>
    <row r="53" spans="1:9" x14ac:dyDescent="0.25">
      <c r="A53" s="18" t="s">
        <v>54</v>
      </c>
      <c r="B53">
        <f>B46-B51-B52</f>
        <v>1000</v>
      </c>
      <c r="C53" s="20">
        <v>0.15</v>
      </c>
      <c r="D53" s="21">
        <f t="shared" si="2"/>
        <v>150</v>
      </c>
      <c r="F53" s="18" t="s">
        <v>54</v>
      </c>
      <c r="G53">
        <v>1000</v>
      </c>
      <c r="H53" s="20">
        <v>0.15</v>
      </c>
      <c r="I53" s="21">
        <f>H53*G53</f>
        <v>150</v>
      </c>
    </row>
    <row r="54" spans="1:9" x14ac:dyDescent="0.25">
      <c r="A54" s="18"/>
      <c r="C54" s="20"/>
      <c r="D54" s="21"/>
      <c r="F54" s="18" t="s">
        <v>72</v>
      </c>
      <c r="G54">
        <v>500</v>
      </c>
      <c r="H54" s="20">
        <v>0.1</v>
      </c>
      <c r="I54" s="128">
        <f>G54*H54</f>
        <v>50</v>
      </c>
    </row>
    <row r="55" spans="1:9" x14ac:dyDescent="0.25">
      <c r="A55" s="43" t="s">
        <v>31</v>
      </c>
      <c r="B55" s="40">
        <f>SUM(B48:B53)</f>
        <v>2875</v>
      </c>
      <c r="C55" s="40"/>
      <c r="D55" s="44">
        <f>SUM(D48:D53)</f>
        <v>806.25</v>
      </c>
      <c r="F55" s="43" t="s">
        <v>31</v>
      </c>
      <c r="G55" s="40">
        <f>SUM(G48:G54)</f>
        <v>3375</v>
      </c>
      <c r="H55" s="40"/>
      <c r="I55" s="44">
        <f>SUM(I48:I54)</f>
        <v>856.25</v>
      </c>
    </row>
    <row r="56" spans="1:9" ht="14.4" thickBot="1" x14ac:dyDescent="0.3">
      <c r="A56" s="34" t="s">
        <v>32</v>
      </c>
      <c r="B56" s="45"/>
      <c r="C56" s="45"/>
      <c r="D56" s="46">
        <f>D55</f>
        <v>806.25</v>
      </c>
      <c r="E56" s="72"/>
      <c r="F56" s="34" t="s">
        <v>32</v>
      </c>
      <c r="G56" s="45"/>
      <c r="H56" s="45"/>
      <c r="I56" s="46">
        <f>I55</f>
        <v>856.25</v>
      </c>
    </row>
    <row r="57" spans="1:9" x14ac:dyDescent="0.25">
      <c r="A57" t="s">
        <v>66</v>
      </c>
      <c r="D57" s="17">
        <v>175000</v>
      </c>
      <c r="F57" t="s">
        <v>66</v>
      </c>
      <c r="I57" s="17">
        <v>190000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O71"/>
  <sheetViews>
    <sheetView rightToLeft="1" tabSelected="1" topLeftCell="A20" zoomScale="130" zoomScaleNormal="130" workbookViewId="0">
      <selection activeCell="H59" sqref="H59"/>
    </sheetView>
  </sheetViews>
  <sheetFormatPr defaultRowHeight="13.8" x14ac:dyDescent="0.25"/>
  <cols>
    <col min="1" max="1" width="5.296875" customWidth="1"/>
    <col min="2" max="2" width="12.5" customWidth="1"/>
    <col min="3" max="3" width="8.69921875" bestFit="1" customWidth="1"/>
    <col min="4" max="4" width="10.296875" style="17" customWidth="1"/>
    <col min="5" max="5" width="10.796875" style="17" bestFit="1" customWidth="1"/>
    <col min="6" max="6" width="8.296875" style="17" bestFit="1" customWidth="1"/>
    <col min="7" max="7" width="8.59765625" bestFit="1" customWidth="1"/>
    <col min="8" max="8" width="14.59765625" bestFit="1" customWidth="1"/>
    <col min="9" max="9" width="12.09765625" bestFit="1" customWidth="1"/>
    <col min="10" max="10" width="14.59765625" bestFit="1" customWidth="1"/>
    <col min="14" max="14" width="9.19921875" bestFit="1" customWidth="1"/>
  </cols>
  <sheetData>
    <row r="2" spans="2:13" ht="15.6" x14ac:dyDescent="0.4">
      <c r="B2" s="39" t="s">
        <v>153</v>
      </c>
      <c r="C2" s="39"/>
      <c r="D2" s="131"/>
    </row>
    <row r="3" spans="2:13" x14ac:dyDescent="0.25">
      <c r="B3" t="s">
        <v>93</v>
      </c>
      <c r="C3" s="149">
        <f>E27</f>
        <v>6850</v>
      </c>
      <c r="D3" s="149"/>
      <c r="G3" s="190"/>
      <c r="H3" s="149"/>
      <c r="I3" s="150"/>
      <c r="J3" s="150"/>
    </row>
    <row r="4" spans="2:13" x14ac:dyDescent="0.25">
      <c r="B4" t="s">
        <v>127</v>
      </c>
      <c r="C4" s="187"/>
      <c r="D4" s="38"/>
      <c r="G4" s="190"/>
      <c r="J4" s="150"/>
    </row>
    <row r="5" spans="2:13" x14ac:dyDescent="0.25">
      <c r="B5" t="s">
        <v>128</v>
      </c>
    </row>
    <row r="6" spans="2:13" x14ac:dyDescent="0.25">
      <c r="B6" t="s">
        <v>129</v>
      </c>
      <c r="C6" s="150">
        <f>E28</f>
        <v>6165</v>
      </c>
      <c r="D6" s="149"/>
    </row>
    <row r="7" spans="2:13" x14ac:dyDescent="0.25">
      <c r="B7" t="s">
        <v>143</v>
      </c>
      <c r="C7" s="91">
        <f>E29</f>
        <v>7500</v>
      </c>
    </row>
    <row r="8" spans="2:13" x14ac:dyDescent="0.25">
      <c r="C8" s="150"/>
    </row>
    <row r="9" spans="2:13" x14ac:dyDescent="0.25">
      <c r="B9" s="39" t="s">
        <v>130</v>
      </c>
      <c r="C9" s="151"/>
    </row>
    <row r="10" spans="2:13" ht="27.6" x14ac:dyDescent="0.4">
      <c r="B10" s="39" t="s">
        <v>132</v>
      </c>
      <c r="C10" s="39" t="s">
        <v>131</v>
      </c>
      <c r="D10" s="131" t="s">
        <v>133</v>
      </c>
      <c r="E10" s="131" t="s">
        <v>134</v>
      </c>
      <c r="F10" s="131" t="s">
        <v>135</v>
      </c>
      <c r="G10" s="131" t="s">
        <v>136</v>
      </c>
      <c r="H10" s="189" t="s">
        <v>137</v>
      </c>
      <c r="I10" s="131" t="s">
        <v>138</v>
      </c>
      <c r="J10" s="131" t="s">
        <v>139</v>
      </c>
      <c r="K10" s="131" t="s">
        <v>140</v>
      </c>
      <c r="L10" s="131" t="s">
        <v>141</v>
      </c>
      <c r="M10" s="131" t="s">
        <v>142</v>
      </c>
    </row>
    <row r="11" spans="2:13" x14ac:dyDescent="0.25">
      <c r="B11" s="188"/>
    </row>
    <row r="13" spans="2:13" x14ac:dyDescent="0.25">
      <c r="C13" s="150"/>
    </row>
    <row r="14" spans="2:13" x14ac:dyDescent="0.25">
      <c r="C14" s="150"/>
    </row>
    <row r="15" spans="2:13" x14ac:dyDescent="0.25">
      <c r="B15" s="39"/>
    </row>
    <row r="16" spans="2:13" x14ac:dyDescent="0.25">
      <c r="C16" s="149"/>
    </row>
    <row r="17" spans="3:5" x14ac:dyDescent="0.25">
      <c r="C17" s="17"/>
    </row>
    <row r="19" spans="3:5" x14ac:dyDescent="0.25">
      <c r="C19" s="150"/>
    </row>
    <row r="20" spans="3:5" x14ac:dyDescent="0.25">
      <c r="C20" s="150"/>
    </row>
    <row r="21" spans="3:5" x14ac:dyDescent="0.25">
      <c r="C21" s="150"/>
    </row>
    <row r="25" spans="3:5" x14ac:dyDescent="0.25">
      <c r="C25" s="274" t="s">
        <v>202</v>
      </c>
      <c r="D25" s="274"/>
      <c r="E25" s="17">
        <v>6400</v>
      </c>
    </row>
    <row r="26" spans="3:5" x14ac:dyDescent="0.25">
      <c r="C26" s="275" t="s">
        <v>203</v>
      </c>
      <c r="D26" s="275"/>
      <c r="E26" s="17">
        <f>E25*1.07</f>
        <v>6848</v>
      </c>
    </row>
    <row r="27" spans="3:5" x14ac:dyDescent="0.25">
      <c r="C27" s="274" t="s">
        <v>204</v>
      </c>
      <c r="D27" s="274"/>
      <c r="E27" s="17">
        <v>6850</v>
      </c>
    </row>
    <row r="28" spans="3:5" x14ac:dyDescent="0.25">
      <c r="C28" s="274" t="s">
        <v>206</v>
      </c>
      <c r="D28" s="274"/>
      <c r="E28" s="17">
        <f>E27*0.9</f>
        <v>6165</v>
      </c>
    </row>
    <row r="29" spans="3:5" x14ac:dyDescent="0.25">
      <c r="C29" s="274" t="s">
        <v>205</v>
      </c>
      <c r="D29" s="274"/>
      <c r="E29" s="17">
        <v>7500</v>
      </c>
    </row>
    <row r="39" spans="2:15" ht="52.8" x14ac:dyDescent="0.25">
      <c r="B39" s="234" t="s">
        <v>240</v>
      </c>
      <c r="C39" s="234" t="s">
        <v>241</v>
      </c>
      <c r="D39" s="234" t="s">
        <v>242</v>
      </c>
      <c r="E39" s="234" t="s">
        <v>243</v>
      </c>
      <c r="F39" s="234" t="s">
        <v>244</v>
      </c>
      <c r="G39" s="234" t="s">
        <v>245</v>
      </c>
      <c r="H39" s="234" t="s">
        <v>246</v>
      </c>
      <c r="I39" s="234" t="s">
        <v>247</v>
      </c>
      <c r="J39" s="234" t="s">
        <v>136</v>
      </c>
      <c r="K39" s="234" t="s">
        <v>248</v>
      </c>
      <c r="L39" s="234" t="s">
        <v>249</v>
      </c>
      <c r="M39" s="234" t="s">
        <v>250</v>
      </c>
      <c r="N39" s="234" t="s">
        <v>251</v>
      </c>
      <c r="O39" s="234" t="s">
        <v>252</v>
      </c>
    </row>
    <row r="40" spans="2:15" ht="39.6" x14ac:dyDescent="0.25">
      <c r="B40" s="235">
        <v>1</v>
      </c>
      <c r="C40" s="235" t="s">
        <v>253</v>
      </c>
      <c r="D40" s="236">
        <v>45615</v>
      </c>
      <c r="E40" s="237">
        <v>3700000</v>
      </c>
      <c r="F40" s="237">
        <f>E40/1.03</f>
        <v>3592233.009708738</v>
      </c>
      <c r="G40" s="235" t="s">
        <v>254</v>
      </c>
      <c r="H40" s="235">
        <v>1</v>
      </c>
      <c r="I40" s="235" t="s">
        <v>255</v>
      </c>
      <c r="J40" s="235">
        <v>1985</v>
      </c>
      <c r="K40" s="235">
        <v>155</v>
      </c>
      <c r="L40" s="235">
        <v>755</v>
      </c>
      <c r="M40" s="238">
        <f>K40*5000</f>
        <v>775000</v>
      </c>
      <c r="N40" s="239">
        <f>F40-M40</f>
        <v>2817233.009708738</v>
      </c>
      <c r="O40" s="239">
        <f>F56</f>
        <v>7101.6713126008017</v>
      </c>
    </row>
    <row r="41" spans="2:15" ht="39.6" x14ac:dyDescent="0.25">
      <c r="B41" s="235">
        <v>2</v>
      </c>
      <c r="C41" s="235" t="s">
        <v>256</v>
      </c>
      <c r="D41" s="236">
        <v>45532</v>
      </c>
      <c r="E41" s="237">
        <v>2790000</v>
      </c>
      <c r="F41" s="237">
        <f>E41</f>
        <v>2790000</v>
      </c>
      <c r="G41" s="235" t="s">
        <v>257</v>
      </c>
      <c r="H41" s="235">
        <v>1</v>
      </c>
      <c r="I41" s="235" t="s">
        <v>255</v>
      </c>
      <c r="J41" s="235">
        <v>0</v>
      </c>
      <c r="K41" s="235">
        <v>500</v>
      </c>
      <c r="L41" s="235">
        <v>500</v>
      </c>
      <c r="M41" s="235">
        <v>0</v>
      </c>
      <c r="N41" s="239">
        <f>F41-M41</f>
        <v>2790000</v>
      </c>
      <c r="O41" s="239">
        <f>F70</f>
        <v>7261.8427902134308</v>
      </c>
    </row>
    <row r="42" spans="2:15" x14ac:dyDescent="0.25">
      <c r="D42"/>
      <c r="E42"/>
      <c r="F42"/>
      <c r="N42" s="217" t="s">
        <v>258</v>
      </c>
      <c r="O42" s="240">
        <f>AVERAGE(O40:O41)</f>
        <v>7181.7570514071158</v>
      </c>
    </row>
    <row r="43" spans="2:15" x14ac:dyDescent="0.25">
      <c r="C43" s="241"/>
      <c r="D43"/>
      <c r="E43"/>
      <c r="F43"/>
      <c r="N43" s="217" t="s">
        <v>259</v>
      </c>
      <c r="O43" s="240">
        <f>O42*0.85</f>
        <v>6104.4934936960481</v>
      </c>
    </row>
    <row r="44" spans="2:15" x14ac:dyDescent="0.25">
      <c r="C44" s="279"/>
      <c r="D44" s="280"/>
      <c r="E44" s="280"/>
      <c r="F44" s="280"/>
      <c r="G44" s="280"/>
      <c r="H44" s="280"/>
      <c r="I44" s="280"/>
      <c r="J44" s="280"/>
      <c r="K44" s="280"/>
      <c r="L44" s="280"/>
      <c r="M44" s="280"/>
      <c r="N44" s="217" t="s">
        <v>205</v>
      </c>
      <c r="O44" s="240">
        <v>7000</v>
      </c>
    </row>
    <row r="45" spans="2:15" x14ac:dyDescent="0.25">
      <c r="C45" s="242"/>
      <c r="D45"/>
      <c r="E45"/>
      <c r="F45"/>
    </row>
    <row r="46" spans="2:15" x14ac:dyDescent="0.25">
      <c r="C46" s="242"/>
      <c r="D46"/>
      <c r="E46"/>
      <c r="F46"/>
    </row>
    <row r="47" spans="2:15" x14ac:dyDescent="0.25">
      <c r="C47" s="276" t="s">
        <v>260</v>
      </c>
      <c r="D47" s="276"/>
      <c r="E47" s="276"/>
      <c r="F47" s="276"/>
    </row>
    <row r="48" spans="2:15" x14ac:dyDescent="0.25">
      <c r="C48" s="217" t="s">
        <v>245</v>
      </c>
      <c r="D48" s="217" t="s">
        <v>248</v>
      </c>
      <c r="E48" s="217" t="s">
        <v>21</v>
      </c>
      <c r="F48" s="217" t="s">
        <v>8</v>
      </c>
      <c r="G48" t="s">
        <v>261</v>
      </c>
    </row>
    <row r="49" spans="3:7" x14ac:dyDescent="0.25">
      <c r="C49" s="217" t="s">
        <v>262</v>
      </c>
      <c r="D49" s="217">
        <f>220/2-6</f>
        <v>104</v>
      </c>
      <c r="E49" s="217">
        <v>1</v>
      </c>
      <c r="F49" s="217">
        <f>E49*D49</f>
        <v>104</v>
      </c>
      <c r="G49">
        <f>L40</f>
        <v>755</v>
      </c>
    </row>
    <row r="50" spans="3:7" x14ac:dyDescent="0.25">
      <c r="C50" s="217" t="s">
        <v>68</v>
      </c>
      <c r="D50" s="217">
        <v>12</v>
      </c>
      <c r="E50" s="217">
        <v>1</v>
      </c>
      <c r="F50" s="217">
        <f>E50*D50</f>
        <v>12</v>
      </c>
    </row>
    <row r="51" spans="3:7" x14ac:dyDescent="0.25">
      <c r="C51" s="217" t="s">
        <v>263</v>
      </c>
      <c r="D51" s="217">
        <f>220-D49</f>
        <v>116</v>
      </c>
      <c r="E51" s="217">
        <v>1</v>
      </c>
      <c r="F51" s="217">
        <f>E51*D51</f>
        <v>116</v>
      </c>
    </row>
    <row r="52" spans="3:7" x14ac:dyDescent="0.25">
      <c r="C52" s="217" t="s">
        <v>95</v>
      </c>
      <c r="D52" s="217">
        <f>45-D50</f>
        <v>33</v>
      </c>
      <c r="E52" s="217">
        <v>0.4</v>
      </c>
      <c r="F52" s="217">
        <f>E52*D52</f>
        <v>13.200000000000001</v>
      </c>
    </row>
    <row r="53" spans="3:7" x14ac:dyDescent="0.25">
      <c r="C53" s="217" t="s">
        <v>264</v>
      </c>
      <c r="D53" s="217">
        <f>G49-D49-D50-D52</f>
        <v>606</v>
      </c>
      <c r="E53" s="217">
        <v>0.25</v>
      </c>
      <c r="F53" s="217">
        <f>E53*D53</f>
        <v>151.5</v>
      </c>
    </row>
    <row r="54" spans="3:7" x14ac:dyDescent="0.25">
      <c r="C54" s="277" t="s">
        <v>265</v>
      </c>
      <c r="D54" s="277"/>
      <c r="E54" s="277"/>
      <c r="F54" s="217">
        <f>SUM(F49:F53)</f>
        <v>396.7</v>
      </c>
    </row>
    <row r="55" spans="3:7" x14ac:dyDescent="0.25">
      <c r="C55" s="277" t="s">
        <v>266</v>
      </c>
      <c r="D55" s="277"/>
      <c r="E55" s="277"/>
      <c r="F55" s="243">
        <f>N40</f>
        <v>2817233.009708738</v>
      </c>
    </row>
    <row r="56" spans="3:7" x14ac:dyDescent="0.25">
      <c r="C56" s="278" t="s">
        <v>267</v>
      </c>
      <c r="D56" s="278"/>
      <c r="E56" s="278"/>
      <c r="F56" s="244">
        <f>F55/F54</f>
        <v>7101.6713126008017</v>
      </c>
    </row>
    <row r="57" spans="3:7" x14ac:dyDescent="0.25">
      <c r="D57"/>
      <c r="E57"/>
      <c r="F57"/>
    </row>
    <row r="58" spans="3:7" x14ac:dyDescent="0.25">
      <c r="D58"/>
      <c r="E58"/>
      <c r="F58"/>
    </row>
    <row r="59" spans="3:7" x14ac:dyDescent="0.25">
      <c r="D59"/>
      <c r="E59"/>
      <c r="F59"/>
    </row>
    <row r="60" spans="3:7" x14ac:dyDescent="0.25">
      <c r="C60" s="276" t="s">
        <v>260</v>
      </c>
      <c r="D60" s="276"/>
      <c r="E60" s="276"/>
      <c r="F60" s="276"/>
    </row>
    <row r="61" spans="3:7" x14ac:dyDescent="0.25">
      <c r="C61" s="217" t="s">
        <v>245</v>
      </c>
      <c r="D61" s="217" t="s">
        <v>248</v>
      </c>
      <c r="E61" s="217" t="s">
        <v>21</v>
      </c>
      <c r="F61" s="217" t="s">
        <v>8</v>
      </c>
      <c r="G61" t="s">
        <v>261</v>
      </c>
    </row>
    <row r="62" spans="3:7" x14ac:dyDescent="0.25">
      <c r="C62" s="217" t="s">
        <v>262</v>
      </c>
      <c r="D62" s="217">
        <f>220/2-6</f>
        <v>104</v>
      </c>
      <c r="E62" s="217">
        <v>1</v>
      </c>
      <c r="F62" s="217">
        <f t="shared" ref="F62:F67" si="0">E62*D62</f>
        <v>104</v>
      </c>
      <c r="G62">
        <f>L41</f>
        <v>500</v>
      </c>
    </row>
    <row r="63" spans="3:7" x14ac:dyDescent="0.25">
      <c r="C63" s="217" t="s">
        <v>68</v>
      </c>
      <c r="D63" s="217">
        <v>12</v>
      </c>
      <c r="E63" s="217">
        <v>1</v>
      </c>
      <c r="F63" s="217">
        <f t="shared" si="0"/>
        <v>12</v>
      </c>
    </row>
    <row r="64" spans="3:7" x14ac:dyDescent="0.25">
      <c r="C64" s="217" t="s">
        <v>263</v>
      </c>
      <c r="D64" s="217">
        <f>220-D62</f>
        <v>116</v>
      </c>
      <c r="E64" s="217">
        <v>1</v>
      </c>
      <c r="F64" s="217">
        <f t="shared" si="0"/>
        <v>116</v>
      </c>
    </row>
    <row r="65" spans="3:6" x14ac:dyDescent="0.25">
      <c r="C65" s="217" t="s">
        <v>95</v>
      </c>
      <c r="D65" s="217">
        <f>60-D63</f>
        <v>48</v>
      </c>
      <c r="E65" s="217">
        <v>0.4</v>
      </c>
      <c r="F65" s="217">
        <f t="shared" si="0"/>
        <v>19.200000000000003</v>
      </c>
    </row>
    <row r="66" spans="3:6" x14ac:dyDescent="0.25">
      <c r="C66" s="217" t="s">
        <v>268</v>
      </c>
      <c r="D66" s="217">
        <v>70</v>
      </c>
      <c r="E66" s="217">
        <v>0.7</v>
      </c>
      <c r="F66" s="217">
        <f t="shared" si="0"/>
        <v>49</v>
      </c>
    </row>
    <row r="67" spans="3:6" x14ac:dyDescent="0.25">
      <c r="C67" s="217" t="s">
        <v>53</v>
      </c>
      <c r="D67" s="217">
        <f>G62-D62-D63-D65</f>
        <v>336</v>
      </c>
      <c r="E67" s="217">
        <v>0.25</v>
      </c>
      <c r="F67" s="217">
        <f t="shared" si="0"/>
        <v>84</v>
      </c>
    </row>
    <row r="68" spans="3:6" x14ac:dyDescent="0.25">
      <c r="C68" s="277" t="s">
        <v>265</v>
      </c>
      <c r="D68" s="277"/>
      <c r="E68" s="277"/>
      <c r="F68" s="217">
        <f>SUM(F62:F67)</f>
        <v>384.2</v>
      </c>
    </row>
    <row r="69" spans="3:6" x14ac:dyDescent="0.25">
      <c r="C69" s="277" t="s">
        <v>266</v>
      </c>
      <c r="D69" s="277"/>
      <c r="E69" s="277"/>
      <c r="F69" s="243">
        <f>N41</f>
        <v>2790000</v>
      </c>
    </row>
    <row r="70" spans="3:6" x14ac:dyDescent="0.25">
      <c r="C70" s="278" t="s">
        <v>267</v>
      </c>
      <c r="D70" s="278"/>
      <c r="E70" s="278"/>
      <c r="F70" s="244">
        <f>F69/F68</f>
        <v>7261.8427902134308</v>
      </c>
    </row>
    <row r="71" spans="3:6" x14ac:dyDescent="0.25">
      <c r="D71"/>
      <c r="E71"/>
      <c r="F71"/>
    </row>
  </sheetData>
  <mergeCells count="14">
    <mergeCell ref="C60:F60"/>
    <mergeCell ref="C68:E68"/>
    <mergeCell ref="C69:E69"/>
    <mergeCell ref="C70:E70"/>
    <mergeCell ref="C44:M44"/>
    <mergeCell ref="C47:F47"/>
    <mergeCell ref="C54:E54"/>
    <mergeCell ref="C55:E55"/>
    <mergeCell ref="C56:E56"/>
    <mergeCell ref="C25:D25"/>
    <mergeCell ref="C26:D26"/>
    <mergeCell ref="C27:D27"/>
    <mergeCell ref="C28:D28"/>
    <mergeCell ref="C29:D2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A30D-52AB-47E8-8C67-09C4D0DD29FC}">
  <dimension ref="E2:M14"/>
  <sheetViews>
    <sheetView rightToLeft="1" workbookViewId="0">
      <selection activeCell="E20" sqref="E20"/>
    </sheetView>
  </sheetViews>
  <sheetFormatPr defaultRowHeight="13.8" x14ac:dyDescent="0.25"/>
  <cols>
    <col min="5" max="5" width="14.69921875" bestFit="1" customWidth="1"/>
    <col min="7" max="7" width="8.59765625" customWidth="1"/>
    <col min="9" max="9" width="4.796875" customWidth="1"/>
    <col min="11" max="11" width="7.3984375" customWidth="1"/>
    <col min="13" max="13" width="6.796875" customWidth="1"/>
  </cols>
  <sheetData>
    <row r="2" spans="5:13" ht="14.4" thickBot="1" x14ac:dyDescent="0.3"/>
    <row r="3" spans="5:13" ht="14.4" thickBot="1" x14ac:dyDescent="0.3">
      <c r="E3" s="311" t="s">
        <v>217</v>
      </c>
      <c r="F3" s="312"/>
      <c r="G3" s="312"/>
      <c r="H3" s="312"/>
      <c r="I3" s="312"/>
      <c r="J3" s="312"/>
      <c r="K3" s="312"/>
      <c r="L3" s="312"/>
      <c r="M3" s="313"/>
    </row>
    <row r="4" spans="5:13" ht="14.4" thickBot="1" x14ac:dyDescent="0.3">
      <c r="E4" s="286" t="s">
        <v>211</v>
      </c>
      <c r="F4" s="281" t="s">
        <v>215</v>
      </c>
      <c r="G4" s="282"/>
      <c r="H4" s="282"/>
      <c r="I4" s="283"/>
      <c r="J4" s="284" t="s">
        <v>216</v>
      </c>
      <c r="K4" s="284"/>
      <c r="L4" s="284"/>
      <c r="M4" s="285"/>
    </row>
    <row r="5" spans="5:13" x14ac:dyDescent="0.25">
      <c r="E5" s="287"/>
      <c r="F5" s="338" t="s">
        <v>269</v>
      </c>
      <c r="G5" s="298"/>
      <c r="H5" s="297" t="s">
        <v>212</v>
      </c>
      <c r="I5" s="298"/>
      <c r="J5" s="307" t="s">
        <v>271</v>
      </c>
      <c r="K5" s="308"/>
      <c r="L5" s="297" t="s">
        <v>272</v>
      </c>
      <c r="M5" s="298"/>
    </row>
    <row r="6" spans="5:13" ht="14.4" thickBot="1" x14ac:dyDescent="0.3">
      <c r="E6" s="288"/>
      <c r="F6" s="339"/>
      <c r="G6" s="300"/>
      <c r="H6" s="299"/>
      <c r="I6" s="300"/>
      <c r="J6" s="309"/>
      <c r="K6" s="310"/>
      <c r="L6" s="299"/>
      <c r="M6" s="300"/>
    </row>
    <row r="7" spans="5:13" x14ac:dyDescent="0.25">
      <c r="E7" s="301" t="s">
        <v>195</v>
      </c>
      <c r="F7" s="332">
        <v>400000</v>
      </c>
      <c r="G7" s="333"/>
      <c r="H7" s="303" t="s">
        <v>213</v>
      </c>
      <c r="I7" s="304"/>
      <c r="J7" s="332" t="s">
        <v>213</v>
      </c>
      <c r="K7" s="333"/>
      <c r="L7" s="303" t="s">
        <v>213</v>
      </c>
      <c r="M7" s="329"/>
    </row>
    <row r="8" spans="5:13" x14ac:dyDescent="0.25">
      <c r="E8" s="302"/>
      <c r="F8" s="334"/>
      <c r="G8" s="335"/>
      <c r="H8" s="305"/>
      <c r="I8" s="306"/>
      <c r="J8" s="332"/>
      <c r="K8" s="333"/>
      <c r="L8" s="305"/>
      <c r="M8" s="330"/>
    </row>
    <row r="9" spans="5:13" x14ac:dyDescent="0.25">
      <c r="E9" s="314" t="s">
        <v>270</v>
      </c>
      <c r="F9" s="314" t="s">
        <v>213</v>
      </c>
      <c r="G9" s="331"/>
      <c r="H9" s="323">
        <f>40000*2</f>
        <v>80000</v>
      </c>
      <c r="I9" s="324"/>
      <c r="J9" s="336" t="s">
        <v>213</v>
      </c>
      <c r="K9" s="337"/>
      <c r="L9" s="325">
        <f>40000*2</f>
        <v>80000</v>
      </c>
      <c r="M9" s="326"/>
    </row>
    <row r="10" spans="5:13" x14ac:dyDescent="0.25">
      <c r="E10" s="302"/>
      <c r="F10" s="302"/>
      <c r="G10" s="306"/>
      <c r="H10" s="323"/>
      <c r="I10" s="324"/>
      <c r="J10" s="336"/>
      <c r="K10" s="337"/>
      <c r="L10" s="327"/>
      <c r="M10" s="328"/>
    </row>
    <row r="11" spans="5:13" x14ac:dyDescent="0.25">
      <c r="E11" s="314" t="s">
        <v>214</v>
      </c>
      <c r="F11" s="314" t="s">
        <v>162</v>
      </c>
      <c r="G11" s="315"/>
      <c r="H11" s="303" t="s">
        <v>162</v>
      </c>
      <c r="I11" s="304"/>
      <c r="J11" s="314" t="s">
        <v>162</v>
      </c>
      <c r="K11" s="315"/>
      <c r="L11" s="320" t="s">
        <v>163</v>
      </c>
      <c r="M11" s="321"/>
    </row>
    <row r="12" spans="5:13" ht="14.4" thickBot="1" x14ac:dyDescent="0.3">
      <c r="E12" s="301"/>
      <c r="F12" s="316"/>
      <c r="G12" s="317"/>
      <c r="H12" s="318"/>
      <c r="I12" s="319"/>
      <c r="J12" s="316"/>
      <c r="K12" s="317"/>
      <c r="L12" s="318"/>
      <c r="M12" s="322"/>
    </row>
    <row r="13" spans="5:13" x14ac:dyDescent="0.25">
      <c r="E13" s="295" t="s">
        <v>8</v>
      </c>
      <c r="F13" s="289">
        <f>H9+F7</f>
        <v>480000</v>
      </c>
      <c r="G13" s="290"/>
      <c r="H13" s="290"/>
      <c r="I13" s="291"/>
      <c r="J13" s="290">
        <f>L9</f>
        <v>80000</v>
      </c>
      <c r="K13" s="290"/>
      <c r="L13" s="290"/>
      <c r="M13" s="291"/>
    </row>
    <row r="14" spans="5:13" ht="14.4" thickBot="1" x14ac:dyDescent="0.3">
      <c r="E14" s="296"/>
      <c r="F14" s="292"/>
      <c r="G14" s="293"/>
      <c r="H14" s="293"/>
      <c r="I14" s="294"/>
      <c r="J14" s="293"/>
      <c r="K14" s="293"/>
      <c r="L14" s="293"/>
      <c r="M14" s="294"/>
    </row>
  </sheetData>
  <mergeCells count="26">
    <mergeCell ref="E3:M3"/>
    <mergeCell ref="E11:E12"/>
    <mergeCell ref="F11:G12"/>
    <mergeCell ref="H11:I12"/>
    <mergeCell ref="J11:K12"/>
    <mergeCell ref="L11:M12"/>
    <mergeCell ref="E9:E10"/>
    <mergeCell ref="H9:I10"/>
    <mergeCell ref="L9:M10"/>
    <mergeCell ref="L7:M8"/>
    <mergeCell ref="F9:G10"/>
    <mergeCell ref="F7:G8"/>
    <mergeCell ref="J7:K8"/>
    <mergeCell ref="J9:K10"/>
    <mergeCell ref="F5:G6"/>
    <mergeCell ref="H5:I6"/>
    <mergeCell ref="F4:I4"/>
    <mergeCell ref="J4:M4"/>
    <mergeCell ref="E4:E6"/>
    <mergeCell ref="F13:I14"/>
    <mergeCell ref="J13:M14"/>
    <mergeCell ref="E13:E14"/>
    <mergeCell ref="L5:M6"/>
    <mergeCell ref="E7:E8"/>
    <mergeCell ref="H7:I8"/>
    <mergeCell ref="J5:K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7ED5-B825-4450-99CA-52A7935B247E}">
  <dimension ref="D33:AB110"/>
  <sheetViews>
    <sheetView rightToLeft="1" zoomScale="70" zoomScaleNormal="70" workbookViewId="0">
      <selection activeCell="K61" sqref="K61"/>
    </sheetView>
  </sheetViews>
  <sheetFormatPr defaultRowHeight="13.8" x14ac:dyDescent="0.25"/>
  <cols>
    <col min="4" max="4" width="13.296875" bestFit="1" customWidth="1"/>
    <col min="5" max="5" width="15.59765625" bestFit="1" customWidth="1"/>
    <col min="6" max="6" width="15.09765625" customWidth="1"/>
    <col min="7" max="7" width="18" bestFit="1" customWidth="1"/>
    <col min="8" max="8" width="14.8984375" bestFit="1" customWidth="1"/>
    <col min="9" max="9" width="12.5" customWidth="1"/>
    <col min="19" max="19" width="24.296875" bestFit="1" customWidth="1"/>
    <col min="20" max="20" width="11.796875" bestFit="1" customWidth="1"/>
  </cols>
  <sheetData>
    <row r="33" spans="4:28" ht="14.4" thickBot="1" x14ac:dyDescent="0.3"/>
    <row r="34" spans="4:28" x14ac:dyDescent="0.25">
      <c r="P34" s="10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3"/>
    </row>
    <row r="35" spans="4:28" x14ac:dyDescent="0.25">
      <c r="P35" s="18"/>
      <c r="AB35" s="21"/>
    </row>
    <row r="36" spans="4:28" ht="14.4" thickBot="1" x14ac:dyDescent="0.3">
      <c r="P36" s="18"/>
      <c r="AB36" s="21"/>
    </row>
    <row r="37" spans="4:28" ht="14.4" thickBot="1" x14ac:dyDescent="0.3">
      <c r="D37" s="342" t="s">
        <v>230</v>
      </c>
      <c r="E37" s="343"/>
      <c r="F37" s="343"/>
      <c r="G37" s="343"/>
      <c r="H37" s="344"/>
      <c r="P37" s="18"/>
      <c r="S37" s="345" t="s">
        <v>231</v>
      </c>
      <c r="T37" s="346"/>
      <c r="U37" s="245"/>
      <c r="V37" s="245"/>
      <c r="W37" s="245"/>
      <c r="X37" s="245"/>
      <c r="AB37" s="21"/>
    </row>
    <row r="38" spans="4:28" ht="14.4" thickBot="1" x14ac:dyDescent="0.3">
      <c r="D38" s="18"/>
      <c r="G38" t="s">
        <v>227</v>
      </c>
      <c r="H38" s="21"/>
      <c r="P38" s="18"/>
      <c r="S38" s="18" t="s">
        <v>233</v>
      </c>
      <c r="T38" s="21">
        <f>6500/1.07^7</f>
        <v>4047.8733222498422</v>
      </c>
      <c r="AB38" s="21"/>
    </row>
    <row r="39" spans="4:28" x14ac:dyDescent="0.25">
      <c r="D39" s="220" t="s">
        <v>218</v>
      </c>
      <c r="E39" s="221" t="s">
        <v>219</v>
      </c>
      <c r="F39" s="221" t="s">
        <v>224</v>
      </c>
      <c r="G39" s="221" t="s">
        <v>220</v>
      </c>
      <c r="H39" s="222" t="s">
        <v>221</v>
      </c>
      <c r="P39" s="18"/>
      <c r="S39" s="18" t="s">
        <v>232</v>
      </c>
      <c r="T39" s="229">
        <f>T38*375</f>
        <v>1517952.4958436908</v>
      </c>
      <c r="AB39" s="21"/>
    </row>
    <row r="40" spans="4:28" x14ac:dyDescent="0.25">
      <c r="D40" s="223">
        <v>38147</v>
      </c>
      <c r="E40" s="218">
        <v>410000</v>
      </c>
      <c r="F40" s="219">
        <f>E40*4.524</f>
        <v>1854840</v>
      </c>
      <c r="G40" s="217">
        <v>1.23</v>
      </c>
      <c r="H40" s="224">
        <f>F40*G40</f>
        <v>2281453.2000000002</v>
      </c>
      <c r="P40" s="18"/>
      <c r="S40" s="18" t="s">
        <v>234</v>
      </c>
      <c r="T40" s="230">
        <f>54600</f>
        <v>54600</v>
      </c>
      <c r="AB40" s="21"/>
    </row>
    <row r="41" spans="4:28" x14ac:dyDescent="0.25">
      <c r="D41" s="18"/>
      <c r="H41" s="21"/>
      <c r="P41" s="18"/>
      <c r="S41" s="18" t="s">
        <v>235</v>
      </c>
      <c r="T41" s="230">
        <f>200000</f>
        <v>200000</v>
      </c>
      <c r="AB41" s="21"/>
    </row>
    <row r="42" spans="4:28" x14ac:dyDescent="0.25">
      <c r="D42" s="349" t="s">
        <v>222</v>
      </c>
      <c r="E42" s="277"/>
      <c r="F42" s="277"/>
      <c r="G42" s="277"/>
      <c r="H42" s="225" t="s">
        <v>223</v>
      </c>
      <c r="P42" s="18"/>
      <c r="S42" s="18" t="s">
        <v>236</v>
      </c>
      <c r="T42" s="230">
        <f>27*6000</f>
        <v>162000</v>
      </c>
      <c r="AB42" s="21"/>
    </row>
    <row r="43" spans="4:28" x14ac:dyDescent="0.25">
      <c r="D43" s="350">
        <v>42895</v>
      </c>
      <c r="E43" s="351"/>
      <c r="F43" s="351"/>
      <c r="G43" s="351"/>
      <c r="H43" s="224">
        <v>5000000</v>
      </c>
      <c r="P43" s="18"/>
      <c r="S43" s="18" t="s">
        <v>8</v>
      </c>
      <c r="T43" s="230">
        <f>SUM(T39:T42)</f>
        <v>1934552.4958436908</v>
      </c>
      <c r="AB43" s="21"/>
    </row>
    <row r="44" spans="4:28" x14ac:dyDescent="0.25">
      <c r="D44" s="18"/>
      <c r="H44" s="21"/>
      <c r="P44" s="18"/>
      <c r="S44" s="18"/>
      <c r="T44" s="21"/>
      <c r="AB44" s="21"/>
    </row>
    <row r="45" spans="4:28" x14ac:dyDescent="0.25">
      <c r="D45" s="352" t="s">
        <v>225</v>
      </c>
      <c r="E45" s="353"/>
      <c r="F45" s="353"/>
      <c r="G45" s="354"/>
      <c r="H45" s="224">
        <f>H43-H40</f>
        <v>2718546.8</v>
      </c>
      <c r="P45" s="18"/>
      <c r="S45" s="18" t="s">
        <v>223</v>
      </c>
      <c r="T45" s="230">
        <f>5000000</f>
        <v>5000000</v>
      </c>
      <c r="AB45" s="21"/>
    </row>
    <row r="46" spans="4:28" x14ac:dyDescent="0.25">
      <c r="D46" s="347" t="s">
        <v>226</v>
      </c>
      <c r="E46" s="348"/>
      <c r="F46" s="348"/>
      <c r="G46" s="348"/>
      <c r="H46" s="228">
        <f>H45/3</f>
        <v>906182.2666666666</v>
      </c>
      <c r="P46" s="18"/>
      <c r="S46" s="18" t="s">
        <v>237</v>
      </c>
      <c r="T46" s="230">
        <f>T45-T43</f>
        <v>3065447.5041563092</v>
      </c>
      <c r="AB46" s="21"/>
    </row>
    <row r="47" spans="4:28" x14ac:dyDescent="0.25">
      <c r="D47" s="349" t="s">
        <v>229</v>
      </c>
      <c r="E47" s="277"/>
      <c r="F47" s="277"/>
      <c r="G47" s="277"/>
      <c r="H47" s="226">
        <f>615000*0.02</f>
        <v>12300</v>
      </c>
      <c r="P47" s="18"/>
      <c r="S47" s="18" t="s">
        <v>238</v>
      </c>
      <c r="T47" s="230">
        <f>T46/3</f>
        <v>1021815.8347187698</v>
      </c>
      <c r="AB47" s="21"/>
    </row>
    <row r="48" spans="4:28" ht="14.4" thickBot="1" x14ac:dyDescent="0.3">
      <c r="D48" s="340" t="s">
        <v>8</v>
      </c>
      <c r="E48" s="341"/>
      <c r="F48" s="341"/>
      <c r="G48" s="341"/>
      <c r="H48" s="227">
        <f>H47+H46</f>
        <v>918482.2666666666</v>
      </c>
      <c r="P48" s="18"/>
      <c r="S48" s="18" t="s">
        <v>239</v>
      </c>
      <c r="T48" s="128">
        <f>615000*0.02</f>
        <v>12300</v>
      </c>
      <c r="AB48" s="21"/>
    </row>
    <row r="49" spans="4:28" ht="14.4" thickBot="1" x14ac:dyDescent="0.3">
      <c r="P49" s="18"/>
      <c r="S49" s="232" t="s">
        <v>8</v>
      </c>
      <c r="T49" s="233">
        <f>T48+T47</f>
        <v>1034115.8347187698</v>
      </c>
      <c r="AB49" s="21"/>
    </row>
    <row r="50" spans="4:28" x14ac:dyDescent="0.25">
      <c r="P50" s="18"/>
      <c r="AB50" s="21"/>
    </row>
    <row r="51" spans="4:28" x14ac:dyDescent="0.25">
      <c r="P51" s="18"/>
      <c r="AB51" s="21"/>
    </row>
    <row r="52" spans="4:28" x14ac:dyDescent="0.25">
      <c r="P52" s="18"/>
      <c r="AB52" s="21"/>
    </row>
    <row r="53" spans="4:28" x14ac:dyDescent="0.25">
      <c r="P53" s="18"/>
      <c r="AB53" s="21"/>
    </row>
    <row r="54" spans="4:28" x14ac:dyDescent="0.25">
      <c r="P54" s="18"/>
      <c r="AB54" s="21"/>
    </row>
    <row r="55" spans="4:28" x14ac:dyDescent="0.25">
      <c r="P55" s="18"/>
      <c r="AB55" s="21"/>
    </row>
    <row r="56" spans="4:28" x14ac:dyDescent="0.25">
      <c r="D56" t="s">
        <v>273</v>
      </c>
      <c r="E56" s="149">
        <v>5000000</v>
      </c>
      <c r="P56" s="18"/>
      <c r="AB56" s="21"/>
    </row>
    <row r="57" spans="4:28" x14ac:dyDescent="0.25">
      <c r="D57" t="s">
        <v>274</v>
      </c>
      <c r="E57" s="248">
        <f>H40</f>
        <v>2281453.2000000002</v>
      </c>
      <c r="P57" s="18"/>
      <c r="AB57" s="21"/>
    </row>
    <row r="58" spans="4:28" x14ac:dyDescent="0.25">
      <c r="D58" t="s">
        <v>275</v>
      </c>
      <c r="E58" t="s">
        <v>276</v>
      </c>
      <c r="P58" s="18"/>
      <c r="AB58" s="21"/>
    </row>
    <row r="59" spans="4:28" x14ac:dyDescent="0.25">
      <c r="D59" t="s">
        <v>277</v>
      </c>
      <c r="E59" s="149">
        <v>614600</v>
      </c>
      <c r="F59" s="17"/>
      <c r="P59" s="18"/>
      <c r="AB59" s="21"/>
    </row>
    <row r="60" spans="4:28" x14ac:dyDescent="0.25">
      <c r="P60" s="18"/>
      <c r="AB60" s="21"/>
    </row>
    <row r="61" spans="4:28" x14ac:dyDescent="0.25">
      <c r="P61" s="18"/>
      <c r="AB61" s="21"/>
    </row>
    <row r="62" spans="4:28" x14ac:dyDescent="0.25">
      <c r="D62" s="249"/>
      <c r="E62" s="40" t="s">
        <v>278</v>
      </c>
      <c r="F62" s="40" t="s">
        <v>279</v>
      </c>
      <c r="G62" s="250"/>
      <c r="P62" s="18"/>
      <c r="AB62" s="21"/>
    </row>
    <row r="63" spans="4:28" x14ac:dyDescent="0.25">
      <c r="D63" s="251" t="s">
        <v>280</v>
      </c>
      <c r="E63" s="252">
        <f>E56</f>
        <v>5000000</v>
      </c>
      <c r="F63" s="252">
        <f>E59</f>
        <v>614600</v>
      </c>
      <c r="G63" s="253" t="s">
        <v>281</v>
      </c>
      <c r="P63" s="18"/>
      <c r="AB63" s="21"/>
    </row>
    <row r="64" spans="4:28" x14ac:dyDescent="0.25">
      <c r="P64" s="18"/>
      <c r="AB64" s="21"/>
    </row>
    <row r="65" spans="4:28" x14ac:dyDescent="0.25">
      <c r="D65" s="249"/>
      <c r="E65" s="40" t="s">
        <v>278</v>
      </c>
      <c r="F65" s="40" t="s">
        <v>279</v>
      </c>
      <c r="G65" s="250"/>
      <c r="P65" s="18"/>
      <c r="AB65" s="21"/>
    </row>
    <row r="66" spans="4:28" x14ac:dyDescent="0.25">
      <c r="D66" s="254" t="s">
        <v>282</v>
      </c>
      <c r="E66" s="150">
        <f>E56</f>
        <v>5000000</v>
      </c>
      <c r="F66" s="150">
        <f>E59</f>
        <v>614600</v>
      </c>
      <c r="G66" s="255" t="s">
        <v>284</v>
      </c>
      <c r="P66" s="18"/>
      <c r="AB66" s="21"/>
    </row>
    <row r="67" spans="4:28" x14ac:dyDescent="0.25">
      <c r="D67" s="254"/>
      <c r="G67" s="255"/>
      <c r="P67" s="18"/>
      <c r="AB67" s="21"/>
    </row>
    <row r="68" spans="4:28" x14ac:dyDescent="0.25">
      <c r="D68" s="254"/>
      <c r="E68" t="s">
        <v>278</v>
      </c>
      <c r="F68" t="s">
        <v>283</v>
      </c>
      <c r="G68" s="255"/>
      <c r="P68" s="18"/>
      <c r="AB68" s="21"/>
    </row>
    <row r="69" spans="4:28" x14ac:dyDescent="0.25">
      <c r="D69" s="254"/>
      <c r="E69" s="150">
        <f>E56</f>
        <v>5000000</v>
      </c>
      <c r="F69" s="248">
        <f>E57</f>
        <v>2281453.2000000002</v>
      </c>
      <c r="G69" s="255" t="s">
        <v>285</v>
      </c>
      <c r="P69" s="18"/>
      <c r="AB69" s="21"/>
    </row>
    <row r="70" spans="4:28" x14ac:dyDescent="0.25">
      <c r="D70" s="254"/>
      <c r="G70" s="255"/>
      <c r="P70" s="18"/>
      <c r="AB70" s="21"/>
    </row>
    <row r="71" spans="4:28" x14ac:dyDescent="0.25">
      <c r="D71" s="254"/>
      <c r="E71" t="s">
        <v>278</v>
      </c>
      <c r="F71" t="s">
        <v>275</v>
      </c>
      <c r="G71" s="255"/>
      <c r="P71" s="18"/>
      <c r="AB71" s="21"/>
    </row>
    <row r="72" spans="4:28" x14ac:dyDescent="0.25">
      <c r="D72" s="251"/>
      <c r="E72" s="252">
        <f>E56</f>
        <v>5000000</v>
      </c>
      <c r="F72" s="256" t="s">
        <v>276</v>
      </c>
      <c r="G72" s="253" t="s">
        <v>286</v>
      </c>
      <c r="P72" s="18"/>
      <c r="AB72" s="21"/>
    </row>
    <row r="73" spans="4:28" x14ac:dyDescent="0.25">
      <c r="P73" s="18"/>
      <c r="AB73" s="21"/>
    </row>
    <row r="74" spans="4:28" x14ac:dyDescent="0.25">
      <c r="D74" s="249" t="s">
        <v>287</v>
      </c>
      <c r="E74" s="40" t="s">
        <v>278</v>
      </c>
      <c r="F74" s="40" t="s">
        <v>279</v>
      </c>
      <c r="G74" s="40"/>
      <c r="H74" s="250"/>
      <c r="P74" s="18"/>
      <c r="AB74" s="21"/>
    </row>
    <row r="75" spans="4:28" x14ac:dyDescent="0.25">
      <c r="D75" s="254"/>
      <c r="E75" s="150">
        <f>E56</f>
        <v>5000000</v>
      </c>
      <c r="F75" s="150">
        <f>E59</f>
        <v>614600</v>
      </c>
      <c r="G75" s="257" t="s">
        <v>288</v>
      </c>
      <c r="H75" s="255"/>
      <c r="P75" s="18"/>
      <c r="AB75" s="21"/>
    </row>
    <row r="76" spans="4:28" x14ac:dyDescent="0.25">
      <c r="D76" s="254"/>
      <c r="H76" s="255"/>
      <c r="P76" s="18"/>
      <c r="AB76" s="21"/>
    </row>
    <row r="77" spans="4:28" x14ac:dyDescent="0.25">
      <c r="D77" s="254"/>
      <c r="E77" t="s">
        <v>278</v>
      </c>
      <c r="F77" t="s">
        <v>283</v>
      </c>
      <c r="H77" s="255"/>
      <c r="P77" s="18"/>
      <c r="AB77" s="21"/>
    </row>
    <row r="78" spans="4:28" x14ac:dyDescent="0.25">
      <c r="D78" s="254"/>
      <c r="E78" s="150">
        <f>$E$56</f>
        <v>5000000</v>
      </c>
      <c r="F78" s="150">
        <f>E57</f>
        <v>2281453.2000000002</v>
      </c>
      <c r="G78" t="s">
        <v>289</v>
      </c>
      <c r="H78" s="255"/>
      <c r="P78" s="18"/>
      <c r="AB78" s="21"/>
    </row>
    <row r="79" spans="4:28" x14ac:dyDescent="0.25">
      <c r="D79" s="254"/>
      <c r="H79" s="255"/>
      <c r="P79" s="18"/>
      <c r="AB79" s="21"/>
    </row>
    <row r="80" spans="4:28" x14ac:dyDescent="0.25">
      <c r="D80" s="254"/>
      <c r="E80" t="s">
        <v>278</v>
      </c>
      <c r="F80" t="s">
        <v>275</v>
      </c>
      <c r="H80" s="255"/>
      <c r="P80" s="18"/>
      <c r="AB80" s="21"/>
    </row>
    <row r="81" spans="4:28" x14ac:dyDescent="0.25">
      <c r="D81" s="251"/>
      <c r="E81" s="252">
        <f>$E$56</f>
        <v>5000000</v>
      </c>
      <c r="F81" s="252" t="s">
        <v>276</v>
      </c>
      <c r="G81" s="256" t="s">
        <v>286</v>
      </c>
      <c r="H81" s="253" t="s">
        <v>290</v>
      </c>
      <c r="P81" s="18"/>
      <c r="AB81" s="21"/>
    </row>
    <row r="82" spans="4:28" x14ac:dyDescent="0.25">
      <c r="P82" s="18"/>
      <c r="AB82" s="21"/>
    </row>
    <row r="83" spans="4:28" x14ac:dyDescent="0.25">
      <c r="D83" s="249" t="s">
        <v>291</v>
      </c>
      <c r="E83" s="40" t="s">
        <v>275</v>
      </c>
      <c r="F83" s="40"/>
      <c r="G83" s="40"/>
      <c r="H83" s="40"/>
      <c r="I83" s="250"/>
      <c r="P83" s="18"/>
      <c r="AB83" s="21"/>
    </row>
    <row r="84" spans="4:28" x14ac:dyDescent="0.25">
      <c r="D84" s="258">
        <v>0.02</v>
      </c>
      <c r="E84" s="150">
        <f>E59</f>
        <v>614600</v>
      </c>
      <c r="F84" s="150">
        <f>D84*E84</f>
        <v>12292</v>
      </c>
      <c r="I84" s="255"/>
      <c r="P84" s="18"/>
      <c r="AB84" s="21"/>
    </row>
    <row r="85" spans="4:28" x14ac:dyDescent="0.25">
      <c r="D85" s="254"/>
      <c r="I85" s="255"/>
      <c r="P85" s="18"/>
      <c r="AB85" s="21"/>
    </row>
    <row r="86" spans="4:28" x14ac:dyDescent="0.25">
      <c r="D86" s="254" t="s">
        <v>292</v>
      </c>
      <c r="I86" s="255"/>
      <c r="P86" s="18"/>
      <c r="AB86" s="21"/>
    </row>
    <row r="87" spans="4:28" x14ac:dyDescent="0.25">
      <c r="D87" s="254"/>
      <c r="I87" s="255"/>
      <c r="P87" s="18"/>
      <c r="AB87" s="21"/>
    </row>
    <row r="88" spans="4:28" x14ac:dyDescent="0.25">
      <c r="D88" s="254"/>
      <c r="E88" t="s">
        <v>278</v>
      </c>
      <c r="F88" t="s">
        <v>283</v>
      </c>
      <c r="G88" t="s">
        <v>82</v>
      </c>
      <c r="H88" t="s">
        <v>293</v>
      </c>
      <c r="I88" s="255"/>
      <c r="P88" s="18"/>
      <c r="AB88" s="21"/>
    </row>
    <row r="89" spans="4:28" x14ac:dyDescent="0.25">
      <c r="D89" s="254"/>
      <c r="E89" s="150">
        <f>E56</f>
        <v>5000000</v>
      </c>
      <c r="F89" s="248">
        <f>E57</f>
        <v>2281453.2000000002</v>
      </c>
      <c r="G89" s="150">
        <f>E89-F89</f>
        <v>2718546.8</v>
      </c>
      <c r="H89">
        <f>1/3</f>
        <v>0.33333333333333331</v>
      </c>
      <c r="I89" s="259">
        <f>H89*G89</f>
        <v>906182.2666666666</v>
      </c>
      <c r="P89" s="18"/>
      <c r="AB89" s="21"/>
    </row>
    <row r="90" spans="4:28" x14ac:dyDescent="0.25">
      <c r="D90" s="254"/>
      <c r="I90" s="255"/>
      <c r="P90" s="18"/>
      <c r="AB90" s="21"/>
    </row>
    <row r="91" spans="4:28" x14ac:dyDescent="0.25">
      <c r="D91" s="254"/>
      <c r="I91" s="255"/>
      <c r="P91" s="18"/>
      <c r="AB91" s="21"/>
    </row>
    <row r="92" spans="4:28" x14ac:dyDescent="0.25">
      <c r="D92" s="251"/>
      <c r="E92" s="256" t="s">
        <v>8</v>
      </c>
      <c r="F92" s="256"/>
      <c r="G92" s="256"/>
      <c r="H92" s="256" t="s">
        <v>294</v>
      </c>
      <c r="I92" s="260">
        <f>I89+F84</f>
        <v>918474.2666666666</v>
      </c>
      <c r="P92" s="18"/>
      <c r="AB92" s="21"/>
    </row>
    <row r="93" spans="4:28" x14ac:dyDescent="0.25">
      <c r="P93" s="18"/>
      <c r="AB93" s="21"/>
    </row>
    <row r="94" spans="4:28" x14ac:dyDescent="0.25">
      <c r="P94" s="18"/>
      <c r="AB94" s="21"/>
    </row>
    <row r="95" spans="4:28" x14ac:dyDescent="0.25">
      <c r="P95" s="18"/>
      <c r="AB95" s="21"/>
    </row>
    <row r="96" spans="4:28" x14ac:dyDescent="0.25">
      <c r="P96" s="18"/>
      <c r="AB96" s="21"/>
    </row>
    <row r="97" spans="16:28" x14ac:dyDescent="0.25">
      <c r="P97" s="18"/>
      <c r="AB97" s="21"/>
    </row>
    <row r="98" spans="16:28" x14ac:dyDescent="0.25">
      <c r="P98" s="18"/>
      <c r="AB98" s="21"/>
    </row>
    <row r="99" spans="16:28" x14ac:dyDescent="0.25">
      <c r="P99" s="18"/>
      <c r="AB99" s="21"/>
    </row>
    <row r="100" spans="16:28" x14ac:dyDescent="0.25">
      <c r="P100" s="18"/>
      <c r="AB100" s="21"/>
    </row>
    <row r="101" spans="16:28" x14ac:dyDescent="0.25">
      <c r="P101" s="18"/>
      <c r="AB101" s="21"/>
    </row>
    <row r="102" spans="16:28" x14ac:dyDescent="0.25">
      <c r="P102" s="18"/>
      <c r="AB102" s="21"/>
    </row>
    <row r="103" spans="16:28" x14ac:dyDescent="0.25">
      <c r="P103" s="18"/>
      <c r="AB103" s="21"/>
    </row>
    <row r="104" spans="16:28" x14ac:dyDescent="0.25">
      <c r="P104" s="18"/>
      <c r="AB104" s="21"/>
    </row>
    <row r="105" spans="16:28" x14ac:dyDescent="0.25">
      <c r="P105" s="18"/>
      <c r="AB105" s="21"/>
    </row>
    <row r="106" spans="16:28" x14ac:dyDescent="0.25">
      <c r="P106" s="18"/>
      <c r="AB106" s="21"/>
    </row>
    <row r="107" spans="16:28" x14ac:dyDescent="0.25">
      <c r="P107" s="18"/>
      <c r="AB107" s="21"/>
    </row>
    <row r="108" spans="16:28" x14ac:dyDescent="0.25">
      <c r="P108" s="18"/>
      <c r="AB108" s="21"/>
    </row>
    <row r="109" spans="16:28" x14ac:dyDescent="0.25">
      <c r="P109" s="18"/>
      <c r="AB109" s="21"/>
    </row>
    <row r="110" spans="16:28" ht="14.4" thickBot="1" x14ac:dyDescent="0.3">
      <c r="P110" s="231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7"/>
    </row>
  </sheetData>
  <mergeCells count="8">
    <mergeCell ref="D48:G48"/>
    <mergeCell ref="D37:H37"/>
    <mergeCell ref="S37:T37"/>
    <mergeCell ref="D46:G46"/>
    <mergeCell ref="D42:G42"/>
    <mergeCell ref="D43:G43"/>
    <mergeCell ref="D45:G45"/>
    <mergeCell ref="D47:G4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4AC45-9B3D-4263-B1DD-D1C30CA6ABDD}">
  <dimension ref="B2:AH47"/>
  <sheetViews>
    <sheetView rightToLeft="1" zoomScale="40" zoomScaleNormal="40" workbookViewId="0">
      <selection activeCell="A2" sqref="A2:AI52"/>
    </sheetView>
  </sheetViews>
  <sheetFormatPr defaultRowHeight="13.8" x14ac:dyDescent="0.25"/>
  <cols>
    <col min="3" max="3" width="36.3984375" bestFit="1" customWidth="1"/>
    <col min="4" max="4" width="14.59765625" bestFit="1" customWidth="1"/>
    <col min="7" max="7" width="13.3984375" bestFit="1" customWidth="1"/>
    <col min="8" max="8" width="12.69921875" bestFit="1" customWidth="1"/>
    <col min="9" max="9" width="14.3984375" bestFit="1" customWidth="1"/>
    <col min="10" max="10" width="15.3984375" bestFit="1" customWidth="1"/>
    <col min="11" max="11" width="14.8984375" bestFit="1" customWidth="1"/>
    <col min="12" max="12" width="8.19921875" bestFit="1" customWidth="1"/>
  </cols>
  <sheetData>
    <row r="2" spans="2:34" ht="14.4" thickBot="1" x14ac:dyDescent="0.3"/>
    <row r="3" spans="2:34" ht="22.8" x14ac:dyDescent="0.4">
      <c r="B3" s="10"/>
      <c r="C3" s="261" t="s">
        <v>306</v>
      </c>
      <c r="D3" s="12"/>
      <c r="E3" s="12"/>
      <c r="F3" s="12"/>
      <c r="G3" s="12"/>
      <c r="H3" s="12"/>
      <c r="I3" s="12"/>
      <c r="J3" s="12"/>
      <c r="K3" s="12"/>
      <c r="L3" s="13"/>
    </row>
    <row r="4" spans="2:34" x14ac:dyDescent="0.25">
      <c r="B4" s="18"/>
      <c r="L4" s="21"/>
    </row>
    <row r="5" spans="2:34" ht="14.4" thickBot="1" x14ac:dyDescent="0.3">
      <c r="B5" s="18"/>
      <c r="L5" s="21"/>
    </row>
    <row r="6" spans="2:34" x14ac:dyDescent="0.25">
      <c r="B6" s="18"/>
      <c r="G6" s="359" t="s">
        <v>295</v>
      </c>
      <c r="H6" s="360"/>
      <c r="L6" s="21"/>
    </row>
    <row r="7" spans="2:34" x14ac:dyDescent="0.25">
      <c r="B7" s="18"/>
      <c r="G7" s="262" t="s">
        <v>273</v>
      </c>
      <c r="H7" s="263">
        <v>5000000</v>
      </c>
      <c r="L7" s="21"/>
    </row>
    <row r="8" spans="2:34" x14ac:dyDescent="0.25">
      <c r="B8" s="18"/>
      <c r="G8" s="262" t="s">
        <v>274</v>
      </c>
      <c r="H8" s="263">
        <f>'חישוב תשלום דמי הסכמה'!H40</f>
        <v>2281453.2000000002</v>
      </c>
      <c r="L8" s="21"/>
    </row>
    <row r="9" spans="2:34" x14ac:dyDescent="0.25">
      <c r="B9" s="18"/>
      <c r="G9" s="262" t="s">
        <v>275</v>
      </c>
      <c r="H9" s="264" t="s">
        <v>163</v>
      </c>
      <c r="L9" s="21"/>
    </row>
    <row r="10" spans="2:34" ht="14.4" thickBot="1" x14ac:dyDescent="0.3">
      <c r="B10" s="18"/>
      <c r="G10" s="265" t="s">
        <v>277</v>
      </c>
      <c r="H10" s="266">
        <v>615000</v>
      </c>
      <c r="L10" s="21"/>
    </row>
    <row r="11" spans="2:34" ht="14.4" thickBot="1" x14ac:dyDescent="0.3">
      <c r="B11" s="18"/>
      <c r="L11" s="21"/>
    </row>
    <row r="12" spans="2:34" ht="24.6" x14ac:dyDescent="0.4">
      <c r="B12" s="18"/>
      <c r="L12" s="21"/>
      <c r="M12" s="12"/>
      <c r="N12" s="12"/>
      <c r="O12" s="12"/>
      <c r="P12" s="12"/>
      <c r="Q12" s="271" t="s">
        <v>303</v>
      </c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3"/>
    </row>
    <row r="13" spans="2:34" x14ac:dyDescent="0.25">
      <c r="B13" s="18"/>
      <c r="L13" s="21"/>
      <c r="AH13" s="21"/>
    </row>
    <row r="14" spans="2:34" ht="14.4" thickBot="1" x14ac:dyDescent="0.3">
      <c r="B14" s="18"/>
      <c r="L14" s="21"/>
      <c r="AH14" s="21"/>
    </row>
    <row r="15" spans="2:34" x14ac:dyDescent="0.25">
      <c r="B15" s="18"/>
      <c r="G15" s="269" t="s">
        <v>296</v>
      </c>
      <c r="H15" s="268"/>
      <c r="I15" s="150"/>
      <c r="L15" s="21"/>
      <c r="AH15" s="21"/>
    </row>
    <row r="16" spans="2:34" x14ac:dyDescent="0.25">
      <c r="B16" s="18"/>
      <c r="G16" s="262" t="s">
        <v>273</v>
      </c>
      <c r="H16" s="263">
        <v>5000000</v>
      </c>
      <c r="L16" s="21"/>
      <c r="AH16" s="21"/>
    </row>
    <row r="17" spans="2:34" x14ac:dyDescent="0.25">
      <c r="B17" s="18"/>
      <c r="G17" s="262" t="s">
        <v>277</v>
      </c>
      <c r="H17" s="270">
        <f>H10</f>
        <v>615000</v>
      </c>
      <c r="L17" s="21"/>
      <c r="AH17" s="21"/>
    </row>
    <row r="18" spans="2:34" ht="14.4" thickBot="1" x14ac:dyDescent="0.3">
      <c r="B18" s="18"/>
      <c r="G18" s="361" t="s">
        <v>297</v>
      </c>
      <c r="H18" s="362"/>
      <c r="I18" s="150"/>
      <c r="L18" s="21"/>
      <c r="AH18" s="21"/>
    </row>
    <row r="19" spans="2:34" ht="14.4" thickBot="1" x14ac:dyDescent="0.3">
      <c r="B19" s="18"/>
      <c r="L19" s="21"/>
      <c r="AH19" s="21"/>
    </row>
    <row r="20" spans="2:34" x14ac:dyDescent="0.25">
      <c r="B20" s="18"/>
      <c r="G20" s="269" t="s">
        <v>298</v>
      </c>
      <c r="H20" s="268"/>
      <c r="L20" s="21"/>
      <c r="AH20" s="21"/>
    </row>
    <row r="21" spans="2:34" x14ac:dyDescent="0.25">
      <c r="B21" s="18"/>
      <c r="G21" s="262" t="s">
        <v>273</v>
      </c>
      <c r="H21" s="263">
        <v>5000000</v>
      </c>
      <c r="I21" s="248"/>
      <c r="L21" s="21"/>
      <c r="AH21" s="21"/>
    </row>
    <row r="22" spans="2:34" x14ac:dyDescent="0.25">
      <c r="B22" s="18"/>
      <c r="G22" s="262" t="s">
        <v>275</v>
      </c>
      <c r="H22" s="225" t="s">
        <v>299</v>
      </c>
      <c r="L22" s="21"/>
      <c r="AH22" s="21"/>
    </row>
    <row r="23" spans="2:34" x14ac:dyDescent="0.25">
      <c r="B23" s="18"/>
      <c r="G23" s="262" t="s">
        <v>277</v>
      </c>
      <c r="H23" s="270">
        <f>H10</f>
        <v>615000</v>
      </c>
      <c r="L23" s="21"/>
      <c r="AH23" s="21"/>
    </row>
    <row r="24" spans="2:34" x14ac:dyDescent="0.25">
      <c r="B24" s="18"/>
      <c r="G24" s="262" t="s">
        <v>283</v>
      </c>
      <c r="H24" s="270">
        <f>H8</f>
        <v>2281453.2000000002</v>
      </c>
      <c r="L24" s="21"/>
      <c r="AH24" s="21"/>
    </row>
    <row r="25" spans="2:34" ht="14.4" thickBot="1" x14ac:dyDescent="0.3">
      <c r="B25" s="18"/>
      <c r="G25" s="363" t="s">
        <v>297</v>
      </c>
      <c r="H25" s="364"/>
      <c r="L25" s="21"/>
      <c r="M25" s="246"/>
      <c r="N25" s="246"/>
      <c r="O25" s="246"/>
      <c r="P25" s="246"/>
      <c r="Q25" s="246"/>
      <c r="R25" s="246"/>
      <c r="S25" s="246"/>
      <c r="T25" s="246"/>
      <c r="U25" s="246"/>
      <c r="V25" s="246"/>
      <c r="W25" s="246"/>
      <c r="X25" s="246"/>
      <c r="Y25" s="246"/>
      <c r="Z25" s="246"/>
      <c r="AA25" s="246"/>
      <c r="AB25" s="246"/>
      <c r="AC25" s="246"/>
      <c r="AD25" s="246"/>
      <c r="AE25" s="246"/>
      <c r="AF25" s="246"/>
      <c r="AG25" s="246"/>
      <c r="AH25" s="247"/>
    </row>
    <row r="26" spans="2:34" ht="14.4" thickBot="1" x14ac:dyDescent="0.3">
      <c r="B26" s="18"/>
      <c r="L26" s="21"/>
    </row>
    <row r="27" spans="2:34" x14ac:dyDescent="0.25">
      <c r="B27" s="18"/>
      <c r="G27" s="269" t="s">
        <v>300</v>
      </c>
      <c r="H27" s="268"/>
      <c r="I27" s="150"/>
      <c r="J27" s="257"/>
      <c r="L27" s="21"/>
    </row>
    <row r="28" spans="2:34" x14ac:dyDescent="0.25">
      <c r="B28" s="18"/>
      <c r="G28" s="262" t="s">
        <v>273</v>
      </c>
      <c r="H28" s="263">
        <v>5000000</v>
      </c>
      <c r="L28" s="21"/>
    </row>
    <row r="29" spans="2:34" x14ac:dyDescent="0.25">
      <c r="B29" s="18"/>
      <c r="G29" s="262" t="s">
        <v>275</v>
      </c>
      <c r="H29" s="225" t="s">
        <v>299</v>
      </c>
      <c r="L29" s="21"/>
    </row>
    <row r="30" spans="2:34" x14ac:dyDescent="0.25">
      <c r="B30" s="18"/>
      <c r="G30" s="262" t="s">
        <v>277</v>
      </c>
      <c r="H30" s="270">
        <f>H17</f>
        <v>615000</v>
      </c>
      <c r="I30" s="150"/>
      <c r="L30" s="21"/>
    </row>
    <row r="31" spans="2:34" x14ac:dyDescent="0.25">
      <c r="B31" s="18"/>
      <c r="G31" s="262" t="s">
        <v>283</v>
      </c>
      <c r="H31" s="270">
        <f>H8</f>
        <v>2281453.2000000002</v>
      </c>
      <c r="L31" s="21"/>
    </row>
    <row r="32" spans="2:34" ht="14.4" thickBot="1" x14ac:dyDescent="0.3">
      <c r="B32" s="18"/>
      <c r="G32" s="363" t="s">
        <v>301</v>
      </c>
      <c r="H32" s="364"/>
      <c r="L32" s="21"/>
    </row>
    <row r="33" spans="2:12" ht="14.4" thickBot="1" x14ac:dyDescent="0.3">
      <c r="B33" s="18"/>
      <c r="H33" s="150"/>
      <c r="I33" s="150"/>
      <c r="L33" s="21"/>
    </row>
    <row r="34" spans="2:12" x14ac:dyDescent="0.25">
      <c r="B34" s="18"/>
      <c r="G34" s="365" t="s">
        <v>302</v>
      </c>
      <c r="H34" s="366"/>
      <c r="I34" s="366"/>
      <c r="J34" s="366"/>
      <c r="K34" s="367"/>
      <c r="L34" s="21"/>
    </row>
    <row r="35" spans="2:12" x14ac:dyDescent="0.25">
      <c r="B35" s="18"/>
      <c r="G35" s="262"/>
      <c r="H35" s="217"/>
      <c r="I35" s="217"/>
      <c r="J35" s="217" t="s">
        <v>227</v>
      </c>
      <c r="K35" s="225"/>
      <c r="L35" s="21"/>
    </row>
    <row r="36" spans="2:12" x14ac:dyDescent="0.25">
      <c r="B36" s="18"/>
      <c r="G36" s="262" t="s">
        <v>218</v>
      </c>
      <c r="H36" s="217" t="s">
        <v>219</v>
      </c>
      <c r="I36" s="217" t="s">
        <v>224</v>
      </c>
      <c r="J36" s="217" t="s">
        <v>220</v>
      </c>
      <c r="K36" s="225" t="s">
        <v>221</v>
      </c>
      <c r="L36" s="21"/>
    </row>
    <row r="37" spans="2:12" x14ac:dyDescent="0.25">
      <c r="B37" s="18"/>
      <c r="G37" s="223">
        <v>38147</v>
      </c>
      <c r="H37" s="218">
        <v>410000</v>
      </c>
      <c r="I37" s="219">
        <f>H37*4.524</f>
        <v>1854840</v>
      </c>
      <c r="J37" s="217">
        <v>1.23</v>
      </c>
      <c r="K37" s="224">
        <f>I37*J37</f>
        <v>2281453.2000000002</v>
      </c>
      <c r="L37" s="21"/>
    </row>
    <row r="38" spans="2:12" x14ac:dyDescent="0.25">
      <c r="B38" s="18"/>
      <c r="G38" s="349" t="s">
        <v>222</v>
      </c>
      <c r="H38" s="277"/>
      <c r="I38" s="277"/>
      <c r="J38" s="277"/>
      <c r="K38" s="225" t="s">
        <v>223</v>
      </c>
      <c r="L38" s="21"/>
    </row>
    <row r="39" spans="2:12" x14ac:dyDescent="0.25">
      <c r="B39" s="18"/>
      <c r="G39" s="350">
        <v>42895</v>
      </c>
      <c r="H39" s="351"/>
      <c r="I39" s="351"/>
      <c r="J39" s="351"/>
      <c r="K39" s="224">
        <v>5000000</v>
      </c>
      <c r="L39" s="21"/>
    </row>
    <row r="40" spans="2:12" x14ac:dyDescent="0.25">
      <c r="B40" s="18"/>
      <c r="G40" s="349" t="s">
        <v>225</v>
      </c>
      <c r="H40" s="277"/>
      <c r="I40" s="277"/>
      <c r="J40" s="277"/>
      <c r="K40" s="224">
        <f>K39-K37</f>
        <v>2718546.8</v>
      </c>
      <c r="L40" s="267"/>
    </row>
    <row r="41" spans="2:12" x14ac:dyDescent="0.25">
      <c r="B41" s="18"/>
      <c r="G41" s="347" t="s">
        <v>226</v>
      </c>
      <c r="H41" s="348"/>
      <c r="I41" s="348"/>
      <c r="J41" s="348"/>
      <c r="K41" s="228">
        <f>K40/3</f>
        <v>906182.2666666666</v>
      </c>
      <c r="L41" s="21"/>
    </row>
    <row r="42" spans="2:12" x14ac:dyDescent="0.25">
      <c r="B42" s="18"/>
      <c r="G42" s="349" t="s">
        <v>229</v>
      </c>
      <c r="H42" s="277"/>
      <c r="I42" s="277"/>
      <c r="J42" s="277"/>
      <c r="K42" s="224">
        <f>615000*0.02</f>
        <v>12300</v>
      </c>
      <c r="L42" s="21"/>
    </row>
    <row r="43" spans="2:12" x14ac:dyDescent="0.25">
      <c r="B43" s="18"/>
      <c r="G43" s="358" t="s">
        <v>8</v>
      </c>
      <c r="H43" s="278"/>
      <c r="I43" s="278"/>
      <c r="J43" s="278"/>
      <c r="K43" s="224">
        <f>K42+K41</f>
        <v>918482.2666666666</v>
      </c>
      <c r="L43" s="267"/>
    </row>
    <row r="44" spans="2:12" x14ac:dyDescent="0.25">
      <c r="B44" s="18"/>
      <c r="G44" s="349" t="s">
        <v>204</v>
      </c>
      <c r="H44" s="277"/>
      <c r="I44" s="277"/>
      <c r="J44" s="277"/>
      <c r="K44" s="224">
        <v>950000</v>
      </c>
      <c r="L44" s="21"/>
    </row>
    <row r="45" spans="2:12" x14ac:dyDescent="0.25">
      <c r="B45" s="18"/>
      <c r="G45" s="349" t="s">
        <v>304</v>
      </c>
      <c r="H45" s="277"/>
      <c r="I45" s="277"/>
      <c r="J45" s="277"/>
      <c r="K45" s="225">
        <f>1.16</f>
        <v>1.1599999999999999</v>
      </c>
      <c r="L45" s="21"/>
    </row>
    <row r="46" spans="2:12" ht="14.4" thickBot="1" x14ac:dyDescent="0.3">
      <c r="B46" s="231"/>
      <c r="C46" s="246"/>
      <c r="D46" s="246"/>
      <c r="E46" s="246"/>
      <c r="F46" s="246"/>
      <c r="G46" s="355" t="s">
        <v>305</v>
      </c>
      <c r="H46" s="356"/>
      <c r="I46" s="356"/>
      <c r="J46" s="357"/>
      <c r="K46" s="272">
        <f>K44*K45</f>
        <v>1102000</v>
      </c>
      <c r="L46" s="247"/>
    </row>
    <row r="47" spans="2:12" x14ac:dyDescent="0.25">
      <c r="K47" s="273">
        <f>K46*1.18</f>
        <v>1300360</v>
      </c>
    </row>
  </sheetData>
  <mergeCells count="14">
    <mergeCell ref="G45:J45"/>
    <mergeCell ref="G46:J46"/>
    <mergeCell ref="G44:J44"/>
    <mergeCell ref="G43:J43"/>
    <mergeCell ref="G6:H6"/>
    <mergeCell ref="G18:H18"/>
    <mergeCell ref="G25:H25"/>
    <mergeCell ref="G32:H32"/>
    <mergeCell ref="G34:K34"/>
    <mergeCell ref="G38:J38"/>
    <mergeCell ref="G39:J39"/>
    <mergeCell ref="G42:J42"/>
    <mergeCell ref="G40:J40"/>
    <mergeCell ref="G41:J4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55"/>
  <sheetViews>
    <sheetView rightToLeft="1" topLeftCell="A22" zoomScale="130" zoomScaleNormal="130" workbookViewId="0">
      <selection activeCell="E47" sqref="E47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28.2" thickBot="1" x14ac:dyDescent="0.3">
      <c r="A2" s="120" t="s">
        <v>35</v>
      </c>
      <c r="B2" s="192" t="s">
        <v>160</v>
      </c>
      <c r="C2" s="120" t="s">
        <v>161</v>
      </c>
      <c r="D2" s="92" t="s">
        <v>201</v>
      </c>
      <c r="E2" s="97"/>
      <c r="F2" s="92"/>
      <c r="G2" s="92"/>
      <c r="H2" s="47"/>
      <c r="I2" s="47"/>
      <c r="J2" s="117"/>
      <c r="K2" s="117"/>
      <c r="L2" s="117"/>
      <c r="M2" s="117"/>
      <c r="N2" s="47"/>
      <c r="O2" s="47"/>
      <c r="P2" s="47"/>
      <c r="Q2" s="117"/>
      <c r="R2" s="117"/>
      <c r="S2" s="118"/>
    </row>
    <row r="3" spans="1:19" x14ac:dyDescent="0.25">
      <c r="A3" s="121" t="s">
        <v>148</v>
      </c>
      <c r="B3" s="193"/>
      <c r="C3" s="121"/>
      <c r="D3" s="93"/>
      <c r="E3" s="144"/>
      <c r="F3" s="93"/>
      <c r="G3" s="64"/>
      <c r="H3" s="64"/>
      <c r="I3" s="64"/>
      <c r="J3" s="49"/>
      <c r="K3" s="49"/>
      <c r="L3" s="49"/>
      <c r="M3" s="49"/>
      <c r="N3" s="48"/>
      <c r="O3" s="48"/>
      <c r="P3" s="48"/>
      <c r="Q3" s="49"/>
      <c r="R3" s="49"/>
      <c r="S3" s="50"/>
    </row>
    <row r="4" spans="1:19" x14ac:dyDescent="0.25">
      <c r="A4" s="121" t="s">
        <v>92</v>
      </c>
      <c r="B4" s="193"/>
      <c r="C4" s="121"/>
      <c r="D4" s="93"/>
      <c r="E4" s="144"/>
      <c r="F4" s="93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1" t="s">
        <v>75</v>
      </c>
      <c r="B5" s="193"/>
      <c r="C5" s="121"/>
      <c r="D5" s="93"/>
      <c r="E5" s="144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1" t="s">
        <v>144</v>
      </c>
      <c r="B6" s="193"/>
      <c r="C6" s="121"/>
      <c r="D6" s="93"/>
      <c r="E6" s="144"/>
      <c r="F6" s="93"/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1" t="s">
        <v>145</v>
      </c>
      <c r="B7" s="193"/>
      <c r="C7" s="121"/>
      <c r="D7" s="93"/>
      <c r="E7" s="64"/>
      <c r="F7" s="93"/>
      <c r="G7" s="64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1" t="s">
        <v>146</v>
      </c>
      <c r="B8" s="193"/>
      <c r="C8" s="121"/>
      <c r="D8" s="94"/>
      <c r="E8" s="54"/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1" t="s">
        <v>147</v>
      </c>
      <c r="B9" s="194"/>
      <c r="C9" s="209"/>
      <c r="D9" s="95"/>
      <c r="E9" s="56"/>
      <c r="F9" s="94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2" t="s">
        <v>50</v>
      </c>
      <c r="B10" s="195"/>
      <c r="C10" s="123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3" t="s">
        <v>89</v>
      </c>
      <c r="B11" s="195"/>
      <c r="C11" s="123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4" t="s">
        <v>85</v>
      </c>
      <c r="B12" s="196"/>
      <c r="C12" s="124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200" t="s">
        <v>36</v>
      </c>
      <c r="B13" s="211"/>
      <c r="C13" s="210"/>
      <c r="D13" s="207"/>
      <c r="E13" s="201">
        <f>SUM(E4:E12)</f>
        <v>0</v>
      </c>
      <c r="F13" s="201">
        <f>SUM(F3:F12)</f>
        <v>0</v>
      </c>
      <c r="G13" s="201">
        <f>SUM(G3:G12)</f>
        <v>0</v>
      </c>
      <c r="H13" s="201">
        <f>SUM(H3:H12)</f>
        <v>0</v>
      </c>
      <c r="I13" s="202">
        <f t="shared" ref="I13:S13" si="0">SUM(I3:I12)</f>
        <v>0</v>
      </c>
      <c r="J13" s="202">
        <f t="shared" si="0"/>
        <v>0</v>
      </c>
      <c r="K13" s="202">
        <f t="shared" si="0"/>
        <v>0</v>
      </c>
      <c r="L13" s="202">
        <f t="shared" si="0"/>
        <v>0</v>
      </c>
      <c r="M13" s="202">
        <f t="shared" si="0"/>
        <v>0</v>
      </c>
      <c r="N13" s="203">
        <f t="shared" si="0"/>
        <v>0</v>
      </c>
      <c r="O13" s="203">
        <f t="shared" si="0"/>
        <v>0</v>
      </c>
      <c r="P13" s="203">
        <f t="shared" si="0"/>
        <v>0</v>
      </c>
      <c r="Q13" s="202">
        <f t="shared" si="0"/>
        <v>0</v>
      </c>
      <c r="R13" s="202">
        <f t="shared" si="0"/>
        <v>0</v>
      </c>
      <c r="S13" s="204">
        <f t="shared" si="0"/>
        <v>0</v>
      </c>
    </row>
    <row r="14" spans="1:19" ht="28.2" thickBot="1" x14ac:dyDescent="0.3">
      <c r="A14" s="126" t="s">
        <v>37</v>
      </c>
      <c r="B14" s="192" t="s">
        <v>160</v>
      </c>
      <c r="C14" s="120" t="s">
        <v>161</v>
      </c>
      <c r="D14" s="206"/>
      <c r="E14" s="205"/>
      <c r="F14" s="206"/>
      <c r="G14" s="62"/>
      <c r="H14" s="62"/>
      <c r="I14" s="62"/>
      <c r="J14" s="62"/>
      <c r="K14" s="62"/>
      <c r="L14" s="62"/>
      <c r="M14" s="140"/>
      <c r="N14" s="62"/>
      <c r="O14" s="62"/>
      <c r="P14" s="62"/>
      <c r="Q14" s="140"/>
      <c r="R14" s="140"/>
      <c r="S14" s="63"/>
    </row>
    <row r="15" spans="1:19" x14ac:dyDescent="0.25">
      <c r="A15" s="122">
        <v>71</v>
      </c>
      <c r="B15" s="197" t="s">
        <v>162</v>
      </c>
      <c r="C15" s="122" t="s">
        <v>162</v>
      </c>
      <c r="D15" s="52">
        <f>28+155</f>
        <v>183</v>
      </c>
      <c r="E15" s="145"/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2"/>
      <c r="B16" s="197"/>
      <c r="C16" s="122"/>
      <c r="D16" s="49"/>
      <c r="E16" s="51"/>
      <c r="F16" s="52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52"/>
      <c r="S16" s="53"/>
    </row>
    <row r="17" spans="1:19" x14ac:dyDescent="0.25">
      <c r="A17" s="122"/>
      <c r="B17" s="197"/>
      <c r="C17" s="122"/>
      <c r="D17" s="52"/>
      <c r="E17" s="51"/>
      <c r="F17" s="52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52"/>
      <c r="S17" s="53"/>
    </row>
    <row r="18" spans="1:19" ht="14.4" thickBot="1" x14ac:dyDescent="0.3">
      <c r="A18" s="124"/>
      <c r="B18" s="196"/>
      <c r="C18" s="124"/>
      <c r="D18" s="60"/>
      <c r="E18" s="59"/>
      <c r="F18" s="60"/>
      <c r="G18" s="59"/>
      <c r="H18" s="59"/>
      <c r="I18" s="59"/>
      <c r="J18" s="51"/>
      <c r="K18" s="51"/>
      <c r="L18" s="51"/>
      <c r="M18" s="51"/>
      <c r="N18" s="51"/>
      <c r="O18" s="59"/>
      <c r="P18" s="59"/>
      <c r="Q18" s="60"/>
      <c r="R18" s="60"/>
      <c r="S18" s="61"/>
    </row>
    <row r="19" spans="1:19" ht="14.4" thickTop="1" x14ac:dyDescent="0.25">
      <c r="A19" s="127" t="s">
        <v>88</v>
      </c>
      <c r="B19" s="198"/>
      <c r="C19" s="127"/>
      <c r="D19" s="208">
        <f>SUM(D16:D18)</f>
        <v>0</v>
      </c>
      <c r="E19" s="119">
        <f>SUM(E16:E18)</f>
        <v>0</v>
      </c>
      <c r="F19" s="119">
        <f t="shared" ref="F19:S19" si="1">SUM(F15:F18)</f>
        <v>0</v>
      </c>
      <c r="G19" s="119">
        <f t="shared" si="1"/>
        <v>0</v>
      </c>
      <c r="H19" s="119">
        <f t="shared" si="1"/>
        <v>0</v>
      </c>
      <c r="I19" s="119">
        <f t="shared" si="1"/>
        <v>0</v>
      </c>
      <c r="J19" s="119">
        <f t="shared" si="1"/>
        <v>0</v>
      </c>
      <c r="K19" s="65">
        <f t="shared" si="1"/>
        <v>0</v>
      </c>
      <c r="L19" s="65">
        <f t="shared" si="1"/>
        <v>0</v>
      </c>
      <c r="M19" s="65">
        <f t="shared" si="1"/>
        <v>0</v>
      </c>
      <c r="N19" s="65">
        <f t="shared" si="1"/>
        <v>0</v>
      </c>
      <c r="O19" s="65">
        <f t="shared" si="1"/>
        <v>0</v>
      </c>
      <c r="P19" s="65">
        <f t="shared" si="1"/>
        <v>0</v>
      </c>
      <c r="Q19" s="141">
        <f t="shared" si="1"/>
        <v>0</v>
      </c>
      <c r="R19" s="141">
        <f t="shared" si="1"/>
        <v>0</v>
      </c>
      <c r="S19" s="139">
        <f t="shared" si="1"/>
        <v>0</v>
      </c>
    </row>
    <row r="20" spans="1:19" ht="14.4" thickBot="1" x14ac:dyDescent="0.3">
      <c r="A20" s="125" t="s">
        <v>38</v>
      </c>
      <c r="B20" s="199"/>
      <c r="C20" s="125"/>
      <c r="D20" s="142">
        <f t="shared" ref="D20:S20" si="2">D13-D19</f>
        <v>0</v>
      </c>
      <c r="E20" s="138">
        <f t="shared" si="2"/>
        <v>0</v>
      </c>
      <c r="F20" s="138">
        <f t="shared" si="2"/>
        <v>0</v>
      </c>
      <c r="G20" s="138">
        <f t="shared" si="2"/>
        <v>0</v>
      </c>
      <c r="H20" s="138">
        <f t="shared" si="2"/>
        <v>0</v>
      </c>
      <c r="I20" s="138">
        <f t="shared" si="2"/>
        <v>0</v>
      </c>
      <c r="J20" s="138">
        <f t="shared" si="2"/>
        <v>0</v>
      </c>
      <c r="K20" s="138">
        <f t="shared" si="2"/>
        <v>0</v>
      </c>
      <c r="L20" s="138">
        <f t="shared" si="2"/>
        <v>0</v>
      </c>
      <c r="M20" s="138">
        <f t="shared" si="2"/>
        <v>0</v>
      </c>
      <c r="N20" s="138">
        <f t="shared" si="2"/>
        <v>0</v>
      </c>
      <c r="O20" s="138">
        <f t="shared" si="2"/>
        <v>0</v>
      </c>
      <c r="P20" s="138">
        <f t="shared" si="2"/>
        <v>0</v>
      </c>
      <c r="Q20" s="143">
        <f t="shared" si="2"/>
        <v>0</v>
      </c>
      <c r="R20" s="142">
        <f t="shared" si="2"/>
        <v>0</v>
      </c>
      <c r="S20" s="146">
        <f t="shared" si="2"/>
        <v>0</v>
      </c>
    </row>
    <row r="21" spans="1:19" x14ac:dyDescent="0.25">
      <c r="D21" s="135"/>
      <c r="E21" s="73"/>
      <c r="F21" s="148"/>
      <c r="H21" s="73"/>
      <c r="I21" s="73"/>
      <c r="J21" s="73"/>
      <c r="K21" s="98"/>
      <c r="L21" s="148"/>
      <c r="M21" s="73"/>
    </row>
    <row r="22" spans="1:19" x14ac:dyDescent="0.25">
      <c r="A22" t="s">
        <v>86</v>
      </c>
      <c r="D22" s="136">
        <f>D8+D7</f>
        <v>0</v>
      </c>
      <c r="F22" s="73"/>
    </row>
    <row r="23" spans="1:19" x14ac:dyDescent="0.25">
      <c r="E23" s="91">
        <f>E3*9300*5%*7</f>
        <v>0</v>
      </c>
      <c r="F23" s="66"/>
      <c r="G23" s="91"/>
      <c r="H23" s="91"/>
      <c r="K23" s="91"/>
    </row>
    <row r="24" spans="1:19" x14ac:dyDescent="0.25">
      <c r="E24" s="38">
        <f>375-E19-F19-I19</f>
        <v>375</v>
      </c>
      <c r="F24" s="66"/>
      <c r="G24" s="91"/>
      <c r="H24" s="91"/>
    </row>
    <row r="25" spans="1:19" x14ac:dyDescent="0.25">
      <c r="N25" s="91"/>
      <c r="O25" s="91"/>
    </row>
    <row r="26" spans="1:19" x14ac:dyDescent="0.25">
      <c r="A26" s="67" t="s">
        <v>39</v>
      </c>
      <c r="B26" s="67"/>
      <c r="C26" s="67"/>
      <c r="D26" s="68"/>
      <c r="L26" s="91"/>
      <c r="N26" s="17"/>
    </row>
    <row r="27" spans="1:19" x14ac:dyDescent="0.25">
      <c r="A27" t="s">
        <v>14</v>
      </c>
      <c r="E27" s="69">
        <f>-D13</f>
        <v>0</v>
      </c>
      <c r="G27" s="72"/>
      <c r="H27" s="72"/>
      <c r="L27" s="91"/>
    </row>
    <row r="28" spans="1:19" x14ac:dyDescent="0.25">
      <c r="A28" t="s">
        <v>15</v>
      </c>
      <c r="E28" s="17">
        <f>-E13</f>
        <v>0</v>
      </c>
      <c r="G28" s="72"/>
    </row>
    <row r="29" spans="1:19" x14ac:dyDescent="0.25">
      <c r="A29" t="s">
        <v>18</v>
      </c>
      <c r="E29" s="17">
        <f>I19</f>
        <v>0</v>
      </c>
    </row>
    <row r="30" spans="1:19" x14ac:dyDescent="0.25">
      <c r="A30" s="40" t="s">
        <v>8</v>
      </c>
      <c r="B30" s="40"/>
      <c r="C30" s="40"/>
      <c r="D30" s="40"/>
      <c r="E30" s="23">
        <f>SUM(E26:E29)</f>
        <v>0</v>
      </c>
      <c r="J30" s="72"/>
    </row>
    <row r="31" spans="1:19" x14ac:dyDescent="0.25">
      <c r="A31" t="s">
        <v>40</v>
      </c>
      <c r="E31" s="38">
        <v>375</v>
      </c>
      <c r="H31" s="91"/>
    </row>
    <row r="32" spans="1:19" x14ac:dyDescent="0.25">
      <c r="A32" s="40" t="s">
        <v>41</v>
      </c>
      <c r="B32" s="40"/>
      <c r="C32" s="40"/>
      <c r="D32" s="40"/>
      <c r="E32" s="23">
        <f>SUM(E30:E31)</f>
        <v>375</v>
      </c>
    </row>
    <row r="33" spans="1:10" x14ac:dyDescent="0.25">
      <c r="A33" t="s">
        <v>42</v>
      </c>
      <c r="E33" s="17">
        <f>-E19-F19-I19</f>
        <v>0</v>
      </c>
    </row>
    <row r="34" spans="1:10" x14ac:dyDescent="0.25">
      <c r="A34" s="40" t="s">
        <v>43</v>
      </c>
      <c r="B34" s="40"/>
      <c r="C34" s="40"/>
      <c r="D34" s="40"/>
      <c r="E34" s="70">
        <f>SUM(E32:E33)</f>
        <v>375</v>
      </c>
    </row>
    <row r="38" spans="1:10" x14ac:dyDescent="0.25">
      <c r="A38" s="130" t="s">
        <v>76</v>
      </c>
      <c r="B38" s="130"/>
      <c r="C38" s="130"/>
    </row>
    <row r="39" spans="1:10" ht="15.6" x14ac:dyDescent="0.4">
      <c r="A39" s="39" t="s">
        <v>77</v>
      </c>
      <c r="B39" s="39"/>
      <c r="C39" s="39"/>
      <c r="D39" s="39" t="s">
        <v>78</v>
      </c>
      <c r="E39" s="131" t="s">
        <v>79</v>
      </c>
      <c r="F39" s="39" t="s">
        <v>82</v>
      </c>
      <c r="G39" s="39"/>
      <c r="H39" s="17"/>
      <c r="I39" s="17"/>
    </row>
    <row r="40" spans="1:10" x14ac:dyDescent="0.25">
      <c r="A40" t="s">
        <v>55</v>
      </c>
      <c r="F40" s="91">
        <f>E40-D40</f>
        <v>0</v>
      </c>
    </row>
    <row r="41" spans="1:10" x14ac:dyDescent="0.25">
      <c r="A41" t="s">
        <v>228</v>
      </c>
      <c r="F41" s="91">
        <f>E41-D41</f>
        <v>0</v>
      </c>
    </row>
    <row r="42" spans="1:10" x14ac:dyDescent="0.25">
      <c r="A42" s="108" t="s">
        <v>80</v>
      </c>
      <c r="B42" s="108"/>
      <c r="C42" s="108"/>
      <c r="D42" s="108">
        <f>SUM(D40:D41)</f>
        <v>0</v>
      </c>
      <c r="E42" s="70">
        <f>SUM(E40:E41)</f>
        <v>0</v>
      </c>
      <c r="F42" s="132">
        <f>E42-D42</f>
        <v>0</v>
      </c>
    </row>
    <row r="44" spans="1:10" ht="15.6" x14ac:dyDescent="0.4">
      <c r="A44" s="39" t="s">
        <v>81</v>
      </c>
      <c r="B44" s="39"/>
      <c r="C44" s="39"/>
      <c r="D44" s="39" t="s">
        <v>78</v>
      </c>
      <c r="E44" s="131" t="s">
        <v>79</v>
      </c>
      <c r="F44" s="39" t="s">
        <v>82</v>
      </c>
    </row>
    <row r="45" spans="1:10" x14ac:dyDescent="0.25">
      <c r="A45" t="s">
        <v>55</v>
      </c>
      <c r="D45">
        <v>156</v>
      </c>
      <c r="E45" s="17">
        <v>167</v>
      </c>
      <c r="F45" s="91">
        <f>E45-D45</f>
        <v>11</v>
      </c>
      <c r="G45" s="39"/>
      <c r="J45" s="17"/>
    </row>
    <row r="46" spans="1:10" x14ac:dyDescent="0.25">
      <c r="A46" t="s">
        <v>228</v>
      </c>
      <c r="D46">
        <v>25</v>
      </c>
      <c r="E46" s="17">
        <v>16</v>
      </c>
      <c r="F46" s="91">
        <f>E46-D46</f>
        <v>-9</v>
      </c>
    </row>
    <row r="47" spans="1:10" x14ac:dyDescent="0.25">
      <c r="A47" s="108" t="s">
        <v>80</v>
      </c>
      <c r="B47" s="108"/>
      <c r="C47" s="108"/>
      <c r="D47" s="108">
        <f>SUM(D45:D46)</f>
        <v>181</v>
      </c>
      <c r="E47" s="70">
        <f>SUM(E45:E46)</f>
        <v>183</v>
      </c>
      <c r="F47" s="132">
        <f>E47-D47</f>
        <v>2</v>
      </c>
      <c r="J47" s="147"/>
    </row>
    <row r="49" spans="1:10" x14ac:dyDescent="0.25">
      <c r="A49" s="133" t="s">
        <v>8</v>
      </c>
      <c r="B49" s="133"/>
      <c r="C49" s="133"/>
      <c r="D49" s="133">
        <f>D47+D42</f>
        <v>181</v>
      </c>
      <c r="E49" s="133">
        <f>E47+E42</f>
        <v>183</v>
      </c>
      <c r="F49" s="134">
        <f>F47+F42</f>
        <v>2</v>
      </c>
    </row>
    <row r="53" spans="1:10" x14ac:dyDescent="0.25">
      <c r="G53" s="39"/>
      <c r="J53" s="17"/>
    </row>
    <row r="55" spans="1:10" x14ac:dyDescent="0.25">
      <c r="J55" s="14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6"/>
  <sheetViews>
    <sheetView rightToLeft="1" zoomScale="175" zoomScaleNormal="175" workbookViewId="0">
      <selection activeCell="C8" sqref="C8"/>
    </sheetView>
  </sheetViews>
  <sheetFormatPr defaultRowHeight="13.8" x14ac:dyDescent="0.25"/>
  <cols>
    <col min="2" max="2" width="11.5" bestFit="1" customWidth="1"/>
    <col min="3" max="3" width="9.8984375" bestFit="1" customWidth="1"/>
  </cols>
  <sheetData>
    <row r="2" spans="1:6" x14ac:dyDescent="0.25">
      <c r="A2" s="39" t="s">
        <v>164</v>
      </c>
      <c r="B2" s="39" t="s">
        <v>165</v>
      </c>
      <c r="C2" s="39" t="s">
        <v>132</v>
      </c>
      <c r="D2" s="39" t="s">
        <v>166</v>
      </c>
    </row>
    <row r="3" spans="1:6" x14ac:dyDescent="0.25">
      <c r="A3" t="s">
        <v>167</v>
      </c>
      <c r="B3" t="s">
        <v>168</v>
      </c>
      <c r="C3" s="188">
        <v>45344</v>
      </c>
      <c r="D3">
        <v>500</v>
      </c>
      <c r="E3" t="s">
        <v>169</v>
      </c>
    </row>
    <row r="4" spans="1:6" x14ac:dyDescent="0.25">
      <c r="A4" t="s">
        <v>170</v>
      </c>
      <c r="B4" t="s">
        <v>171</v>
      </c>
      <c r="C4" s="188">
        <v>44271</v>
      </c>
      <c r="D4">
        <v>3.5</v>
      </c>
      <c r="E4" t="s">
        <v>172</v>
      </c>
      <c r="F4" t="s">
        <v>173</v>
      </c>
    </row>
    <row r="5" spans="1:6" x14ac:dyDescent="0.25">
      <c r="A5" t="s">
        <v>170</v>
      </c>
      <c r="B5" t="s">
        <v>174</v>
      </c>
      <c r="C5" s="188">
        <v>40000</v>
      </c>
      <c r="D5">
        <v>2.5</v>
      </c>
      <c r="E5" t="s">
        <v>172</v>
      </c>
    </row>
    <row r="6" spans="1:6" x14ac:dyDescent="0.25">
      <c r="A6" t="s">
        <v>170</v>
      </c>
      <c r="B6" t="s">
        <v>175</v>
      </c>
      <c r="C6" s="188">
        <v>33248</v>
      </c>
      <c r="D6" s="212">
        <v>2</v>
      </c>
      <c r="E6" t="s">
        <v>172</v>
      </c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368" t="s">
        <v>116</v>
      </c>
      <c r="C2" s="369"/>
      <c r="D2" s="369"/>
      <c r="E2" s="369"/>
      <c r="F2" s="370"/>
    </row>
    <row r="3" spans="2:10" ht="14.4" thickBot="1" x14ac:dyDescent="0.3">
      <c r="B3" s="152" t="s">
        <v>49</v>
      </c>
      <c r="C3" s="371" t="s">
        <v>44</v>
      </c>
      <c r="D3" s="372"/>
      <c r="E3" s="371" t="s">
        <v>98</v>
      </c>
      <c r="F3" s="373"/>
    </row>
    <row r="4" spans="2:10" x14ac:dyDescent="0.25">
      <c r="B4" s="167" t="s">
        <v>99</v>
      </c>
      <c r="C4" s="385">
        <v>0</v>
      </c>
      <c r="D4" s="386"/>
      <c r="E4" s="385">
        <v>0</v>
      </c>
      <c r="F4" s="387"/>
    </row>
    <row r="5" spans="2:10" x14ac:dyDescent="0.25">
      <c r="B5" s="172" t="s">
        <v>100</v>
      </c>
      <c r="C5" s="385">
        <v>140000</v>
      </c>
      <c r="D5" s="386"/>
      <c r="E5" s="385">
        <f>6000*2</f>
        <v>12000</v>
      </c>
      <c r="F5" s="387"/>
    </row>
    <row r="6" spans="2:10" ht="27.6" x14ac:dyDescent="0.25">
      <c r="B6" s="172" t="s">
        <v>112</v>
      </c>
      <c r="C6" s="385">
        <f>46500*7</f>
        <v>325500</v>
      </c>
      <c r="D6" s="386"/>
      <c r="E6" s="385">
        <v>0</v>
      </c>
      <c r="F6" s="387"/>
    </row>
    <row r="7" spans="2:10" x14ac:dyDescent="0.25">
      <c r="B7" s="172" t="s">
        <v>101</v>
      </c>
      <c r="C7" s="385">
        <f>13000*7</f>
        <v>91000</v>
      </c>
      <c r="D7" s="386"/>
      <c r="E7" s="385">
        <f>4000*7</f>
        <v>28000</v>
      </c>
      <c r="F7" s="387"/>
    </row>
    <row r="8" spans="2:10" ht="14.4" thickBot="1" x14ac:dyDescent="0.3">
      <c r="B8" s="158" t="s">
        <v>102</v>
      </c>
      <c r="C8" s="385">
        <f>65000*7</f>
        <v>455000</v>
      </c>
      <c r="D8" s="386"/>
      <c r="E8" s="385">
        <v>50000</v>
      </c>
      <c r="F8" s="387"/>
      <c r="J8" t="s">
        <v>162</v>
      </c>
    </row>
    <row r="9" spans="2:10" ht="14.4" thickBot="1" x14ac:dyDescent="0.3">
      <c r="B9" s="368" t="s">
        <v>115</v>
      </c>
      <c r="C9" s="369"/>
      <c r="D9" s="369"/>
      <c r="E9" s="369"/>
      <c r="F9" s="370"/>
      <c r="J9" t="s">
        <v>163</v>
      </c>
    </row>
    <row r="10" spans="2:10" ht="16.2" thickBot="1" x14ac:dyDescent="0.3">
      <c r="B10" s="153" t="s">
        <v>110</v>
      </c>
      <c r="C10" s="154" t="s">
        <v>108</v>
      </c>
      <c r="D10" s="155" t="s">
        <v>105</v>
      </c>
      <c r="E10" s="156" t="s">
        <v>106</v>
      </c>
      <c r="F10" s="157" t="s">
        <v>107</v>
      </c>
    </row>
    <row r="11" spans="2:10" x14ac:dyDescent="0.25">
      <c r="B11" s="167" t="s">
        <v>99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25">
      <c r="B12" s="172" t="s">
        <v>100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25">
      <c r="B13" s="181" t="s">
        <v>103</v>
      </c>
      <c r="C13" s="377" t="s">
        <v>109</v>
      </c>
      <c r="D13" s="377"/>
      <c r="E13" s="377"/>
      <c r="F13" s="378"/>
    </row>
    <row r="14" spans="2:10" x14ac:dyDescent="0.25">
      <c r="B14" s="182" t="s">
        <v>101</v>
      </c>
      <c r="C14" s="377" t="s">
        <v>111</v>
      </c>
      <c r="D14" s="377"/>
      <c r="E14" s="377"/>
      <c r="F14" s="378"/>
    </row>
    <row r="15" spans="2:10" ht="14.4" thickBot="1" x14ac:dyDescent="0.3">
      <c r="B15" s="158" t="s">
        <v>102</v>
      </c>
      <c r="C15" s="379" t="s">
        <v>113</v>
      </c>
      <c r="D15" s="380"/>
      <c r="E15" s="380"/>
      <c r="F15" s="381"/>
    </row>
    <row r="16" spans="2:10" ht="14.4" thickBot="1" x14ac:dyDescent="0.3"/>
    <row r="17" spans="2:6" ht="14.4" thickBot="1" x14ac:dyDescent="0.3">
      <c r="B17" s="368" t="s">
        <v>97</v>
      </c>
      <c r="C17" s="369"/>
      <c r="D17" s="369"/>
      <c r="E17" s="369"/>
      <c r="F17" s="370"/>
    </row>
    <row r="18" spans="2:6" ht="14.4" thickBot="1" x14ac:dyDescent="0.3">
      <c r="B18" s="152" t="s">
        <v>104</v>
      </c>
      <c r="C18" s="371" t="s">
        <v>44</v>
      </c>
      <c r="D18" s="372"/>
      <c r="E18" s="371" t="s">
        <v>98</v>
      </c>
      <c r="F18" s="373"/>
    </row>
    <row r="19" spans="2:6" x14ac:dyDescent="0.25">
      <c r="B19" s="167" t="s">
        <v>99</v>
      </c>
      <c r="C19" s="382">
        <v>0</v>
      </c>
      <c r="D19" s="383"/>
      <c r="E19" s="382">
        <v>0</v>
      </c>
      <c r="F19" s="384"/>
    </row>
    <row r="20" spans="2:6" x14ac:dyDescent="0.25">
      <c r="B20" s="172" t="s">
        <v>100</v>
      </c>
      <c r="C20" s="399">
        <v>70000</v>
      </c>
      <c r="D20" s="400"/>
      <c r="E20" s="401">
        <f>6000*7</f>
        <v>42000</v>
      </c>
      <c r="F20" s="402"/>
    </row>
    <row r="21" spans="2:6" x14ac:dyDescent="0.25">
      <c r="B21" s="176" t="s">
        <v>103</v>
      </c>
      <c r="C21" s="399">
        <f>46500*7</f>
        <v>325500</v>
      </c>
      <c r="D21" s="400"/>
      <c r="E21" s="399">
        <v>0</v>
      </c>
      <c r="F21" s="403"/>
    </row>
    <row r="22" spans="2:6" x14ac:dyDescent="0.25">
      <c r="B22" s="172" t="s">
        <v>101</v>
      </c>
      <c r="C22" s="399">
        <f>13000*7</f>
        <v>91000</v>
      </c>
      <c r="D22" s="400"/>
      <c r="E22" s="399">
        <f>4000*7</f>
        <v>28000</v>
      </c>
      <c r="F22" s="403"/>
    </row>
    <row r="23" spans="2:6" ht="14.4" thickBot="1" x14ac:dyDescent="0.3">
      <c r="B23" s="158" t="s">
        <v>102</v>
      </c>
      <c r="C23" s="374">
        <f>65000*7</f>
        <v>455000</v>
      </c>
      <c r="D23" s="375"/>
      <c r="E23" s="374">
        <f>7000*7</f>
        <v>49000</v>
      </c>
      <c r="F23" s="376"/>
    </row>
    <row r="24" spans="2:6" ht="14.4" thickBot="1" x14ac:dyDescent="0.3">
      <c r="B24" s="163"/>
      <c r="C24" s="164"/>
      <c r="D24" s="165"/>
      <c r="E24" s="165"/>
      <c r="F24" s="166"/>
    </row>
    <row r="25" spans="2:6" ht="16.2" thickBot="1" x14ac:dyDescent="0.3">
      <c r="B25" s="153" t="s">
        <v>110</v>
      </c>
      <c r="C25" s="154" t="s">
        <v>108</v>
      </c>
      <c r="D25" s="155" t="s">
        <v>105</v>
      </c>
      <c r="E25" s="156" t="s">
        <v>106</v>
      </c>
      <c r="F25" s="157" t="s">
        <v>107</v>
      </c>
    </row>
    <row r="26" spans="2:6" x14ac:dyDescent="0.25">
      <c r="B26" s="167" t="s">
        <v>99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25">
      <c r="B27" s="172" t="s">
        <v>100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25">
      <c r="B28" s="176" t="s">
        <v>103</v>
      </c>
      <c r="C28" s="397" t="s">
        <v>109</v>
      </c>
      <c r="D28" s="397"/>
      <c r="E28" s="397"/>
      <c r="F28" s="398"/>
    </row>
    <row r="29" spans="2:6" x14ac:dyDescent="0.25">
      <c r="B29" s="172" t="s">
        <v>101</v>
      </c>
      <c r="C29" s="173">
        <v>0</v>
      </c>
      <c r="D29" s="174">
        <v>0</v>
      </c>
      <c r="E29" s="173">
        <v>0</v>
      </c>
      <c r="F29" s="175">
        <v>0</v>
      </c>
    </row>
    <row r="30" spans="2:6" ht="14.4" thickBot="1" x14ac:dyDescent="0.3">
      <c r="B30" s="158" t="s">
        <v>102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4" thickBot="1" x14ac:dyDescent="0.3"/>
    <row r="35" spans="2:6" ht="14.4" thickBot="1" x14ac:dyDescent="0.3">
      <c r="B35" s="368" t="s">
        <v>114</v>
      </c>
      <c r="C35" s="369"/>
      <c r="D35" s="369"/>
      <c r="E35" s="369"/>
      <c r="F35" s="370"/>
    </row>
    <row r="36" spans="2:6" ht="14.4" thickBot="1" x14ac:dyDescent="0.3">
      <c r="B36" s="152" t="s">
        <v>117</v>
      </c>
      <c r="C36" s="371" t="s">
        <v>44</v>
      </c>
      <c r="D36" s="372"/>
      <c r="E36" s="371" t="s">
        <v>98</v>
      </c>
      <c r="F36" s="373"/>
    </row>
    <row r="37" spans="2:6" x14ac:dyDescent="0.25">
      <c r="B37" s="167" t="s">
        <v>118</v>
      </c>
      <c r="C37" s="388" t="s">
        <v>121</v>
      </c>
      <c r="D37" s="389"/>
      <c r="E37" s="389"/>
      <c r="F37" s="390"/>
    </row>
    <row r="38" spans="2:6" x14ac:dyDescent="0.25">
      <c r="B38" s="172" t="s">
        <v>119</v>
      </c>
      <c r="C38" s="391" t="s">
        <v>120</v>
      </c>
      <c r="D38" s="392"/>
      <c r="E38" s="392"/>
      <c r="F38" s="393"/>
    </row>
    <row r="39" spans="2:6" x14ac:dyDescent="0.25">
      <c r="B39" s="172" t="s">
        <v>122</v>
      </c>
      <c r="C39" s="391" t="s">
        <v>123</v>
      </c>
      <c r="D39" s="392"/>
      <c r="E39" s="392"/>
      <c r="F39" s="393"/>
    </row>
    <row r="40" spans="2:6" ht="14.4" thickBot="1" x14ac:dyDescent="0.3">
      <c r="B40" s="158" t="s">
        <v>124</v>
      </c>
      <c r="C40" s="394" t="s">
        <v>125</v>
      </c>
      <c r="D40" s="395"/>
      <c r="E40" s="395"/>
      <c r="F40" s="396"/>
    </row>
  </sheetData>
  <mergeCells count="38"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  <mergeCell ref="B9:F9"/>
    <mergeCell ref="E3:F3"/>
    <mergeCell ref="E4:F4"/>
    <mergeCell ref="E5:F5"/>
    <mergeCell ref="E6:F6"/>
    <mergeCell ref="E7:F7"/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176</v>
      </c>
      <c r="B2" t="s">
        <v>177</v>
      </c>
    </row>
    <row r="3" spans="1:14" x14ac:dyDescent="0.25">
      <c r="B3" t="s">
        <v>44</v>
      </c>
    </row>
    <row r="7" spans="1:14" x14ac:dyDescent="0.25">
      <c r="N7" t="s">
        <v>178</v>
      </c>
    </row>
    <row r="8" spans="1:14" x14ac:dyDescent="0.25">
      <c r="A8" t="s">
        <v>179</v>
      </c>
      <c r="N8" t="s">
        <v>180</v>
      </c>
    </row>
    <row r="9" spans="1:14" x14ac:dyDescent="0.25">
      <c r="A9" t="s">
        <v>181</v>
      </c>
      <c r="D9" s="213" t="s">
        <v>182</v>
      </c>
      <c r="E9" s="213"/>
      <c r="N9" t="s">
        <v>183</v>
      </c>
    </row>
    <row r="10" spans="1:14" x14ac:dyDescent="0.25">
      <c r="N10" t="s">
        <v>184</v>
      </c>
    </row>
    <row r="15" spans="1:14" x14ac:dyDescent="0.25">
      <c r="A15" t="s">
        <v>185</v>
      </c>
      <c r="B15" t="s">
        <v>186</v>
      </c>
    </row>
    <row r="19" spans="1:12" x14ac:dyDescent="0.25">
      <c r="A19" s="39" t="s">
        <v>187</v>
      </c>
      <c r="B19" s="39" t="s">
        <v>178</v>
      </c>
      <c r="C19" s="39" t="s">
        <v>78</v>
      </c>
      <c r="D19" s="39" t="s">
        <v>188</v>
      </c>
      <c r="E19" s="39" t="s">
        <v>189</v>
      </c>
      <c r="F19" s="39" t="s">
        <v>190</v>
      </c>
      <c r="G19" s="39" t="s">
        <v>21</v>
      </c>
      <c r="H19" s="39" t="s">
        <v>191</v>
      </c>
      <c r="I19" s="39" t="s">
        <v>192</v>
      </c>
      <c r="J19" s="39" t="s">
        <v>193</v>
      </c>
      <c r="K19" s="39" t="s">
        <v>194</v>
      </c>
      <c r="L19" s="39" t="s">
        <v>195</v>
      </c>
    </row>
    <row r="20" spans="1:12" x14ac:dyDescent="0.25">
      <c r="A20" t="s">
        <v>196</v>
      </c>
      <c r="H20" s="149">
        <f>'תחשיב לפי שווי שומה (2)'!B7</f>
        <v>8000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25">
      <c r="A21" t="s">
        <v>197</v>
      </c>
      <c r="H21" s="150">
        <f>H20</f>
        <v>8000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25">
      <c r="A22" t="s">
        <v>198</v>
      </c>
      <c r="H22" s="150">
        <f>H21</f>
        <v>8000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25">
      <c r="A23" t="s">
        <v>199</v>
      </c>
      <c r="H23" s="150">
        <f>H22</f>
        <v>8000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25">
      <c r="A24" t="s">
        <v>200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10</vt:i4>
      </vt:variant>
    </vt:vector>
  </HeadingPairs>
  <TitlesOfParts>
    <vt:vector size="10" baseType="lpstr">
      <vt:lpstr>תחשיב לפי שווי שומה (2)</vt:lpstr>
      <vt:lpstr>מ"ר אקו' נחלה</vt:lpstr>
      <vt:lpstr>ניתוח איזור לעסקאות דמה</vt:lpstr>
      <vt:lpstr>סיכום עלויות הסדרה</vt:lpstr>
      <vt:lpstr>חישוב תשלום דמי הסכמה</vt:lpstr>
      <vt:lpstr>דמי הסכמה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2025-07-21T09:50:34Z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