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boostil-my.sharepoint.com/personal/ofir_boost-k_com/Documents/BOOST ניהול פרוקטים/לקוחות פרטיים1/אלקסלסי - מצליח/פרוייקט בדיקת התכנות/בדיקת התכנות/"/>
    </mc:Choice>
  </mc:AlternateContent>
  <xr:revisionPtr revIDLastSave="555" documentId="8_{E9A5D54E-385F-4F6C-AF2C-D62B03C85759}" xr6:coauthVersionLast="47" xr6:coauthVersionMax="47" xr10:uidLastSave="{6889BC90-EAD5-4736-8F4E-0610B3AA9D5C}"/>
  <bookViews>
    <workbookView xWindow="-120" yWindow="-120" windowWidth="29040" windowHeight="15720" activeTab="1" xr2:uid="{A05DD401-26F7-4249-BA87-8825FF0852EB}"/>
  </bookViews>
  <sheets>
    <sheet name="תחשיב לפי שווי שומה (2)" sheetId="6" r:id="rId1"/>
    <sheet name="סיכום עלויות פיצולים" sheetId="10" r:id="rId2"/>
    <sheet name="מ&quot;ר אקו' נחלה" sheetId="3" r:id="rId3"/>
    <sheet name="ניתוח איזור לעסקאות דמה" sheetId="5" r:id="rId4"/>
    <sheet name="חישוב גדלי בתים" sheetId="4" r:id="rId5"/>
    <sheet name="תבעות" sheetId="8" r:id="rId6"/>
    <sheet name="גיליון1" sheetId="7" r:id="rId7"/>
    <sheet name="בקרה" sheetId="9" r:id="rId8"/>
  </sheets>
  <externalReferences>
    <externalReference r:id="rId9"/>
  </externalReferences>
  <definedNames>
    <definedName name="_xlnm._FilterDatabase" localSheetId="5" hidden="1">תבעות!$A$2:$F$6</definedName>
    <definedName name="_xlnm.Print_Area" localSheetId="0">'תחשיב לפי שווי שומה (2)'!#REF!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40" i="10" l="1"/>
  <c r="I38" i="10"/>
  <c r="K42" i="10"/>
  <c r="K38" i="10"/>
  <c r="I42" i="10"/>
  <c r="L16" i="10"/>
  <c r="L20" i="10"/>
  <c r="V18" i="10"/>
  <c r="V22" i="10" s="1"/>
  <c r="T18" i="10"/>
  <c r="T22" i="10" s="1"/>
  <c r="R18" i="10"/>
  <c r="R22" i="10" s="1"/>
  <c r="F83" i="3"/>
  <c r="D86" i="3"/>
  <c r="D85" i="3"/>
  <c r="D84" i="3"/>
  <c r="D83" i="3"/>
  <c r="D79" i="3"/>
  <c r="B56" i="3"/>
  <c r="D53" i="3"/>
  <c r="D52" i="3"/>
  <c r="D51" i="3"/>
  <c r="D50" i="3"/>
  <c r="L62" i="5"/>
  <c r="D28" i="3"/>
  <c r="D27" i="3"/>
  <c r="D26" i="3"/>
  <c r="D13" i="3"/>
  <c r="B11" i="3"/>
  <c r="B10" i="3"/>
  <c r="B8" i="3"/>
  <c r="L20" i="3"/>
  <c r="C7" i="5"/>
  <c r="B8" i="6" s="1"/>
  <c r="H20" i="9" s="1"/>
  <c r="H21" i="9" s="1"/>
  <c r="C17" i="5"/>
  <c r="C16" i="5"/>
  <c r="C15" i="5"/>
  <c r="C14" i="5"/>
  <c r="C48" i="5"/>
  <c r="C47" i="5"/>
  <c r="J69" i="5"/>
  <c r="J70" i="5" s="1"/>
  <c r="J75" i="5" s="1"/>
  <c r="K26" i="5"/>
  <c r="C35" i="5"/>
  <c r="C36" i="5" s="1"/>
  <c r="E36" i="5" s="1"/>
  <c r="E34" i="5"/>
  <c r="E33" i="5"/>
  <c r="E26" i="5"/>
  <c r="J64" i="5"/>
  <c r="J63" i="5"/>
  <c r="L13" i="4"/>
  <c r="L24" i="4"/>
  <c r="N95" i="3"/>
  <c r="N96" i="3" s="1"/>
  <c r="N91" i="3"/>
  <c r="E24" i="4"/>
  <c r="D24" i="4"/>
  <c r="G49" i="3"/>
  <c r="D36" i="3"/>
  <c r="D33" i="3"/>
  <c r="L24" i="9"/>
  <c r="J24" i="9"/>
  <c r="L23" i="9"/>
  <c r="L22" i="9"/>
  <c r="L21" i="9"/>
  <c r="L20" i="9"/>
  <c r="C42" i="6"/>
  <c r="J16" i="10" l="1"/>
  <c r="J20" i="10" s="1"/>
  <c r="C49" i="5"/>
  <c r="J65" i="5"/>
  <c r="J66" i="5" s="1"/>
  <c r="J73" i="5"/>
  <c r="J74" i="5" s="1"/>
  <c r="J76" i="5" s="1"/>
  <c r="E35" i="5"/>
  <c r="E37" i="5" s="1"/>
  <c r="M26" i="5"/>
  <c r="E38" i="5" s="1"/>
  <c r="L25" i="4"/>
  <c r="B5" i="6"/>
  <c r="J21" i="9"/>
  <c r="H22" i="9"/>
  <c r="J20" i="9"/>
  <c r="B32" i="6"/>
  <c r="D40" i="6"/>
  <c r="D39" i="6"/>
  <c r="D31" i="6"/>
  <c r="D32" i="6"/>
  <c r="C43" i="6"/>
  <c r="D43" i="6" s="1"/>
  <c r="C34" i="6"/>
  <c r="D34" i="6" s="1"/>
  <c r="D13" i="4"/>
  <c r="E13" i="4"/>
  <c r="I13" i="4"/>
  <c r="F13" i="4"/>
  <c r="J13" i="4"/>
  <c r="F24" i="4"/>
  <c r="I24" i="4"/>
  <c r="J24" i="4"/>
  <c r="K13" i="4"/>
  <c r="K24" i="4"/>
  <c r="E28" i="4"/>
  <c r="C6" i="7"/>
  <c r="E5" i="7"/>
  <c r="E30" i="7"/>
  <c r="F30" i="7" s="1"/>
  <c r="E27" i="7"/>
  <c r="F27" i="7" s="1"/>
  <c r="D27" i="7"/>
  <c r="F26" i="7"/>
  <c r="C26" i="7"/>
  <c r="D26" i="7" s="1"/>
  <c r="E23" i="7"/>
  <c r="C23" i="7"/>
  <c r="E22" i="7"/>
  <c r="C22" i="7"/>
  <c r="C21" i="7"/>
  <c r="E20" i="7"/>
  <c r="E12" i="7"/>
  <c r="F12" i="7" s="1"/>
  <c r="F11" i="7"/>
  <c r="C11" i="7"/>
  <c r="D11" i="7" s="1"/>
  <c r="C8" i="7"/>
  <c r="E7" i="7"/>
  <c r="C7" i="7"/>
  <c r="E39" i="5" l="1"/>
  <c r="E41" i="5" s="1"/>
  <c r="H23" i="9"/>
  <c r="J23" i="9" s="1"/>
  <c r="J22" i="9"/>
  <c r="D42" i="6"/>
  <c r="C35" i="6"/>
  <c r="D35" i="6" s="1"/>
  <c r="I25" i="4"/>
  <c r="K25" i="4"/>
  <c r="J25" i="4"/>
  <c r="D25" i="4"/>
  <c r="F25" i="4"/>
  <c r="E25" i="4"/>
  <c r="C15" i="6" l="1"/>
  <c r="D27" i="4"/>
  <c r="D9" i="6" l="1"/>
  <c r="U24" i="4" l="1"/>
  <c r="T24" i="4"/>
  <c r="S24" i="4"/>
  <c r="R24" i="4"/>
  <c r="Q24" i="4"/>
  <c r="P24" i="4"/>
  <c r="O24" i="4"/>
  <c r="N24" i="4"/>
  <c r="M24" i="4"/>
  <c r="D22" i="3" l="1"/>
  <c r="D10" i="3"/>
  <c r="D7" i="3"/>
  <c r="D6" i="3"/>
  <c r="D5" i="3"/>
  <c r="D4" i="3"/>
  <c r="D11" i="3" l="1"/>
  <c r="U13" i="4" l="1"/>
  <c r="T13" i="4"/>
  <c r="S13" i="4"/>
  <c r="Q13" i="4"/>
  <c r="O13" i="4"/>
  <c r="N13" i="4"/>
  <c r="M13" i="4"/>
  <c r="R13" i="4"/>
  <c r="P13" i="4"/>
  <c r="U25" i="4" l="1"/>
  <c r="T25" i="4"/>
  <c r="Q25" i="4"/>
  <c r="R25" i="4"/>
  <c r="P25" i="4"/>
  <c r="S25" i="4"/>
  <c r="O25" i="4"/>
  <c r="N25" i="4"/>
  <c r="M25" i="4"/>
  <c r="E52" i="4"/>
  <c r="F51" i="4"/>
  <c r="F50" i="4"/>
  <c r="F46" i="4"/>
  <c r="E47" i="4"/>
  <c r="D47" i="4"/>
  <c r="F47" i="4" l="1"/>
  <c r="E54" i="4"/>
  <c r="F45" i="4"/>
  <c r="D52" i="4"/>
  <c r="F52" i="4" s="1"/>
  <c r="G12" i="6"/>
  <c r="G13" i="6" s="1"/>
  <c r="F54" i="4" l="1"/>
  <c r="D54" i="4"/>
  <c r="G16" i="6"/>
  <c r="I68" i="3"/>
  <c r="F60" i="3"/>
  <c r="I66" i="3"/>
  <c r="G65" i="3"/>
  <c r="I67" i="3" s="1"/>
  <c r="I64" i="3"/>
  <c r="I63" i="3"/>
  <c r="I62" i="3"/>
  <c r="I12" i="3"/>
  <c r="G10" i="3"/>
  <c r="I10" i="3" s="1"/>
  <c r="H7" i="3"/>
  <c r="H6" i="3"/>
  <c r="H5" i="3"/>
  <c r="H4" i="3"/>
  <c r="G7" i="3"/>
  <c r="F7" i="3"/>
  <c r="G6" i="3"/>
  <c r="G5" i="3"/>
  <c r="F6" i="3"/>
  <c r="F5" i="3"/>
  <c r="F4" i="3"/>
  <c r="G4" i="3"/>
  <c r="D25" i="3"/>
  <c r="D21" i="3"/>
  <c r="D20" i="3"/>
  <c r="D19" i="3"/>
  <c r="G11" i="6"/>
  <c r="I48" i="3"/>
  <c r="I49" i="3"/>
  <c r="F48" i="3"/>
  <c r="B55" i="3"/>
  <c r="D56" i="3" s="1"/>
  <c r="F18" i="6"/>
  <c r="B4" i="6" l="1"/>
  <c r="I7" i="3"/>
  <c r="I4" i="3"/>
  <c r="G8" i="3"/>
  <c r="G9" i="3" s="1"/>
  <c r="I6" i="3"/>
  <c r="J50" i="3"/>
  <c r="J51" i="3" s="1"/>
  <c r="I69" i="3"/>
  <c r="I70" i="3" s="1"/>
  <c r="G69" i="3"/>
  <c r="I50" i="3"/>
  <c r="I5" i="3"/>
  <c r="D57" i="3" l="1"/>
  <c r="B39" i="6" s="1"/>
  <c r="B40" i="6" s="1"/>
  <c r="B42" i="6" s="1"/>
  <c r="B43" i="6" s="1"/>
  <c r="D7" i="6"/>
  <c r="B12" i="6" s="1"/>
  <c r="B15" i="6"/>
  <c r="D15" i="6" s="1"/>
  <c r="F15" i="6" s="1"/>
  <c r="K50" i="3"/>
  <c r="M50" i="3" s="1"/>
  <c r="D24" i="6"/>
  <c r="D23" i="6"/>
  <c r="F23" i="6" s="1"/>
  <c r="D22" i="6"/>
  <c r="D21" i="6"/>
  <c r="F21" i="6" s="1"/>
  <c r="D20" i="6"/>
  <c r="D19" i="6"/>
  <c r="D18" i="6"/>
  <c r="D17" i="6"/>
  <c r="B31" i="6" l="1"/>
  <c r="B34" i="6" s="1"/>
  <c r="B35" i="6" s="1"/>
  <c r="I51" i="3"/>
  <c r="K51" i="3" s="1"/>
  <c r="M51" i="3" s="1"/>
  <c r="M52" i="3" s="1"/>
  <c r="B7" i="6"/>
  <c r="B13" i="6" s="1"/>
  <c r="B14" i="6" s="1"/>
  <c r="D12" i="6"/>
  <c r="F12" i="6" s="1"/>
  <c r="H12" i="6" s="1"/>
  <c r="F20" i="6"/>
  <c r="F24" i="6"/>
  <c r="F19" i="6"/>
  <c r="F22" i="6"/>
  <c r="D13" i="6" l="1"/>
  <c r="F13" i="6" s="1"/>
  <c r="F14" i="6" l="1"/>
  <c r="H13" i="6"/>
  <c r="H14" i="6" s="1"/>
  <c r="E34" i="4" l="1"/>
  <c r="D66" i="3"/>
  <c r="B65" i="3"/>
  <c r="B67" i="3" s="1"/>
  <c r="D67" i="3" s="1"/>
  <c r="D64" i="3"/>
  <c r="D63" i="3"/>
  <c r="D62" i="3"/>
  <c r="E32" i="4" l="1"/>
  <c r="D69" i="3"/>
  <c r="D70" i="3" s="1"/>
  <c r="E29" i="4"/>
  <c r="B69" i="3"/>
  <c r="E38" i="4"/>
  <c r="G18" i="6" l="1"/>
  <c r="E33" i="4"/>
  <c r="E35" i="4" s="1"/>
  <c r="E37" i="4" s="1"/>
  <c r="E39" i="4" s="1"/>
  <c r="B6" i="6"/>
  <c r="B11" i="6" s="1"/>
  <c r="D11" i="6" l="1"/>
  <c r="F11" i="6" s="1"/>
  <c r="H11" i="6" s="1"/>
  <c r="G11" i="3" l="1"/>
  <c r="B13" i="3"/>
  <c r="D14" i="3" l="1"/>
  <c r="I11" i="3"/>
  <c r="G13" i="3"/>
  <c r="B3" i="6" l="1"/>
  <c r="D41" i="3"/>
  <c r="I13" i="3"/>
  <c r="I14" i="3" s="1"/>
  <c r="B2" i="6" s="1"/>
  <c r="B16" i="6" l="1"/>
  <c r="D16" i="6" s="1"/>
  <c r="F16" i="6" s="1"/>
  <c r="H16" i="6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offir</author>
  </authors>
  <commentList>
    <comment ref="C15" authorId="0" shapeId="0" xr:uid="{C508B217-21A2-42E2-9885-131987C9AA16}">
      <text>
        <r>
          <rPr>
            <b/>
            <sz val="9"/>
            <color indexed="81"/>
            <rFont val="Tahoma"/>
            <family val="2"/>
          </rPr>
          <t>30% -שווי פעולת פיצול
50% - היטל השבחה</t>
        </r>
      </text>
    </comment>
    <comment ref="G16" authorId="0" shapeId="0" xr:uid="{FB81CA30-4558-4A39-8C36-F9E8D28AA822}">
      <text>
        <r>
          <rPr>
            <b/>
            <sz val="9"/>
            <color indexed="81"/>
            <rFont val="Tahoma"/>
            <family val="2"/>
          </rPr>
          <t>offir:</t>
        </r>
        <r>
          <rPr>
            <sz val="9"/>
            <color indexed="81"/>
            <rFont val="Tahoma"/>
            <family val="2"/>
          </rPr>
          <t xml:space="preserve">
שומת ברנס עלויות פיתוח של היוון מלא 2.5 דונם כפול 33%</t>
        </r>
      </text>
    </comment>
  </commentList>
</comments>
</file>

<file path=xl/sharedStrings.xml><?xml version="1.0" encoding="utf-8"?>
<sst xmlns="http://schemas.openxmlformats.org/spreadsheetml/2006/main" count="439" uniqueCount="293">
  <si>
    <t>מ"ר אקו'</t>
  </si>
  <si>
    <t>עלות אקו'</t>
  </si>
  <si>
    <t>בש"ח</t>
  </si>
  <si>
    <t>מ"ר אקו' נחלה 3.75%</t>
  </si>
  <si>
    <t>דמי חכירה/ פיצול</t>
  </si>
  <si>
    <t>דמי רכישה</t>
  </si>
  <si>
    <t>מע"מ</t>
  </si>
  <si>
    <t>היטל השבחה על פיצול</t>
  </si>
  <si>
    <t>סה"כ</t>
  </si>
  <si>
    <t xml:space="preserve">דמי היתר 1 מ"ר מגורים </t>
  </si>
  <si>
    <t>דמי היתר 1 מ"ר שירות</t>
  </si>
  <si>
    <t>דמי היתר 1 מ"ר מרתף</t>
  </si>
  <si>
    <t>שווי מ"ר אקו' מגורים</t>
  </si>
  <si>
    <t>היוון 1 מ"ר חצר נוספים</t>
  </si>
  <si>
    <t>בית 1</t>
  </si>
  <si>
    <t>בית 2</t>
  </si>
  <si>
    <t>היוון 3.75%</t>
  </si>
  <si>
    <t>מ"ר אקו' נחלה היוון מלא 2.5 דונם</t>
  </si>
  <si>
    <t>מחסן</t>
  </si>
  <si>
    <t>גודל חלקת מגורים (להיוון)</t>
  </si>
  <si>
    <t>מ"ר</t>
  </si>
  <si>
    <t>מקדם</t>
  </si>
  <si>
    <t>אקו'</t>
  </si>
  <si>
    <t>מרחבים מוגנים</t>
  </si>
  <si>
    <t>סה"כ תכסית</t>
  </si>
  <si>
    <t>סה"כ חצר</t>
  </si>
  <si>
    <t>חצר אפקטיבית</t>
  </si>
  <si>
    <t>יתרת חצר</t>
  </si>
  <si>
    <t>סה"כ מ"ר אקו'</t>
  </si>
  <si>
    <t>סה"כ מ"ר אקו' מעוגל</t>
  </si>
  <si>
    <t>הורים</t>
  </si>
  <si>
    <t>חצר גרעינית</t>
  </si>
  <si>
    <t>קיים</t>
  </si>
  <si>
    <t>סה"כ מבנה</t>
  </si>
  <si>
    <t>בהיתר</t>
  </si>
  <si>
    <t>פערים</t>
  </si>
  <si>
    <t>דמי היתר ששולמו</t>
  </si>
  <si>
    <t>היוון 3.75</t>
  </si>
  <si>
    <t xml:space="preserve">סה"כ מטרים </t>
  </si>
  <si>
    <t xml:space="preserve">קיים </t>
  </si>
  <si>
    <t>נותרו לבניה</t>
  </si>
  <si>
    <t>מגורים</t>
  </si>
  <si>
    <t>מ"ר אקו' נחלה היוון מלא 3 דונם</t>
  </si>
  <si>
    <t>דמי היתר בריכה 1 מ"ר</t>
  </si>
  <si>
    <t>דמי שימוש 1 מ"ר למגורים</t>
  </si>
  <si>
    <t>מחשבון רמ"י</t>
  </si>
  <si>
    <t>דמי שימוש</t>
  </si>
  <si>
    <t>שרות (ממ"ד)</t>
  </si>
  <si>
    <t>גודל מגרש</t>
  </si>
  <si>
    <t>חצר</t>
  </si>
  <si>
    <t>יתרת חצר עד 2500</t>
  </si>
  <si>
    <t>עיקרי</t>
  </si>
  <si>
    <t>מ"ר אקו' מגרש מפוצל</t>
  </si>
  <si>
    <t>מ"ר ל-29.75%</t>
  </si>
  <si>
    <t>חלק ה29.25%</t>
  </si>
  <si>
    <t>מ"ר אקו' שנכלל בהנחה</t>
  </si>
  <si>
    <t>מ"ר אקו' שלא נכלל בהנחה</t>
  </si>
  <si>
    <t>שויי מ"ר</t>
  </si>
  <si>
    <t>פיצול - חלק בהנחה</t>
  </si>
  <si>
    <t>פיצול חלק ללא הנחה</t>
  </si>
  <si>
    <t>סה"כ פיצול</t>
  </si>
  <si>
    <t>עלויות פיתוח</t>
  </si>
  <si>
    <t>בניכוי פיתוח</t>
  </si>
  <si>
    <t>ממ"ד</t>
  </si>
  <si>
    <t>פוטנציאל</t>
  </si>
  <si>
    <t>הפסד חצר שולית</t>
  </si>
  <si>
    <t>דמי שימוש משרדים 1 מ"ר לשנה</t>
  </si>
  <si>
    <t>חצר רחוקה מאוד</t>
  </si>
  <si>
    <t>שולית רחוקה מאוד</t>
  </si>
  <si>
    <t>לפי שומת זיו כהן בשפיר</t>
  </si>
  <si>
    <t>הוצאות פיתוח</t>
  </si>
  <si>
    <t>שטחי מגורים - קרקע</t>
  </si>
  <si>
    <t>פערים בית מגורים</t>
  </si>
  <si>
    <t>קומה תחתונה</t>
  </si>
  <si>
    <t>מקלט</t>
  </si>
  <si>
    <t>היתר</t>
  </si>
  <si>
    <t>בפועל</t>
  </si>
  <si>
    <t>סה"כ קומת קרקע</t>
  </si>
  <si>
    <t>קומה עליונה</t>
  </si>
  <si>
    <t>הפרש</t>
  </si>
  <si>
    <t>שווי מ"ר משרדים</t>
  </si>
  <si>
    <t>דמי היתר משרד פלח</t>
  </si>
  <si>
    <t>קומת עמודים ללא היתר</t>
  </si>
  <si>
    <t>פער מרפסות</t>
  </si>
  <si>
    <t>דחיה למימוש</t>
  </si>
  <si>
    <t>בהתר</t>
  </si>
  <si>
    <t>קומת עמודים בהיתר</t>
  </si>
  <si>
    <t>מ"ר אקו' פוטנציאל</t>
  </si>
  <si>
    <t>שווי מ"ר אחסנה</t>
  </si>
  <si>
    <t>קומת עמודים</t>
  </si>
  <si>
    <t>שווי מ"ר אקו'</t>
  </si>
  <si>
    <t>לפי שומת הררי 2021</t>
  </si>
  <si>
    <t>יתרת ש"ש</t>
  </si>
  <si>
    <t>לפי ברנס</t>
  </si>
  <si>
    <t>טבלאת סיכום עלויות</t>
  </si>
  <si>
    <t>פרגולות</t>
  </si>
  <si>
    <t>בית ראשון - מבנה 1</t>
  </si>
  <si>
    <t>בית שני - מבנה 4</t>
  </si>
  <si>
    <t>בית רביעי - מבנה 2</t>
  </si>
  <si>
    <t>בית חמישי - מבנה 5</t>
  </si>
  <si>
    <t>בית שלישי - מבנה 1</t>
  </si>
  <si>
    <t>דמי שימוש - 7 שנים</t>
  </si>
  <si>
    <t>תשלום עיקרי</t>
  </si>
  <si>
    <t>מ"ר פרגולות</t>
  </si>
  <si>
    <t>תשלום פרגולות</t>
  </si>
  <si>
    <t>מ"ר לתש' עיקרי</t>
  </si>
  <si>
    <t>יוסדר כמבנה אחד עם הבית הראשון</t>
  </si>
  <si>
    <t>דמי היתר - להסדרה</t>
  </si>
  <si>
    <t>מומלץ לפינוי / הסרה</t>
  </si>
  <si>
    <t>בית שלישי - מבנה 1 עבור 100 מ"ר</t>
  </si>
  <si>
    <t>יוסדר כבית שלישי - יוצג מטה</t>
  </si>
  <si>
    <t>טבלאת סיכום עלויות בית שלישי</t>
  </si>
  <si>
    <t>טבלאת סיכום עלויות הסדרה</t>
  </si>
  <si>
    <t>טבלאת סיכום עלויות דמי שימוש</t>
  </si>
  <si>
    <t>הדרך אל הבית השלישי</t>
  </si>
  <si>
    <t>עלויות הסדרה</t>
  </si>
  <si>
    <t>היוון 3.75% דמי חכירה</t>
  </si>
  <si>
    <t xml:space="preserve">ע"פ שלב 2 - 260,000 ₪ </t>
  </si>
  <si>
    <t xml:space="preserve">ע"פ שלב 1 - 1,100,000 ₪ </t>
  </si>
  <si>
    <t>תב"ע</t>
  </si>
  <si>
    <t>שכ"ט בעלי מקצוע</t>
  </si>
  <si>
    <t>היתר בניה - דמי היתר</t>
  </si>
  <si>
    <t>דמי היתר 455,000 ₪ + היטל השבחה</t>
  </si>
  <si>
    <t>לפי שומת חכמון</t>
  </si>
  <si>
    <t>אחוז שנתי</t>
  </si>
  <si>
    <t>שנים להיוון</t>
  </si>
  <si>
    <t>שווי עדכני</t>
  </si>
  <si>
    <t>תחשיב לפי מכירות בהרחבה</t>
  </si>
  <si>
    <t>גו"ח</t>
  </si>
  <si>
    <t>תאריך</t>
  </si>
  <si>
    <t>מחיר עסקה</t>
  </si>
  <si>
    <t>שטח המגרש</t>
  </si>
  <si>
    <t>שטח בנוי</t>
  </si>
  <si>
    <t>שנת בניה</t>
  </si>
  <si>
    <t>התאמה למועד קובע</t>
  </si>
  <si>
    <t>בניכוי יזמי 5%</t>
  </si>
  <si>
    <t>עלויות בניה למ"ר</t>
  </si>
  <si>
    <t>יתרה לקרע כולל</t>
  </si>
  <si>
    <t>שטח אקו'</t>
  </si>
  <si>
    <t>שווי מתואם כולל מעמ ופיתוח</t>
  </si>
  <si>
    <t>שווי לשומה</t>
  </si>
  <si>
    <t>פרגולה + מרפסת אחורית</t>
  </si>
  <si>
    <t>פרגולה קדמית</t>
  </si>
  <si>
    <t>פרגולה צידית</t>
  </si>
  <si>
    <t>בליטת גג</t>
  </si>
  <si>
    <t>מפת מדידה - מפרט רמ"י</t>
  </si>
  <si>
    <t>השבחה</t>
  </si>
  <si>
    <t>היטל</t>
  </si>
  <si>
    <t>לפני חצר שולית</t>
  </si>
  <si>
    <t>אחרי מגרש מפוצל</t>
  </si>
  <si>
    <t>שומת</t>
  </si>
  <si>
    <t>היטל השבחה פיצול בית שלישי (מגרש ראשון)</t>
  </si>
  <si>
    <t>עבור 1 מ"ר אקו'</t>
  </si>
  <si>
    <t>עבור מגרש 350</t>
  </si>
  <si>
    <t>מגרש מפוצל הרחבת אביגדור רק במקום 180 220 עיקרי</t>
  </si>
  <si>
    <t>היטל השבחה פיצול בית שני (מגרש שני)</t>
  </si>
  <si>
    <t>לפני מגרש לא מפוצל</t>
  </si>
  <si>
    <t>חתימת רמ"י</t>
  </si>
  <si>
    <t>חתימת ועדה</t>
  </si>
  <si>
    <t>V</t>
  </si>
  <si>
    <t>X</t>
  </si>
  <si>
    <t>מקור</t>
  </si>
  <si>
    <t>מס' תבע</t>
  </si>
  <si>
    <t>זכויות</t>
  </si>
  <si>
    <t>פל"ח</t>
  </si>
  <si>
    <t>גובמאפ</t>
  </si>
  <si>
    <t>בתים</t>
  </si>
  <si>
    <t>תב"עות</t>
  </si>
  <si>
    <t>פלח</t>
  </si>
  <si>
    <t>חריגה מקו</t>
  </si>
  <si>
    <t>עדיפות לאומית</t>
  </si>
  <si>
    <t>גבול</t>
  </si>
  <si>
    <t>סיווג</t>
  </si>
  <si>
    <t>קישור לפרק 4.2 סימן א רשימת איזורי עדיפות</t>
  </si>
  <si>
    <t>בניין</t>
  </si>
  <si>
    <t>לא</t>
  </si>
  <si>
    <t>מיפוי</t>
  </si>
  <si>
    <t>חריגה מקווים</t>
  </si>
  <si>
    <t>מבנים</t>
  </si>
  <si>
    <t>גודל קיים</t>
  </si>
  <si>
    <t>גודל בהיתר</t>
  </si>
  <si>
    <t>שימוש</t>
  </si>
  <si>
    <t>שווי שימוש</t>
  </si>
  <si>
    <t>שיעור דמי שימוש</t>
  </si>
  <si>
    <t>דמי שימוש לשנה</t>
  </si>
  <si>
    <t>שיעור דמי היתר</t>
  </si>
  <si>
    <t>דמי היתר</t>
  </si>
  <si>
    <t>מבנה 1 - בית ראשון</t>
  </si>
  <si>
    <t>מבנה 1 - פרגולה</t>
  </si>
  <si>
    <t>מבנה 7 - יח"ד שניה</t>
  </si>
  <si>
    <t>מבנה 4 - יח"ד שלישית</t>
  </si>
  <si>
    <t>מבנה 4 - פל"ח</t>
  </si>
  <si>
    <t>היתר שנת 99</t>
  </si>
  <si>
    <t>היתר שנת 01- חקלאי</t>
  </si>
  <si>
    <t>היתר שנת 2000 - חקלאי</t>
  </si>
  <si>
    <t>דמי היתר שנרכשו</t>
  </si>
  <si>
    <t>גודל בית ראשון בהיתר</t>
  </si>
  <si>
    <t>שטח פטור</t>
  </si>
  <si>
    <t>שטח שנרכש</t>
  </si>
  <si>
    <t>גודל בית שני בהיתר</t>
  </si>
  <si>
    <t>סה"כ שטח שנרכש</t>
  </si>
  <si>
    <t>סה"כ שטח אקו' לחישוב דמי רכישה</t>
  </si>
  <si>
    <t>סיכום עלויות פיצול/ים לאחר הסדרה</t>
  </si>
  <si>
    <t>סוג תשלום</t>
  </si>
  <si>
    <t>פיצול בית קיים</t>
  </si>
  <si>
    <t>דמי היוון 3.75%/33%</t>
  </si>
  <si>
    <t>תשלום בעבור פיצול</t>
  </si>
  <si>
    <t>-</t>
  </si>
  <si>
    <t>מס רכישה</t>
  </si>
  <si>
    <t>דמי היתר לרכוש במשק</t>
  </si>
  <si>
    <t>היטל השבחה - בעת מכר</t>
  </si>
  <si>
    <t>תגפ/382</t>
  </si>
  <si>
    <t>גז/3/16</t>
  </si>
  <si>
    <t>גז/1000</t>
  </si>
  <si>
    <t>גז/א/3/16</t>
  </si>
  <si>
    <t>אתר ועדה</t>
  </si>
  <si>
    <t>היתר שנת 72</t>
  </si>
  <si>
    <t>מבנה 5 - מבנה חקלאי</t>
  </si>
  <si>
    <t>מבנה 6 - מבנה חקלאי</t>
  </si>
  <si>
    <t>מבנה 7 - בית מגורים חמישי</t>
  </si>
  <si>
    <t>מבנה 8 - חממה</t>
  </si>
  <si>
    <t>מבנה 3.1 - מחסן</t>
  </si>
  <si>
    <t>מבנה 3.2 חניה</t>
  </si>
  <si>
    <t xml:space="preserve">היתר שנת 76 </t>
  </si>
  <si>
    <t>מבנה 2 - בית מגורים ראשון</t>
  </si>
  <si>
    <t>מבנה 1 - בית מגורים שני</t>
  </si>
  <si>
    <t xml:space="preserve">היטל השבחה </t>
  </si>
  <si>
    <t>מועד קובע 1985</t>
  </si>
  <si>
    <t>מדד המחירים לצרכן</t>
  </si>
  <si>
    <t>שווי ממודד</t>
  </si>
  <si>
    <t>מקדם השבחה</t>
  </si>
  <si>
    <t>השבחה למר</t>
  </si>
  <si>
    <t>מבנה 3 - בית מגורים רביעי</t>
  </si>
  <si>
    <t>מבנה 4 - בית מגורים שלישי</t>
  </si>
  <si>
    <t>מועד</t>
  </si>
  <si>
    <t>שווי חלקת מגורים</t>
  </si>
  <si>
    <t>מקדם התאמה לזמן</t>
  </si>
  <si>
    <t>שווי מתואם</t>
  </si>
  <si>
    <t>גוש חלקה</t>
  </si>
  <si>
    <t>יום מכירה</t>
  </si>
  <si>
    <t>תמורה מוצהרת בש"ח</t>
  </si>
  <si>
    <t>בניכוי ר.יזמי</t>
  </si>
  <si>
    <t>מהות</t>
  </si>
  <si>
    <t>חלק נמכר</t>
  </si>
  <si>
    <t>ישוב</t>
  </si>
  <si>
    <t>שטח</t>
  </si>
  <si>
    <t>תרומת הבנוי כולל פיתוח חצר</t>
  </si>
  <si>
    <t>שטח מגרש</t>
  </si>
  <si>
    <t>שווי יתרת מגרש</t>
  </si>
  <si>
    <t>004733-0080-000-00</t>
  </si>
  <si>
    <t>קוטג' חד משפחתי</t>
  </si>
  <si>
    <t>מצליח</t>
  </si>
  <si>
    <t>ניתוח שטח אקו'</t>
  </si>
  <si>
    <t>שווי מר</t>
  </si>
  <si>
    <t>מקדם היקף עסקה</t>
  </si>
  <si>
    <t>שווי מ"R נחלה</t>
  </si>
  <si>
    <t>שטח אקו' שמאי מכריע</t>
  </si>
  <si>
    <t>שטח פוטנציאל דחוי</t>
  </si>
  <si>
    <t>סה"כ שטח אקו'</t>
  </si>
  <si>
    <t>שווי חלקת מגורים מתואם</t>
  </si>
  <si>
    <t>כולל מע"מ</t>
  </si>
  <si>
    <t>שווי מ"ר מבונה אקו' בנחלה</t>
  </si>
  <si>
    <t>שווי מ"ר שמאי רמ"י (לא מכריע)</t>
  </si>
  <si>
    <t>מקדם זמן</t>
  </si>
  <si>
    <t>ניתוח 1</t>
  </si>
  <si>
    <t>ניתוח  דמי רכישה ששולמו - ניתוח 3</t>
  </si>
  <si>
    <t>ניתוח שווי מ"ר שמאי רמי-ניתוח 2</t>
  </si>
  <si>
    <t>עסקת השוואה</t>
  </si>
  <si>
    <t>שווי מ"ר עסקת השוואה</t>
  </si>
  <si>
    <t>מס ניתוח</t>
  </si>
  <si>
    <t>שווי</t>
  </si>
  <si>
    <t>שמאי מנהל (לא מכריע)</t>
  </si>
  <si>
    <t>עסקת דמי רכישה</t>
  </si>
  <si>
    <t>סיכום ניתוחים שווי לנחלה</t>
  </si>
  <si>
    <t>שווי מ"ר נחלה</t>
  </si>
  <si>
    <t>מרתפים</t>
  </si>
  <si>
    <t>חצר עד 1500</t>
  </si>
  <si>
    <t>חניה</t>
  </si>
  <si>
    <t>דמי רכישה להיום כולל מע"מ</t>
  </si>
  <si>
    <t>היטל השבחה יחידה צמודת קיר</t>
  </si>
  <si>
    <t>מגרש מפוצל</t>
  </si>
  <si>
    <t>בית שני</t>
  </si>
  <si>
    <t>מצב קודם</t>
  </si>
  <si>
    <t>סה"כ השבחה</t>
  </si>
  <si>
    <t>שווי מ"ר</t>
  </si>
  <si>
    <t>דמי היוון 3.75%</t>
  </si>
  <si>
    <t>סיכום עלויות הסדרת המבנה</t>
  </si>
  <si>
    <t>הסדרת המבנה כפל"ח</t>
  </si>
  <si>
    <t>הסדרת כיחידה צמודת קיר ללא רצף בן דורי</t>
  </si>
  <si>
    <t>הסדרת המבנה כיחידה צמודת קיר כולל רצף בן דורי</t>
  </si>
  <si>
    <t>היטל השבחה</t>
  </si>
  <si>
    <t>הסדרת הבית השלישי הקיים ללא הריסה</t>
  </si>
  <si>
    <t xml:space="preserve">הקמת בית שלישי חדש בגודל 140  והריסת הקיים טרם התהליך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</si>
</sst>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6" formatCode="&quot;₪&quot;\ #,##0;[Red]&quot;₪&quot;\ \-#,##0"/>
    <numFmt numFmtId="44" formatCode="_ &quot;₪&quot;\ * #,##0.00_ ;_ &quot;₪&quot;\ * \-#,##0.00_ ;_ &quot;₪&quot;\ * &quot;-&quot;??_ ;_ @_ "/>
    <numFmt numFmtId="43" formatCode="_ * #,##0.00_ ;_ * \-#,##0.00_ ;_ * &quot;-&quot;??_ ;_ @_ "/>
    <numFmt numFmtId="164" formatCode="_ &quot;₪&quot;\ * #,##0_ ;_ &quot;₪&quot;\ * \-#,##0_ ;_ &quot;₪&quot;\ * &quot;-&quot;??_ ;_ @_ "/>
    <numFmt numFmtId="165" formatCode="_ * #,##0_ ;_ * \-#,##0_ ;_ * &quot;-&quot;??_ ;_ @_ "/>
    <numFmt numFmtId="166" formatCode="&quot;₪&quot;\ #,##0"/>
    <numFmt numFmtId="167" formatCode="0.00000000"/>
  </numFmts>
  <fonts count="23" x14ac:knownFonts="1"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6"/>
      <color theme="1"/>
      <name val="Arial"/>
      <family val="2"/>
      <charset val="177"/>
      <scheme val="minor"/>
    </font>
    <font>
      <u/>
      <sz val="16"/>
      <color theme="1"/>
      <name val="Arial"/>
      <family val="2"/>
      <charset val="177"/>
      <scheme val="minor"/>
    </font>
    <font>
      <sz val="11"/>
      <color rgb="FFFF0000"/>
      <name val="Arial"/>
      <family val="2"/>
      <charset val="177"/>
      <scheme val="minor"/>
    </font>
    <font>
      <u/>
      <sz val="11"/>
      <color theme="1"/>
      <name val="Arial"/>
      <family val="2"/>
      <charset val="177"/>
      <scheme val="minor"/>
    </font>
    <font>
      <b/>
      <sz val="11"/>
      <color theme="1"/>
      <name val="Arial"/>
      <family val="2"/>
      <scheme val="minor"/>
    </font>
    <font>
      <b/>
      <sz val="11"/>
      <color rgb="FFFF0000"/>
      <name val="Arial"/>
      <family val="2"/>
      <scheme val="minor"/>
    </font>
    <font>
      <sz val="11"/>
      <color theme="1"/>
      <name val="Arial"/>
      <family val="2"/>
      <scheme val="minor"/>
    </font>
    <font>
      <u val="singleAccounting"/>
      <sz val="11"/>
      <color theme="1"/>
      <name val="Arial"/>
      <family val="2"/>
      <charset val="177"/>
      <scheme val="minor"/>
    </font>
    <font>
      <b/>
      <sz val="11"/>
      <name val="Arial"/>
      <family val="2"/>
      <scheme val="minor"/>
    </font>
    <font>
      <b/>
      <sz val="16"/>
      <color theme="1"/>
      <name val="Arial"/>
      <family val="2"/>
      <scheme val="minor"/>
    </font>
    <font>
      <sz val="16"/>
      <color theme="1"/>
      <name val="Arial"/>
      <family val="2"/>
      <scheme val="minor"/>
    </font>
    <font>
      <b/>
      <sz val="11"/>
      <color theme="9"/>
      <name val="Arial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u/>
      <sz val="11"/>
      <color theme="1"/>
      <name val="Arial"/>
      <family val="2"/>
      <scheme val="minor"/>
    </font>
    <font>
      <b/>
      <sz val="11"/>
      <color rgb="FFC00000"/>
      <name val="Arial"/>
      <family val="2"/>
      <scheme val="minor"/>
    </font>
    <font>
      <u/>
      <sz val="11"/>
      <color theme="10"/>
      <name val="Arial"/>
      <family val="2"/>
      <charset val="177"/>
      <scheme val="minor"/>
    </font>
    <font>
      <u/>
      <sz val="11"/>
      <color rgb="FFFF0000"/>
      <name val="Arial"/>
      <family val="2"/>
      <charset val="177"/>
      <scheme val="minor"/>
    </font>
    <font>
      <u/>
      <sz val="11"/>
      <color theme="8"/>
      <name val="Arial"/>
      <family val="2"/>
      <charset val="177"/>
      <scheme val="minor"/>
    </font>
    <font>
      <b/>
      <sz val="10"/>
      <color theme="1"/>
      <name val="Arial"/>
      <family val="2"/>
      <scheme val="minor"/>
    </font>
    <font>
      <sz val="10"/>
      <color theme="1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CF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CCDDFF"/>
        <bgColor indexed="64"/>
      </patternFill>
    </fill>
  </fills>
  <borders count="7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8" fillId="0" borderId="0" applyNumberFormat="0" applyFill="0" applyBorder="0" applyAlignment="0" applyProtection="0"/>
  </cellStyleXfs>
  <cellXfs count="376">
    <xf numFmtId="0" fontId="0" fillId="0" borderId="0" xfId="0"/>
    <xf numFmtId="0" fontId="2" fillId="0" borderId="0" xfId="0" applyFont="1"/>
    <xf numFmtId="0" fontId="3" fillId="0" borderId="0" xfId="0" applyFont="1"/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2" fillId="0" borderId="0" xfId="2" applyNumberFormat="1" applyFont="1"/>
    <xf numFmtId="164" fontId="2" fillId="0" borderId="0" xfId="0" applyNumberFormat="1" applyFont="1"/>
    <xf numFmtId="9" fontId="2" fillId="0" borderId="0" xfId="0" applyNumberFormat="1" applyFont="1"/>
    <xf numFmtId="43" fontId="2" fillId="0" borderId="0" xfId="1" applyFont="1"/>
    <xf numFmtId="44" fontId="2" fillId="0" borderId="0" xfId="0" applyNumberFormat="1" applyFont="1"/>
    <xf numFmtId="0" fontId="0" fillId="0" borderId="1" xfId="0" applyBorder="1"/>
    <xf numFmtId="165" fontId="0" fillId="0" borderId="2" xfId="1" applyNumberFormat="1" applyFont="1" applyBorder="1"/>
    <xf numFmtId="0" fontId="0" fillId="0" borderId="2" xfId="0" applyBorder="1"/>
    <xf numFmtId="0" fontId="0" fillId="0" borderId="3" xfId="0" applyBorder="1"/>
    <xf numFmtId="0" fontId="5" fillId="0" borderId="4" xfId="0" applyFont="1" applyBorder="1"/>
    <xf numFmtId="0" fontId="5" fillId="0" borderId="5" xfId="0" applyFont="1" applyBorder="1"/>
    <xf numFmtId="0" fontId="5" fillId="0" borderId="6" xfId="0" applyFont="1" applyBorder="1"/>
    <xf numFmtId="165" fontId="0" fillId="0" borderId="0" xfId="1" applyNumberFormat="1" applyFont="1"/>
    <xf numFmtId="0" fontId="0" fillId="0" borderId="7" xfId="0" applyBorder="1"/>
    <xf numFmtId="165" fontId="0" fillId="0" borderId="0" xfId="1" applyNumberFormat="1" applyFont="1" applyBorder="1"/>
    <xf numFmtId="43" fontId="0" fillId="0" borderId="0" xfId="1" applyFont="1" applyBorder="1"/>
    <xf numFmtId="0" fontId="0" fillId="0" borderId="8" xfId="0" applyBorder="1"/>
    <xf numFmtId="0" fontId="0" fillId="0" borderId="4" xfId="0" applyBorder="1"/>
    <xf numFmtId="165" fontId="0" fillId="0" borderId="5" xfId="1" applyNumberFormat="1" applyFont="1" applyBorder="1"/>
    <xf numFmtId="43" fontId="0" fillId="0" borderId="5" xfId="1" applyFont="1" applyBorder="1"/>
    <xf numFmtId="0" fontId="0" fillId="0" borderId="6" xfId="0" applyBorder="1"/>
    <xf numFmtId="0" fontId="0" fillId="0" borderId="9" xfId="0" applyBorder="1"/>
    <xf numFmtId="165" fontId="0" fillId="0" borderId="10" xfId="1" applyNumberFormat="1" applyFont="1" applyBorder="1"/>
    <xf numFmtId="43" fontId="0" fillId="0" borderId="11" xfId="1" applyFont="1" applyBorder="1"/>
    <xf numFmtId="0" fontId="0" fillId="0" borderId="12" xfId="0" applyBorder="1"/>
    <xf numFmtId="0" fontId="6" fillId="0" borderId="9" xfId="0" applyFont="1" applyBorder="1"/>
    <xf numFmtId="165" fontId="6" fillId="0" borderId="10" xfId="0" applyNumberFormat="1" applyFont="1" applyBorder="1"/>
    <xf numFmtId="43" fontId="6" fillId="0" borderId="10" xfId="1" applyFont="1" applyBorder="1"/>
    <xf numFmtId="1" fontId="6" fillId="0" borderId="13" xfId="0" applyNumberFormat="1" applyFont="1" applyBorder="1"/>
    <xf numFmtId="0" fontId="6" fillId="0" borderId="14" xfId="0" applyFont="1" applyBorder="1"/>
    <xf numFmtId="165" fontId="6" fillId="0" borderId="15" xfId="0" applyNumberFormat="1" applyFont="1" applyBorder="1"/>
    <xf numFmtId="43" fontId="6" fillId="0" borderId="15" xfId="1" applyFont="1" applyBorder="1"/>
    <xf numFmtId="1" fontId="6" fillId="0" borderId="16" xfId="0" applyNumberFormat="1" applyFont="1" applyBorder="1"/>
    <xf numFmtId="43" fontId="0" fillId="0" borderId="0" xfId="1" applyFont="1"/>
    <xf numFmtId="0" fontId="5" fillId="0" borderId="0" xfId="0" applyFont="1"/>
    <xf numFmtId="0" fontId="0" fillId="0" borderId="5" xfId="0" applyBorder="1"/>
    <xf numFmtId="0" fontId="5" fillId="0" borderId="2" xfId="0" applyFont="1" applyBorder="1"/>
    <xf numFmtId="0" fontId="5" fillId="0" borderId="3" xfId="0" applyFont="1" applyBorder="1"/>
    <xf numFmtId="0" fontId="6" fillId="0" borderId="4" xfId="0" applyFont="1" applyBorder="1"/>
    <xf numFmtId="165" fontId="0" fillId="0" borderId="6" xfId="1" applyNumberFormat="1" applyFont="1" applyFill="1" applyBorder="1"/>
    <xf numFmtId="0" fontId="0" fillId="0" borderId="15" xfId="0" applyBorder="1"/>
    <xf numFmtId="165" fontId="0" fillId="0" borderId="16" xfId="0" applyNumberFormat="1" applyBorder="1"/>
    <xf numFmtId="0" fontId="5" fillId="3" borderId="17" xfId="0" applyFont="1" applyFill="1" applyBorder="1" applyAlignment="1">
      <alignment horizontal="center" vertical="center" wrapText="1"/>
    </xf>
    <xf numFmtId="0" fontId="0" fillId="5" borderId="20" xfId="0" applyFill="1" applyBorder="1"/>
    <xf numFmtId="0" fontId="0" fillId="5" borderId="21" xfId="0" applyFill="1" applyBorder="1"/>
    <xf numFmtId="0" fontId="0" fillId="5" borderId="12" xfId="0" applyFill="1" applyBorder="1"/>
    <xf numFmtId="0" fontId="0" fillId="5" borderId="22" xfId="0" applyFill="1" applyBorder="1"/>
    <xf numFmtId="0" fontId="0" fillId="5" borderId="23" xfId="0" applyFill="1" applyBorder="1"/>
    <xf numFmtId="0" fontId="0" fillId="5" borderId="13" xfId="0" applyFill="1" applyBorder="1"/>
    <xf numFmtId="165" fontId="0" fillId="5" borderId="22" xfId="1" applyNumberFormat="1" applyFont="1" applyFill="1" applyBorder="1"/>
    <xf numFmtId="0" fontId="0" fillId="5" borderId="24" xfId="0" applyFill="1" applyBorder="1"/>
    <xf numFmtId="165" fontId="0" fillId="5" borderId="24" xfId="1" applyNumberFormat="1" applyFont="1" applyFill="1" applyBorder="1"/>
    <xf numFmtId="0" fontId="0" fillId="5" borderId="25" xfId="0" applyFill="1" applyBorder="1"/>
    <xf numFmtId="0" fontId="0" fillId="5" borderId="6" xfId="0" applyFill="1" applyBorder="1"/>
    <xf numFmtId="0" fontId="0" fillId="5" borderId="26" xfId="0" applyFill="1" applyBorder="1"/>
    <xf numFmtId="0" fontId="0" fillId="5" borderId="27" xfId="0" applyFill="1" applyBorder="1"/>
    <xf numFmtId="0" fontId="0" fillId="5" borderId="28" xfId="0" applyFill="1" applyBorder="1"/>
    <xf numFmtId="0" fontId="5" fillId="3" borderId="17" xfId="0" applyFont="1" applyFill="1" applyBorder="1"/>
    <xf numFmtId="0" fontId="5" fillId="3" borderId="19" xfId="0" applyFont="1" applyFill="1" applyBorder="1"/>
    <xf numFmtId="165" fontId="0" fillId="5" borderId="20" xfId="1" applyNumberFormat="1" applyFont="1" applyFill="1" applyBorder="1"/>
    <xf numFmtId="43" fontId="6" fillId="5" borderId="20" xfId="1" applyFont="1" applyFill="1" applyBorder="1"/>
    <xf numFmtId="0" fontId="4" fillId="0" borderId="0" xfId="0" applyFont="1"/>
    <xf numFmtId="0" fontId="8" fillId="0" borderId="0" xfId="0" applyFont="1"/>
    <xf numFmtId="0" fontId="6" fillId="0" borderId="0" xfId="0" applyFont="1"/>
    <xf numFmtId="43" fontId="6" fillId="0" borderId="0" xfId="1" applyFont="1"/>
    <xf numFmtId="165" fontId="6" fillId="0" borderId="5" xfId="1" applyNumberFormat="1" applyFont="1" applyBorder="1"/>
    <xf numFmtId="43" fontId="0" fillId="0" borderId="0" xfId="0" applyNumberFormat="1"/>
    <xf numFmtId="0" fontId="4" fillId="0" borderId="0" xfId="0" applyFont="1" applyAlignment="1">
      <alignment wrapText="1"/>
    </xf>
    <xf numFmtId="1" fontId="0" fillId="0" borderId="0" xfId="0" applyNumberFormat="1"/>
    <xf numFmtId="165" fontId="2" fillId="0" borderId="0" xfId="1" applyNumberFormat="1" applyFont="1"/>
    <xf numFmtId="1" fontId="2" fillId="0" borderId="0" xfId="0" applyNumberFormat="1" applyFont="1"/>
    <xf numFmtId="0" fontId="11" fillId="0" borderId="0" xfId="0" applyFont="1"/>
    <xf numFmtId="10" fontId="11" fillId="0" borderId="0" xfId="0" applyNumberFormat="1" applyFont="1"/>
    <xf numFmtId="164" fontId="11" fillId="0" borderId="0" xfId="2" applyNumberFormat="1" applyFont="1"/>
    <xf numFmtId="9" fontId="11" fillId="0" borderId="0" xfId="0" applyNumberFormat="1" applyFont="1"/>
    <xf numFmtId="1" fontId="11" fillId="0" borderId="0" xfId="0" applyNumberFormat="1" applyFont="1"/>
    <xf numFmtId="0" fontId="12" fillId="0" borderId="0" xfId="0" applyFont="1"/>
    <xf numFmtId="9" fontId="12" fillId="0" borderId="0" xfId="0" applyNumberFormat="1" applyFont="1"/>
    <xf numFmtId="164" fontId="12" fillId="0" borderId="0" xfId="2" applyNumberFormat="1" applyFont="1"/>
    <xf numFmtId="166" fontId="2" fillId="2" borderId="0" xfId="0" applyNumberFormat="1" applyFont="1" applyFill="1"/>
    <xf numFmtId="43" fontId="2" fillId="0" borderId="0" xfId="0" applyNumberFormat="1" applyFont="1"/>
    <xf numFmtId="165" fontId="2" fillId="0" borderId="0" xfId="0" applyNumberFormat="1" applyFont="1"/>
    <xf numFmtId="164" fontId="11" fillId="0" borderId="0" xfId="0" applyNumberFormat="1" applyFont="1"/>
    <xf numFmtId="164" fontId="11" fillId="0" borderId="5" xfId="0" applyNumberFormat="1" applyFont="1" applyBorder="1"/>
    <xf numFmtId="165" fontId="0" fillId="5" borderId="26" xfId="1" applyNumberFormat="1" applyFont="1" applyFill="1" applyBorder="1"/>
    <xf numFmtId="165" fontId="0" fillId="0" borderId="0" xfId="0" applyNumberFormat="1"/>
    <xf numFmtId="165" fontId="5" fillId="3" borderId="18" xfId="1" applyNumberFormat="1" applyFont="1" applyFill="1" applyBorder="1" applyAlignment="1">
      <alignment horizontal="center" vertical="center" wrapText="1"/>
    </xf>
    <xf numFmtId="165" fontId="0" fillId="5" borderId="21" xfId="1" applyNumberFormat="1" applyFont="1" applyFill="1" applyBorder="1"/>
    <xf numFmtId="165" fontId="0" fillId="5" borderId="23" xfId="1" applyNumberFormat="1" applyFont="1" applyFill="1" applyBorder="1"/>
    <xf numFmtId="165" fontId="0" fillId="5" borderId="25" xfId="1" applyNumberFormat="1" applyFont="1" applyFill="1" applyBorder="1"/>
    <xf numFmtId="165" fontId="0" fillId="5" borderId="27" xfId="1" applyNumberFormat="1" applyFont="1" applyFill="1" applyBorder="1"/>
    <xf numFmtId="165" fontId="5" fillId="3" borderId="17" xfId="1" applyNumberFormat="1" applyFont="1" applyFill="1" applyBorder="1" applyAlignment="1">
      <alignment horizontal="center" vertical="center" wrapText="1"/>
    </xf>
    <xf numFmtId="0" fontId="7" fillId="0" borderId="2" xfId="0" applyFont="1" applyBorder="1" applyAlignment="1">
      <alignment vertical="center" wrapText="1"/>
    </xf>
    <xf numFmtId="165" fontId="0" fillId="0" borderId="2" xfId="1" applyNumberFormat="1" applyFont="1" applyBorder="1" applyAlignment="1">
      <alignment wrapText="1"/>
    </xf>
    <xf numFmtId="0" fontId="6" fillId="0" borderId="33" xfId="0" applyFont="1" applyBorder="1"/>
    <xf numFmtId="165" fontId="6" fillId="0" borderId="34" xfId="0" applyNumberFormat="1" applyFont="1" applyBorder="1"/>
    <xf numFmtId="0" fontId="6" fillId="0" borderId="34" xfId="0" applyFont="1" applyBorder="1"/>
    <xf numFmtId="165" fontId="6" fillId="0" borderId="35" xfId="0" applyNumberFormat="1" applyFont="1" applyBorder="1"/>
    <xf numFmtId="165" fontId="0" fillId="0" borderId="10" xfId="0" applyNumberFormat="1" applyBorder="1"/>
    <xf numFmtId="43" fontId="0" fillId="0" borderId="10" xfId="1" applyFont="1" applyBorder="1"/>
    <xf numFmtId="165" fontId="0" fillId="0" borderId="13" xfId="0" applyNumberFormat="1" applyBorder="1"/>
    <xf numFmtId="0" fontId="6" fillId="0" borderId="5" xfId="0" applyFont="1" applyBorder="1"/>
    <xf numFmtId="0" fontId="6" fillId="0" borderId="6" xfId="0" applyFont="1" applyBorder="1"/>
    <xf numFmtId="10" fontId="0" fillId="0" borderId="0" xfId="3" applyNumberFormat="1" applyFont="1"/>
    <xf numFmtId="0" fontId="11" fillId="0" borderId="5" xfId="0" applyFont="1" applyBorder="1"/>
    <xf numFmtId="165" fontId="11" fillId="0" borderId="5" xfId="0" applyNumberFormat="1" applyFont="1" applyBorder="1"/>
    <xf numFmtId="164" fontId="11" fillId="0" borderId="5" xfId="2" applyNumberFormat="1" applyFont="1" applyBorder="1"/>
    <xf numFmtId="165" fontId="12" fillId="0" borderId="0" xfId="0" applyNumberFormat="1" applyFont="1"/>
    <xf numFmtId="10" fontId="12" fillId="0" borderId="0" xfId="0" applyNumberFormat="1" applyFont="1"/>
    <xf numFmtId="0" fontId="2" fillId="0" borderId="5" xfId="0" applyFont="1" applyBorder="1"/>
    <xf numFmtId="0" fontId="5" fillId="3" borderId="18" xfId="0" applyFont="1" applyFill="1" applyBorder="1" applyAlignment="1">
      <alignment horizontal="center" vertical="center" wrapText="1"/>
    </xf>
    <xf numFmtId="0" fontId="5" fillId="3" borderId="19" xfId="0" applyFont="1" applyFill="1" applyBorder="1" applyAlignment="1">
      <alignment horizontal="center" vertical="center" wrapText="1"/>
    </xf>
    <xf numFmtId="43" fontId="6" fillId="7" borderId="37" xfId="1" applyFont="1" applyFill="1" applyBorder="1"/>
    <xf numFmtId="0" fontId="5" fillId="3" borderId="36" xfId="0" applyFont="1" applyFill="1" applyBorder="1" applyAlignment="1">
      <alignment horizontal="center" vertical="center" wrapText="1"/>
    </xf>
    <xf numFmtId="0" fontId="0" fillId="4" borderId="39" xfId="0" applyFill="1" applyBorder="1"/>
    <xf numFmtId="0" fontId="0" fillId="4" borderId="40" xfId="0" applyFill="1" applyBorder="1"/>
    <xf numFmtId="0" fontId="0" fillId="4" borderId="41" xfId="0" applyFill="1" applyBorder="1"/>
    <xf numFmtId="0" fontId="0" fillId="4" borderId="42" xfId="0" applyFill="1" applyBorder="1"/>
    <xf numFmtId="0" fontId="6" fillId="4" borderId="43" xfId="0" applyFont="1" applyFill="1" applyBorder="1"/>
    <xf numFmtId="0" fontId="0" fillId="3" borderId="36" xfId="0" applyFill="1" applyBorder="1"/>
    <xf numFmtId="0" fontId="6" fillId="4" borderId="39" xfId="0" applyFont="1" applyFill="1" applyBorder="1"/>
    <xf numFmtId="43" fontId="0" fillId="0" borderId="8" xfId="0" applyNumberFormat="1" applyBorder="1"/>
    <xf numFmtId="164" fontId="2" fillId="0" borderId="0" xfId="2" applyNumberFormat="1" applyFont="1" applyFill="1"/>
    <xf numFmtId="0" fontId="16" fillId="0" borderId="0" xfId="0" applyFont="1"/>
    <xf numFmtId="165" fontId="9" fillId="0" borderId="0" xfId="1" applyNumberFormat="1" applyFont="1"/>
    <xf numFmtId="165" fontId="6" fillId="0" borderId="5" xfId="0" applyNumberFormat="1" applyFont="1" applyBorder="1"/>
    <xf numFmtId="0" fontId="6" fillId="4" borderId="0" xfId="0" applyFont="1" applyFill="1"/>
    <xf numFmtId="1" fontId="6" fillId="4" borderId="0" xfId="0" applyNumberFormat="1" applyFont="1" applyFill="1"/>
    <xf numFmtId="43" fontId="4" fillId="0" borderId="2" xfId="0" applyNumberFormat="1" applyFont="1" applyBorder="1" applyAlignment="1">
      <alignment vertical="center" wrapText="1"/>
    </xf>
    <xf numFmtId="165" fontId="4" fillId="0" borderId="0" xfId="0" applyNumberFormat="1" applyFont="1" applyAlignment="1">
      <alignment vertical="center" wrapText="1"/>
    </xf>
    <xf numFmtId="165" fontId="3" fillId="0" borderId="0" xfId="1" applyNumberFormat="1" applyFont="1"/>
    <xf numFmtId="43" fontId="17" fillId="6" borderId="30" xfId="1" applyFont="1" applyFill="1" applyBorder="1"/>
    <xf numFmtId="43" fontId="6" fillId="5" borderId="12" xfId="1" applyFont="1" applyFill="1" applyBorder="1"/>
    <xf numFmtId="0" fontId="5" fillId="3" borderId="18" xfId="0" applyFont="1" applyFill="1" applyBorder="1"/>
    <xf numFmtId="43" fontId="6" fillId="5" borderId="21" xfId="1" applyFont="1" applyFill="1" applyBorder="1"/>
    <xf numFmtId="43" fontId="17" fillId="6" borderId="38" xfId="1" applyFont="1" applyFill="1" applyBorder="1"/>
    <xf numFmtId="43" fontId="13" fillId="6" borderId="38" xfId="1" applyFont="1" applyFill="1" applyBorder="1"/>
    <xf numFmtId="165" fontId="0" fillId="5" borderId="45" xfId="1" applyNumberFormat="1" applyFont="1" applyFill="1" applyBorder="1"/>
    <xf numFmtId="0" fontId="0" fillId="5" borderId="46" xfId="0" applyFill="1" applyBorder="1"/>
    <xf numFmtId="43" fontId="13" fillId="6" borderId="16" xfId="1" applyFont="1" applyFill="1" applyBorder="1"/>
    <xf numFmtId="165" fontId="6" fillId="0" borderId="0" xfId="0" applyNumberFormat="1" applyFont="1"/>
    <xf numFmtId="0" fontId="7" fillId="0" borderId="0" xfId="0" applyFont="1" applyAlignment="1">
      <alignment wrapText="1"/>
    </xf>
    <xf numFmtId="164" fontId="0" fillId="0" borderId="0" xfId="2" applyNumberFormat="1" applyFont="1"/>
    <xf numFmtId="164" fontId="0" fillId="0" borderId="0" xfId="0" applyNumberFormat="1"/>
    <xf numFmtId="44" fontId="0" fillId="0" borderId="0" xfId="0" applyNumberFormat="1"/>
    <xf numFmtId="0" fontId="5" fillId="9" borderId="44" xfId="0" applyFont="1" applyFill="1" applyBorder="1" applyAlignment="1">
      <alignment horizontal="center" vertical="center"/>
    </xf>
    <xf numFmtId="0" fontId="5" fillId="9" borderId="44" xfId="0" applyFont="1" applyFill="1" applyBorder="1" applyAlignment="1">
      <alignment horizontal="center" vertical="center" wrapText="1"/>
    </xf>
    <xf numFmtId="164" fontId="9" fillId="9" borderId="48" xfId="2" applyNumberFormat="1" applyFont="1" applyFill="1" applyBorder="1" applyAlignment="1">
      <alignment horizontal="center" vertical="center"/>
    </xf>
    <xf numFmtId="0" fontId="9" fillId="9" borderId="18" xfId="0" applyFont="1" applyFill="1" applyBorder="1" applyAlignment="1">
      <alignment horizontal="center" vertical="center"/>
    </xf>
    <xf numFmtId="0" fontId="9" fillId="9" borderId="48" xfId="0" applyFont="1" applyFill="1" applyBorder="1" applyAlignment="1">
      <alignment horizontal="center" vertical="center"/>
    </xf>
    <xf numFmtId="0" fontId="9" fillId="9" borderId="19" xfId="0" applyFont="1" applyFill="1" applyBorder="1" applyAlignment="1">
      <alignment horizontal="center" vertical="center"/>
    </xf>
    <xf numFmtId="0" fontId="0" fillId="2" borderId="47" xfId="0" applyFill="1" applyBorder="1" applyAlignment="1">
      <alignment wrapText="1"/>
    </xf>
    <xf numFmtId="164" fontId="0" fillId="2" borderId="34" xfId="2" applyNumberFormat="1" applyFont="1" applyFill="1" applyBorder="1"/>
    <xf numFmtId="164" fontId="0" fillId="2" borderId="29" xfId="2" applyNumberFormat="1" applyFont="1" applyFill="1" applyBorder="1"/>
    <xf numFmtId="165" fontId="0" fillId="2" borderId="34" xfId="1" applyNumberFormat="1" applyFont="1" applyFill="1" applyBorder="1"/>
    <xf numFmtId="164" fontId="0" fillId="2" borderId="35" xfId="2" applyNumberFormat="1" applyFont="1" applyFill="1" applyBorder="1"/>
    <xf numFmtId="0" fontId="0" fillId="10" borderId="7" xfId="0" applyFill="1" applyBorder="1" applyAlignment="1">
      <alignment wrapText="1"/>
    </xf>
    <xf numFmtId="164" fontId="0" fillId="10" borderId="48" xfId="2" applyNumberFormat="1" applyFont="1" applyFill="1" applyBorder="1"/>
    <xf numFmtId="0" fontId="0" fillId="10" borderId="0" xfId="0" applyFill="1"/>
    <xf numFmtId="0" fontId="0" fillId="10" borderId="8" xfId="0" applyFill="1" applyBorder="1"/>
    <xf numFmtId="0" fontId="0" fillId="2" borderId="49" xfId="0" applyFill="1" applyBorder="1" applyAlignment="1">
      <alignment vertical="top" wrapText="1"/>
    </xf>
    <xf numFmtId="165" fontId="0" fillId="2" borderId="50" xfId="1" applyNumberFormat="1" applyFont="1" applyFill="1" applyBorder="1" applyAlignment="1">
      <alignment horizontal="right" indent="3"/>
    </xf>
    <xf numFmtId="164" fontId="0" fillId="2" borderId="51" xfId="2" applyNumberFormat="1" applyFont="1" applyFill="1" applyBorder="1"/>
    <xf numFmtId="165" fontId="0" fillId="2" borderId="50" xfId="1" applyNumberFormat="1" applyFont="1" applyFill="1" applyBorder="1" applyAlignment="1">
      <alignment horizontal="center"/>
    </xf>
    <xf numFmtId="164" fontId="0" fillId="2" borderId="52" xfId="2" applyNumberFormat="1" applyFont="1" applyFill="1" applyBorder="1"/>
    <xf numFmtId="0" fontId="0" fillId="2" borderId="45" xfId="0" applyFill="1" applyBorder="1" applyAlignment="1">
      <alignment wrapText="1"/>
    </xf>
    <xf numFmtId="164" fontId="0" fillId="2" borderId="11" xfId="2" applyNumberFormat="1" applyFont="1" applyFill="1" applyBorder="1"/>
    <xf numFmtId="164" fontId="0" fillId="2" borderId="21" xfId="2" applyNumberFormat="1" applyFont="1" applyFill="1" applyBorder="1"/>
    <xf numFmtId="164" fontId="0" fillId="2" borderId="12" xfId="2" applyNumberFormat="1" applyFont="1" applyFill="1" applyBorder="1"/>
    <xf numFmtId="0" fontId="0" fillId="2" borderId="45" xfId="0" applyFill="1" applyBorder="1"/>
    <xf numFmtId="165" fontId="0" fillId="2" borderId="11" xfId="1" applyNumberFormat="1" applyFont="1" applyFill="1" applyBorder="1" applyAlignment="1">
      <alignment horizontal="center"/>
    </xf>
    <xf numFmtId="6" fontId="0" fillId="2" borderId="54" xfId="2" applyNumberFormat="1" applyFont="1" applyFill="1" applyBorder="1" applyAlignment="1">
      <alignment horizontal="center" vertical="center"/>
    </xf>
    <xf numFmtId="6" fontId="0" fillId="2" borderId="55" xfId="2" applyNumberFormat="1" applyFont="1" applyFill="1" applyBorder="1" applyAlignment="1">
      <alignment horizontal="center" vertical="center"/>
    </xf>
    <xf numFmtId="6" fontId="0" fillId="2" borderId="56" xfId="2" applyNumberFormat="1" applyFont="1" applyFill="1" applyBorder="1" applyAlignment="1">
      <alignment horizontal="center" vertical="center"/>
    </xf>
    <xf numFmtId="0" fontId="0" fillId="2" borderId="46" xfId="0" applyFill="1" applyBorder="1"/>
    <xf numFmtId="0" fontId="0" fillId="2" borderId="46" xfId="0" applyFill="1" applyBorder="1" applyAlignment="1">
      <alignment wrapText="1"/>
    </xf>
    <xf numFmtId="164" fontId="0" fillId="2" borderId="20" xfId="2" applyNumberFormat="1" applyFont="1" applyFill="1" applyBorder="1" applyAlignment="1">
      <alignment horizontal="center" vertical="center"/>
    </xf>
    <xf numFmtId="0" fontId="0" fillId="2" borderId="50" xfId="1" applyNumberFormat="1" applyFont="1" applyFill="1" applyBorder="1" applyAlignment="1">
      <alignment horizontal="center"/>
    </xf>
    <xf numFmtId="0" fontId="0" fillId="2" borderId="11" xfId="1" applyNumberFormat="1" applyFont="1" applyFill="1" applyBorder="1" applyAlignment="1">
      <alignment horizontal="center"/>
    </xf>
    <xf numFmtId="166" fontId="2" fillId="0" borderId="0" xfId="0" applyNumberFormat="1" applyFont="1"/>
    <xf numFmtId="9" fontId="0" fillId="0" borderId="0" xfId="3" applyFont="1"/>
    <xf numFmtId="14" fontId="0" fillId="0" borderId="0" xfId="0" applyNumberFormat="1"/>
    <xf numFmtId="165" fontId="1" fillId="0" borderId="0" xfId="1" applyNumberFormat="1" applyFont="1" applyAlignment="1">
      <alignment horizontal="center" vertical="center" wrapText="1"/>
    </xf>
    <xf numFmtId="9" fontId="0" fillId="0" borderId="0" xfId="0" applyNumberFormat="1"/>
    <xf numFmtId="9" fontId="2" fillId="0" borderId="0" xfId="3" applyFont="1"/>
    <xf numFmtId="0" fontId="5" fillId="3" borderId="60" xfId="0" applyFont="1" applyFill="1" applyBorder="1" applyAlignment="1">
      <alignment horizontal="center" vertical="center" wrapText="1"/>
    </xf>
    <xf numFmtId="0" fontId="0" fillId="4" borderId="32" xfId="0" applyFill="1" applyBorder="1"/>
    <xf numFmtId="0" fontId="0" fillId="4" borderId="7" xfId="0" applyFill="1" applyBorder="1"/>
    <xf numFmtId="0" fontId="0" fillId="4" borderId="4" xfId="0" applyFill="1" applyBorder="1"/>
    <xf numFmtId="0" fontId="0" fillId="4" borderId="61" xfId="0" applyFill="1" applyBorder="1"/>
    <xf numFmtId="0" fontId="0" fillId="4" borderId="9" xfId="0" applyFill="1" applyBorder="1"/>
    <xf numFmtId="0" fontId="6" fillId="4" borderId="32" xfId="0" applyFont="1" applyFill="1" applyBorder="1"/>
    <xf numFmtId="0" fontId="6" fillId="4" borderId="33" xfId="0" applyFont="1" applyFill="1" applyBorder="1"/>
    <xf numFmtId="0" fontId="6" fillId="4" borderId="62" xfId="0" applyFont="1" applyFill="1" applyBorder="1"/>
    <xf numFmtId="43" fontId="6" fillId="6" borderId="63" xfId="1" applyFont="1" applyFill="1" applyBorder="1"/>
    <xf numFmtId="43" fontId="6" fillId="6" borderId="64" xfId="1" applyFont="1" applyFill="1" applyBorder="1"/>
    <xf numFmtId="43" fontId="6" fillId="6" borderId="65" xfId="1" applyFont="1" applyFill="1" applyBorder="1"/>
    <xf numFmtId="43" fontId="6" fillId="6" borderId="8" xfId="1" applyFont="1" applyFill="1" applyBorder="1"/>
    <xf numFmtId="165" fontId="5" fillId="3" borderId="17" xfId="1" applyNumberFormat="1" applyFont="1" applyFill="1" applyBorder="1"/>
    <xf numFmtId="165" fontId="5" fillId="3" borderId="18" xfId="1" applyNumberFormat="1" applyFont="1" applyFill="1" applyBorder="1"/>
    <xf numFmtId="43" fontId="6" fillId="6" borderId="66" xfId="1" applyFont="1" applyFill="1" applyBorder="1"/>
    <xf numFmtId="43" fontId="10" fillId="7" borderId="67" xfId="1" applyFont="1" applyFill="1" applyBorder="1"/>
    <xf numFmtId="0" fontId="0" fillId="4" borderId="62" xfId="0" applyFill="1" applyBorder="1"/>
    <xf numFmtId="0" fontId="6" fillId="4" borderId="8" xfId="0" applyFont="1" applyFill="1" applyBorder="1"/>
    <xf numFmtId="0" fontId="6" fillId="4" borderId="68" xfId="0" applyFont="1" applyFill="1" applyBorder="1"/>
    <xf numFmtId="0" fontId="0" fillId="0" borderId="0" xfId="0" applyAlignment="1">
      <alignment readingOrder="2"/>
    </xf>
    <xf numFmtId="0" fontId="18" fillId="0" borderId="0" xfId="4"/>
    <xf numFmtId="0" fontId="5" fillId="0" borderId="1" xfId="0" applyFont="1" applyBorder="1"/>
    <xf numFmtId="165" fontId="0" fillId="0" borderId="3" xfId="1" applyNumberFormat="1" applyFont="1" applyBorder="1"/>
    <xf numFmtId="165" fontId="0" fillId="0" borderId="8" xfId="1" applyNumberFormat="1" applyFont="1" applyBorder="1"/>
    <xf numFmtId="165" fontId="6" fillId="0" borderId="35" xfId="1" applyNumberFormat="1" applyFont="1" applyBorder="1"/>
    <xf numFmtId="0" fontId="6" fillId="0" borderId="60" xfId="0" applyFont="1" applyBorder="1"/>
    <xf numFmtId="0" fontId="6" fillId="0" borderId="48" xfId="0" applyFont="1" applyBorder="1"/>
    <xf numFmtId="165" fontId="6" fillId="0" borderId="19" xfId="1" applyNumberFormat="1" applyFont="1" applyBorder="1"/>
    <xf numFmtId="165" fontId="19" fillId="3" borderId="18" xfId="1" applyNumberFormat="1" applyFont="1" applyFill="1" applyBorder="1" applyAlignment="1">
      <alignment horizontal="center" vertical="center" wrapText="1"/>
    </xf>
    <xf numFmtId="0" fontId="20" fillId="3" borderId="18" xfId="0" applyFont="1" applyFill="1" applyBorder="1" applyAlignment="1">
      <alignment horizontal="center" vertical="center" wrapText="1"/>
    </xf>
    <xf numFmtId="0" fontId="21" fillId="13" borderId="72" xfId="0" applyFont="1" applyFill="1" applyBorder="1" applyAlignment="1">
      <alignment horizontal="center" vertical="center" wrapText="1"/>
    </xf>
    <xf numFmtId="0" fontId="21" fillId="13" borderId="73" xfId="0" applyFont="1" applyFill="1" applyBorder="1" applyAlignment="1">
      <alignment horizontal="center" vertical="center" wrapText="1"/>
    </xf>
    <xf numFmtId="0" fontId="21" fillId="13" borderId="36" xfId="0" applyFont="1" applyFill="1" applyBorder="1" applyAlignment="1">
      <alignment horizontal="center" vertical="center" wrapText="1"/>
    </xf>
    <xf numFmtId="0" fontId="22" fillId="0" borderId="72" xfId="0" applyFont="1" applyBorder="1" applyAlignment="1">
      <alignment wrapText="1"/>
    </xf>
    <xf numFmtId="14" fontId="22" fillId="0" borderId="72" xfId="0" applyNumberFormat="1" applyFont="1" applyBorder="1" applyAlignment="1">
      <alignment wrapText="1"/>
    </xf>
    <xf numFmtId="3" fontId="22" fillId="0" borderId="72" xfId="0" applyNumberFormat="1" applyFont="1" applyBorder="1" applyAlignment="1">
      <alignment wrapText="1"/>
    </xf>
    <xf numFmtId="0" fontId="22" fillId="0" borderId="36" xfId="0" applyFont="1" applyBorder="1" applyAlignment="1">
      <alignment wrapText="1"/>
    </xf>
    <xf numFmtId="3" fontId="0" fillId="0" borderId="36" xfId="0" applyNumberFormat="1" applyBorder="1"/>
    <xf numFmtId="0" fontId="0" fillId="0" borderId="45" xfId="0" applyBorder="1"/>
    <xf numFmtId="0" fontId="0" fillId="0" borderId="20" xfId="0" applyBorder="1"/>
    <xf numFmtId="0" fontId="0" fillId="0" borderId="54" xfId="0" applyBorder="1"/>
    <xf numFmtId="0" fontId="0" fillId="0" borderId="46" xfId="0" applyBorder="1"/>
    <xf numFmtId="0" fontId="0" fillId="0" borderId="22" xfId="0" applyBorder="1"/>
    <xf numFmtId="0" fontId="0" fillId="0" borderId="69" xfId="0" applyBorder="1"/>
    <xf numFmtId="0" fontId="0" fillId="0" borderId="75" xfId="0" applyBorder="1"/>
    <xf numFmtId="164" fontId="6" fillId="0" borderId="36" xfId="2" applyNumberFormat="1" applyFont="1" applyBorder="1"/>
    <xf numFmtId="164" fontId="6" fillId="0" borderId="0" xfId="2" applyNumberFormat="1" applyFont="1"/>
    <xf numFmtId="17" fontId="0" fillId="0" borderId="8" xfId="0" applyNumberFormat="1" applyBorder="1"/>
    <xf numFmtId="164" fontId="0" fillId="0" borderId="8" xfId="2" applyNumberFormat="1" applyFont="1" applyBorder="1"/>
    <xf numFmtId="164" fontId="0" fillId="0" borderId="8" xfId="0" applyNumberFormat="1" applyBorder="1"/>
    <xf numFmtId="2" fontId="0" fillId="0" borderId="8" xfId="0" applyNumberFormat="1" applyBorder="1"/>
    <xf numFmtId="44" fontId="0" fillId="0" borderId="8" xfId="0" applyNumberFormat="1" applyBorder="1"/>
    <xf numFmtId="165" fontId="0" fillId="0" borderId="8" xfId="0" applyNumberFormat="1" applyBorder="1"/>
    <xf numFmtId="164" fontId="6" fillId="0" borderId="8" xfId="2" applyNumberFormat="1" applyFont="1" applyBorder="1"/>
    <xf numFmtId="0" fontId="0" fillId="0" borderId="33" xfId="0" applyBorder="1"/>
    <xf numFmtId="0" fontId="0" fillId="0" borderId="34" xfId="0" applyBorder="1"/>
    <xf numFmtId="165" fontId="0" fillId="0" borderId="34" xfId="1" applyNumberFormat="1" applyFont="1" applyBorder="1"/>
    <xf numFmtId="0" fontId="0" fillId="0" borderId="35" xfId="0" applyBorder="1"/>
    <xf numFmtId="0" fontId="21" fillId="0" borderId="0" xfId="0" applyFont="1"/>
    <xf numFmtId="0" fontId="22" fillId="0" borderId="0" xfId="0" applyFont="1"/>
    <xf numFmtId="164" fontId="6" fillId="0" borderId="34" xfId="2" applyNumberFormat="1" applyFont="1" applyBorder="1"/>
    <xf numFmtId="165" fontId="11" fillId="0" borderId="2" xfId="1" applyNumberFormat="1" applyFont="1" applyBorder="1"/>
    <xf numFmtId="167" fontId="0" fillId="0" borderId="8" xfId="0" applyNumberFormat="1" applyBorder="1"/>
    <xf numFmtId="164" fontId="6" fillId="0" borderId="0" xfId="0" applyNumberFormat="1" applyFont="1"/>
    <xf numFmtId="0" fontId="6" fillId="0" borderId="7" xfId="0" applyFont="1" applyBorder="1"/>
    <xf numFmtId="14" fontId="6" fillId="0" borderId="0" xfId="0" applyNumberFormat="1" applyFont="1"/>
    <xf numFmtId="43" fontId="6" fillId="0" borderId="13" xfId="1" applyFont="1" applyBorder="1"/>
    <xf numFmtId="44" fontId="6" fillId="0" borderId="0" xfId="0" applyNumberFormat="1" applyFont="1"/>
    <xf numFmtId="0" fontId="6" fillId="0" borderId="4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70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164" fontId="8" fillId="0" borderId="22" xfId="0" applyNumberFormat="1" applyFont="1" applyBorder="1" applyAlignment="1">
      <alignment horizontal="center" vertical="center"/>
    </xf>
    <xf numFmtId="0" fontId="8" fillId="0" borderId="69" xfId="0" applyFont="1" applyBorder="1" applyAlignment="1">
      <alignment horizontal="center" vertical="center"/>
    </xf>
    <xf numFmtId="0" fontId="8" fillId="0" borderId="30" xfId="0" applyFont="1" applyBorder="1" applyAlignment="1">
      <alignment horizontal="center" vertical="center"/>
    </xf>
    <xf numFmtId="0" fontId="8" fillId="0" borderId="71" xfId="0" applyFont="1" applyBorder="1" applyAlignment="1">
      <alignment horizontal="center" vertical="center"/>
    </xf>
    <xf numFmtId="0" fontId="0" fillId="11" borderId="60" xfId="0" applyFill="1" applyBorder="1" applyAlignment="1">
      <alignment horizontal="center"/>
    </xf>
    <xf numFmtId="0" fontId="0" fillId="11" borderId="48" xfId="0" applyFill="1" applyBorder="1" applyAlignment="1">
      <alignment horizontal="center"/>
    </xf>
    <xf numFmtId="0" fontId="0" fillId="11" borderId="19" xfId="0" applyFill="1" applyBorder="1" applyAlignment="1">
      <alignment horizontal="center"/>
    </xf>
    <xf numFmtId="0" fontId="0" fillId="0" borderId="46" xfId="0" applyBorder="1" applyAlignment="1">
      <alignment horizontal="center" vertical="center"/>
    </xf>
    <xf numFmtId="0" fontId="0" fillId="0" borderId="22" xfId="0" applyBorder="1" applyAlignment="1">
      <alignment horizontal="center" vertical="center"/>
    </xf>
    <xf numFmtId="164" fontId="0" fillId="0" borderId="22" xfId="0" applyNumberFormat="1" applyBorder="1" applyAlignment="1">
      <alignment horizontal="center" vertical="center"/>
    </xf>
    <xf numFmtId="164" fontId="0" fillId="0" borderId="69" xfId="0" applyNumberFormat="1" applyBorder="1" applyAlignment="1">
      <alignment horizontal="center" vertical="center"/>
    </xf>
    <xf numFmtId="0" fontId="8" fillId="0" borderId="46" xfId="0" applyFont="1" applyBorder="1" applyAlignment="1">
      <alignment horizontal="center" vertical="center"/>
    </xf>
    <xf numFmtId="0" fontId="8" fillId="0" borderId="22" xfId="0" applyFont="1" applyBorder="1" applyAlignment="1">
      <alignment horizontal="center" vertical="center"/>
    </xf>
    <xf numFmtId="0" fontId="8" fillId="0" borderId="70" xfId="0" applyFont="1" applyBorder="1" applyAlignment="1">
      <alignment horizontal="center" vertical="center"/>
    </xf>
    <xf numFmtId="164" fontId="0" fillId="0" borderId="22" xfId="2" applyNumberFormat="1" applyFont="1" applyBorder="1" applyAlignment="1">
      <alignment horizontal="center" vertical="center"/>
    </xf>
    <xf numFmtId="164" fontId="0" fillId="0" borderId="69" xfId="2" applyNumberFormat="1" applyFont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12" borderId="3" xfId="0" applyFill="1" applyBorder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 wrapText="1"/>
    </xf>
    <xf numFmtId="0" fontId="0" fillId="12" borderId="3" xfId="0" applyFill="1" applyBorder="1" applyAlignment="1">
      <alignment horizontal="center" vertical="center" wrapText="1"/>
    </xf>
    <xf numFmtId="0" fontId="0" fillId="12" borderId="7" xfId="0" applyFill="1" applyBorder="1" applyAlignment="1">
      <alignment horizontal="center" vertical="center" wrapText="1"/>
    </xf>
    <xf numFmtId="0" fontId="0" fillId="12" borderId="8" xfId="0" applyFill="1" applyBorder="1" applyAlignment="1">
      <alignment horizontal="center" vertical="center" wrapText="1"/>
    </xf>
    <xf numFmtId="0" fontId="0" fillId="0" borderId="49" xfId="0" applyBorder="1" applyAlignment="1">
      <alignment horizontal="center" vertical="center"/>
    </xf>
    <xf numFmtId="0" fontId="0" fillId="0" borderId="55" xfId="0" applyBorder="1" applyAlignment="1">
      <alignment horizontal="center" vertical="center"/>
    </xf>
    <xf numFmtId="164" fontId="0" fillId="0" borderId="76" xfId="2" applyNumberFormat="1" applyFont="1" applyBorder="1" applyAlignment="1">
      <alignment horizontal="center" vertical="center"/>
    </xf>
    <xf numFmtId="164" fontId="0" fillId="0" borderId="3" xfId="2" applyNumberFormat="1" applyFont="1" applyBorder="1" applyAlignment="1">
      <alignment horizontal="center" vertical="center"/>
    </xf>
    <xf numFmtId="164" fontId="0" fillId="0" borderId="31" xfId="2" applyNumberFormat="1" applyFont="1" applyBorder="1" applyAlignment="1">
      <alignment horizontal="center" vertical="center"/>
    </xf>
    <xf numFmtId="164" fontId="0" fillId="0" borderId="12" xfId="2" applyNumberFormat="1" applyFont="1" applyBorder="1" applyAlignment="1">
      <alignment horizontal="center" vertical="center"/>
    </xf>
    <xf numFmtId="164" fontId="0" fillId="0" borderId="1" xfId="2" applyNumberFormat="1" applyFont="1" applyBorder="1" applyAlignment="1">
      <alignment horizontal="center" vertical="center"/>
    </xf>
    <xf numFmtId="164" fontId="0" fillId="0" borderId="32" xfId="2" applyNumberFormat="1" applyFont="1" applyBorder="1" applyAlignment="1">
      <alignment horizontal="center" vertical="center"/>
    </xf>
    <xf numFmtId="0" fontId="0" fillId="12" borderId="33" xfId="0" applyFill="1" applyBorder="1" applyAlignment="1">
      <alignment horizontal="center" vertical="center"/>
    </xf>
    <xf numFmtId="0" fontId="0" fillId="12" borderId="35" xfId="0" applyFill="1" applyBorder="1" applyAlignment="1">
      <alignment horizontal="center" vertical="center"/>
    </xf>
    <xf numFmtId="0" fontId="0" fillId="0" borderId="70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164" fontId="0" fillId="0" borderId="30" xfId="0" applyNumberFormat="1" applyBorder="1" applyAlignment="1">
      <alignment horizontal="center" vertical="center"/>
    </xf>
    <xf numFmtId="164" fontId="6" fillId="0" borderId="22" xfId="0" applyNumberFormat="1" applyFont="1" applyBorder="1" applyAlignment="1">
      <alignment horizontal="center" vertical="center"/>
    </xf>
    <xf numFmtId="164" fontId="0" fillId="0" borderId="55" xfId="2" applyNumberFormat="1" applyFont="1" applyBorder="1" applyAlignment="1">
      <alignment horizontal="center" vertical="center"/>
    </xf>
    <xf numFmtId="164" fontId="0" fillId="0" borderId="77" xfId="0" applyNumberFormat="1" applyBorder="1" applyAlignment="1">
      <alignment horizontal="center" vertical="center"/>
    </xf>
    <xf numFmtId="164" fontId="0" fillId="0" borderId="6" xfId="0" applyNumberFormat="1" applyBorder="1" applyAlignment="1">
      <alignment horizontal="center" vertical="center"/>
    </xf>
    <xf numFmtId="164" fontId="0" fillId="0" borderId="31" xfId="0" applyNumberFormat="1" applyBorder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77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64" fontId="6" fillId="0" borderId="77" xfId="0" applyNumberFormat="1" applyFont="1" applyBorder="1" applyAlignment="1">
      <alignment horizontal="center" vertical="center"/>
    </xf>
    <xf numFmtId="164" fontId="6" fillId="0" borderId="6" xfId="0" applyNumberFormat="1" applyFont="1" applyBorder="1" applyAlignment="1">
      <alignment horizontal="center" vertical="center"/>
    </xf>
    <xf numFmtId="164" fontId="6" fillId="0" borderId="31" xfId="0" applyNumberFormat="1" applyFont="1" applyBorder="1" applyAlignment="1">
      <alignment horizontal="center" vertical="center"/>
    </xf>
    <xf numFmtId="164" fontId="6" fillId="0" borderId="12" xfId="0" applyNumberFormat="1" applyFont="1" applyBorder="1" applyAlignment="1">
      <alignment horizontal="center" vertical="center"/>
    </xf>
    <xf numFmtId="164" fontId="0" fillId="0" borderId="77" xfId="2" applyNumberFormat="1" applyFont="1" applyBorder="1" applyAlignment="1">
      <alignment horizontal="center" vertical="center"/>
    </xf>
    <xf numFmtId="164" fontId="0" fillId="0" borderId="6" xfId="2" applyNumberFormat="1" applyFont="1" applyBorder="1" applyAlignment="1">
      <alignment horizontal="center" vertical="center"/>
    </xf>
    <xf numFmtId="164" fontId="0" fillId="0" borderId="59" xfId="2" applyNumberFormat="1" applyFont="1" applyBorder="1" applyAlignment="1">
      <alignment horizontal="center" vertical="center"/>
    </xf>
    <xf numFmtId="164" fontId="0" fillId="0" borderId="35" xfId="2" applyNumberFormat="1" applyFont="1" applyBorder="1" applyAlignment="1">
      <alignment horizontal="center" vertical="center"/>
    </xf>
    <xf numFmtId="0" fontId="6" fillId="0" borderId="60" xfId="0" applyFont="1" applyBorder="1" applyAlignment="1">
      <alignment horizontal="center"/>
    </xf>
    <xf numFmtId="0" fontId="6" fillId="0" borderId="48" xfId="0" applyFont="1" applyBorder="1" applyAlignment="1">
      <alignment horizontal="center"/>
    </xf>
    <xf numFmtId="0" fontId="6" fillId="0" borderId="19" xfId="0" applyFont="1" applyBorder="1" applyAlignment="1">
      <alignment horizontal="center"/>
    </xf>
    <xf numFmtId="0" fontId="11" fillId="0" borderId="60" xfId="0" applyFont="1" applyBorder="1" applyAlignment="1">
      <alignment horizontal="center"/>
    </xf>
    <xf numFmtId="0" fontId="11" fillId="0" borderId="48" xfId="0" applyFont="1" applyBorder="1" applyAlignment="1">
      <alignment horizontal="center"/>
    </xf>
    <xf numFmtId="0" fontId="11" fillId="0" borderId="19" xfId="0" applyFont="1" applyBorder="1" applyAlignment="1">
      <alignment horizontal="center"/>
    </xf>
    <xf numFmtId="0" fontId="6" fillId="0" borderId="34" xfId="0" applyFont="1" applyBorder="1" applyAlignment="1">
      <alignment horizontal="center"/>
    </xf>
    <xf numFmtId="0" fontId="0" fillId="0" borderId="0" xfId="0" applyAlignment="1">
      <alignment horizontal="center"/>
    </xf>
    <xf numFmtId="0" fontId="22" fillId="0" borderId="0" xfId="0" applyFont="1" applyAlignment="1">
      <alignment wrapText="1"/>
    </xf>
    <xf numFmtId="0" fontId="0" fillId="0" borderId="0" xfId="0"/>
    <xf numFmtId="0" fontId="22" fillId="0" borderId="44" xfId="0" applyFont="1" applyBorder="1" applyAlignment="1">
      <alignment horizontal="center"/>
    </xf>
    <xf numFmtId="0" fontId="22" fillId="0" borderId="17" xfId="0" applyFont="1" applyBorder="1" applyAlignment="1">
      <alignment horizontal="center"/>
    </xf>
    <xf numFmtId="0" fontId="22" fillId="0" borderId="74" xfId="0" applyFont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0" xfId="0" applyBorder="1" applyAlignment="1">
      <alignment horizontal="center"/>
    </xf>
    <xf numFmtId="0" fontId="0" fillId="0" borderId="48" xfId="0" applyBorder="1" applyAlignment="1">
      <alignment horizontal="center"/>
    </xf>
    <xf numFmtId="0" fontId="0" fillId="0" borderId="19" xfId="0" applyBorder="1" applyAlignment="1">
      <alignment horizontal="center"/>
    </xf>
    <xf numFmtId="6" fontId="0" fillId="2" borderId="58" xfId="2" applyNumberFormat="1" applyFont="1" applyFill="1" applyBorder="1" applyAlignment="1">
      <alignment horizontal="center" vertical="center"/>
    </xf>
    <xf numFmtId="6" fontId="0" fillId="2" borderId="50" xfId="2" applyNumberFormat="1" applyFont="1" applyFill="1" applyBorder="1" applyAlignment="1">
      <alignment horizontal="center" vertical="center"/>
    </xf>
    <xf numFmtId="6" fontId="0" fillId="2" borderId="52" xfId="2" applyNumberFormat="1" applyFont="1" applyFill="1" applyBorder="1" applyAlignment="1">
      <alignment horizontal="center" vertical="center"/>
    </xf>
    <xf numFmtId="6" fontId="0" fillId="2" borderId="31" xfId="2" applyNumberFormat="1" applyFont="1" applyFill="1" applyBorder="1" applyAlignment="1">
      <alignment horizontal="center" vertical="center"/>
    </xf>
    <xf numFmtId="6" fontId="0" fillId="2" borderId="11" xfId="2" applyNumberFormat="1" applyFont="1" applyFill="1" applyBorder="1" applyAlignment="1">
      <alignment horizontal="center" vertical="center"/>
    </xf>
    <xf numFmtId="6" fontId="0" fillId="2" borderId="12" xfId="2" applyNumberFormat="1" applyFont="1" applyFill="1" applyBorder="1" applyAlignment="1">
      <alignment horizontal="center" vertical="center"/>
    </xf>
    <xf numFmtId="6" fontId="0" fillId="2" borderId="59" xfId="2" applyNumberFormat="1" applyFont="1" applyFill="1" applyBorder="1" applyAlignment="1">
      <alignment horizontal="center" vertical="center"/>
    </xf>
    <xf numFmtId="6" fontId="0" fillId="2" borderId="34" xfId="2" applyNumberFormat="1" applyFont="1" applyFill="1" applyBorder="1" applyAlignment="1">
      <alignment horizontal="center" vertical="center"/>
    </xf>
    <xf numFmtId="6" fontId="0" fillId="2" borderId="35" xfId="2" applyNumberFormat="1" applyFont="1" applyFill="1" applyBorder="1" applyAlignment="1">
      <alignment horizontal="center" vertical="center"/>
    </xf>
    <xf numFmtId="6" fontId="0" fillId="2" borderId="53" xfId="2" applyNumberFormat="1" applyFont="1" applyFill="1" applyBorder="1" applyAlignment="1">
      <alignment horizontal="center" vertical="center"/>
    </xf>
    <xf numFmtId="6" fontId="0" fillId="2" borderId="13" xfId="2" applyNumberFormat="1" applyFont="1" applyFill="1" applyBorder="1" applyAlignment="1">
      <alignment horizontal="center" vertical="center"/>
    </xf>
    <xf numFmtId="164" fontId="0" fillId="2" borderId="10" xfId="2" applyNumberFormat="1" applyFont="1" applyFill="1" applyBorder="1" applyAlignment="1">
      <alignment horizontal="center"/>
    </xf>
    <xf numFmtId="164" fontId="0" fillId="2" borderId="13" xfId="2" applyNumberFormat="1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5" fillId="8" borderId="2" xfId="0" applyFont="1" applyFill="1" applyBorder="1" applyAlignment="1">
      <alignment horizontal="center"/>
    </xf>
    <xf numFmtId="0" fontId="5" fillId="8" borderId="3" xfId="0" applyFont="1" applyFill="1" applyBorder="1" applyAlignment="1">
      <alignment horizontal="center"/>
    </xf>
    <xf numFmtId="0" fontId="5" fillId="9" borderId="48" xfId="0" applyFont="1" applyFill="1" applyBorder="1" applyAlignment="1">
      <alignment horizontal="center" vertical="center"/>
    </xf>
    <xf numFmtId="0" fontId="5" fillId="9" borderId="18" xfId="0" applyFont="1" applyFill="1" applyBorder="1" applyAlignment="1">
      <alignment horizontal="center" vertical="center"/>
    </xf>
    <xf numFmtId="0" fontId="5" fillId="9" borderId="19" xfId="0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center"/>
    </xf>
    <xf numFmtId="164" fontId="0" fillId="2" borderId="12" xfId="2" applyNumberFormat="1" applyFont="1" applyFill="1" applyBorder="1" applyAlignment="1">
      <alignment horizontal="center"/>
    </xf>
    <xf numFmtId="164" fontId="0" fillId="2" borderId="11" xfId="2" applyNumberFormat="1" applyFont="1" applyFill="1" applyBorder="1" applyAlignment="1">
      <alignment horizontal="center" vertical="center"/>
    </xf>
    <xf numFmtId="164" fontId="0" fillId="2" borderId="21" xfId="2" applyNumberFormat="1" applyFont="1" applyFill="1" applyBorder="1" applyAlignment="1">
      <alignment horizontal="center" vertical="center"/>
    </xf>
    <xf numFmtId="164" fontId="0" fillId="2" borderId="11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left" vertical="center"/>
    </xf>
    <xf numFmtId="164" fontId="0" fillId="2" borderId="12" xfId="2" applyNumberFormat="1" applyFont="1" applyFill="1" applyBorder="1" applyAlignment="1">
      <alignment horizontal="center" vertical="center"/>
    </xf>
    <xf numFmtId="164" fontId="0" fillId="2" borderId="34" xfId="2" applyNumberFormat="1" applyFont="1" applyFill="1" applyBorder="1" applyAlignment="1">
      <alignment horizontal="center" vertical="center"/>
    </xf>
    <xf numFmtId="164" fontId="0" fillId="2" borderId="29" xfId="2" applyNumberFormat="1" applyFont="1" applyFill="1" applyBorder="1" applyAlignment="1">
      <alignment horizontal="center" vertical="center"/>
    </xf>
    <xf numFmtId="164" fontId="0" fillId="2" borderId="35" xfId="2" applyNumberFormat="1" applyFont="1" applyFill="1" applyBorder="1" applyAlignment="1">
      <alignment horizontal="center" vertical="center"/>
    </xf>
    <xf numFmtId="164" fontId="0" fillId="2" borderId="57" xfId="2" applyNumberFormat="1" applyFont="1" applyFill="1" applyBorder="1" applyAlignment="1">
      <alignment horizontal="center"/>
    </xf>
    <xf numFmtId="164" fontId="0" fillId="2" borderId="15" xfId="2" applyNumberFormat="1" applyFont="1" applyFill="1" applyBorder="1" applyAlignment="1">
      <alignment horizontal="center"/>
    </xf>
    <xf numFmtId="164" fontId="0" fillId="2" borderId="16" xfId="2" applyNumberFormat="1" applyFont="1" applyFill="1" applyBorder="1" applyAlignment="1">
      <alignment horizontal="center"/>
    </xf>
    <xf numFmtId="164" fontId="0" fillId="2" borderId="50" xfId="2" applyNumberFormat="1" applyFont="1" applyFill="1" applyBorder="1" applyAlignment="1">
      <alignment horizontal="center" vertical="center"/>
    </xf>
    <xf numFmtId="164" fontId="0" fillId="2" borderId="51" xfId="2" applyNumberFormat="1" applyFont="1" applyFill="1" applyBorder="1" applyAlignment="1">
      <alignment horizontal="center" vertical="center"/>
    </xf>
    <xf numFmtId="164" fontId="0" fillId="2" borderId="52" xfId="2" applyNumberFormat="1" applyFont="1" applyFill="1" applyBorder="1" applyAlignment="1">
      <alignment horizontal="center" vertical="center"/>
    </xf>
    <xf numFmtId="6" fontId="0" fillId="2" borderId="23" xfId="2" applyNumberFormat="1" applyFont="1" applyFill="1" applyBorder="1" applyAlignment="1">
      <alignment horizontal="center" vertical="center"/>
    </xf>
  </cellXfs>
  <cellStyles count="5">
    <cellStyle name="Comma" xfId="1" builtinId="3"/>
    <cellStyle name="Currency" xfId="2" builtinId="4"/>
    <cellStyle name="Normal" xfId="0" builtinId="0"/>
    <cellStyle name="Percent" xfId="3" builtinId="5"/>
    <cellStyle name="היפר-קישור" xfId="4" builtinId="8"/>
  </cellStyles>
  <dxfs count="0"/>
  <tableStyles count="0" defaultTableStyle="TableStyleMedium2" defaultPivotStyle="PivotStyleLight16"/>
  <colors>
    <mruColors>
      <color rgb="FFFFFCF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microsoft.com/office/2017/10/relationships/person" Target="persons/perso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17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5.png"/><Relationship Id="rId1" Type="http://schemas.openxmlformats.org/officeDocument/2006/relationships/image" Target="../media/image4.pn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7.png"/><Relationship Id="rId1" Type="http://schemas.openxmlformats.org/officeDocument/2006/relationships/image" Target="../media/image6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297180</xdr:colOff>
      <xdr:row>79</xdr:row>
      <xdr:rowOff>171449</xdr:rowOff>
    </xdr:from>
    <xdr:to>
      <xdr:col>16</xdr:col>
      <xdr:colOff>168747</xdr:colOff>
      <xdr:row>82</xdr:row>
      <xdr:rowOff>1904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11D8E0E-5C6C-80A9-6B0A-10F8121925E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13204778" y="13868399"/>
          <a:ext cx="5024592" cy="331470"/>
        </a:xfrm>
        <a:prstGeom prst="rect">
          <a:avLst/>
        </a:prstGeom>
      </xdr:spPr>
    </xdr:pic>
    <xdr:clientData/>
  </xdr:twoCellAnchor>
  <xdr:twoCellAnchor editAs="oneCell">
    <xdr:from>
      <xdr:col>5</xdr:col>
      <xdr:colOff>866775</xdr:colOff>
      <xdr:row>21</xdr:row>
      <xdr:rowOff>66675</xdr:rowOff>
    </xdr:from>
    <xdr:to>
      <xdr:col>10</xdr:col>
      <xdr:colOff>549001</xdr:colOff>
      <xdr:row>38</xdr:row>
      <xdr:rowOff>148855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8DB8381C-DFF2-655D-87CC-22FAE255B4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17244124" y="3695700"/>
          <a:ext cx="4168501" cy="3063505"/>
        </a:xfrm>
        <a:prstGeom prst="rect">
          <a:avLst/>
        </a:prstGeom>
      </xdr:spPr>
    </xdr:pic>
    <xdr:clientData/>
  </xdr:twoCellAnchor>
  <xdr:twoCellAnchor editAs="oneCell">
    <xdr:from>
      <xdr:col>11</xdr:col>
      <xdr:colOff>243840</xdr:colOff>
      <xdr:row>23</xdr:row>
      <xdr:rowOff>123825</xdr:rowOff>
    </xdr:from>
    <xdr:to>
      <xdr:col>17</xdr:col>
      <xdr:colOff>472820</xdr:colOff>
      <xdr:row>38</xdr:row>
      <xdr:rowOff>129774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7D93DBF1-2702-6EE0-022C-6CAE94374ABD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t="2596"/>
        <a:stretch/>
      </xdr:blipFill>
      <xdr:spPr>
        <a:xfrm>
          <a:off x="10912224430" y="4095750"/>
          <a:ext cx="4381880" cy="2644374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163830</xdr:colOff>
      <xdr:row>9</xdr:row>
      <xdr:rowOff>237116</xdr:rowOff>
    </xdr:from>
    <xdr:to>
      <xdr:col>25</xdr:col>
      <xdr:colOff>339741</xdr:colOff>
      <xdr:row>40</xdr:row>
      <xdr:rowOff>36213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C08CC933-6272-4066-B59A-4597F96F67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98682023" y="1783528"/>
          <a:ext cx="7571794" cy="5897002"/>
        </a:xfrm>
        <a:prstGeom prst="rect">
          <a:avLst/>
        </a:prstGeom>
      </xdr:spPr>
    </xdr:pic>
    <xdr:clientData/>
  </xdr:twoCellAnchor>
  <xdr:twoCellAnchor editAs="oneCell">
    <xdr:from>
      <xdr:col>1</xdr:col>
      <xdr:colOff>552897</xdr:colOff>
      <xdr:row>61</xdr:row>
      <xdr:rowOff>16922</xdr:rowOff>
    </xdr:from>
    <xdr:to>
      <xdr:col>7</xdr:col>
      <xdr:colOff>129820</xdr:colOff>
      <xdr:row>77</xdr:row>
      <xdr:rowOff>91543</xdr:rowOff>
    </xdr:to>
    <xdr:pic>
      <xdr:nvPicPr>
        <xdr:cNvPr id="4" name="תמונה 3">
          <a:extLst>
            <a:ext uri="{FF2B5EF4-FFF2-40B4-BE49-F238E27FC236}">
              <a16:creationId xmlns:a16="http://schemas.microsoft.com/office/drawing/2014/main" id="{5181519C-4293-457B-BE04-A74201845D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012682800" y="9575540"/>
          <a:ext cx="5530832" cy="2758318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544285</xdr:colOff>
      <xdr:row>5</xdr:row>
      <xdr:rowOff>5442</xdr:rowOff>
    </xdr:from>
    <xdr:to>
      <xdr:col>13</xdr:col>
      <xdr:colOff>265779</xdr:colOff>
      <xdr:row>17</xdr:row>
      <xdr:rowOff>134636</xdr:rowOff>
    </xdr:to>
    <xdr:pic>
      <xdr:nvPicPr>
        <xdr:cNvPr id="2" name="תמונה 1">
          <a:extLst>
            <a:ext uri="{FF2B5EF4-FFF2-40B4-BE49-F238E27FC236}">
              <a16:creationId xmlns:a16="http://schemas.microsoft.com/office/drawing/2014/main" id="{6461AAFD-083D-CF5C-954B-45D4BC562F2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3256"/>
        <a:stretch/>
      </xdr:blipFill>
      <xdr:spPr>
        <a:xfrm>
          <a:off x="10959650978" y="876299"/>
          <a:ext cx="5077265" cy="2215441"/>
        </a:xfrm>
        <a:prstGeom prst="rect">
          <a:avLst/>
        </a:prstGeom>
      </xdr:spPr>
    </xdr:pic>
    <xdr:clientData/>
  </xdr:twoCellAnchor>
  <xdr:twoCellAnchor editAs="oneCell">
    <xdr:from>
      <xdr:col>5</xdr:col>
      <xdr:colOff>148861</xdr:colOff>
      <xdr:row>18</xdr:row>
      <xdr:rowOff>128851</xdr:rowOff>
    </xdr:from>
    <xdr:to>
      <xdr:col>15</xdr:col>
      <xdr:colOff>472615</xdr:colOff>
      <xdr:row>36</xdr:row>
      <xdr:rowOff>124420</xdr:rowOff>
    </xdr:to>
    <xdr:pic>
      <xdr:nvPicPr>
        <xdr:cNvPr id="3" name="תמונה 2">
          <a:extLst>
            <a:ext uri="{FF2B5EF4-FFF2-40B4-BE49-F238E27FC236}">
              <a16:creationId xmlns:a16="http://schemas.microsoft.com/office/drawing/2014/main" id="{5D23DD7E-9108-6F4C-77BE-8DB85AE2969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0958105199" y="3263937"/>
          <a:ext cx="7018468" cy="313065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boostil-my.sharepoint.com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Relationship Id="rId1" Type="http://schemas.openxmlformats.org/officeDocument/2006/relationships/externalLinkPath" Target="/personal/ofir_boost-k_com/Documents/BOOST%20&#1504;&#1497;&#1492;&#1493;&#1500;%20&#1508;&#1512;&#1493;&#1511;&#1496;&#1497;&#1501;/&#1500;&#1511;&#1493;&#1495;&#1493;&#1514;%20&#1508;&#1512;&#1496;&#1497;&#1497;&#1501;1/&#1499;&#1491;&#1493;&#1512;&#1497;%20&#1502;&#1488;&#1493;&#1512;%20&#1493;&#1488;&#1497;&#1497;&#1500;&#1514;%20-%20&#1513;&#1511;&#1507;/&#1508;&#1512;&#1493;&#1497;&#1511;&#1496;%20&#1489;&#1491;&#1497;&#1511;&#1514;%20&#1492;&#1514;&#1499;&#1504;&#1493;&#1514;/&#1489;&#1491;&#1497;&#1511;&#1514;%20&#1492;&#1514;&#1499;&#1504;&#1493;&#1514;/&#1514;&#1495;&#1513;&#1497;&#1489;&#1497;&#1501;%20&#1499;&#1491;&#1493;&#1512;&#1497;%20&#1513;&#1511;&#1507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תחשיב לפי שווי שומה (2)"/>
      <sheetName val="מ&quot;ר אקו' נחלה"/>
      <sheetName val="ניתוח איזור לעסקאות דמה"/>
      <sheetName val="חישוב גדלי בתים"/>
      <sheetName val="אזור עדיפות לאומית"/>
      <sheetName val="תבעות"/>
      <sheetName val="בקרה"/>
      <sheetName val="גיליון1"/>
    </sheetNames>
    <sheetDataSet>
      <sheetData sheetId="0">
        <row r="26">
          <cell r="B26">
            <v>1800</v>
          </cell>
        </row>
      </sheetData>
      <sheetData sheetId="1"/>
      <sheetData sheetId="2"/>
      <sheetData sheetId="3"/>
      <sheetData sheetId="4"/>
      <sheetData sheetId="5"/>
      <sheetData sheetId="6"/>
      <sheetData sheetId="7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0C31AD8-2590-43E9-8254-0866976D2BC9}" name="טבלה2" displayName="טבלה2" ref="N7:N10" totalsRowShown="0">
  <autoFilter ref="N7:N10" xr:uid="{DA4A1B72-4432-47C7-953E-8ECD16EC9486}"/>
  <tableColumns count="1">
    <tableColumn id="1" xr3:uid="{46FA9493-ACF6-44D5-8DD2-BF404F7C306B}" name="חריגה מקו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ערכת נושא של Office 2013 -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s://apps.land.gov.il/councilDecisions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FE754-A9A3-4B42-BA31-68CF52DAF731}">
  <sheetPr>
    <pageSetUpPr fitToPage="1"/>
  </sheetPr>
  <dimension ref="A2:K43"/>
  <sheetViews>
    <sheetView rightToLeft="1" zoomScale="70" zoomScaleNormal="70" workbookViewId="0">
      <selection activeCell="I27" sqref="I27"/>
    </sheetView>
  </sheetViews>
  <sheetFormatPr defaultColWidth="8.75" defaultRowHeight="20.25" x14ac:dyDescent="0.3"/>
  <cols>
    <col min="1" max="1" width="35.75" style="1" bestFit="1" customWidth="1"/>
    <col min="2" max="3" width="21.75" style="1" bestFit="1" customWidth="1"/>
    <col min="4" max="4" width="23.375" style="1" customWidth="1"/>
    <col min="5" max="5" width="21.75" style="1" bestFit="1" customWidth="1"/>
    <col min="6" max="6" width="21.25" style="1" customWidth="1"/>
    <col min="7" max="7" width="19.25" style="1" bestFit="1" customWidth="1"/>
    <col min="8" max="8" width="23.125" style="1" customWidth="1"/>
    <col min="9" max="9" width="35.25" style="1" customWidth="1"/>
    <col min="10" max="10" width="21.75" style="1" bestFit="1" customWidth="1"/>
    <col min="11" max="11" width="21.75" style="74" bestFit="1" customWidth="1"/>
    <col min="12" max="12" width="20" style="1" bestFit="1" customWidth="1"/>
    <col min="13" max="13" width="18.5" style="1" bestFit="1" customWidth="1"/>
    <col min="14" max="14" width="10.75" style="1" bestFit="1" customWidth="1"/>
    <col min="15" max="16384" width="8.75" style="1"/>
  </cols>
  <sheetData>
    <row r="2" spans="1:11" x14ac:dyDescent="0.3">
      <c r="A2" s="1" t="s">
        <v>42</v>
      </c>
      <c r="B2" s="75">
        <f>'מ"ר אקו'' נחלה'!I14</f>
        <v>1031.8499999999999</v>
      </c>
      <c r="K2" s="1"/>
    </row>
    <row r="3" spans="1:11" x14ac:dyDescent="0.3">
      <c r="A3" s="1" t="s">
        <v>17</v>
      </c>
      <c r="B3" s="75">
        <f>'מ"ר אקו'' נחלה'!D14</f>
        <v>981.85</v>
      </c>
      <c r="K3" s="1"/>
    </row>
    <row r="4" spans="1:11" x14ac:dyDescent="0.3">
      <c r="A4" s="1" t="s">
        <v>87</v>
      </c>
      <c r="B4" s="75">
        <f>'מ"ר אקו'' נחלה'!D28</f>
        <v>159.61434572418977</v>
      </c>
      <c r="K4" s="1"/>
    </row>
    <row r="5" spans="1:11" x14ac:dyDescent="0.3">
      <c r="A5" s="1" t="s">
        <v>195</v>
      </c>
      <c r="B5" s="75">
        <f>'מ"ר אקו'' נחלה'!D38</f>
        <v>0</v>
      </c>
      <c r="K5" s="1"/>
    </row>
    <row r="6" spans="1:11" x14ac:dyDescent="0.3">
      <c r="A6" s="1" t="s">
        <v>3</v>
      </c>
      <c r="B6" s="1">
        <f>'מ"ר אקו'' נחלה'!D70</f>
        <v>806.25</v>
      </c>
      <c r="F6" s="7"/>
      <c r="K6" s="1"/>
    </row>
    <row r="7" spans="1:11" x14ac:dyDescent="0.3">
      <c r="A7" s="1" t="s">
        <v>52</v>
      </c>
      <c r="B7" s="1">
        <f>'מ"ר אקו'' נחלה'!D57</f>
        <v>330.85</v>
      </c>
      <c r="C7" s="1" t="s">
        <v>53</v>
      </c>
      <c r="D7" s="74">
        <f>'מ"ר אקו'' נחלה'!I50</f>
        <v>245</v>
      </c>
      <c r="F7" s="74"/>
      <c r="K7" s="1"/>
    </row>
    <row r="8" spans="1:11" x14ac:dyDescent="0.3">
      <c r="A8" s="1" t="s">
        <v>12</v>
      </c>
      <c r="B8" s="127">
        <f>'ניתוח איזור לעסקאות דמה'!C7</f>
        <v>11500</v>
      </c>
      <c r="C8" s="1" t="s">
        <v>80</v>
      </c>
      <c r="D8" s="5">
        <v>2500</v>
      </c>
      <c r="F8" s="74"/>
      <c r="K8" s="1"/>
    </row>
    <row r="9" spans="1:11" x14ac:dyDescent="0.3">
      <c r="A9" s="3"/>
      <c r="B9" s="5"/>
      <c r="C9" s="1" t="s">
        <v>88</v>
      </c>
      <c r="D9" s="1" t="e">
        <f>'ניתוח איזור לעסקאות דמה'!#REF!</f>
        <v>#REF!</v>
      </c>
      <c r="E9" s="8">
        <v>1.17</v>
      </c>
    </row>
    <row r="10" spans="1:11" x14ac:dyDescent="0.3">
      <c r="B10" s="2" t="s">
        <v>0</v>
      </c>
      <c r="C10" s="4" t="s">
        <v>4</v>
      </c>
      <c r="D10" s="2" t="s">
        <v>1</v>
      </c>
      <c r="E10" s="2" t="s">
        <v>6</v>
      </c>
      <c r="F10" s="2" t="s">
        <v>2</v>
      </c>
      <c r="G10" s="2" t="s">
        <v>62</v>
      </c>
      <c r="J10" s="2"/>
    </row>
    <row r="11" spans="1:11" x14ac:dyDescent="0.3">
      <c r="A11" s="76" t="s">
        <v>16</v>
      </c>
      <c r="B11" s="76">
        <f>B6</f>
        <v>806.25</v>
      </c>
      <c r="C11" s="77">
        <v>3.7499999999999999E-2</v>
      </c>
      <c r="D11" s="76">
        <f t="shared" ref="D11:D21" si="0">C11*B11</f>
        <v>30.234375</v>
      </c>
      <c r="E11" s="76">
        <v>1</v>
      </c>
      <c r="F11" s="78">
        <f>D11*$B$8*E11</f>
        <v>347695.3125</v>
      </c>
      <c r="G11" s="74">
        <f>'מ"ר אקו'' נחלה'!D71*-3.75%</f>
        <v>-6562.5</v>
      </c>
      <c r="H11" s="87">
        <f>SUM(F11:G11)</f>
        <v>341132.8125</v>
      </c>
      <c r="I11" s="9"/>
      <c r="J11" s="74"/>
    </row>
    <row r="12" spans="1:11" x14ac:dyDescent="0.3">
      <c r="A12" s="81" t="s">
        <v>58</v>
      </c>
      <c r="B12" s="112">
        <f>D7</f>
        <v>245</v>
      </c>
      <c r="C12" s="113">
        <v>0.29249999999999998</v>
      </c>
      <c r="D12" s="81">
        <f t="shared" si="0"/>
        <v>71.662499999999994</v>
      </c>
      <c r="E12" s="81">
        <v>1</v>
      </c>
      <c r="F12" s="83">
        <f>D12*$B$8*E12</f>
        <v>824118.74999999988</v>
      </c>
      <c r="G12" s="74">
        <f>-'מ"ר אקו'' נחלה'!D58*C12</f>
        <v>-29250</v>
      </c>
      <c r="H12" s="6">
        <f>SUM(F12:G12)</f>
        <v>794868.74999999988</v>
      </c>
      <c r="J12" s="86"/>
    </row>
    <row r="13" spans="1:11" x14ac:dyDescent="0.3">
      <c r="A13" s="81" t="s">
        <v>59</v>
      </c>
      <c r="B13" s="112">
        <f>B7-B12</f>
        <v>85.850000000000023</v>
      </c>
      <c r="C13" s="113">
        <v>0.33</v>
      </c>
      <c r="D13" s="81">
        <f t="shared" si="0"/>
        <v>28.330500000000008</v>
      </c>
      <c r="E13" s="81">
        <v>1</v>
      </c>
      <c r="F13" s="83">
        <f>D13*$B$8*E13</f>
        <v>325800.75000000012</v>
      </c>
      <c r="G13" s="86">
        <f>G12*53/245</f>
        <v>-6327.5510204081629</v>
      </c>
      <c r="H13" s="6">
        <f>SUM(F13:G13)</f>
        <v>319473.19897959195</v>
      </c>
      <c r="I13" s="9"/>
      <c r="J13" s="74"/>
    </row>
    <row r="14" spans="1:11" x14ac:dyDescent="0.3">
      <c r="A14" s="109" t="s">
        <v>60</v>
      </c>
      <c r="B14" s="110">
        <f>SUM(B12:B13)</f>
        <v>330.85</v>
      </c>
      <c r="C14" s="111"/>
      <c r="D14" s="111"/>
      <c r="E14" s="111"/>
      <c r="F14" s="111">
        <f>SUM(F12:F13)</f>
        <v>1149919.5</v>
      </c>
      <c r="G14" s="114"/>
      <c r="H14" s="88">
        <f>SUM(H12:H13)</f>
        <v>1114341.948979592</v>
      </c>
      <c r="J14" s="74"/>
    </row>
    <row r="15" spans="1:11" x14ac:dyDescent="0.3">
      <c r="A15" s="76" t="s">
        <v>7</v>
      </c>
      <c r="B15" s="76">
        <f>'מ"ר אקו'' נחלה'!I50</f>
        <v>245</v>
      </c>
      <c r="C15" s="79">
        <f>C35</f>
        <v>0.42499999999999999</v>
      </c>
      <c r="D15" s="76">
        <f>B15*C15</f>
        <v>104.125</v>
      </c>
      <c r="E15" s="76">
        <v>1</v>
      </c>
      <c r="F15" s="78">
        <f>D15*$B$8</f>
        <v>1197437.5</v>
      </c>
      <c r="G15" s="9"/>
      <c r="J15" s="85"/>
    </row>
    <row r="16" spans="1:11" x14ac:dyDescent="0.3">
      <c r="A16" s="76" t="s">
        <v>5</v>
      </c>
      <c r="B16" s="80">
        <f>B3+B4-B5</f>
        <v>1141.4643457241898</v>
      </c>
      <c r="C16" s="79">
        <v>0.33</v>
      </c>
      <c r="D16" s="76">
        <f t="shared" si="0"/>
        <v>376.68323408898266</v>
      </c>
      <c r="E16" s="76">
        <v>1</v>
      </c>
      <c r="F16" s="78">
        <f>D16*$B$8*E16</f>
        <v>4331857.1920233006</v>
      </c>
      <c r="G16" s="74">
        <f>-'מ"ר אקו'' נחלה'!D15*C16</f>
        <v>-81510</v>
      </c>
      <c r="H16" s="87">
        <f>SUM(F16:G16)</f>
        <v>4250347.1920233006</v>
      </c>
      <c r="J16" s="135"/>
    </row>
    <row r="17" spans="1:10" x14ac:dyDescent="0.3">
      <c r="A17" s="1" t="s">
        <v>9</v>
      </c>
      <c r="B17" s="1">
        <v>1</v>
      </c>
      <c r="C17" s="7">
        <v>0.91</v>
      </c>
      <c r="D17" s="1">
        <f t="shared" si="0"/>
        <v>0.91</v>
      </c>
      <c r="E17" s="76">
        <v>1</v>
      </c>
      <c r="F17" s="5">
        <v>1486</v>
      </c>
      <c r="G17" s="9"/>
      <c r="I17" s="6"/>
      <c r="J17" s="6"/>
    </row>
    <row r="18" spans="1:10" x14ac:dyDescent="0.3">
      <c r="A18" s="1" t="s">
        <v>10</v>
      </c>
      <c r="B18" s="1">
        <v>0.5</v>
      </c>
      <c r="C18" s="7">
        <v>0.91</v>
      </c>
      <c r="D18" s="1">
        <f t="shared" si="0"/>
        <v>0.45500000000000002</v>
      </c>
      <c r="E18" s="76">
        <v>1</v>
      </c>
      <c r="F18" s="5">
        <f>F17/2</f>
        <v>743</v>
      </c>
      <c r="G18" s="9" t="e">
        <f>F18*#REF!*5%*1.17</f>
        <v>#REF!</v>
      </c>
      <c r="I18" s="74"/>
      <c r="J18" s="74"/>
    </row>
    <row r="19" spans="1:10" x14ac:dyDescent="0.3">
      <c r="A19" s="1" t="s">
        <v>11</v>
      </c>
      <c r="B19" s="1">
        <v>0.7</v>
      </c>
      <c r="C19" s="7">
        <v>0.91</v>
      </c>
      <c r="D19" s="1">
        <f t="shared" si="0"/>
        <v>0.63700000000000001</v>
      </c>
      <c r="E19" s="76">
        <v>1</v>
      </c>
      <c r="F19" s="5">
        <f>D19*$B$8*E19</f>
        <v>7325.5</v>
      </c>
      <c r="I19" s="74"/>
      <c r="J19" s="6"/>
    </row>
    <row r="20" spans="1:10" x14ac:dyDescent="0.3">
      <c r="A20" s="81" t="s">
        <v>13</v>
      </c>
      <c r="B20" s="81">
        <v>7.4999999999999997E-2</v>
      </c>
      <c r="C20" s="82">
        <v>0.91</v>
      </c>
      <c r="D20" s="81">
        <f t="shared" si="0"/>
        <v>6.8250000000000005E-2</v>
      </c>
      <c r="E20" s="76">
        <v>1</v>
      </c>
      <c r="F20" s="83">
        <f>D20*$B$8*E20</f>
        <v>784.87500000000011</v>
      </c>
      <c r="G20" s="9"/>
      <c r="I20" s="6"/>
      <c r="J20" s="9"/>
    </row>
    <row r="21" spans="1:10" x14ac:dyDescent="0.3">
      <c r="A21" s="1" t="s">
        <v>66</v>
      </c>
      <c r="B21" s="1">
        <v>1</v>
      </c>
      <c r="C21" s="7">
        <v>0.05</v>
      </c>
      <c r="D21" s="1">
        <f t="shared" si="0"/>
        <v>0.05</v>
      </c>
      <c r="E21" s="76">
        <v>1</v>
      </c>
      <c r="F21" s="5">
        <f>D21*$D$8*E21</f>
        <v>125</v>
      </c>
      <c r="I21" s="9"/>
    </row>
    <row r="22" spans="1:10" x14ac:dyDescent="0.3">
      <c r="A22" s="1" t="s">
        <v>43</v>
      </c>
      <c r="B22" s="1">
        <v>0.3</v>
      </c>
      <c r="C22" s="7">
        <v>0.91</v>
      </c>
      <c r="D22" s="1">
        <f>C22*B22</f>
        <v>0.27300000000000002</v>
      </c>
      <c r="E22" s="76">
        <v>1</v>
      </c>
      <c r="F22" s="5">
        <f>D22*$B$8*E22</f>
        <v>3139.5000000000005</v>
      </c>
    </row>
    <row r="23" spans="1:10" x14ac:dyDescent="0.3">
      <c r="A23" s="81" t="s">
        <v>81</v>
      </c>
      <c r="B23" s="81">
        <v>1</v>
      </c>
      <c r="C23" s="82">
        <v>0.91</v>
      </c>
      <c r="D23" s="81">
        <f>C23*B23</f>
        <v>0.91</v>
      </c>
      <c r="E23" s="76">
        <v>1</v>
      </c>
      <c r="F23" s="83">
        <f>E23*D23*$D$8</f>
        <v>2275</v>
      </c>
      <c r="I23" s="6"/>
    </row>
    <row r="24" spans="1:10" x14ac:dyDescent="0.3">
      <c r="A24" s="1" t="s">
        <v>44</v>
      </c>
      <c r="B24" s="1">
        <v>1</v>
      </c>
      <c r="C24" s="7">
        <v>0.05</v>
      </c>
      <c r="D24" s="1">
        <f>C24*B24</f>
        <v>0.05</v>
      </c>
      <c r="E24" s="76">
        <v>1</v>
      </c>
      <c r="F24" s="5">
        <f>D24*E24*B8</f>
        <v>575</v>
      </c>
      <c r="I24" s="9"/>
    </row>
    <row r="25" spans="1:10" x14ac:dyDescent="0.3">
      <c r="C25" s="7"/>
      <c r="F25" s="5"/>
      <c r="J25" s="9"/>
    </row>
    <row r="26" spans="1:10" x14ac:dyDescent="0.3">
      <c r="C26" s="7"/>
      <c r="F26" s="5"/>
    </row>
    <row r="27" spans="1:10" x14ac:dyDescent="0.3">
      <c r="A27" s="1" t="s">
        <v>45</v>
      </c>
      <c r="B27" s="84"/>
      <c r="C27" s="8"/>
      <c r="D27" s="184"/>
      <c r="E27" s="184"/>
      <c r="F27" s="5"/>
      <c r="I27" s="74"/>
    </row>
    <row r="29" spans="1:10" x14ac:dyDescent="0.3">
      <c r="A29" s="2" t="s">
        <v>151</v>
      </c>
      <c r="C29" s="74"/>
    </row>
    <row r="30" spans="1:10" x14ac:dyDescent="0.3">
      <c r="A30" s="2"/>
      <c r="B30" s="2" t="s">
        <v>153</v>
      </c>
      <c r="C30" s="2" t="s">
        <v>21</v>
      </c>
      <c r="D30" s="2" t="s">
        <v>152</v>
      </c>
    </row>
    <row r="31" spans="1:10" x14ac:dyDescent="0.3">
      <c r="A31" s="1" t="s">
        <v>149</v>
      </c>
      <c r="B31" s="5">
        <f>'מ"ר אקו'' נחלה'!D57*'תחשיב לפי שווי שומה (2)'!$B$8</f>
        <v>3804775.0000000005</v>
      </c>
      <c r="C31" s="189">
        <v>1</v>
      </c>
      <c r="D31" s="6">
        <f>C31*$B$8</f>
        <v>11500</v>
      </c>
    </row>
    <row r="32" spans="1:10" x14ac:dyDescent="0.3">
      <c r="A32" s="1" t="s">
        <v>148</v>
      </c>
      <c r="B32" s="6">
        <f>350*$B$8*C32</f>
        <v>603750</v>
      </c>
      <c r="C32" s="189">
        <v>0.15</v>
      </c>
      <c r="D32" s="6">
        <f>C32*$B$8</f>
        <v>1725</v>
      </c>
    </row>
    <row r="33" spans="1:6" x14ac:dyDescent="0.3">
      <c r="C33" s="74"/>
    </row>
    <row r="34" spans="1:6" x14ac:dyDescent="0.3">
      <c r="A34" s="1" t="s">
        <v>146</v>
      </c>
      <c r="B34" s="6">
        <f>B31-B32</f>
        <v>3201025.0000000005</v>
      </c>
      <c r="C34" s="189">
        <f>C31-C32</f>
        <v>0.85</v>
      </c>
      <c r="D34" s="6">
        <f>C34*$B$8</f>
        <v>9775</v>
      </c>
    </row>
    <row r="35" spans="1:6" x14ac:dyDescent="0.3">
      <c r="A35" s="1" t="s">
        <v>147</v>
      </c>
      <c r="B35" s="6">
        <f>B34*50%</f>
        <v>1600512.5000000002</v>
      </c>
      <c r="C35" s="189">
        <f>C34*50%</f>
        <v>0.42499999999999999</v>
      </c>
      <c r="D35" s="6">
        <f>C35*$B$8</f>
        <v>4887.5</v>
      </c>
    </row>
    <row r="37" spans="1:6" x14ac:dyDescent="0.3">
      <c r="A37" s="2" t="s">
        <v>155</v>
      </c>
      <c r="C37" s="74"/>
    </row>
    <row r="38" spans="1:6" x14ac:dyDescent="0.3">
      <c r="A38" s="2"/>
      <c r="B38" s="2" t="s">
        <v>153</v>
      </c>
      <c r="C38" s="2" t="s">
        <v>21</v>
      </c>
      <c r="D38" s="2" t="s">
        <v>152</v>
      </c>
    </row>
    <row r="39" spans="1:6" x14ac:dyDescent="0.3">
      <c r="A39" s="1" t="s">
        <v>149</v>
      </c>
      <c r="B39" s="5">
        <f>'מ"ר אקו'' נחלה'!D57*'תחשיב לפי שווי שומה (2)'!$B$8</f>
        <v>3804775.0000000005</v>
      </c>
      <c r="C39" s="189">
        <v>1</v>
      </c>
      <c r="D39" s="6">
        <f>C39*$B$8</f>
        <v>11500</v>
      </c>
    </row>
    <row r="40" spans="1:6" x14ac:dyDescent="0.3">
      <c r="A40" s="1" t="s">
        <v>156</v>
      </c>
      <c r="B40" s="6">
        <f>B39*70%</f>
        <v>2663342.5</v>
      </c>
      <c r="C40" s="189">
        <v>0.7</v>
      </c>
      <c r="D40" s="6">
        <f>C40*$B$8</f>
        <v>8049.9999999999991</v>
      </c>
    </row>
    <row r="41" spans="1:6" x14ac:dyDescent="0.3">
      <c r="C41" s="74"/>
    </row>
    <row r="42" spans="1:6" x14ac:dyDescent="0.3">
      <c r="A42" s="1" t="s">
        <v>146</v>
      </c>
      <c r="B42" s="6">
        <f>B39-B40</f>
        <v>1141432.5000000005</v>
      </c>
      <c r="C42" s="189">
        <f>C39-C40</f>
        <v>0.30000000000000004</v>
      </c>
      <c r="D42" s="6">
        <f>C42*$B$8</f>
        <v>3450.0000000000005</v>
      </c>
      <c r="F42" s="6"/>
    </row>
    <row r="43" spans="1:6" x14ac:dyDescent="0.3">
      <c r="A43" s="1" t="s">
        <v>147</v>
      </c>
      <c r="B43" s="6">
        <f>B42*50%</f>
        <v>570716.25000000023</v>
      </c>
      <c r="C43" s="189">
        <f>C42*50%</f>
        <v>0.15000000000000002</v>
      </c>
      <c r="D43" s="6">
        <f>C43*$B$8</f>
        <v>1725.0000000000002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B54F99-8337-4BBE-8963-9A92657C83C2}">
  <dimension ref="G8:W43"/>
  <sheetViews>
    <sheetView rightToLeft="1" tabSelected="1" topLeftCell="D15" workbookViewId="0">
      <selection activeCell="N41" sqref="N41"/>
    </sheetView>
  </sheetViews>
  <sheetFormatPr defaultRowHeight="14.25" x14ac:dyDescent="0.2"/>
  <cols>
    <col min="9" max="11" width="9" customWidth="1"/>
    <col min="14" max="15" width="9" customWidth="1"/>
    <col min="16" max="16" width="7" customWidth="1"/>
    <col min="17" max="17" width="14" customWidth="1"/>
    <col min="19" max="19" width="13.125" customWidth="1"/>
    <col min="21" max="21" width="14.625" customWidth="1"/>
    <col min="22" max="22" width="9" customWidth="1"/>
    <col min="23" max="23" width="11.875" customWidth="1"/>
  </cols>
  <sheetData>
    <row r="8" spans="8:23" ht="15" thickBot="1" x14ac:dyDescent="0.25"/>
    <row r="9" spans="8:23" ht="15" thickBot="1" x14ac:dyDescent="0.25">
      <c r="H9" s="267" t="s">
        <v>202</v>
      </c>
      <c r="I9" s="268"/>
      <c r="J9" s="268"/>
      <c r="K9" s="268"/>
      <c r="L9" s="268"/>
      <c r="M9" s="269"/>
      <c r="P9" s="267" t="s">
        <v>286</v>
      </c>
      <c r="Q9" s="268"/>
      <c r="R9" s="268"/>
      <c r="S9" s="268"/>
      <c r="T9" s="268"/>
      <c r="U9" s="268"/>
      <c r="V9" s="268"/>
      <c r="W9" s="269"/>
    </row>
    <row r="10" spans="8:23" x14ac:dyDescent="0.2">
      <c r="H10" s="279" t="s">
        <v>203</v>
      </c>
      <c r="I10" s="280"/>
      <c r="J10" s="279" t="s">
        <v>204</v>
      </c>
      <c r="K10" s="280"/>
      <c r="L10" s="279" t="s">
        <v>5</v>
      </c>
      <c r="M10" s="280"/>
      <c r="P10" s="279" t="s">
        <v>203</v>
      </c>
      <c r="Q10" s="280"/>
      <c r="R10" s="279" t="s">
        <v>287</v>
      </c>
      <c r="S10" s="280"/>
      <c r="T10" s="283" t="s">
        <v>288</v>
      </c>
      <c r="U10" s="284"/>
      <c r="V10" s="283" t="s">
        <v>289</v>
      </c>
      <c r="W10" s="284"/>
    </row>
    <row r="11" spans="8:23" ht="15" thickBot="1" x14ac:dyDescent="0.25">
      <c r="H11" s="281"/>
      <c r="I11" s="282"/>
      <c r="J11" s="281"/>
      <c r="K11" s="282"/>
      <c r="L11" s="295"/>
      <c r="M11" s="296"/>
      <c r="P11" s="281"/>
      <c r="Q11" s="282"/>
      <c r="R11" s="281"/>
      <c r="S11" s="282"/>
      <c r="T11" s="285"/>
      <c r="U11" s="286"/>
      <c r="V11" s="285"/>
      <c r="W11" s="286"/>
    </row>
    <row r="12" spans="8:23" x14ac:dyDescent="0.2">
      <c r="H12" s="287" t="s">
        <v>205</v>
      </c>
      <c r="I12" s="288"/>
      <c r="J12" s="301">
        <v>340000</v>
      </c>
      <c r="K12" s="301"/>
      <c r="L12" s="289">
        <v>4200000</v>
      </c>
      <c r="M12" s="290"/>
      <c r="P12" s="287" t="s">
        <v>46</v>
      </c>
      <c r="Q12" s="288"/>
      <c r="R12" s="289">
        <v>210000</v>
      </c>
      <c r="S12" s="290"/>
      <c r="T12" s="293">
        <v>210000</v>
      </c>
      <c r="U12" s="290"/>
      <c r="V12" s="293">
        <v>210000</v>
      </c>
      <c r="W12" s="290"/>
    </row>
    <row r="13" spans="8:23" x14ac:dyDescent="0.2">
      <c r="H13" s="270"/>
      <c r="I13" s="271"/>
      <c r="J13" s="277"/>
      <c r="K13" s="277"/>
      <c r="L13" s="291"/>
      <c r="M13" s="292"/>
      <c r="P13" s="270"/>
      <c r="Q13" s="271"/>
      <c r="R13" s="291"/>
      <c r="S13" s="292"/>
      <c r="T13" s="294"/>
      <c r="U13" s="292"/>
      <c r="V13" s="294"/>
      <c r="W13" s="292"/>
    </row>
    <row r="14" spans="8:23" x14ac:dyDescent="0.2">
      <c r="H14" s="270" t="s">
        <v>206</v>
      </c>
      <c r="I14" s="271"/>
      <c r="J14" s="277">
        <v>1200000</v>
      </c>
      <c r="K14" s="277"/>
      <c r="L14" s="306" t="s">
        <v>207</v>
      </c>
      <c r="M14" s="307"/>
      <c r="P14" s="270" t="s">
        <v>285</v>
      </c>
      <c r="Q14" s="271"/>
      <c r="R14" s="277" t="s">
        <v>207</v>
      </c>
      <c r="S14" s="278"/>
      <c r="T14" s="277">
        <v>340000</v>
      </c>
      <c r="U14" s="278"/>
      <c r="V14" s="277"/>
      <c r="W14" s="278"/>
    </row>
    <row r="15" spans="8:23" x14ac:dyDescent="0.2">
      <c r="H15" s="270"/>
      <c r="I15" s="271"/>
      <c r="J15" s="277"/>
      <c r="K15" s="277"/>
      <c r="L15" s="308"/>
      <c r="M15" s="309"/>
      <c r="P15" s="270"/>
      <c r="Q15" s="271"/>
      <c r="R15" s="277"/>
      <c r="S15" s="278"/>
      <c r="T15" s="277"/>
      <c r="U15" s="278"/>
      <c r="V15" s="277"/>
      <c r="W15" s="278"/>
    </row>
    <row r="16" spans="8:23" x14ac:dyDescent="0.2">
      <c r="H16" s="270" t="s">
        <v>208</v>
      </c>
      <c r="I16" s="271"/>
      <c r="J16" s="272">
        <f>(J14+J12)*0.06</f>
        <v>92400</v>
      </c>
      <c r="K16" s="272"/>
      <c r="L16" s="302">
        <f>L12*0.06</f>
        <v>252000</v>
      </c>
      <c r="M16" s="303"/>
      <c r="P16" s="270" t="s">
        <v>186</v>
      </c>
      <c r="Q16" s="271"/>
      <c r="R16" s="272">
        <v>115000</v>
      </c>
      <c r="S16" s="273"/>
      <c r="T16" s="272">
        <v>405000</v>
      </c>
      <c r="U16" s="273"/>
      <c r="V16" s="272" t="s">
        <v>207</v>
      </c>
      <c r="W16" s="273"/>
    </row>
    <row r="17" spans="7:23" x14ac:dyDescent="0.2">
      <c r="H17" s="270"/>
      <c r="I17" s="271"/>
      <c r="J17" s="272"/>
      <c r="K17" s="272"/>
      <c r="L17" s="304"/>
      <c r="M17" s="305"/>
      <c r="P17" s="270"/>
      <c r="Q17" s="271"/>
      <c r="R17" s="272"/>
      <c r="S17" s="273"/>
      <c r="T17" s="272"/>
      <c r="U17" s="273"/>
      <c r="V17" s="272"/>
      <c r="W17" s="273"/>
    </row>
    <row r="18" spans="7:23" x14ac:dyDescent="0.2">
      <c r="H18" s="270" t="s">
        <v>209</v>
      </c>
      <c r="I18" s="271"/>
      <c r="J18" s="271" t="s">
        <v>207</v>
      </c>
      <c r="K18" s="271"/>
      <c r="L18" s="306" t="s">
        <v>207</v>
      </c>
      <c r="M18" s="307"/>
      <c r="P18" s="270" t="s">
        <v>208</v>
      </c>
      <c r="Q18" s="271"/>
      <c r="R18" s="272">
        <f>R16*0.06</f>
        <v>6900</v>
      </c>
      <c r="S18" s="273"/>
      <c r="T18" s="272">
        <f>T14*0.06</f>
        <v>20400</v>
      </c>
      <c r="U18" s="273"/>
      <c r="V18" s="272">
        <f>V14*0.06</f>
        <v>0</v>
      </c>
      <c r="W18" s="273"/>
    </row>
    <row r="19" spans="7:23" x14ac:dyDescent="0.2">
      <c r="H19" s="270"/>
      <c r="I19" s="271"/>
      <c r="J19" s="271"/>
      <c r="K19" s="271"/>
      <c r="L19" s="308"/>
      <c r="M19" s="309"/>
      <c r="P19" s="270"/>
      <c r="Q19" s="271"/>
      <c r="R19" s="272"/>
      <c r="S19" s="273"/>
      <c r="T19" s="272"/>
      <c r="U19" s="273"/>
      <c r="V19" s="272"/>
      <c r="W19" s="273"/>
    </row>
    <row r="20" spans="7:23" x14ac:dyDescent="0.2">
      <c r="H20" s="259" t="s">
        <v>8</v>
      </c>
      <c r="I20" s="260"/>
      <c r="J20" s="300">
        <f>SUM(J12:K19)</f>
        <v>1632400</v>
      </c>
      <c r="K20" s="260"/>
      <c r="L20" s="310">
        <f>SUM(L12:M19)</f>
        <v>4452000</v>
      </c>
      <c r="M20" s="311"/>
      <c r="P20" s="274" t="s">
        <v>290</v>
      </c>
      <c r="Q20" s="275"/>
      <c r="R20" s="263" t="s">
        <v>207</v>
      </c>
      <c r="S20" s="264"/>
      <c r="T20" s="263" t="s">
        <v>207</v>
      </c>
      <c r="U20" s="264"/>
      <c r="V20" s="263">
        <v>32000</v>
      </c>
      <c r="W20" s="264"/>
    </row>
    <row r="21" spans="7:23" ht="15" thickBot="1" x14ac:dyDescent="0.25">
      <c r="H21" s="259"/>
      <c r="I21" s="260"/>
      <c r="J21" s="260"/>
      <c r="K21" s="260"/>
      <c r="L21" s="312"/>
      <c r="M21" s="313"/>
      <c r="P21" s="276"/>
      <c r="Q21" s="265"/>
      <c r="R21" s="265"/>
      <c r="S21" s="266"/>
      <c r="T21" s="265"/>
      <c r="U21" s="266"/>
      <c r="V21" s="265"/>
      <c r="W21" s="266"/>
    </row>
    <row r="22" spans="7:23" x14ac:dyDescent="0.2">
      <c r="H22" s="270" t="s">
        <v>210</v>
      </c>
      <c r="I22" s="271"/>
      <c r="J22" s="272">
        <v>570000</v>
      </c>
      <c r="K22" s="272"/>
      <c r="L22" s="314">
        <v>570000</v>
      </c>
      <c r="M22" s="315"/>
      <c r="P22" s="259" t="s">
        <v>8</v>
      </c>
      <c r="Q22" s="260"/>
      <c r="R22" s="263">
        <f>SUM(R12:S21)</f>
        <v>331900</v>
      </c>
      <c r="S22" s="264"/>
      <c r="T22" s="263">
        <f>SUM(T12:U21)</f>
        <v>975400</v>
      </c>
      <c r="U22" s="264"/>
      <c r="V22" s="263">
        <f>SUM(V12:W21)</f>
        <v>242000</v>
      </c>
      <c r="W22" s="264"/>
    </row>
    <row r="23" spans="7:23" ht="15" thickBot="1" x14ac:dyDescent="0.25">
      <c r="H23" s="297"/>
      <c r="I23" s="298"/>
      <c r="J23" s="299"/>
      <c r="K23" s="299"/>
      <c r="L23" s="316"/>
      <c r="M23" s="317"/>
      <c r="P23" s="261"/>
      <c r="Q23" s="262"/>
      <c r="R23" s="265"/>
      <c r="S23" s="266"/>
      <c r="T23" s="265"/>
      <c r="U23" s="266"/>
      <c r="V23" s="265"/>
      <c r="W23" s="266"/>
    </row>
    <row r="28" spans="7:23" ht="15" thickBot="1" x14ac:dyDescent="0.25"/>
    <row r="29" spans="7:23" ht="15" thickBot="1" x14ac:dyDescent="0.25">
      <c r="G29" s="267" t="s">
        <v>286</v>
      </c>
      <c r="H29" s="268"/>
      <c r="I29" s="268"/>
      <c r="J29" s="268"/>
      <c r="K29" s="268"/>
      <c r="L29" s="269"/>
    </row>
    <row r="30" spans="7:23" x14ac:dyDescent="0.2">
      <c r="G30" s="279" t="s">
        <v>203</v>
      </c>
      <c r="H30" s="280"/>
      <c r="I30" s="283" t="s">
        <v>291</v>
      </c>
      <c r="J30" s="284"/>
      <c r="K30" s="283" t="s">
        <v>292</v>
      </c>
      <c r="L30" s="284"/>
    </row>
    <row r="31" spans="7:23" ht="15" thickBot="1" x14ac:dyDescent="0.25">
      <c r="G31" s="281"/>
      <c r="H31" s="282"/>
      <c r="I31" s="285"/>
      <c r="J31" s="286"/>
      <c r="K31" s="285"/>
      <c r="L31" s="286"/>
    </row>
    <row r="32" spans="7:23" x14ac:dyDescent="0.2">
      <c r="G32" s="287" t="s">
        <v>46</v>
      </c>
      <c r="H32" s="288"/>
      <c r="I32" s="289">
        <v>630000</v>
      </c>
      <c r="J32" s="290"/>
      <c r="K32" s="293"/>
      <c r="L32" s="290"/>
    </row>
    <row r="33" spans="7:12" x14ac:dyDescent="0.2">
      <c r="G33" s="270"/>
      <c r="H33" s="271"/>
      <c r="I33" s="291"/>
      <c r="J33" s="292"/>
      <c r="K33" s="294"/>
      <c r="L33" s="292"/>
    </row>
    <row r="34" spans="7:12" x14ac:dyDescent="0.2">
      <c r="G34" s="270" t="s">
        <v>285</v>
      </c>
      <c r="H34" s="271"/>
      <c r="I34" s="277">
        <v>340000</v>
      </c>
      <c r="J34" s="278"/>
      <c r="K34" s="277">
        <v>340000</v>
      </c>
      <c r="L34" s="278"/>
    </row>
    <row r="35" spans="7:12" x14ac:dyDescent="0.2">
      <c r="G35" s="270"/>
      <c r="H35" s="271"/>
      <c r="I35" s="277"/>
      <c r="J35" s="278"/>
      <c r="K35" s="277"/>
      <c r="L35" s="278"/>
    </row>
    <row r="36" spans="7:12" x14ac:dyDescent="0.2">
      <c r="G36" s="270" t="s">
        <v>186</v>
      </c>
      <c r="H36" s="271"/>
      <c r="I36" s="272">
        <v>1420000</v>
      </c>
      <c r="J36" s="273"/>
      <c r="K36" s="272"/>
      <c r="L36" s="273"/>
    </row>
    <row r="37" spans="7:12" x14ac:dyDescent="0.2">
      <c r="G37" s="270"/>
      <c r="H37" s="271"/>
      <c r="I37" s="272"/>
      <c r="J37" s="273"/>
      <c r="K37" s="272"/>
      <c r="L37" s="273"/>
    </row>
    <row r="38" spans="7:12" x14ac:dyDescent="0.2">
      <c r="G38" s="270" t="s">
        <v>208</v>
      </c>
      <c r="H38" s="271"/>
      <c r="I38" s="272">
        <f>I34*0.06</f>
        <v>20400</v>
      </c>
      <c r="J38" s="273"/>
      <c r="K38" s="272">
        <f>K34*0.06</f>
        <v>20400</v>
      </c>
      <c r="L38" s="273"/>
    </row>
    <row r="39" spans="7:12" x14ac:dyDescent="0.2">
      <c r="G39" s="270"/>
      <c r="H39" s="271"/>
      <c r="I39" s="272"/>
      <c r="J39" s="273"/>
      <c r="K39" s="272"/>
      <c r="L39" s="273"/>
    </row>
    <row r="40" spans="7:12" x14ac:dyDescent="0.2">
      <c r="G40" s="274" t="s">
        <v>290</v>
      </c>
      <c r="H40" s="275"/>
      <c r="I40" s="263" t="s">
        <v>207</v>
      </c>
      <c r="J40" s="264"/>
      <c r="K40" s="263">
        <f>5000*140</f>
        <v>700000</v>
      </c>
      <c r="L40" s="264"/>
    </row>
    <row r="41" spans="7:12" ht="15" thickBot="1" x14ac:dyDescent="0.25">
      <c r="G41" s="276"/>
      <c r="H41" s="265"/>
      <c r="I41" s="265"/>
      <c r="J41" s="266"/>
      <c r="K41" s="265"/>
      <c r="L41" s="266"/>
    </row>
    <row r="42" spans="7:12" x14ac:dyDescent="0.2">
      <c r="G42" s="259" t="s">
        <v>8</v>
      </c>
      <c r="H42" s="260"/>
      <c r="I42" s="263">
        <f>SUM(I32:J41)</f>
        <v>2410400</v>
      </c>
      <c r="J42" s="264"/>
      <c r="K42" s="263">
        <f>SUM(K32:L41)</f>
        <v>1060400</v>
      </c>
      <c r="L42" s="264"/>
    </row>
    <row r="43" spans="7:12" ht="15" thickBot="1" x14ac:dyDescent="0.25">
      <c r="G43" s="261"/>
      <c r="H43" s="262"/>
      <c r="I43" s="265"/>
      <c r="J43" s="266"/>
      <c r="K43" s="265"/>
      <c r="L43" s="266"/>
    </row>
  </sheetData>
  <mergeCells count="73">
    <mergeCell ref="T22:U23"/>
    <mergeCell ref="V22:W23"/>
    <mergeCell ref="L16:M17"/>
    <mergeCell ref="L14:M15"/>
    <mergeCell ref="L20:M21"/>
    <mergeCell ref="L18:M19"/>
    <mergeCell ref="L22:M23"/>
    <mergeCell ref="T20:U21"/>
    <mergeCell ref="V20:W21"/>
    <mergeCell ref="P20:Q21"/>
    <mergeCell ref="R20:S21"/>
    <mergeCell ref="P22:Q23"/>
    <mergeCell ref="R22:S23"/>
    <mergeCell ref="P16:Q17"/>
    <mergeCell ref="R16:S17"/>
    <mergeCell ref="P18:Q19"/>
    <mergeCell ref="T16:U17"/>
    <mergeCell ref="T18:U19"/>
    <mergeCell ref="V10:W11"/>
    <mergeCell ref="V12:W13"/>
    <mergeCell ref="V14:W15"/>
    <mergeCell ref="V16:W17"/>
    <mergeCell ref="V18:W19"/>
    <mergeCell ref="P12:Q13"/>
    <mergeCell ref="R12:S13"/>
    <mergeCell ref="P14:Q15"/>
    <mergeCell ref="R14:S15"/>
    <mergeCell ref="T10:U11"/>
    <mergeCell ref="T12:U13"/>
    <mergeCell ref="T14:U15"/>
    <mergeCell ref="R10:S11"/>
    <mergeCell ref="P9:W9"/>
    <mergeCell ref="H22:I23"/>
    <mergeCell ref="J22:K23"/>
    <mergeCell ref="H18:I19"/>
    <mergeCell ref="J18:K19"/>
    <mergeCell ref="H20:I21"/>
    <mergeCell ref="J20:K21"/>
    <mergeCell ref="H14:I15"/>
    <mergeCell ref="J14:K15"/>
    <mergeCell ref="H16:I17"/>
    <mergeCell ref="J16:K17"/>
    <mergeCell ref="H12:I13"/>
    <mergeCell ref="J12:K13"/>
    <mergeCell ref="L12:M13"/>
    <mergeCell ref="R18:S19"/>
    <mergeCell ref="H9:M9"/>
    <mergeCell ref="H10:I11"/>
    <mergeCell ref="J10:K11"/>
    <mergeCell ref="L10:M11"/>
    <mergeCell ref="P10:Q11"/>
    <mergeCell ref="G30:H31"/>
    <mergeCell ref="I30:J31"/>
    <mergeCell ref="K30:L31"/>
    <mergeCell ref="G32:H33"/>
    <mergeCell ref="I32:J33"/>
    <mergeCell ref="K32:L33"/>
    <mergeCell ref="G42:H43"/>
    <mergeCell ref="I42:J43"/>
    <mergeCell ref="K42:L43"/>
    <mergeCell ref="G29:L29"/>
    <mergeCell ref="G38:H39"/>
    <mergeCell ref="I38:J39"/>
    <mergeCell ref="K38:L39"/>
    <mergeCell ref="G40:H41"/>
    <mergeCell ref="I40:J41"/>
    <mergeCell ref="K40:L41"/>
    <mergeCell ref="G34:H35"/>
    <mergeCell ref="I34:J35"/>
    <mergeCell ref="K34:L35"/>
    <mergeCell ref="G36:H37"/>
    <mergeCell ref="I36:J37"/>
    <mergeCell ref="K36:L37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6669D-3680-477B-A3B0-3365DE37FEF9}">
  <dimension ref="A1:N96"/>
  <sheetViews>
    <sheetView rightToLeft="1" topLeftCell="A21" workbookViewId="0">
      <selection activeCell="O18" sqref="O18"/>
    </sheetView>
  </sheetViews>
  <sheetFormatPr defaultRowHeight="14.25" x14ac:dyDescent="0.2"/>
  <cols>
    <col min="1" max="1" width="20.125" customWidth="1"/>
    <col min="2" max="2" width="9.75" bestFit="1" customWidth="1"/>
    <col min="3" max="3" width="6.625" customWidth="1"/>
    <col min="4" max="4" width="15.375" bestFit="1" customWidth="1"/>
    <col min="6" max="6" width="19.375" bestFit="1" customWidth="1"/>
    <col min="7" max="7" width="12.375" bestFit="1" customWidth="1"/>
    <col min="10" max="10" width="9.75" bestFit="1" customWidth="1"/>
    <col min="11" max="11" width="12.25" bestFit="1" customWidth="1"/>
    <col min="13" max="13" width="10.75" bestFit="1" customWidth="1"/>
  </cols>
  <sheetData>
    <row r="1" spans="1:10" ht="15" thickBot="1" x14ac:dyDescent="0.25"/>
    <row r="2" spans="1:10" x14ac:dyDescent="0.2">
      <c r="A2" s="10" t="s">
        <v>19</v>
      </c>
      <c r="B2" s="11">
        <v>2500</v>
      </c>
      <c r="C2" s="12" t="s">
        <v>123</v>
      </c>
      <c r="D2" s="13"/>
      <c r="F2" s="10" t="s">
        <v>19</v>
      </c>
      <c r="G2" s="11">
        <v>3000</v>
      </c>
      <c r="H2" s="12"/>
      <c r="I2" s="13"/>
    </row>
    <row r="3" spans="1:10" x14ac:dyDescent="0.2">
      <c r="A3" s="14"/>
      <c r="B3" s="15" t="s">
        <v>20</v>
      </c>
      <c r="C3" s="15" t="s">
        <v>21</v>
      </c>
      <c r="D3" s="16" t="s">
        <v>22</v>
      </c>
      <c r="F3" s="14"/>
      <c r="G3" s="15" t="s">
        <v>20</v>
      </c>
      <c r="H3" s="15" t="s">
        <v>21</v>
      </c>
      <c r="I3" s="16" t="s">
        <v>22</v>
      </c>
    </row>
    <row r="4" spans="1:10" x14ac:dyDescent="0.2">
      <c r="A4" s="18" t="s">
        <v>51</v>
      </c>
      <c r="B4" s="19">
        <v>400</v>
      </c>
      <c r="C4" s="20">
        <v>1</v>
      </c>
      <c r="D4" s="21">
        <f>C4*B4</f>
        <v>400</v>
      </c>
      <c r="F4" s="18" t="str">
        <f t="shared" ref="F4:H7" si="0">A4</f>
        <v>עיקרי</v>
      </c>
      <c r="G4" s="19">
        <f t="shared" si="0"/>
        <v>400</v>
      </c>
      <c r="H4" s="20">
        <f t="shared" si="0"/>
        <v>1</v>
      </c>
      <c r="I4" s="21">
        <f>H4*G4</f>
        <v>400</v>
      </c>
    </row>
    <row r="5" spans="1:10" x14ac:dyDescent="0.2">
      <c r="A5" s="18" t="s">
        <v>23</v>
      </c>
      <c r="B5" s="19">
        <v>24</v>
      </c>
      <c r="C5" s="20">
        <v>0.9</v>
      </c>
      <c r="D5" s="21">
        <f>C5*B5</f>
        <v>21.6</v>
      </c>
      <c r="F5" s="18" t="str">
        <f t="shared" si="0"/>
        <v>מרחבים מוגנים</v>
      </c>
      <c r="G5" s="19">
        <f t="shared" si="0"/>
        <v>24</v>
      </c>
      <c r="H5" s="20">
        <f t="shared" si="0"/>
        <v>0.9</v>
      </c>
      <c r="I5" s="21">
        <f>H5*G5</f>
        <v>21.6</v>
      </c>
    </row>
    <row r="6" spans="1:10" x14ac:dyDescent="0.2">
      <c r="A6" s="18" t="s">
        <v>92</v>
      </c>
      <c r="B6" s="19">
        <v>45</v>
      </c>
      <c r="C6" s="20">
        <v>0.5</v>
      </c>
      <c r="D6" s="21">
        <f>C6*B6</f>
        <v>22.5</v>
      </c>
      <c r="F6" s="18" t="str">
        <f t="shared" si="0"/>
        <v>יתרת ש"ש</v>
      </c>
      <c r="G6" s="19">
        <f t="shared" si="0"/>
        <v>45</v>
      </c>
      <c r="H6" s="20">
        <f t="shared" si="0"/>
        <v>0.5</v>
      </c>
      <c r="I6" s="21">
        <f>H6*G6</f>
        <v>22.5</v>
      </c>
    </row>
    <row r="7" spans="1:10" x14ac:dyDescent="0.2">
      <c r="A7" s="18" t="s">
        <v>275</v>
      </c>
      <c r="B7" s="19">
        <v>200</v>
      </c>
      <c r="C7" s="20">
        <v>0.4</v>
      </c>
      <c r="D7" s="21">
        <f>C7*B7</f>
        <v>80</v>
      </c>
      <c r="F7" s="18" t="str">
        <f t="shared" si="0"/>
        <v>מרתפים</v>
      </c>
      <c r="G7" s="19">
        <f t="shared" si="0"/>
        <v>200</v>
      </c>
      <c r="H7" s="20">
        <f t="shared" si="0"/>
        <v>0.4</v>
      </c>
      <c r="I7" s="21">
        <f>H7*G7</f>
        <v>80</v>
      </c>
    </row>
    <row r="8" spans="1:10" x14ac:dyDescent="0.2">
      <c r="A8" s="22" t="s">
        <v>24</v>
      </c>
      <c r="B8" s="23">
        <f>SUM(B4:B6)</f>
        <v>469</v>
      </c>
      <c r="C8" s="24"/>
      <c r="D8" s="25"/>
      <c r="E8" s="90"/>
      <c r="F8" s="22" t="s">
        <v>24</v>
      </c>
      <c r="G8" s="23">
        <f>SUM(G4:G7)</f>
        <v>669</v>
      </c>
      <c r="H8" s="24"/>
      <c r="I8" s="25"/>
    </row>
    <row r="9" spans="1:10" x14ac:dyDescent="0.2">
      <c r="A9" s="26"/>
      <c r="B9" s="27"/>
      <c r="C9" s="28"/>
      <c r="D9" s="29"/>
      <c r="F9" s="26" t="s">
        <v>25</v>
      </c>
      <c r="G9" s="27">
        <f>G2-G8</f>
        <v>2331</v>
      </c>
      <c r="H9" s="28"/>
      <c r="I9" s="29"/>
    </row>
    <row r="10" spans="1:10" x14ac:dyDescent="0.2">
      <c r="A10" s="22" t="s">
        <v>276</v>
      </c>
      <c r="B10" s="23">
        <f>1500-B8</f>
        <v>1031</v>
      </c>
      <c r="C10" s="24">
        <v>0.25</v>
      </c>
      <c r="D10" s="25">
        <f>C10*B10</f>
        <v>257.75</v>
      </c>
      <c r="F10" s="22" t="s">
        <v>26</v>
      </c>
      <c r="G10" s="23">
        <f>B10</f>
        <v>1031</v>
      </c>
      <c r="H10" s="24">
        <v>0.25</v>
      </c>
      <c r="I10" s="25">
        <f>H10*G10</f>
        <v>257.75</v>
      </c>
    </row>
    <row r="11" spans="1:10" x14ac:dyDescent="0.2">
      <c r="A11" s="18" t="s">
        <v>27</v>
      </c>
      <c r="B11" s="19">
        <f>B2-1500</f>
        <v>1000</v>
      </c>
      <c r="C11" s="20">
        <v>0.2</v>
      </c>
      <c r="D11" s="21">
        <f>C11*B11</f>
        <v>200</v>
      </c>
      <c r="F11" s="18" t="s">
        <v>27</v>
      </c>
      <c r="G11" s="19">
        <f>B11</f>
        <v>1000</v>
      </c>
      <c r="H11" s="20">
        <v>0.2</v>
      </c>
      <c r="I11" s="21">
        <f>H11*G11</f>
        <v>200</v>
      </c>
    </row>
    <row r="12" spans="1:10" x14ac:dyDescent="0.2">
      <c r="A12" s="18"/>
      <c r="B12" s="19"/>
      <c r="C12" s="20"/>
      <c r="D12" s="21"/>
      <c r="F12" s="18" t="s">
        <v>67</v>
      </c>
      <c r="G12" s="19">
        <v>500</v>
      </c>
      <c r="H12" s="20">
        <v>0.1</v>
      </c>
      <c r="I12" s="21">
        <f>G12*H12</f>
        <v>50</v>
      </c>
    </row>
    <row r="13" spans="1:10" ht="15" x14ac:dyDescent="0.25">
      <c r="A13" s="30" t="s">
        <v>28</v>
      </c>
      <c r="B13" s="31">
        <f>SUM(B4:B11)</f>
        <v>3169</v>
      </c>
      <c r="C13" s="32"/>
      <c r="D13" s="33">
        <f>SUM(D4:D12)</f>
        <v>981.85</v>
      </c>
      <c r="F13" s="30" t="s">
        <v>28</v>
      </c>
      <c r="G13" s="31">
        <f>SUM(G4:G11)</f>
        <v>5700</v>
      </c>
      <c r="H13" s="32"/>
      <c r="I13" s="33">
        <f>SUM(I4:I12)</f>
        <v>1031.8499999999999</v>
      </c>
      <c r="J13" s="73"/>
    </row>
    <row r="14" spans="1:10" ht="15.75" thickBot="1" x14ac:dyDescent="0.3">
      <c r="A14" s="34" t="s">
        <v>29</v>
      </c>
      <c r="B14" s="35"/>
      <c r="C14" s="36"/>
      <c r="D14" s="37">
        <f>D13</f>
        <v>981.85</v>
      </c>
      <c r="E14" s="71"/>
      <c r="F14" s="34" t="s">
        <v>29</v>
      </c>
      <c r="G14" s="35"/>
      <c r="H14" s="36"/>
      <c r="I14" s="37">
        <f>I13</f>
        <v>1031.8499999999999</v>
      </c>
    </row>
    <row r="15" spans="1:10" x14ac:dyDescent="0.2">
      <c r="A15" t="s">
        <v>61</v>
      </c>
      <c r="D15" s="17">
        <v>247000</v>
      </c>
      <c r="F15" t="s">
        <v>61</v>
      </c>
      <c r="I15" s="17">
        <v>263000</v>
      </c>
    </row>
    <row r="16" spans="1:10" ht="15" thickBot="1" x14ac:dyDescent="0.25">
      <c r="D16" s="17"/>
      <c r="I16" s="17"/>
    </row>
    <row r="17" spans="1:12" x14ac:dyDescent="0.2">
      <c r="A17" s="10" t="s">
        <v>64</v>
      </c>
      <c r="B17" s="11">
        <v>2500</v>
      </c>
      <c r="C17" s="12" t="s">
        <v>93</v>
      </c>
      <c r="D17" s="13"/>
      <c r="I17" s="17"/>
    </row>
    <row r="18" spans="1:12" x14ac:dyDescent="0.2">
      <c r="A18" s="14"/>
      <c r="B18" s="15" t="s">
        <v>20</v>
      </c>
      <c r="C18" s="15" t="s">
        <v>21</v>
      </c>
      <c r="D18" s="16" t="s">
        <v>22</v>
      </c>
      <c r="I18" s="17"/>
    </row>
    <row r="19" spans="1:12" x14ac:dyDescent="0.2">
      <c r="A19" s="18" t="s">
        <v>51</v>
      </c>
      <c r="B19" s="19">
        <v>220</v>
      </c>
      <c r="C19" s="20">
        <v>1</v>
      </c>
      <c r="D19" s="21">
        <f>C19*B19</f>
        <v>220</v>
      </c>
      <c r="I19" s="17"/>
    </row>
    <row r="20" spans="1:12" x14ac:dyDescent="0.2">
      <c r="A20" s="18" t="s">
        <v>63</v>
      </c>
      <c r="B20" s="19">
        <v>12</v>
      </c>
      <c r="C20" s="20">
        <v>0.9</v>
      </c>
      <c r="D20" s="21">
        <f>C20*B20</f>
        <v>10.8</v>
      </c>
      <c r="I20" s="17"/>
      <c r="L20">
        <f>1500-445-80</f>
        <v>975</v>
      </c>
    </row>
    <row r="21" spans="1:12" x14ac:dyDescent="0.2">
      <c r="A21" s="18" t="s">
        <v>277</v>
      </c>
      <c r="B21" s="19">
        <v>18</v>
      </c>
      <c r="C21" s="20">
        <v>0.35</v>
      </c>
      <c r="D21" s="21">
        <f>C21*B21</f>
        <v>6.3</v>
      </c>
      <c r="I21" s="17"/>
    </row>
    <row r="22" spans="1:12" x14ac:dyDescent="0.2">
      <c r="A22" s="18" t="s">
        <v>92</v>
      </c>
      <c r="B22" s="19">
        <v>15</v>
      </c>
      <c r="C22" s="20">
        <v>0.5</v>
      </c>
      <c r="D22" s="21">
        <f>C22*B22</f>
        <v>7.5</v>
      </c>
      <c r="I22" s="17"/>
    </row>
    <row r="23" spans="1:12" x14ac:dyDescent="0.2">
      <c r="A23" s="18"/>
      <c r="B23" s="19"/>
      <c r="C23" s="20"/>
      <c r="D23" s="21"/>
      <c r="I23" s="17"/>
    </row>
    <row r="24" spans="1:12" x14ac:dyDescent="0.2">
      <c r="A24" s="18"/>
      <c r="B24" s="19"/>
      <c r="C24" s="20"/>
      <c r="D24" s="21"/>
      <c r="I24" s="17"/>
    </row>
    <row r="25" spans="1:12" x14ac:dyDescent="0.2">
      <c r="A25" s="22" t="s">
        <v>65</v>
      </c>
      <c r="B25" s="23">
        <v>-155</v>
      </c>
      <c r="C25" s="24">
        <v>0.2</v>
      </c>
      <c r="D25" s="25">
        <f>B25*C25</f>
        <v>-31</v>
      </c>
      <c r="I25" s="17"/>
    </row>
    <row r="26" spans="1:12" x14ac:dyDescent="0.2">
      <c r="A26" s="18" t="s">
        <v>29</v>
      </c>
      <c r="B26" s="19"/>
      <c r="C26" s="20"/>
      <c r="D26" s="21">
        <f>SUM(D19:D25)</f>
        <v>213.60000000000002</v>
      </c>
      <c r="I26" s="17"/>
    </row>
    <row r="27" spans="1:12" ht="15" x14ac:dyDescent="0.25">
      <c r="A27" s="30" t="s">
        <v>84</v>
      </c>
      <c r="B27" s="31"/>
      <c r="C27" s="32"/>
      <c r="D27" s="257">
        <f>1/1.06^5</f>
        <v>0.74725817286605689</v>
      </c>
      <c r="I27" s="17"/>
    </row>
    <row r="28" spans="1:12" ht="15.75" thickBot="1" x14ac:dyDescent="0.3">
      <c r="A28" s="34" t="s">
        <v>29</v>
      </c>
      <c r="B28" s="35"/>
      <c r="C28" s="36"/>
      <c r="D28" s="37">
        <f>D26*D27</f>
        <v>159.61434572418977</v>
      </c>
      <c r="I28" s="17"/>
    </row>
    <row r="29" spans="1:12" ht="15" thickBot="1" x14ac:dyDescent="0.25">
      <c r="D29" s="17"/>
      <c r="I29" s="17"/>
    </row>
    <row r="30" spans="1:12" ht="15.75" thickBot="1" x14ac:dyDescent="0.3">
      <c r="A30" s="318" t="s">
        <v>195</v>
      </c>
      <c r="B30" s="319"/>
      <c r="C30" s="319"/>
      <c r="D30" s="320"/>
      <c r="I30" s="17"/>
    </row>
    <row r="31" spans="1:12" x14ac:dyDescent="0.2">
      <c r="A31" s="212" t="s">
        <v>196</v>
      </c>
      <c r="B31" s="12"/>
      <c r="C31" s="12"/>
      <c r="D31" s="213">
        <v>186</v>
      </c>
      <c r="I31" s="17"/>
    </row>
    <row r="32" spans="1:12" x14ac:dyDescent="0.2">
      <c r="A32" s="18" t="s">
        <v>197</v>
      </c>
      <c r="D32" s="214">
        <v>160</v>
      </c>
      <c r="I32" s="17"/>
    </row>
    <row r="33" spans="1:11" ht="15.75" thickBot="1" x14ac:dyDescent="0.3">
      <c r="A33" s="99" t="s">
        <v>198</v>
      </c>
      <c r="B33" s="101"/>
      <c r="C33" s="101"/>
      <c r="D33" s="215">
        <f>D31-D32</f>
        <v>26</v>
      </c>
      <c r="I33" s="17"/>
    </row>
    <row r="34" spans="1:11" x14ac:dyDescent="0.2">
      <c r="A34" s="10" t="s">
        <v>199</v>
      </c>
      <c r="B34" s="12"/>
      <c r="C34" s="12"/>
      <c r="D34" s="213">
        <v>240</v>
      </c>
      <c r="I34" s="17"/>
    </row>
    <row r="35" spans="1:11" x14ac:dyDescent="0.2">
      <c r="A35" s="18" t="s">
        <v>197</v>
      </c>
      <c r="D35" s="214">
        <v>160</v>
      </c>
      <c r="I35" s="17"/>
    </row>
    <row r="36" spans="1:11" ht="15.75" thickBot="1" x14ac:dyDescent="0.3">
      <c r="A36" s="99" t="s">
        <v>198</v>
      </c>
      <c r="B36" s="101"/>
      <c r="C36" s="101"/>
      <c r="D36" s="215">
        <f>D34-D35</f>
        <v>80</v>
      </c>
      <c r="I36" s="17"/>
    </row>
    <row r="37" spans="1:11" ht="15" thickBot="1" x14ac:dyDescent="0.25">
      <c r="A37" s="18"/>
      <c r="D37" s="214"/>
      <c r="I37" s="17"/>
    </row>
    <row r="38" spans="1:11" ht="15.75" thickBot="1" x14ac:dyDescent="0.3">
      <c r="A38" s="216" t="s">
        <v>200</v>
      </c>
      <c r="B38" s="217"/>
      <c r="C38" s="217"/>
      <c r="D38" s="218"/>
      <c r="I38" s="17"/>
    </row>
    <row r="39" spans="1:11" x14ac:dyDescent="0.2">
      <c r="D39" s="17"/>
      <c r="I39" s="17"/>
    </row>
    <row r="40" spans="1:11" x14ac:dyDescent="0.2">
      <c r="D40" s="17"/>
      <c r="I40" s="17"/>
    </row>
    <row r="41" spans="1:11" x14ac:dyDescent="0.2">
      <c r="A41" t="s">
        <v>201</v>
      </c>
      <c r="D41" s="17">
        <f>D14+D28-D38</f>
        <v>1141.4643457241898</v>
      </c>
      <c r="I41" s="17"/>
    </row>
    <row r="42" spans="1:11" x14ac:dyDescent="0.2">
      <c r="D42" s="17"/>
      <c r="I42" s="17"/>
    </row>
    <row r="43" spans="1:11" x14ac:dyDescent="0.2">
      <c r="D43" s="17"/>
      <c r="I43" s="17"/>
    </row>
    <row r="44" spans="1:11" x14ac:dyDescent="0.2">
      <c r="D44" s="17"/>
      <c r="I44" s="17"/>
    </row>
    <row r="45" spans="1:11" x14ac:dyDescent="0.2">
      <c r="D45" s="17"/>
      <c r="I45" s="17"/>
    </row>
    <row r="46" spans="1:11" ht="15" thickBot="1" x14ac:dyDescent="0.25">
      <c r="A46" s="39" t="s">
        <v>154</v>
      </c>
    </row>
    <row r="47" spans="1:11" ht="15" thickBot="1" x14ac:dyDescent="0.25">
      <c r="A47" s="10" t="s">
        <v>48</v>
      </c>
      <c r="B47" s="98">
        <v>500</v>
      </c>
      <c r="C47" s="12" t="s">
        <v>69</v>
      </c>
      <c r="D47" s="13"/>
      <c r="F47" s="10" t="s">
        <v>54</v>
      </c>
      <c r="G47" s="12"/>
      <c r="H47" s="12"/>
      <c r="I47" s="13"/>
      <c r="J47" t="s">
        <v>57</v>
      </c>
    </row>
    <row r="48" spans="1:11" x14ac:dyDescent="0.2">
      <c r="A48" s="10" t="s">
        <v>64</v>
      </c>
      <c r="B48" s="11">
        <v>2500</v>
      </c>
      <c r="C48" s="12" t="s">
        <v>93</v>
      </c>
      <c r="D48" s="13"/>
      <c r="F48" s="18" t="str">
        <f>A48</f>
        <v>פוטנציאל</v>
      </c>
      <c r="G48">
        <v>160</v>
      </c>
      <c r="H48">
        <v>1</v>
      </c>
      <c r="I48" s="21">
        <f>G48*H48</f>
        <v>160</v>
      </c>
      <c r="J48" s="17"/>
      <c r="K48" s="17"/>
    </row>
    <row r="49" spans="1:13" x14ac:dyDescent="0.2">
      <c r="A49" s="14"/>
      <c r="B49" s="15" t="s">
        <v>20</v>
      </c>
      <c r="C49" s="15" t="s">
        <v>21</v>
      </c>
      <c r="D49" s="16" t="s">
        <v>22</v>
      </c>
      <c r="F49" s="18" t="s">
        <v>49</v>
      </c>
      <c r="G49" s="90">
        <f>B47-G48</f>
        <v>340</v>
      </c>
      <c r="H49">
        <v>0.25</v>
      </c>
      <c r="I49" s="21">
        <f>G49*H49</f>
        <v>85</v>
      </c>
      <c r="J49" s="17"/>
      <c r="K49" s="17"/>
    </row>
    <row r="50" spans="1:13" ht="15" x14ac:dyDescent="0.25">
      <c r="A50" s="18" t="s">
        <v>51</v>
      </c>
      <c r="B50" s="19">
        <v>220</v>
      </c>
      <c r="C50" s="20">
        <v>1</v>
      </c>
      <c r="D50" s="21">
        <f>C50*B50</f>
        <v>220</v>
      </c>
      <c r="F50" s="43" t="s">
        <v>55</v>
      </c>
      <c r="G50" s="106"/>
      <c r="H50" s="106"/>
      <c r="I50" s="107">
        <f>I48+I49</f>
        <v>245</v>
      </c>
      <c r="J50" s="17">
        <f>'תחשיב לפי שווי שומה (2)'!B8</f>
        <v>11500</v>
      </c>
      <c r="K50" s="17">
        <f>I50*J50</f>
        <v>2817500</v>
      </c>
      <c r="L50" s="108">
        <v>0.29249999999999998</v>
      </c>
      <c r="M50" s="90">
        <f>K50*L50</f>
        <v>824118.75</v>
      </c>
    </row>
    <row r="51" spans="1:13" ht="15.75" thickBot="1" x14ac:dyDescent="0.3">
      <c r="A51" s="18" t="s">
        <v>63</v>
      </c>
      <c r="B51" s="19">
        <v>12</v>
      </c>
      <c r="C51" s="20">
        <v>0.9</v>
      </c>
      <c r="D51" s="21">
        <f>C51*B51</f>
        <v>10.8</v>
      </c>
      <c r="F51" s="99" t="s">
        <v>56</v>
      </c>
      <c r="G51" s="101"/>
      <c r="H51" s="101"/>
      <c r="I51" s="102">
        <f>D57-I50</f>
        <v>85.850000000000023</v>
      </c>
      <c r="J51" s="17">
        <f>J50</f>
        <v>11500</v>
      </c>
      <c r="K51" s="17">
        <f>I51*J51</f>
        <v>987275.00000000023</v>
      </c>
      <c r="L51" s="108">
        <v>0.33</v>
      </c>
      <c r="M51" s="90">
        <f>K51*L51</f>
        <v>325800.75000000012</v>
      </c>
    </row>
    <row r="52" spans="1:13" x14ac:dyDescent="0.2">
      <c r="A52" s="18" t="s">
        <v>277</v>
      </c>
      <c r="B52" s="19">
        <v>18</v>
      </c>
      <c r="C52" s="20">
        <v>0.35</v>
      </c>
      <c r="D52" s="21">
        <f>C52*B52</f>
        <v>6.3</v>
      </c>
      <c r="M52" s="90">
        <f>SUM(M50:M51)</f>
        <v>1149919.5</v>
      </c>
    </row>
    <row r="53" spans="1:13" x14ac:dyDescent="0.2">
      <c r="A53" s="18" t="s">
        <v>92</v>
      </c>
      <c r="B53" s="19">
        <v>15</v>
      </c>
      <c r="C53" s="20">
        <v>0.5</v>
      </c>
      <c r="D53" s="21">
        <f>C53*B53</f>
        <v>7.5</v>
      </c>
    </row>
    <row r="54" spans="1:13" x14ac:dyDescent="0.2">
      <c r="A54" s="22" t="s">
        <v>24</v>
      </c>
      <c r="B54" s="23">
        <v>155</v>
      </c>
      <c r="C54" s="24"/>
      <c r="D54" s="25"/>
    </row>
    <row r="55" spans="1:13" x14ac:dyDescent="0.2">
      <c r="A55" s="18" t="s">
        <v>25</v>
      </c>
      <c r="B55" s="19">
        <f>B47-B54</f>
        <v>345</v>
      </c>
      <c r="C55" s="20"/>
      <c r="D55" s="21"/>
    </row>
    <row r="56" spans="1:13" x14ac:dyDescent="0.2">
      <c r="A56" s="26" t="s">
        <v>26</v>
      </c>
      <c r="B56" s="103">
        <f>B55</f>
        <v>345</v>
      </c>
      <c r="C56" s="104">
        <v>0.25</v>
      </c>
      <c r="D56" s="105">
        <f>B56*C56</f>
        <v>86.25</v>
      </c>
    </row>
    <row r="57" spans="1:13" ht="15.75" thickBot="1" x14ac:dyDescent="0.3">
      <c r="A57" s="99" t="s">
        <v>28</v>
      </c>
      <c r="B57" s="100"/>
      <c r="C57" s="101"/>
      <c r="D57" s="102">
        <f>SUM(D48:D56)</f>
        <v>330.85</v>
      </c>
      <c r="F57" s="90"/>
    </row>
    <row r="58" spans="1:13" x14ac:dyDescent="0.2">
      <c r="A58" s="18" t="s">
        <v>70</v>
      </c>
      <c r="B58" s="19"/>
      <c r="D58" s="90">
        <v>100000</v>
      </c>
    </row>
    <row r="60" spans="1:13" ht="15" thickBot="1" x14ac:dyDescent="0.25">
      <c r="A60" t="s">
        <v>91</v>
      </c>
      <c r="B60">
        <v>2500</v>
      </c>
      <c r="F60" t="str">
        <f>A60</f>
        <v>לפי שומת הררי 2021</v>
      </c>
      <c r="G60">
        <v>3000</v>
      </c>
    </row>
    <row r="61" spans="1:13" x14ac:dyDescent="0.2">
      <c r="A61" s="10" t="s">
        <v>16</v>
      </c>
      <c r="B61" s="41" t="s">
        <v>20</v>
      </c>
      <c r="C61" s="41" t="s">
        <v>21</v>
      </c>
      <c r="D61" s="42" t="s">
        <v>22</v>
      </c>
      <c r="F61" s="10" t="s">
        <v>16</v>
      </c>
      <c r="G61" s="41" t="s">
        <v>20</v>
      </c>
      <c r="H61" s="41" t="s">
        <v>21</v>
      </c>
      <c r="I61" s="42" t="s">
        <v>22</v>
      </c>
    </row>
    <row r="62" spans="1:13" x14ac:dyDescent="0.2">
      <c r="A62" s="18" t="s">
        <v>14</v>
      </c>
      <c r="B62">
        <v>160</v>
      </c>
      <c r="C62">
        <v>1</v>
      </c>
      <c r="D62" s="21">
        <f t="shared" ref="D62:D67" si="1">C62*B62</f>
        <v>160</v>
      </c>
      <c r="F62" s="18" t="s">
        <v>14</v>
      </c>
      <c r="G62">
        <v>160</v>
      </c>
      <c r="H62">
        <v>1</v>
      </c>
      <c r="I62" s="21">
        <f>H62*G62</f>
        <v>160</v>
      </c>
    </row>
    <row r="63" spans="1:13" x14ac:dyDescent="0.2">
      <c r="A63" s="18" t="s">
        <v>15</v>
      </c>
      <c r="B63">
        <v>160</v>
      </c>
      <c r="C63">
        <v>1</v>
      </c>
      <c r="D63" s="21">
        <f t="shared" si="1"/>
        <v>160</v>
      </c>
      <c r="F63" s="18" t="s">
        <v>15</v>
      </c>
      <c r="G63">
        <v>160</v>
      </c>
      <c r="H63">
        <v>1</v>
      </c>
      <c r="I63" s="21">
        <f>H63*G63</f>
        <v>160</v>
      </c>
    </row>
    <row r="64" spans="1:13" x14ac:dyDescent="0.2">
      <c r="A64" s="18" t="s">
        <v>30</v>
      </c>
      <c r="B64">
        <v>55</v>
      </c>
      <c r="C64">
        <v>1</v>
      </c>
      <c r="D64" s="21">
        <f t="shared" si="1"/>
        <v>55</v>
      </c>
      <c r="F64" s="18" t="s">
        <v>30</v>
      </c>
      <c r="G64">
        <v>55</v>
      </c>
      <c r="H64">
        <v>1</v>
      </c>
      <c r="I64" s="21">
        <f>H64*G64</f>
        <v>55</v>
      </c>
    </row>
    <row r="65" spans="1:11" x14ac:dyDescent="0.2">
      <c r="A65" s="18" t="s">
        <v>24</v>
      </c>
      <c r="B65" s="40">
        <f>SUM(B62:B64)</f>
        <v>375</v>
      </c>
      <c r="D65" s="21"/>
      <c r="F65" s="18" t="s">
        <v>24</v>
      </c>
      <c r="G65" s="40">
        <f>SUM(G62:G64)</f>
        <v>375</v>
      </c>
      <c r="I65" s="21"/>
    </row>
    <row r="66" spans="1:11" x14ac:dyDescent="0.2">
      <c r="A66" s="18" t="s">
        <v>31</v>
      </c>
      <c r="B66">
        <v>1125</v>
      </c>
      <c r="C66" s="20">
        <v>0.25</v>
      </c>
      <c r="D66" s="21">
        <f t="shared" si="1"/>
        <v>281.25</v>
      </c>
      <c r="F66" s="18" t="s">
        <v>31</v>
      </c>
      <c r="G66">
        <v>1125</v>
      </c>
      <c r="H66" s="20">
        <v>0.25</v>
      </c>
      <c r="I66" s="21">
        <f>H66*G66</f>
        <v>281.25</v>
      </c>
    </row>
    <row r="67" spans="1:11" x14ac:dyDescent="0.2">
      <c r="A67" s="18" t="s">
        <v>50</v>
      </c>
      <c r="B67">
        <f>B60-B65-B66</f>
        <v>1000</v>
      </c>
      <c r="C67" s="20">
        <v>0.15</v>
      </c>
      <c r="D67" s="21">
        <f t="shared" si="1"/>
        <v>150</v>
      </c>
      <c r="F67" s="18" t="s">
        <v>50</v>
      </c>
      <c r="G67">
        <v>1000</v>
      </c>
      <c r="H67" s="20">
        <v>0.15</v>
      </c>
      <c r="I67" s="21">
        <f>H67*G67</f>
        <v>150</v>
      </c>
    </row>
    <row r="68" spans="1:11" x14ac:dyDescent="0.2">
      <c r="A68" s="18"/>
      <c r="C68" s="20"/>
      <c r="D68" s="21"/>
      <c r="F68" s="18" t="s">
        <v>68</v>
      </c>
      <c r="G68">
        <v>500</v>
      </c>
      <c r="H68" s="20">
        <v>0.1</v>
      </c>
      <c r="I68" s="126">
        <f>G68*H68</f>
        <v>50</v>
      </c>
    </row>
    <row r="69" spans="1:11" ht="15" x14ac:dyDescent="0.25">
      <c r="A69" s="43" t="s">
        <v>28</v>
      </c>
      <c r="B69" s="40">
        <f>SUM(B62:B67)</f>
        <v>2875</v>
      </c>
      <c r="C69" s="40"/>
      <c r="D69" s="44">
        <f>SUM(D62:D67)</f>
        <v>806.25</v>
      </c>
      <c r="F69" s="43" t="s">
        <v>28</v>
      </c>
      <c r="G69" s="40">
        <f>SUM(G62:G68)</f>
        <v>3375</v>
      </c>
      <c r="H69" s="40"/>
      <c r="I69" s="44">
        <f>SUM(I62:I68)</f>
        <v>856.25</v>
      </c>
    </row>
    <row r="70" spans="1:11" ht="15.75" thickBot="1" x14ac:dyDescent="0.3">
      <c r="A70" s="34" t="s">
        <v>29</v>
      </c>
      <c r="B70" s="45"/>
      <c r="C70" s="45"/>
      <c r="D70" s="46">
        <f>D69</f>
        <v>806.25</v>
      </c>
      <c r="E70" s="71"/>
      <c r="F70" s="34" t="s">
        <v>29</v>
      </c>
      <c r="G70" s="45"/>
      <c r="H70" s="45"/>
      <c r="I70" s="46">
        <f>I69</f>
        <v>856.25</v>
      </c>
    </row>
    <row r="71" spans="1:11" x14ac:dyDescent="0.2">
      <c r="A71" t="s">
        <v>61</v>
      </c>
      <c r="D71" s="17">
        <v>175000</v>
      </c>
      <c r="F71" t="s">
        <v>61</v>
      </c>
      <c r="I71" s="17">
        <v>190000</v>
      </c>
    </row>
    <row r="76" spans="1:11" x14ac:dyDescent="0.2">
      <c r="A76" t="s">
        <v>280</v>
      </c>
      <c r="B76" t="s">
        <v>281</v>
      </c>
    </row>
    <row r="78" spans="1:11" x14ac:dyDescent="0.2">
      <c r="A78" t="s">
        <v>226</v>
      </c>
    </row>
    <row r="79" spans="1:11" x14ac:dyDescent="0.2">
      <c r="A79" t="s">
        <v>282</v>
      </c>
      <c r="D79" s="90">
        <f>D57</f>
        <v>330.85</v>
      </c>
      <c r="K79" t="s">
        <v>279</v>
      </c>
    </row>
    <row r="81" spans="1:14" x14ac:dyDescent="0.2">
      <c r="A81" t="s">
        <v>230</v>
      </c>
      <c r="D81">
        <v>0.3</v>
      </c>
    </row>
    <row r="83" spans="1:14" x14ac:dyDescent="0.2">
      <c r="A83" t="s">
        <v>283</v>
      </c>
      <c r="D83" s="71">
        <f>D79*D81</f>
        <v>99.25500000000001</v>
      </c>
      <c r="F83">
        <f>11500*0.15</f>
        <v>1725</v>
      </c>
    </row>
    <row r="84" spans="1:14" x14ac:dyDescent="0.2">
      <c r="A84" t="s">
        <v>147</v>
      </c>
      <c r="D84" s="71">
        <f>D83/2</f>
        <v>49.627500000000005</v>
      </c>
      <c r="M84" t="s">
        <v>227</v>
      </c>
    </row>
    <row r="85" spans="1:14" x14ac:dyDescent="0.2">
      <c r="A85" t="s">
        <v>284</v>
      </c>
      <c r="D85" s="90">
        <f>J50</f>
        <v>11500</v>
      </c>
    </row>
    <row r="86" spans="1:14" x14ac:dyDescent="0.2">
      <c r="A86" t="s">
        <v>8</v>
      </c>
      <c r="D86" s="38">
        <f>D85*D84</f>
        <v>570716.25</v>
      </c>
    </row>
    <row r="89" spans="1:14" x14ac:dyDescent="0.2">
      <c r="L89" t="s">
        <v>228</v>
      </c>
      <c r="N89">
        <v>11.88</v>
      </c>
    </row>
    <row r="91" spans="1:14" x14ac:dyDescent="0.2">
      <c r="L91" t="s">
        <v>229</v>
      </c>
      <c r="N91">
        <f>N89*135</f>
        <v>1603.8000000000002</v>
      </c>
    </row>
    <row r="93" spans="1:14" x14ac:dyDescent="0.2">
      <c r="L93" t="s">
        <v>230</v>
      </c>
      <c r="N93">
        <v>0.8</v>
      </c>
    </row>
    <row r="95" spans="1:14" x14ac:dyDescent="0.2">
      <c r="L95" t="s">
        <v>231</v>
      </c>
      <c r="N95">
        <f>N91*N93</f>
        <v>1283.0400000000002</v>
      </c>
    </row>
    <row r="96" spans="1:14" x14ac:dyDescent="0.2">
      <c r="L96" t="s">
        <v>147</v>
      </c>
      <c r="N96">
        <f>N95/2</f>
        <v>641.5200000000001</v>
      </c>
    </row>
  </sheetData>
  <mergeCells count="1">
    <mergeCell ref="A30:D30"/>
  </mergeCells>
  <pageMargins left="0.7" right="0.7" top="0.75" bottom="0.75" header="0.3" footer="0.3"/>
  <pageSetup paperSize="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9EFA6-6B93-4B0D-8A01-39A9859613B7}">
  <dimension ref="A2:N80"/>
  <sheetViews>
    <sheetView rightToLeft="1" topLeftCell="A43" zoomScale="85" zoomScaleNormal="85" workbookViewId="0">
      <selection activeCell="L68" sqref="L68"/>
    </sheetView>
  </sheetViews>
  <sheetFormatPr defaultRowHeight="14.25" x14ac:dyDescent="0.2"/>
  <cols>
    <col min="1" max="1" width="10.375" customWidth="1"/>
    <col min="2" max="2" width="23.375" customWidth="1"/>
    <col min="3" max="3" width="15.625" bestFit="1" customWidth="1"/>
    <col min="4" max="4" width="10.25" style="17" customWidth="1"/>
    <col min="5" max="5" width="12" style="17" bestFit="1" customWidth="1"/>
    <col min="6" max="6" width="8.25" style="17" bestFit="1" customWidth="1"/>
    <col min="7" max="7" width="8.625" bestFit="1" customWidth="1"/>
    <col min="8" max="8" width="14.625" bestFit="1" customWidth="1"/>
    <col min="9" max="9" width="21" bestFit="1" customWidth="1"/>
    <col min="10" max="10" width="15.625" bestFit="1" customWidth="1"/>
    <col min="12" max="12" width="19.375" customWidth="1"/>
  </cols>
  <sheetData>
    <row r="2" spans="1:13" ht="16.5" x14ac:dyDescent="0.35">
      <c r="B2" s="39" t="s">
        <v>150</v>
      </c>
      <c r="C2" s="39"/>
      <c r="D2" s="129"/>
    </row>
    <row r="3" spans="1:13" x14ac:dyDescent="0.2">
      <c r="B3" t="s">
        <v>90</v>
      </c>
      <c r="C3" s="147"/>
      <c r="D3" s="147"/>
      <c r="G3" s="188"/>
      <c r="H3" s="147"/>
      <c r="I3" s="148"/>
      <c r="J3" s="148"/>
    </row>
    <row r="4" spans="1:13" x14ac:dyDescent="0.2">
      <c r="B4" t="s">
        <v>124</v>
      </c>
      <c r="C4" s="185"/>
      <c r="D4" s="38"/>
      <c r="G4" s="188"/>
      <c r="J4" s="148"/>
    </row>
    <row r="5" spans="1:13" x14ac:dyDescent="0.2">
      <c r="B5" t="s">
        <v>125</v>
      </c>
    </row>
    <row r="6" spans="1:13" x14ac:dyDescent="0.2">
      <c r="B6" t="s">
        <v>126</v>
      </c>
      <c r="C6" s="148"/>
      <c r="D6" s="147"/>
    </row>
    <row r="7" spans="1:13" x14ac:dyDescent="0.2">
      <c r="B7" t="s">
        <v>140</v>
      </c>
      <c r="C7" s="148">
        <f>C18</f>
        <v>11500</v>
      </c>
    </row>
    <row r="8" spans="1:13" x14ac:dyDescent="0.2">
      <c r="C8" s="148"/>
    </row>
    <row r="9" spans="1:13" x14ac:dyDescent="0.2">
      <c r="B9" s="39" t="s">
        <v>127</v>
      </c>
      <c r="C9" s="149"/>
    </row>
    <row r="10" spans="1:13" ht="28.5" x14ac:dyDescent="0.35">
      <c r="B10" s="39" t="s">
        <v>129</v>
      </c>
      <c r="C10" s="39" t="s">
        <v>128</v>
      </c>
      <c r="D10" s="129" t="s">
        <v>130</v>
      </c>
      <c r="E10" s="129" t="s">
        <v>131</v>
      </c>
      <c r="F10" s="129" t="s">
        <v>132</v>
      </c>
      <c r="G10" s="129" t="s">
        <v>133</v>
      </c>
      <c r="H10" s="187" t="s">
        <v>134</v>
      </c>
      <c r="I10" s="129" t="s">
        <v>135</v>
      </c>
      <c r="J10" s="129" t="s">
        <v>136</v>
      </c>
      <c r="K10" s="129" t="s">
        <v>137</v>
      </c>
      <c r="L10" s="129" t="s">
        <v>138</v>
      </c>
      <c r="M10" s="129" t="s">
        <v>139</v>
      </c>
    </row>
    <row r="11" spans="1:13" x14ac:dyDescent="0.2">
      <c r="B11" s="186"/>
    </row>
    <row r="12" spans="1:13" x14ac:dyDescent="0.2">
      <c r="A12" s="325" t="s">
        <v>273</v>
      </c>
      <c r="B12" s="325"/>
      <c r="C12" s="325"/>
    </row>
    <row r="13" spans="1:13" x14ac:dyDescent="0.2">
      <c r="A13" t="s">
        <v>269</v>
      </c>
      <c r="B13" s="186" t="s">
        <v>161</v>
      </c>
      <c r="C13" t="s">
        <v>270</v>
      </c>
    </row>
    <row r="14" spans="1:13" x14ac:dyDescent="0.2">
      <c r="A14">
        <v>1</v>
      </c>
      <c r="B14" s="186" t="s">
        <v>268</v>
      </c>
      <c r="C14" s="148">
        <f>E41</f>
        <v>11661.817300916136</v>
      </c>
    </row>
    <row r="15" spans="1:13" x14ac:dyDescent="0.2">
      <c r="A15">
        <v>2</v>
      </c>
      <c r="B15" s="186" t="s">
        <v>271</v>
      </c>
      <c r="C15" s="148">
        <f>C49</f>
        <v>9698.6598129330687</v>
      </c>
    </row>
    <row r="16" spans="1:13" x14ac:dyDescent="0.2">
      <c r="A16">
        <v>3</v>
      </c>
      <c r="B16" s="186" t="s">
        <v>272</v>
      </c>
      <c r="C16" s="148">
        <f>J76</f>
        <v>9945.7681007262654</v>
      </c>
    </row>
    <row r="17" spans="1:14" x14ac:dyDescent="0.2">
      <c r="A17" s="325" t="s">
        <v>274</v>
      </c>
      <c r="B17" s="325"/>
      <c r="C17" s="148">
        <f>AVERAGE(C14:C16)</f>
        <v>10435.415071525158</v>
      </c>
    </row>
    <row r="18" spans="1:14" ht="15" x14ac:dyDescent="0.25">
      <c r="B18" s="256" t="s">
        <v>140</v>
      </c>
      <c r="C18" s="237">
        <v>11500</v>
      </c>
    </row>
    <row r="19" spans="1:14" x14ac:dyDescent="0.2">
      <c r="B19" s="186"/>
    </row>
    <row r="20" spans="1:14" x14ac:dyDescent="0.2">
      <c r="B20" s="186"/>
    </row>
    <row r="22" spans="1:14" ht="15" thickBot="1" x14ac:dyDescent="0.25"/>
    <row r="23" spans="1:14" ht="20.25" x14ac:dyDescent="0.3">
      <c r="A23" s="10"/>
      <c r="B23" s="12"/>
      <c r="C23" s="12" t="s">
        <v>267</v>
      </c>
      <c r="D23" s="11"/>
      <c r="E23" s="252" t="s">
        <v>264</v>
      </c>
      <c r="F23" s="11"/>
      <c r="G23" s="12"/>
      <c r="H23" s="12"/>
      <c r="I23" s="12"/>
      <c r="J23" s="12"/>
      <c r="K23" s="12"/>
      <c r="L23" s="12"/>
      <c r="M23" s="12"/>
      <c r="N23" s="13"/>
    </row>
    <row r="24" spans="1:14" ht="15" thickBot="1" x14ac:dyDescent="0.25">
      <c r="A24" s="18"/>
      <c r="D24" s="19"/>
      <c r="E24" s="19"/>
      <c r="F24" s="19"/>
      <c r="N24" s="21"/>
    </row>
    <row r="25" spans="1:14" ht="39" thickBot="1" x14ac:dyDescent="0.25">
      <c r="A25" s="18"/>
      <c r="B25" s="221" t="s">
        <v>238</v>
      </c>
      <c r="C25" s="221" t="s">
        <v>239</v>
      </c>
      <c r="D25" s="221" t="s">
        <v>240</v>
      </c>
      <c r="E25" s="221" t="s">
        <v>241</v>
      </c>
      <c r="F25" s="221" t="s">
        <v>242</v>
      </c>
      <c r="G25" s="221" t="s">
        <v>243</v>
      </c>
      <c r="H25" s="221" t="s">
        <v>244</v>
      </c>
      <c r="I25" s="221" t="s">
        <v>133</v>
      </c>
      <c r="J25" s="221" t="s">
        <v>245</v>
      </c>
      <c r="K25" s="222" t="s">
        <v>246</v>
      </c>
      <c r="L25" s="223" t="s">
        <v>247</v>
      </c>
      <c r="M25" s="223" t="s">
        <v>248</v>
      </c>
      <c r="N25" s="21"/>
    </row>
    <row r="26" spans="1:14" ht="26.25" thickBot="1" x14ac:dyDescent="0.25">
      <c r="A26" s="18"/>
      <c r="B26" s="224" t="s">
        <v>249</v>
      </c>
      <c r="C26" s="225">
        <v>45616</v>
      </c>
      <c r="D26" s="226">
        <v>6400000</v>
      </c>
      <c r="E26" s="226">
        <f>D26/1.056</f>
        <v>6060606.0606060605</v>
      </c>
      <c r="F26" s="224" t="s">
        <v>250</v>
      </c>
      <c r="G26" s="224">
        <v>1</v>
      </c>
      <c r="H26" s="224" t="s">
        <v>251</v>
      </c>
      <c r="I26" s="224">
        <v>2002</v>
      </c>
      <c r="J26" s="224">
        <v>149</v>
      </c>
      <c r="K26" s="226">
        <f>J26*9000</f>
        <v>1341000</v>
      </c>
      <c r="L26" s="227">
        <v>647</v>
      </c>
      <c r="M26" s="228">
        <f>E26-K26</f>
        <v>4719606.0606060605</v>
      </c>
      <c r="N26" s="21"/>
    </row>
    <row r="27" spans="1:14" x14ac:dyDescent="0.2">
      <c r="A27" s="18"/>
      <c r="B27" s="249"/>
      <c r="D27"/>
      <c r="E27"/>
      <c r="F27"/>
      <c r="N27" s="21"/>
    </row>
    <row r="28" spans="1:14" x14ac:dyDescent="0.2">
      <c r="A28" s="18"/>
      <c r="B28" s="326"/>
      <c r="C28" s="327"/>
      <c r="D28" s="327"/>
      <c r="E28" s="327"/>
      <c r="F28" s="327"/>
      <c r="G28" s="327"/>
      <c r="H28" s="327"/>
      <c r="I28" s="327"/>
      <c r="J28" s="327"/>
      <c r="K28" s="327"/>
      <c r="N28" s="21"/>
    </row>
    <row r="29" spans="1:14" x14ac:dyDescent="0.2">
      <c r="A29" s="18"/>
      <c r="B29" s="250"/>
      <c r="D29"/>
      <c r="E29"/>
      <c r="F29"/>
      <c r="N29" s="21"/>
    </row>
    <row r="30" spans="1:14" ht="15" thickBot="1" x14ac:dyDescent="0.25">
      <c r="A30" s="18"/>
      <c r="B30" s="250"/>
      <c r="D30"/>
      <c r="E30"/>
      <c r="F30"/>
      <c r="N30" s="21"/>
    </row>
    <row r="31" spans="1:14" ht="15" thickBot="1" x14ac:dyDescent="0.25">
      <c r="A31" s="18"/>
      <c r="B31" s="328" t="s">
        <v>252</v>
      </c>
      <c r="C31" s="329"/>
      <c r="D31" s="329"/>
      <c r="E31" s="330"/>
      <c r="F31"/>
      <c r="N31" s="21"/>
    </row>
    <row r="32" spans="1:14" x14ac:dyDescent="0.2">
      <c r="A32" s="18"/>
      <c r="B32" s="229" t="s">
        <v>242</v>
      </c>
      <c r="C32" s="230" t="s">
        <v>245</v>
      </c>
      <c r="D32" s="230" t="s">
        <v>21</v>
      </c>
      <c r="E32" s="231" t="s">
        <v>8</v>
      </c>
      <c r="F32"/>
      <c r="N32" s="21"/>
    </row>
    <row r="33" spans="1:14" x14ac:dyDescent="0.2">
      <c r="A33" s="18"/>
      <c r="B33" s="232" t="s">
        <v>51</v>
      </c>
      <c r="C33" s="233">
        <v>220</v>
      </c>
      <c r="D33" s="233">
        <v>1</v>
      </c>
      <c r="E33" s="234">
        <f>D33*C33</f>
        <v>220</v>
      </c>
      <c r="F33"/>
      <c r="N33" s="21"/>
    </row>
    <row r="34" spans="1:14" x14ac:dyDescent="0.2">
      <c r="A34" s="18"/>
      <c r="B34" s="232" t="s">
        <v>63</v>
      </c>
      <c r="C34" s="233">
        <v>12</v>
      </c>
      <c r="D34" s="233">
        <v>1</v>
      </c>
      <c r="E34" s="234">
        <f t="shared" ref="E34:E36" si="0">D34*C34</f>
        <v>12</v>
      </c>
      <c r="F34"/>
      <c r="N34" s="21"/>
    </row>
    <row r="35" spans="1:14" x14ac:dyDescent="0.2">
      <c r="A35" s="18"/>
      <c r="B35" s="232" t="s">
        <v>92</v>
      </c>
      <c r="C35" s="233">
        <f>45-C34</f>
        <v>33</v>
      </c>
      <c r="D35" s="233">
        <v>0.5</v>
      </c>
      <c r="E35" s="234">
        <f t="shared" si="0"/>
        <v>16.5</v>
      </c>
      <c r="F35"/>
      <c r="N35" s="21"/>
    </row>
    <row r="36" spans="1:14" x14ac:dyDescent="0.2">
      <c r="A36" s="18"/>
      <c r="B36" s="232" t="s">
        <v>27</v>
      </c>
      <c r="C36" s="233">
        <f>L26-C33-C34-C35</f>
        <v>382</v>
      </c>
      <c r="D36" s="233">
        <v>0.25</v>
      </c>
      <c r="E36" s="234">
        <f t="shared" si="0"/>
        <v>95.5</v>
      </c>
      <c r="F36"/>
      <c r="N36" s="21"/>
    </row>
    <row r="37" spans="1:14" ht="15" thickBot="1" x14ac:dyDescent="0.25">
      <c r="A37" s="18"/>
      <c r="B37" s="331" t="s">
        <v>8</v>
      </c>
      <c r="C37" s="332"/>
      <c r="D37" s="333"/>
      <c r="E37" s="235">
        <f>SUM(E33:E36)</f>
        <v>344</v>
      </c>
      <c r="F37"/>
      <c r="N37" s="21"/>
    </row>
    <row r="38" spans="1:14" ht="15" thickBot="1" x14ac:dyDescent="0.25">
      <c r="A38" s="18"/>
      <c r="B38" s="334" t="s">
        <v>248</v>
      </c>
      <c r="C38" s="335"/>
      <c r="D38" s="336"/>
      <c r="E38" s="228">
        <f>M26</f>
        <v>4719606.0606060605</v>
      </c>
      <c r="F38"/>
      <c r="N38" s="21"/>
    </row>
    <row r="39" spans="1:14" ht="15.75" thickBot="1" x14ac:dyDescent="0.3">
      <c r="A39" s="18"/>
      <c r="B39" s="337" t="s">
        <v>253</v>
      </c>
      <c r="C39" s="338"/>
      <c r="D39" s="339"/>
      <c r="E39" s="236">
        <f>E38/E37</f>
        <v>13719.785059901338</v>
      </c>
      <c r="F39"/>
      <c r="N39" s="21"/>
    </row>
    <row r="40" spans="1:14" x14ac:dyDescent="0.2">
      <c r="A40" s="18"/>
      <c r="B40" s="335" t="s">
        <v>254</v>
      </c>
      <c r="C40" s="335"/>
      <c r="D40" s="335"/>
      <c r="E40">
        <v>0.85</v>
      </c>
      <c r="F40"/>
      <c r="N40" s="21"/>
    </row>
    <row r="41" spans="1:14" ht="15" x14ac:dyDescent="0.25">
      <c r="A41" s="18"/>
      <c r="C41" t="s">
        <v>255</v>
      </c>
      <c r="D41"/>
      <c r="E41" s="254">
        <f>E40*E39</f>
        <v>11661.817300916136</v>
      </c>
      <c r="F41"/>
      <c r="N41" s="21"/>
    </row>
    <row r="42" spans="1:14" ht="15.75" thickBot="1" x14ac:dyDescent="0.3">
      <c r="A42" s="245"/>
      <c r="B42" s="324"/>
      <c r="C42" s="324"/>
      <c r="D42" s="324"/>
      <c r="E42" s="251"/>
      <c r="F42" s="246"/>
      <c r="G42" s="246"/>
      <c r="H42" s="246"/>
      <c r="I42" s="246"/>
      <c r="J42" s="246"/>
      <c r="K42" s="246"/>
      <c r="L42" s="246"/>
      <c r="M42" s="246"/>
      <c r="N42" s="248"/>
    </row>
    <row r="43" spans="1:14" x14ac:dyDescent="0.2">
      <c r="D43"/>
      <c r="E43"/>
      <c r="F43"/>
    </row>
    <row r="44" spans="1:14" ht="15" thickBot="1" x14ac:dyDescent="0.25">
      <c r="D44"/>
      <c r="E44"/>
      <c r="F44"/>
    </row>
    <row r="45" spans="1:14" ht="21" thickBot="1" x14ac:dyDescent="0.35">
      <c r="B45" s="321" t="s">
        <v>266</v>
      </c>
      <c r="C45" s="323"/>
      <c r="D45"/>
      <c r="E45"/>
      <c r="F45"/>
    </row>
    <row r="46" spans="1:14" x14ac:dyDescent="0.2">
      <c r="B46" s="18"/>
      <c r="C46" s="21"/>
      <c r="D46"/>
      <c r="E46"/>
      <c r="F46"/>
    </row>
    <row r="47" spans="1:14" x14ac:dyDescent="0.2">
      <c r="B47" s="18" t="s">
        <v>262</v>
      </c>
      <c r="C47" s="21">
        <f>9700*0.85</f>
        <v>8245</v>
      </c>
      <c r="D47"/>
      <c r="E47"/>
      <c r="F47"/>
    </row>
    <row r="48" spans="1:14" x14ac:dyDescent="0.2">
      <c r="B48" s="18" t="s">
        <v>263</v>
      </c>
      <c r="C48" s="253">
        <f>1.07^2.4</f>
        <v>1.1763080428057087</v>
      </c>
      <c r="D48"/>
      <c r="E48"/>
      <c r="F48"/>
    </row>
    <row r="49" spans="2:12" ht="15" x14ac:dyDescent="0.25">
      <c r="B49" s="255" t="s">
        <v>237</v>
      </c>
      <c r="C49" s="244">
        <f>C48*C47</f>
        <v>9698.6598129330687</v>
      </c>
      <c r="D49"/>
      <c r="E49"/>
      <c r="F49"/>
    </row>
    <row r="50" spans="2:12" x14ac:dyDescent="0.2">
      <c r="B50" s="18"/>
      <c r="C50" s="21"/>
      <c r="D50"/>
      <c r="E50"/>
      <c r="F50"/>
    </row>
    <row r="51" spans="2:12" ht="15" thickBot="1" x14ac:dyDescent="0.25">
      <c r="B51" s="245"/>
      <c r="C51" s="248"/>
      <c r="D51"/>
      <c r="E51"/>
      <c r="F51"/>
    </row>
    <row r="58" spans="2:12" ht="15" thickBot="1" x14ac:dyDescent="0.25"/>
    <row r="59" spans="2:12" ht="21" thickBot="1" x14ac:dyDescent="0.35">
      <c r="B59" s="321" t="s">
        <v>265</v>
      </c>
      <c r="C59" s="322"/>
      <c r="D59" s="322"/>
      <c r="E59" s="322"/>
      <c r="F59" s="322"/>
      <c r="G59" s="322"/>
      <c r="H59" s="322"/>
      <c r="I59" s="322"/>
      <c r="J59" s="323"/>
    </row>
    <row r="60" spans="2:12" x14ac:dyDescent="0.2">
      <c r="B60" s="18"/>
      <c r="D60" s="19"/>
      <c r="E60" s="19"/>
      <c r="F60" s="19"/>
      <c r="J60" s="21"/>
    </row>
    <row r="61" spans="2:12" x14ac:dyDescent="0.2">
      <c r="B61" s="18"/>
      <c r="D61" s="19"/>
      <c r="E61" s="19"/>
      <c r="F61" s="19"/>
      <c r="I61" t="s">
        <v>234</v>
      </c>
      <c r="J61" s="238">
        <v>45078</v>
      </c>
      <c r="L61" t="s">
        <v>278</v>
      </c>
    </row>
    <row r="62" spans="2:12" ht="15" x14ac:dyDescent="0.25">
      <c r="B62" s="18"/>
      <c r="D62" s="19"/>
      <c r="E62" s="19"/>
      <c r="F62" s="19"/>
      <c r="I62" t="s">
        <v>5</v>
      </c>
      <c r="J62" s="239">
        <v>2777845</v>
      </c>
      <c r="L62" s="258">
        <f>J62*J64*1.18</f>
        <v>3752818.5937900003</v>
      </c>
    </row>
    <row r="63" spans="2:12" x14ac:dyDescent="0.2">
      <c r="B63" s="18"/>
      <c r="D63" s="19"/>
      <c r="E63" s="19"/>
      <c r="F63" s="19"/>
      <c r="I63" t="s">
        <v>235</v>
      </c>
      <c r="J63" s="240">
        <f>J62/0.33</f>
        <v>8417712.1212121211</v>
      </c>
    </row>
    <row r="64" spans="2:12" x14ac:dyDescent="0.2">
      <c r="B64" s="18"/>
      <c r="D64" s="19"/>
      <c r="E64" s="19"/>
      <c r="F64" s="19"/>
      <c r="I64" t="s">
        <v>236</v>
      </c>
      <c r="J64" s="21">
        <f>1.07^2</f>
        <v>1.1449</v>
      </c>
    </row>
    <row r="65" spans="2:10" x14ac:dyDescent="0.2">
      <c r="B65" s="18"/>
      <c r="D65" s="19"/>
      <c r="E65" s="19"/>
      <c r="F65" s="19"/>
      <c r="I65" t="s">
        <v>237</v>
      </c>
      <c r="J65" s="240">
        <f>J64*J63</f>
        <v>9637438.6075757574</v>
      </c>
    </row>
    <row r="66" spans="2:10" x14ac:dyDescent="0.2">
      <c r="B66" s="18"/>
      <c r="D66" s="19"/>
      <c r="E66" s="19"/>
      <c r="F66" s="19"/>
      <c r="I66" t="s">
        <v>5</v>
      </c>
      <c r="J66" s="240">
        <f>J65/3</f>
        <v>3212479.535858586</v>
      </c>
    </row>
    <row r="67" spans="2:10" x14ac:dyDescent="0.2">
      <c r="B67" s="18"/>
      <c r="D67" s="19"/>
      <c r="E67" s="19"/>
      <c r="F67" s="19"/>
      <c r="J67" s="21"/>
    </row>
    <row r="68" spans="2:10" x14ac:dyDescent="0.2">
      <c r="B68" s="18"/>
      <c r="D68" s="19"/>
      <c r="E68" s="19"/>
      <c r="F68" s="19"/>
      <c r="I68" t="s">
        <v>256</v>
      </c>
      <c r="J68" s="21">
        <v>985</v>
      </c>
    </row>
    <row r="69" spans="2:10" x14ac:dyDescent="0.2">
      <c r="B69" s="18"/>
      <c r="D69" s="19"/>
      <c r="E69" s="19"/>
      <c r="F69" s="19"/>
      <c r="I69" t="s">
        <v>257</v>
      </c>
      <c r="J69" s="241">
        <f>212/1.06^5</f>
        <v>158.41873264760406</v>
      </c>
    </row>
    <row r="70" spans="2:10" x14ac:dyDescent="0.2">
      <c r="B70" s="18"/>
      <c r="D70" s="19"/>
      <c r="E70" s="19"/>
      <c r="F70" s="19"/>
      <c r="I70" t="s">
        <v>258</v>
      </c>
      <c r="J70" s="214">
        <f>J69+J68</f>
        <v>1143.418732647604</v>
      </c>
    </row>
    <row r="71" spans="2:10" x14ac:dyDescent="0.2">
      <c r="B71" s="18"/>
      <c r="D71" s="19"/>
      <c r="E71" s="19"/>
      <c r="F71" s="19"/>
      <c r="J71" s="21"/>
    </row>
    <row r="72" spans="2:10" x14ac:dyDescent="0.2">
      <c r="B72" s="18"/>
      <c r="D72" s="19"/>
      <c r="E72" s="19"/>
      <c r="F72" s="19"/>
      <c r="J72" s="21"/>
    </row>
    <row r="73" spans="2:10" x14ac:dyDescent="0.2">
      <c r="B73" s="18"/>
      <c r="D73" s="19"/>
      <c r="E73" s="19"/>
      <c r="F73" s="19"/>
      <c r="I73" t="s">
        <v>259</v>
      </c>
      <c r="J73" s="240">
        <f>J65</f>
        <v>9637438.6075757574</v>
      </c>
    </row>
    <row r="74" spans="2:10" x14ac:dyDescent="0.2">
      <c r="B74" s="18"/>
      <c r="D74" s="19"/>
      <c r="E74" s="19"/>
      <c r="F74" s="19"/>
      <c r="I74" t="s">
        <v>260</v>
      </c>
      <c r="J74" s="242">
        <f>J73*1.18</f>
        <v>11372177.556939393</v>
      </c>
    </row>
    <row r="75" spans="2:10" x14ac:dyDescent="0.2">
      <c r="B75" s="18"/>
      <c r="D75" s="19"/>
      <c r="E75" s="19"/>
      <c r="F75" s="19"/>
      <c r="I75" t="s">
        <v>138</v>
      </c>
      <c r="J75" s="243">
        <f>J70</f>
        <v>1143.418732647604</v>
      </c>
    </row>
    <row r="76" spans="2:10" ht="15" x14ac:dyDescent="0.25">
      <c r="B76" s="18"/>
      <c r="D76" s="19"/>
      <c r="E76" s="19"/>
      <c r="F76" s="19"/>
      <c r="I76" s="68" t="s">
        <v>261</v>
      </c>
      <c r="J76" s="244">
        <f>J74/J75</f>
        <v>9945.7681007262654</v>
      </c>
    </row>
    <row r="77" spans="2:10" x14ac:dyDescent="0.2">
      <c r="B77" s="18"/>
      <c r="D77" s="19"/>
      <c r="E77" s="19"/>
      <c r="F77" s="19"/>
      <c r="J77" s="21"/>
    </row>
    <row r="78" spans="2:10" x14ac:dyDescent="0.2">
      <c r="B78" s="18"/>
      <c r="D78" s="19"/>
      <c r="E78" s="19"/>
      <c r="F78" s="19"/>
      <c r="J78" s="21"/>
    </row>
    <row r="79" spans="2:10" x14ac:dyDescent="0.2">
      <c r="B79" s="18"/>
      <c r="D79" s="19"/>
      <c r="E79" s="19"/>
      <c r="F79" s="19"/>
      <c r="J79" s="21"/>
    </row>
    <row r="80" spans="2:10" ht="15" thickBot="1" x14ac:dyDescent="0.25">
      <c r="B80" s="245"/>
      <c r="C80" s="246"/>
      <c r="D80" s="247"/>
      <c r="E80" s="247"/>
      <c r="F80" s="247"/>
      <c r="G80" s="246"/>
      <c r="H80" s="246"/>
      <c r="I80" s="246"/>
      <c r="J80" s="248"/>
    </row>
  </sheetData>
  <mergeCells count="11">
    <mergeCell ref="B59:J59"/>
    <mergeCell ref="B42:D42"/>
    <mergeCell ref="B45:C45"/>
    <mergeCell ref="A12:C12"/>
    <mergeCell ref="A17:B17"/>
    <mergeCell ref="B28:K28"/>
    <mergeCell ref="B31:E31"/>
    <mergeCell ref="B37:D37"/>
    <mergeCell ref="B38:D38"/>
    <mergeCell ref="B39:D39"/>
    <mergeCell ref="B40:D40"/>
  </mergeCells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E62F1-17A9-430F-B2C4-D5EB8640EA03}">
  <dimension ref="A1:U60"/>
  <sheetViews>
    <sheetView rightToLeft="1" zoomScale="130" zoomScaleNormal="130" workbookViewId="0">
      <selection activeCell="H6" sqref="H6"/>
    </sheetView>
  </sheetViews>
  <sheetFormatPr defaultRowHeight="14.25" x14ac:dyDescent="0.2"/>
  <cols>
    <col min="1" max="1" width="19.75" customWidth="1"/>
    <col min="2" max="3" width="6" customWidth="1"/>
    <col min="4" max="4" width="17.5" customWidth="1"/>
    <col min="5" max="5" width="14.125" style="17" customWidth="1"/>
    <col min="6" max="8" width="14.75" customWidth="1"/>
    <col min="9" max="9" width="12.75" customWidth="1"/>
    <col min="10" max="10" width="13.375" customWidth="1"/>
    <col min="11" max="11" width="11.25" customWidth="1"/>
    <col min="12" max="12" width="11.625" customWidth="1"/>
    <col min="13" max="13" width="11.25" customWidth="1"/>
    <col min="14" max="14" width="10.25" customWidth="1"/>
    <col min="15" max="15" width="9.25" customWidth="1"/>
    <col min="16" max="22" width="9.625" customWidth="1"/>
  </cols>
  <sheetData>
    <row r="1" spans="1:21" ht="16.5" customHeight="1" thickBot="1" x14ac:dyDescent="0.25">
      <c r="D1" s="66"/>
      <c r="E1"/>
    </row>
    <row r="2" spans="1:21" ht="29.25" thickBot="1" x14ac:dyDescent="0.25">
      <c r="A2" s="118" t="s">
        <v>32</v>
      </c>
      <c r="B2" s="190" t="s">
        <v>157</v>
      </c>
      <c r="C2" s="118" t="s">
        <v>158</v>
      </c>
      <c r="D2" s="219" t="s">
        <v>224</v>
      </c>
      <c r="E2" s="96" t="s">
        <v>225</v>
      </c>
      <c r="F2" s="219" t="s">
        <v>232</v>
      </c>
      <c r="G2" s="219" t="s">
        <v>221</v>
      </c>
      <c r="H2" s="219" t="s">
        <v>222</v>
      </c>
      <c r="I2" s="91" t="s">
        <v>233</v>
      </c>
      <c r="J2" s="47" t="s">
        <v>217</v>
      </c>
      <c r="K2" s="47" t="s">
        <v>218</v>
      </c>
      <c r="L2" s="115" t="s">
        <v>219</v>
      </c>
      <c r="M2" s="220" t="s">
        <v>220</v>
      </c>
      <c r="N2" s="115"/>
      <c r="O2" s="115"/>
      <c r="P2" s="47"/>
      <c r="Q2" s="47"/>
      <c r="R2" s="47"/>
      <c r="S2" s="115"/>
      <c r="T2" s="115"/>
      <c r="U2" s="116"/>
    </row>
    <row r="3" spans="1:21" x14ac:dyDescent="0.2">
      <c r="A3" s="119" t="s">
        <v>145</v>
      </c>
      <c r="B3" s="191"/>
      <c r="C3" s="119"/>
      <c r="D3" s="92">
        <v>73</v>
      </c>
      <c r="E3" s="142">
        <v>111</v>
      </c>
      <c r="F3" s="92">
        <v>34</v>
      </c>
      <c r="G3" s="92">
        <v>23</v>
      </c>
      <c r="H3" s="92">
        <v>28</v>
      </c>
      <c r="I3" s="64">
        <v>133</v>
      </c>
      <c r="J3" s="64">
        <v>136</v>
      </c>
      <c r="K3" s="64">
        <v>130</v>
      </c>
      <c r="L3" s="49">
        <v>45</v>
      </c>
      <c r="M3" s="49">
        <v>4046</v>
      </c>
      <c r="N3" s="49"/>
      <c r="O3" s="49"/>
      <c r="P3" s="48"/>
      <c r="Q3" s="48"/>
      <c r="R3" s="48"/>
      <c r="S3" s="49"/>
      <c r="T3" s="49"/>
      <c r="U3" s="50"/>
    </row>
    <row r="4" spans="1:21" x14ac:dyDescent="0.2">
      <c r="A4" s="119" t="s">
        <v>89</v>
      </c>
      <c r="B4" s="191"/>
      <c r="C4" s="119"/>
      <c r="D4" s="92"/>
      <c r="E4" s="142"/>
      <c r="F4" s="92"/>
      <c r="G4" s="92"/>
      <c r="H4" s="92"/>
      <c r="I4" s="64"/>
      <c r="J4" s="64"/>
      <c r="K4" s="64"/>
      <c r="L4" s="49"/>
      <c r="M4" s="49"/>
      <c r="N4" s="49"/>
      <c r="O4" s="49"/>
      <c r="P4" s="48"/>
      <c r="Q4" s="48"/>
      <c r="R4" s="48"/>
      <c r="S4" s="49"/>
      <c r="T4" s="49"/>
      <c r="U4" s="50"/>
    </row>
    <row r="5" spans="1:21" x14ac:dyDescent="0.2">
      <c r="A5" s="119" t="s">
        <v>71</v>
      </c>
      <c r="B5" s="191"/>
      <c r="C5" s="119"/>
      <c r="D5" s="92">
        <v>73</v>
      </c>
      <c r="E5" s="142">
        <v>111</v>
      </c>
      <c r="F5" s="92"/>
      <c r="G5" s="92"/>
      <c r="H5" s="92"/>
      <c r="I5" s="64"/>
      <c r="J5" s="64"/>
      <c r="K5" s="64"/>
      <c r="L5" s="49"/>
      <c r="M5" s="49"/>
      <c r="N5" s="49"/>
      <c r="O5" s="49"/>
      <c r="P5" s="48"/>
      <c r="Q5" s="48"/>
      <c r="R5" s="48"/>
      <c r="S5" s="49"/>
      <c r="T5" s="49"/>
      <c r="U5" s="50"/>
    </row>
    <row r="6" spans="1:21" x14ac:dyDescent="0.2">
      <c r="A6" s="119" t="s">
        <v>141</v>
      </c>
      <c r="B6" s="191"/>
      <c r="C6" s="119"/>
      <c r="D6" s="92"/>
      <c r="E6" s="142"/>
      <c r="F6" s="92"/>
      <c r="G6" s="92"/>
      <c r="H6" s="92"/>
      <c r="I6" s="64"/>
      <c r="J6" s="64"/>
      <c r="K6" s="64"/>
      <c r="L6" s="49"/>
      <c r="M6" s="49"/>
      <c r="N6" s="49"/>
      <c r="O6" s="49"/>
      <c r="P6" s="48"/>
      <c r="Q6" s="48"/>
      <c r="R6" s="48"/>
      <c r="S6" s="49"/>
      <c r="T6" s="49"/>
      <c r="U6" s="50"/>
    </row>
    <row r="7" spans="1:21" x14ac:dyDescent="0.2">
      <c r="A7" s="119" t="s">
        <v>142</v>
      </c>
      <c r="B7" s="191"/>
      <c r="C7" s="119"/>
      <c r="D7" s="92"/>
      <c r="E7" s="64"/>
      <c r="F7" s="92">
        <v>18</v>
      </c>
      <c r="G7" s="92"/>
      <c r="H7" s="92"/>
      <c r="I7" s="64">
        <v>48</v>
      </c>
      <c r="J7" s="64"/>
      <c r="K7" s="64"/>
      <c r="L7" s="49">
        <v>18</v>
      </c>
      <c r="M7" s="49"/>
      <c r="N7" s="49"/>
      <c r="O7" s="49"/>
      <c r="P7" s="48"/>
      <c r="Q7" s="48"/>
      <c r="R7" s="48"/>
      <c r="S7" s="49"/>
      <c r="T7" s="49"/>
      <c r="U7" s="50"/>
    </row>
    <row r="8" spans="1:21" x14ac:dyDescent="0.2">
      <c r="A8" s="119" t="s">
        <v>143</v>
      </c>
      <c r="B8" s="191"/>
      <c r="C8" s="119"/>
      <c r="D8" s="93"/>
      <c r="E8" s="54"/>
      <c r="F8" s="93"/>
      <c r="G8" s="93"/>
      <c r="H8" s="93"/>
      <c r="I8" s="54"/>
      <c r="J8" s="54"/>
      <c r="K8" s="54"/>
      <c r="L8" s="52"/>
      <c r="M8" s="52"/>
      <c r="N8" s="52"/>
      <c r="O8" s="52"/>
      <c r="P8" s="51"/>
      <c r="Q8" s="51"/>
      <c r="R8" s="51"/>
      <c r="S8" s="52"/>
      <c r="T8" s="52"/>
      <c r="U8" s="53"/>
    </row>
    <row r="9" spans="1:21" x14ac:dyDescent="0.2">
      <c r="A9" s="119" t="s">
        <v>144</v>
      </c>
      <c r="B9" s="192"/>
      <c r="C9" s="207"/>
      <c r="D9" s="94"/>
      <c r="E9" s="56"/>
      <c r="F9" s="93"/>
      <c r="G9" s="93"/>
      <c r="H9" s="93"/>
      <c r="I9" s="54"/>
      <c r="J9" s="54"/>
      <c r="K9" s="54"/>
      <c r="L9" s="52"/>
      <c r="M9" s="52"/>
      <c r="N9" s="52"/>
      <c r="O9" s="52"/>
      <c r="P9" s="51"/>
      <c r="Q9" s="51"/>
      <c r="R9" s="51"/>
      <c r="S9" s="52"/>
      <c r="T9" s="52"/>
      <c r="U9" s="53"/>
    </row>
    <row r="10" spans="1:21" x14ac:dyDescent="0.2">
      <c r="A10" s="120" t="s">
        <v>47</v>
      </c>
      <c r="B10" s="193"/>
      <c r="C10" s="121"/>
      <c r="D10" s="94"/>
      <c r="E10" s="56"/>
      <c r="F10" s="93"/>
      <c r="G10" s="93"/>
      <c r="H10" s="93"/>
      <c r="I10" s="54"/>
      <c r="J10" s="54"/>
      <c r="K10" s="54"/>
      <c r="L10" s="52"/>
      <c r="M10" s="52"/>
      <c r="N10" s="52"/>
      <c r="O10" s="52"/>
      <c r="P10" s="51"/>
      <c r="Q10" s="51"/>
      <c r="R10" s="51"/>
      <c r="S10" s="52"/>
      <c r="T10" s="52"/>
      <c r="U10" s="53"/>
    </row>
    <row r="11" spans="1:21" x14ac:dyDescent="0.2">
      <c r="A11" s="121" t="s">
        <v>86</v>
      </c>
      <c r="B11" s="193"/>
      <c r="C11" s="121"/>
      <c r="D11" s="94"/>
      <c r="E11" s="56"/>
      <c r="F11" s="94"/>
      <c r="G11" s="94"/>
      <c r="H11" s="94"/>
      <c r="I11" s="56"/>
      <c r="J11" s="56"/>
      <c r="K11" s="56"/>
      <c r="L11" s="57"/>
      <c r="M11" s="57"/>
      <c r="N11" s="57"/>
      <c r="O11" s="57"/>
      <c r="P11" s="55"/>
      <c r="Q11" s="55"/>
      <c r="R11" s="55"/>
      <c r="S11" s="57"/>
      <c r="T11" s="57"/>
      <c r="U11" s="58"/>
    </row>
    <row r="12" spans="1:21" ht="15" thickBot="1" x14ac:dyDescent="0.25">
      <c r="A12" s="122" t="s">
        <v>82</v>
      </c>
      <c r="B12" s="194"/>
      <c r="C12" s="122"/>
      <c r="D12" s="95"/>
      <c r="E12" s="89"/>
      <c r="F12" s="95"/>
      <c r="G12" s="95"/>
      <c r="H12" s="95"/>
      <c r="I12" s="89"/>
      <c r="J12" s="89"/>
      <c r="K12" s="89"/>
      <c r="L12" s="60"/>
      <c r="M12" s="60"/>
      <c r="N12" s="60"/>
      <c r="O12" s="60"/>
      <c r="P12" s="59"/>
      <c r="Q12" s="59"/>
      <c r="R12" s="59"/>
      <c r="S12" s="60"/>
      <c r="T12" s="60"/>
      <c r="U12" s="61"/>
    </row>
    <row r="13" spans="1:21" ht="16.5" thickTop="1" thickBot="1" x14ac:dyDescent="0.3">
      <c r="A13" s="198" t="s">
        <v>33</v>
      </c>
      <c r="B13" s="209"/>
      <c r="C13" s="208"/>
      <c r="D13" s="205">
        <f>SUM(D4:D12)</f>
        <v>73</v>
      </c>
      <c r="E13" s="199">
        <f>SUM(E4:E12)</f>
        <v>111</v>
      </c>
      <c r="F13" s="199">
        <f>SUM(F3:F12)</f>
        <v>52</v>
      </c>
      <c r="G13" s="199"/>
      <c r="H13" s="199"/>
      <c r="I13" s="199">
        <f>SUM(I3:I12)</f>
        <v>181</v>
      </c>
      <c r="J13" s="199">
        <f>SUM(J3:J12)</f>
        <v>136</v>
      </c>
      <c r="K13" s="200">
        <f t="shared" ref="K13:U13" si="0">SUM(K3:K12)</f>
        <v>130</v>
      </c>
      <c r="L13" s="200">
        <f t="shared" si="0"/>
        <v>63</v>
      </c>
      <c r="M13" s="200">
        <f t="shared" si="0"/>
        <v>4046</v>
      </c>
      <c r="N13" s="200">
        <f t="shared" si="0"/>
        <v>0</v>
      </c>
      <c r="O13" s="200">
        <f t="shared" si="0"/>
        <v>0</v>
      </c>
      <c r="P13" s="201">
        <f t="shared" si="0"/>
        <v>0</v>
      </c>
      <c r="Q13" s="201">
        <f t="shared" si="0"/>
        <v>0</v>
      </c>
      <c r="R13" s="201">
        <f t="shared" si="0"/>
        <v>0</v>
      </c>
      <c r="S13" s="200">
        <f t="shared" si="0"/>
        <v>0</v>
      </c>
      <c r="T13" s="200">
        <f t="shared" si="0"/>
        <v>0</v>
      </c>
      <c r="U13" s="202">
        <f t="shared" si="0"/>
        <v>0</v>
      </c>
    </row>
    <row r="14" spans="1:21" ht="29.25" thickBot="1" x14ac:dyDescent="0.25">
      <c r="A14" s="124" t="s">
        <v>34</v>
      </c>
      <c r="B14" s="190" t="s">
        <v>157</v>
      </c>
      <c r="C14" s="118" t="s">
        <v>158</v>
      </c>
      <c r="D14" s="204"/>
      <c r="E14" s="203"/>
      <c r="F14" s="204"/>
      <c r="G14" s="204"/>
      <c r="H14" s="204"/>
      <c r="I14" s="62"/>
      <c r="J14" s="62"/>
      <c r="K14" s="62"/>
      <c r="L14" s="62"/>
      <c r="M14" s="62"/>
      <c r="N14" s="62"/>
      <c r="O14" s="138"/>
      <c r="P14" s="62"/>
      <c r="Q14" s="62"/>
      <c r="R14" s="62"/>
      <c r="S14" s="138"/>
      <c r="T14" s="138"/>
      <c r="U14" s="63"/>
    </row>
    <row r="15" spans="1:21" x14ac:dyDescent="0.2">
      <c r="A15" s="120" t="s">
        <v>216</v>
      </c>
      <c r="B15" s="195"/>
      <c r="C15" s="120"/>
      <c r="D15" s="52">
        <v>71.599999999999994</v>
      </c>
      <c r="E15" s="143"/>
      <c r="F15" s="52"/>
      <c r="G15" s="49"/>
      <c r="H15" s="49"/>
      <c r="I15" s="64"/>
      <c r="J15" s="64"/>
      <c r="K15" s="48"/>
      <c r="L15" s="64"/>
      <c r="M15" s="48"/>
      <c r="N15" s="48"/>
      <c r="O15" s="48"/>
      <c r="P15" s="48"/>
      <c r="Q15" s="48"/>
      <c r="R15" s="48"/>
      <c r="S15" s="49"/>
      <c r="T15" s="49"/>
      <c r="U15" s="50"/>
    </row>
    <row r="16" spans="1:21" x14ac:dyDescent="0.2">
      <c r="A16" s="120" t="s">
        <v>223</v>
      </c>
      <c r="B16" s="195"/>
      <c r="C16" s="120"/>
      <c r="D16" s="52"/>
      <c r="E16" s="51">
        <v>92.4</v>
      </c>
      <c r="F16" s="52"/>
      <c r="G16" s="49"/>
      <c r="H16" s="49"/>
      <c r="I16" s="64"/>
      <c r="J16" s="64"/>
      <c r="K16" s="48"/>
      <c r="L16" s="64"/>
      <c r="M16" s="48"/>
      <c r="N16" s="48"/>
      <c r="O16" s="48"/>
      <c r="P16" s="48"/>
      <c r="Q16" s="48"/>
      <c r="R16" s="48"/>
      <c r="S16" s="49"/>
      <c r="T16" s="49"/>
      <c r="U16" s="50"/>
    </row>
    <row r="17" spans="1:21" x14ac:dyDescent="0.2">
      <c r="A17" s="120" t="s">
        <v>192</v>
      </c>
      <c r="B17" s="195"/>
      <c r="C17" s="120"/>
      <c r="D17" s="52"/>
      <c r="E17" s="51"/>
      <c r="F17" s="52"/>
      <c r="G17" s="49"/>
      <c r="H17" s="49"/>
      <c r="I17" s="64"/>
      <c r="J17" s="64"/>
      <c r="K17" s="48"/>
      <c r="L17" s="64"/>
      <c r="M17" s="48"/>
      <c r="N17" s="48"/>
      <c r="O17" s="48"/>
      <c r="P17" s="48"/>
      <c r="Q17" s="48"/>
      <c r="R17" s="48"/>
      <c r="S17" s="49"/>
      <c r="T17" s="49"/>
      <c r="U17" s="50"/>
    </row>
    <row r="18" spans="1:21" x14ac:dyDescent="0.2">
      <c r="A18" s="120" t="s">
        <v>194</v>
      </c>
      <c r="B18" s="195"/>
      <c r="C18" s="120"/>
      <c r="D18" s="52"/>
      <c r="E18" s="51"/>
      <c r="F18" s="52"/>
      <c r="G18" s="49"/>
      <c r="H18" s="49"/>
      <c r="I18" s="64"/>
      <c r="J18" s="64"/>
      <c r="K18" s="48"/>
      <c r="L18" s="64"/>
      <c r="M18" s="48"/>
      <c r="N18" s="48"/>
      <c r="O18" s="48"/>
      <c r="P18" s="48"/>
      <c r="Q18" s="48"/>
      <c r="R18" s="48"/>
      <c r="S18" s="49"/>
      <c r="T18" s="49"/>
      <c r="U18" s="50"/>
    </row>
    <row r="19" spans="1:21" x14ac:dyDescent="0.2">
      <c r="A19" s="120" t="s">
        <v>194</v>
      </c>
      <c r="B19" s="195"/>
      <c r="C19" s="120"/>
      <c r="D19" s="52"/>
      <c r="E19" s="51"/>
      <c r="F19" s="52"/>
      <c r="G19" s="49"/>
      <c r="H19" s="49"/>
      <c r="I19" s="64"/>
      <c r="J19" s="64"/>
      <c r="K19" s="48"/>
      <c r="L19" s="64"/>
      <c r="M19" s="48"/>
      <c r="N19" s="48"/>
      <c r="O19" s="48"/>
      <c r="P19" s="48"/>
      <c r="Q19" s="48"/>
      <c r="R19" s="48"/>
      <c r="S19" s="49"/>
      <c r="T19" s="49"/>
      <c r="U19" s="50"/>
    </row>
    <row r="20" spans="1:21" x14ac:dyDescent="0.2">
      <c r="A20" s="120" t="s">
        <v>193</v>
      </c>
      <c r="B20" s="195"/>
      <c r="C20" s="120"/>
      <c r="D20" s="52"/>
      <c r="E20" s="51"/>
      <c r="F20" s="52"/>
      <c r="G20" s="52"/>
      <c r="H20" s="52"/>
      <c r="I20" s="51"/>
      <c r="J20" s="51"/>
      <c r="K20" s="51"/>
      <c r="L20" s="51"/>
      <c r="M20" s="51"/>
      <c r="N20" s="51"/>
      <c r="O20" s="51"/>
      <c r="P20" s="51"/>
      <c r="Q20" s="51"/>
      <c r="R20" s="51"/>
      <c r="S20" s="52"/>
      <c r="T20" s="52"/>
      <c r="U20" s="53"/>
    </row>
    <row r="21" spans="1:21" x14ac:dyDescent="0.2">
      <c r="A21" s="120"/>
      <c r="B21" s="195"/>
      <c r="C21" s="120"/>
      <c r="D21" s="49"/>
      <c r="E21" s="51"/>
      <c r="F21" s="52"/>
      <c r="G21" s="52"/>
      <c r="H21" s="52"/>
      <c r="I21" s="51"/>
      <c r="J21" s="51"/>
      <c r="K21" s="51"/>
      <c r="L21" s="51"/>
      <c r="M21" s="51"/>
      <c r="N21" s="51"/>
      <c r="O21" s="51"/>
      <c r="P21" s="51"/>
      <c r="Q21" s="51"/>
      <c r="R21" s="51"/>
      <c r="S21" s="52"/>
      <c r="T21" s="52"/>
      <c r="U21" s="53"/>
    </row>
    <row r="22" spans="1:21" x14ac:dyDescent="0.2">
      <c r="A22" s="120"/>
      <c r="B22" s="195"/>
      <c r="C22" s="120"/>
      <c r="D22" s="52"/>
      <c r="E22" s="51"/>
      <c r="F22" s="52"/>
      <c r="G22" s="52"/>
      <c r="H22" s="52"/>
      <c r="I22" s="51"/>
      <c r="J22" s="51"/>
      <c r="K22" s="51"/>
      <c r="L22" s="51"/>
      <c r="M22" s="51"/>
      <c r="N22" s="51"/>
      <c r="O22" s="51"/>
      <c r="P22" s="51"/>
      <c r="Q22" s="51"/>
      <c r="R22" s="51"/>
      <c r="S22" s="52"/>
      <c r="T22" s="52"/>
      <c r="U22" s="53"/>
    </row>
    <row r="23" spans="1:21" ht="15" thickBot="1" x14ac:dyDescent="0.25">
      <c r="A23" s="122"/>
      <c r="B23" s="194"/>
      <c r="C23" s="122"/>
      <c r="D23" s="60"/>
      <c r="E23" s="59"/>
      <c r="F23" s="60"/>
      <c r="G23" s="60"/>
      <c r="H23" s="60"/>
      <c r="I23" s="59"/>
      <c r="J23" s="59"/>
      <c r="K23" s="59"/>
      <c r="L23" s="51"/>
      <c r="M23" s="51"/>
      <c r="N23" s="51"/>
      <c r="O23" s="51"/>
      <c r="P23" s="51"/>
      <c r="Q23" s="59"/>
      <c r="R23" s="59"/>
      <c r="S23" s="60"/>
      <c r="T23" s="60"/>
      <c r="U23" s="61"/>
    </row>
    <row r="24" spans="1:21" ht="15.75" thickTop="1" x14ac:dyDescent="0.25">
      <c r="A24" s="125" t="s">
        <v>85</v>
      </c>
      <c r="B24" s="196"/>
      <c r="C24" s="125"/>
      <c r="D24" s="206">
        <f>SUM(D15:D23)</f>
        <v>71.599999999999994</v>
      </c>
      <c r="E24" s="117">
        <f>SUM(E15:E23)</f>
        <v>92.4</v>
      </c>
      <c r="F24" s="117">
        <f t="shared" ref="F24:U24" si="1">SUM(F15:F23)</f>
        <v>0</v>
      </c>
      <c r="G24" s="117"/>
      <c r="H24" s="117"/>
      <c r="I24" s="117">
        <f t="shared" si="1"/>
        <v>0</v>
      </c>
      <c r="J24" s="117">
        <f t="shared" si="1"/>
        <v>0</v>
      </c>
      <c r="K24" s="117">
        <f t="shared" si="1"/>
        <v>0</v>
      </c>
      <c r="L24" s="117">
        <f t="shared" si="1"/>
        <v>0</v>
      </c>
      <c r="M24" s="65">
        <f t="shared" si="1"/>
        <v>0</v>
      </c>
      <c r="N24" s="65">
        <f t="shared" si="1"/>
        <v>0</v>
      </c>
      <c r="O24" s="65">
        <f t="shared" si="1"/>
        <v>0</v>
      </c>
      <c r="P24" s="65">
        <f t="shared" si="1"/>
        <v>0</v>
      </c>
      <c r="Q24" s="65">
        <f t="shared" si="1"/>
        <v>0</v>
      </c>
      <c r="R24" s="65">
        <f t="shared" si="1"/>
        <v>0</v>
      </c>
      <c r="S24" s="139">
        <f t="shared" si="1"/>
        <v>0</v>
      </c>
      <c r="T24" s="139">
        <f t="shared" si="1"/>
        <v>0</v>
      </c>
      <c r="U24" s="137">
        <f t="shared" si="1"/>
        <v>0</v>
      </c>
    </row>
    <row r="25" spans="1:21" ht="15.75" thickBot="1" x14ac:dyDescent="0.3">
      <c r="A25" s="123" t="s">
        <v>35</v>
      </c>
      <c r="B25" s="197"/>
      <c r="C25" s="123"/>
      <c r="D25" s="140">
        <f t="shared" ref="D25:U25" si="2">D13-D24</f>
        <v>1.4000000000000057</v>
      </c>
      <c r="E25" s="136">
        <f t="shared" si="2"/>
        <v>18.599999999999994</v>
      </c>
      <c r="F25" s="136">
        <f t="shared" si="2"/>
        <v>52</v>
      </c>
      <c r="G25" s="136"/>
      <c r="H25" s="136"/>
      <c r="I25" s="136">
        <f t="shared" si="2"/>
        <v>181</v>
      </c>
      <c r="J25" s="136">
        <f t="shared" si="2"/>
        <v>136</v>
      </c>
      <c r="K25" s="136">
        <f t="shared" si="2"/>
        <v>130</v>
      </c>
      <c r="L25" s="136">
        <f t="shared" si="2"/>
        <v>63</v>
      </c>
      <c r="M25" s="136">
        <f t="shared" si="2"/>
        <v>4046</v>
      </c>
      <c r="N25" s="136">
        <f t="shared" si="2"/>
        <v>0</v>
      </c>
      <c r="O25" s="136">
        <f t="shared" si="2"/>
        <v>0</v>
      </c>
      <c r="P25" s="136">
        <f t="shared" si="2"/>
        <v>0</v>
      </c>
      <c r="Q25" s="136">
        <f t="shared" si="2"/>
        <v>0</v>
      </c>
      <c r="R25" s="136">
        <f t="shared" si="2"/>
        <v>0</v>
      </c>
      <c r="S25" s="141">
        <f t="shared" si="2"/>
        <v>0</v>
      </c>
      <c r="T25" s="140">
        <f t="shared" si="2"/>
        <v>0</v>
      </c>
      <c r="U25" s="144">
        <f t="shared" si="2"/>
        <v>0</v>
      </c>
    </row>
    <row r="26" spans="1:21" ht="15" x14ac:dyDescent="0.25">
      <c r="D26" s="133"/>
      <c r="E26" s="72"/>
      <c r="F26" s="146"/>
      <c r="G26" s="146"/>
      <c r="H26" s="146"/>
      <c r="J26" s="72"/>
      <c r="K26" s="72"/>
      <c r="L26" s="72"/>
      <c r="M26" s="97"/>
      <c r="N26" s="146"/>
      <c r="O26" s="72"/>
    </row>
    <row r="27" spans="1:21" x14ac:dyDescent="0.2">
      <c r="A27" t="s">
        <v>83</v>
      </c>
      <c r="D27" s="134">
        <f>D8+D7</f>
        <v>0</v>
      </c>
      <c r="F27" s="72"/>
      <c r="G27" s="72"/>
      <c r="H27" s="72"/>
    </row>
    <row r="28" spans="1:21" x14ac:dyDescent="0.2">
      <c r="E28" s="90">
        <f>E3*9300*5%*7</f>
        <v>361305</v>
      </c>
      <c r="F28" s="66"/>
      <c r="G28" s="66"/>
      <c r="H28" s="66"/>
      <c r="I28" s="90"/>
      <c r="J28" s="90"/>
      <c r="M28" s="90"/>
    </row>
    <row r="29" spans="1:21" x14ac:dyDescent="0.2">
      <c r="E29" s="38">
        <f>375-E24-F24-K24</f>
        <v>282.60000000000002</v>
      </c>
      <c r="F29" s="66"/>
      <c r="G29" s="66"/>
      <c r="H29" s="66"/>
      <c r="I29" s="90"/>
      <c r="J29" s="90"/>
    </row>
    <row r="30" spans="1:21" x14ac:dyDescent="0.2">
      <c r="P30" s="90"/>
      <c r="Q30" s="90"/>
    </row>
    <row r="31" spans="1:21" ht="15" x14ac:dyDescent="0.25">
      <c r="A31" s="67" t="s">
        <v>36</v>
      </c>
      <c r="B31" s="67"/>
      <c r="C31" s="67"/>
      <c r="D31" s="68"/>
      <c r="N31" s="90"/>
      <c r="P31" s="17"/>
    </row>
    <row r="32" spans="1:21" ht="15" x14ac:dyDescent="0.25">
      <c r="A32" t="s">
        <v>14</v>
      </c>
      <c r="E32" s="69">
        <f>-D13</f>
        <v>-73</v>
      </c>
      <c r="I32" s="71"/>
      <c r="J32" s="71"/>
      <c r="N32" s="90"/>
    </row>
    <row r="33" spans="1:12" x14ac:dyDescent="0.2">
      <c r="A33" t="s">
        <v>15</v>
      </c>
      <c r="E33" s="17">
        <f>-E13</f>
        <v>-111</v>
      </c>
      <c r="I33" s="71"/>
    </row>
    <row r="34" spans="1:12" x14ac:dyDescent="0.2">
      <c r="A34" t="s">
        <v>18</v>
      </c>
      <c r="E34" s="17">
        <f>K24</f>
        <v>0</v>
      </c>
    </row>
    <row r="35" spans="1:12" x14ac:dyDescent="0.2">
      <c r="A35" s="40" t="s">
        <v>8</v>
      </c>
      <c r="B35" s="40"/>
      <c r="C35" s="40"/>
      <c r="D35" s="40"/>
      <c r="E35" s="23">
        <f>SUM(E31:E34)</f>
        <v>-184</v>
      </c>
      <c r="L35" s="71"/>
    </row>
    <row r="36" spans="1:12" x14ac:dyDescent="0.2">
      <c r="A36" t="s">
        <v>37</v>
      </c>
      <c r="E36" s="38">
        <v>375</v>
      </c>
      <c r="J36" s="90"/>
    </row>
    <row r="37" spans="1:12" x14ac:dyDescent="0.2">
      <c r="A37" s="40" t="s">
        <v>38</v>
      </c>
      <c r="B37" s="40"/>
      <c r="C37" s="40"/>
      <c r="D37" s="40"/>
      <c r="E37" s="23">
        <f>SUM(E35:E36)</f>
        <v>191</v>
      </c>
    </row>
    <row r="38" spans="1:12" x14ac:dyDescent="0.2">
      <c r="A38" t="s">
        <v>39</v>
      </c>
      <c r="E38" s="17">
        <f>-E24-F24-K24</f>
        <v>-92.4</v>
      </c>
    </row>
    <row r="39" spans="1:12" ht="15" x14ac:dyDescent="0.25">
      <c r="A39" s="40" t="s">
        <v>40</v>
      </c>
      <c r="B39" s="40"/>
      <c r="C39" s="40"/>
      <c r="D39" s="40"/>
      <c r="E39" s="70">
        <f>SUM(E37:E38)</f>
        <v>98.6</v>
      </c>
    </row>
    <row r="43" spans="1:12" ht="15" x14ac:dyDescent="0.25">
      <c r="A43" s="128" t="s">
        <v>72</v>
      </c>
      <c r="B43" s="128"/>
      <c r="C43" s="128"/>
    </row>
    <row r="44" spans="1:12" ht="16.5" x14ac:dyDescent="0.35">
      <c r="A44" s="39" t="s">
        <v>73</v>
      </c>
      <c r="B44" s="39"/>
      <c r="C44" s="39"/>
      <c r="D44" s="39" t="s">
        <v>75</v>
      </c>
      <c r="E44" s="129" t="s">
        <v>76</v>
      </c>
      <c r="F44" s="39" t="s">
        <v>79</v>
      </c>
      <c r="G44" s="39"/>
      <c r="H44" s="39"/>
      <c r="I44" s="39"/>
      <c r="J44" s="17"/>
      <c r="K44" s="17"/>
    </row>
    <row r="45" spans="1:12" x14ac:dyDescent="0.2">
      <c r="A45" t="s">
        <v>41</v>
      </c>
      <c r="F45" s="90">
        <f>E45-D45</f>
        <v>0</v>
      </c>
      <c r="G45" s="90"/>
      <c r="H45" s="90"/>
    </row>
    <row r="46" spans="1:12" x14ac:dyDescent="0.2">
      <c r="A46" t="s">
        <v>74</v>
      </c>
      <c r="F46" s="90">
        <f>E46-D46</f>
        <v>0</v>
      </c>
      <c r="G46" s="90"/>
      <c r="H46" s="90"/>
    </row>
    <row r="47" spans="1:12" ht="15" x14ac:dyDescent="0.25">
      <c r="A47" s="106" t="s">
        <v>77</v>
      </c>
      <c r="B47" s="106"/>
      <c r="C47" s="106"/>
      <c r="D47" s="106">
        <f>SUM(D45:D46)</f>
        <v>0</v>
      </c>
      <c r="E47" s="70">
        <f>SUM(E45:E46)</f>
        <v>0</v>
      </c>
      <c r="F47" s="130">
        <f>E47-D47</f>
        <v>0</v>
      </c>
      <c r="G47" s="145"/>
      <c r="H47" s="145"/>
    </row>
    <row r="49" spans="1:12" ht="16.5" x14ac:dyDescent="0.35">
      <c r="A49" s="39" t="s">
        <v>78</v>
      </c>
      <c r="B49" s="39"/>
      <c r="C49" s="39"/>
      <c r="D49" s="39" t="s">
        <v>75</v>
      </c>
      <c r="E49" s="129" t="s">
        <v>76</v>
      </c>
      <c r="F49" s="39" t="s">
        <v>79</v>
      </c>
      <c r="G49" s="39"/>
      <c r="H49" s="39"/>
    </row>
    <row r="50" spans="1:12" x14ac:dyDescent="0.2">
      <c r="A50" t="s">
        <v>41</v>
      </c>
      <c r="F50" s="90">
        <f>E50-D50</f>
        <v>0</v>
      </c>
      <c r="G50" s="90"/>
      <c r="H50" s="90"/>
      <c r="I50" s="39"/>
      <c r="L50" s="17"/>
    </row>
    <row r="51" spans="1:12" x14ac:dyDescent="0.2">
      <c r="A51" t="s">
        <v>74</v>
      </c>
      <c r="F51" s="90">
        <f>E51-D51</f>
        <v>0</v>
      </c>
      <c r="G51" s="90"/>
      <c r="H51" s="90"/>
    </row>
    <row r="52" spans="1:12" ht="15" x14ac:dyDescent="0.25">
      <c r="A52" s="106" t="s">
        <v>77</v>
      </c>
      <c r="B52" s="106"/>
      <c r="C52" s="106"/>
      <c r="D52" s="106">
        <f>SUM(D50:D51)</f>
        <v>0</v>
      </c>
      <c r="E52" s="70">
        <f>SUM(E50:E51)</f>
        <v>0</v>
      </c>
      <c r="F52" s="130">
        <f>E52-D52</f>
        <v>0</v>
      </c>
      <c r="G52" s="145"/>
      <c r="H52" s="145"/>
      <c r="L52" s="145"/>
    </row>
    <row r="54" spans="1:12" ht="15" x14ac:dyDescent="0.25">
      <c r="A54" s="131" t="s">
        <v>8</v>
      </c>
      <c r="B54" s="131"/>
      <c r="C54" s="131"/>
      <c r="D54" s="131">
        <f>D52+D47</f>
        <v>0</v>
      </c>
      <c r="E54" s="131">
        <f>E52+E47</f>
        <v>0</v>
      </c>
      <c r="F54" s="132">
        <f>F52+F47</f>
        <v>0</v>
      </c>
      <c r="G54" s="132"/>
      <c r="H54" s="132"/>
    </row>
    <row r="58" spans="1:12" x14ac:dyDescent="0.2">
      <c r="I58" s="39"/>
      <c r="L58" s="17"/>
    </row>
    <row r="60" spans="1:12" ht="15" x14ac:dyDescent="0.25">
      <c r="L60" s="145"/>
    </row>
  </sheetData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EE4A649-D1BA-44F5-8D16-5BA1D42FDEC5}">
          <x14:formula1>
            <xm:f>גיליון1!$J$8:$J$9</xm:f>
          </x14:formula1>
          <xm:sqref>B15:C23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14FD07-046C-4512-A64A-9CCE769120BE}">
  <dimension ref="A2:E6"/>
  <sheetViews>
    <sheetView rightToLeft="1" zoomScale="145" zoomScaleNormal="145" workbookViewId="0">
      <selection activeCell="G20" sqref="G20"/>
    </sheetView>
  </sheetViews>
  <sheetFormatPr defaultRowHeight="14.25" x14ac:dyDescent="0.2"/>
  <cols>
    <col min="2" max="2" width="11.5" bestFit="1" customWidth="1"/>
    <col min="3" max="3" width="9.875" bestFit="1" customWidth="1"/>
  </cols>
  <sheetData>
    <row r="2" spans="1:5" x14ac:dyDescent="0.2">
      <c r="A2" s="39" t="s">
        <v>161</v>
      </c>
      <c r="B2" s="39" t="s">
        <v>162</v>
      </c>
      <c r="C2" s="39" t="s">
        <v>129</v>
      </c>
      <c r="D2" s="39" t="s">
        <v>163</v>
      </c>
    </row>
    <row r="3" spans="1:5" x14ac:dyDescent="0.2">
      <c r="B3" t="s">
        <v>214</v>
      </c>
      <c r="C3" s="186">
        <v>43152</v>
      </c>
      <c r="D3">
        <v>2.5</v>
      </c>
      <c r="E3" t="s">
        <v>166</v>
      </c>
    </row>
    <row r="4" spans="1:5" x14ac:dyDescent="0.2">
      <c r="A4" t="s">
        <v>215</v>
      </c>
      <c r="B4" t="s">
        <v>213</v>
      </c>
      <c r="C4" s="186">
        <v>38684</v>
      </c>
      <c r="D4">
        <v>500</v>
      </c>
      <c r="E4" t="s">
        <v>164</v>
      </c>
    </row>
    <row r="5" spans="1:5" x14ac:dyDescent="0.2">
      <c r="A5" t="s">
        <v>165</v>
      </c>
      <c r="B5" t="s">
        <v>212</v>
      </c>
      <c r="C5" s="186">
        <v>31270</v>
      </c>
    </row>
    <row r="6" spans="1:5" x14ac:dyDescent="0.2">
      <c r="A6" t="s">
        <v>165</v>
      </c>
      <c r="B6" t="s">
        <v>211</v>
      </c>
      <c r="C6" s="186">
        <v>22832</v>
      </c>
      <c r="D6" s="210"/>
    </row>
  </sheetData>
  <autoFilter ref="A2:F6" xr:uid="{3056B9E0-6524-4EBC-9BE5-F818961ABBE2}">
    <sortState xmlns:xlrd2="http://schemas.microsoft.com/office/spreadsheetml/2017/richdata2" ref="A3:F6">
      <sortCondition descending="1" ref="C2:C6"/>
    </sortState>
  </autoFilter>
  <pageMargins left="0.7" right="0.7" top="0.75" bottom="0.75" header="0.3" footer="0.3"/>
  <pageSetup paperSize="9" orientation="portrait" horizontalDpi="0" verticalDpi="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1383A9-576F-4AAA-B488-1B4BA9AEE5DE}">
  <dimension ref="B1:J40"/>
  <sheetViews>
    <sheetView rightToLeft="1" zoomScale="160" zoomScaleNormal="160" workbookViewId="0">
      <selection activeCell="J7" sqref="J7"/>
    </sheetView>
  </sheetViews>
  <sheetFormatPr defaultRowHeight="14.25" x14ac:dyDescent="0.2"/>
  <cols>
    <col min="1" max="1" width="1.75" customWidth="1"/>
    <col min="2" max="2" width="18.25" customWidth="1"/>
    <col min="3" max="3" width="13" bestFit="1" customWidth="1"/>
    <col min="4" max="4" width="10.625" bestFit="1" customWidth="1"/>
    <col min="5" max="5" width="9.5" bestFit="1" customWidth="1"/>
    <col min="6" max="6" width="11.75" bestFit="1" customWidth="1"/>
  </cols>
  <sheetData>
    <row r="1" spans="2:10" ht="4.5" customHeight="1" thickBot="1" x14ac:dyDescent="0.25"/>
    <row r="2" spans="2:10" ht="15" thickBot="1" x14ac:dyDescent="0.25">
      <c r="B2" s="353" t="s">
        <v>113</v>
      </c>
      <c r="C2" s="354"/>
      <c r="D2" s="354"/>
      <c r="E2" s="354"/>
      <c r="F2" s="355"/>
    </row>
    <row r="3" spans="2:10" ht="15" thickBot="1" x14ac:dyDescent="0.25">
      <c r="B3" s="150" t="s">
        <v>46</v>
      </c>
      <c r="C3" s="356" t="s">
        <v>41</v>
      </c>
      <c r="D3" s="357"/>
      <c r="E3" s="356" t="s">
        <v>95</v>
      </c>
      <c r="F3" s="358"/>
    </row>
    <row r="4" spans="2:10" x14ac:dyDescent="0.2">
      <c r="B4" s="165" t="s">
        <v>96</v>
      </c>
      <c r="C4" s="349">
        <v>0</v>
      </c>
      <c r="D4" s="375"/>
      <c r="E4" s="349">
        <v>0</v>
      </c>
      <c r="F4" s="350"/>
    </row>
    <row r="5" spans="2:10" x14ac:dyDescent="0.2">
      <c r="B5" s="170" t="s">
        <v>97</v>
      </c>
      <c r="C5" s="349">
        <v>140000</v>
      </c>
      <c r="D5" s="375"/>
      <c r="E5" s="349">
        <f>6000*2</f>
        <v>12000</v>
      </c>
      <c r="F5" s="350"/>
    </row>
    <row r="6" spans="2:10" ht="28.5" x14ac:dyDescent="0.2">
      <c r="B6" s="170" t="s">
        <v>109</v>
      </c>
      <c r="C6" s="349">
        <f>46500*7</f>
        <v>325500</v>
      </c>
      <c r="D6" s="375"/>
      <c r="E6" s="349">
        <v>0</v>
      </c>
      <c r="F6" s="350"/>
    </row>
    <row r="7" spans="2:10" x14ac:dyDescent="0.2">
      <c r="B7" s="170" t="s">
        <v>98</v>
      </c>
      <c r="C7" s="349">
        <f>13000*7</f>
        <v>91000</v>
      </c>
      <c r="D7" s="375"/>
      <c r="E7" s="349">
        <f>4000*7</f>
        <v>28000</v>
      </c>
      <c r="F7" s="350"/>
    </row>
    <row r="8" spans="2:10" ht="15" thickBot="1" x14ac:dyDescent="0.25">
      <c r="B8" s="156" t="s">
        <v>99</v>
      </c>
      <c r="C8" s="349">
        <f>65000*7</f>
        <v>455000</v>
      </c>
      <c r="D8" s="375"/>
      <c r="E8" s="349">
        <v>50000</v>
      </c>
      <c r="F8" s="350"/>
      <c r="J8" t="s">
        <v>159</v>
      </c>
    </row>
    <row r="9" spans="2:10" ht="15" thickBot="1" x14ac:dyDescent="0.25">
      <c r="B9" s="353" t="s">
        <v>112</v>
      </c>
      <c r="C9" s="354"/>
      <c r="D9" s="354"/>
      <c r="E9" s="354"/>
      <c r="F9" s="355"/>
      <c r="J9" t="s">
        <v>160</v>
      </c>
    </row>
    <row r="10" spans="2:10" ht="17.25" thickBot="1" x14ac:dyDescent="0.25">
      <c r="B10" s="151" t="s">
        <v>107</v>
      </c>
      <c r="C10" s="152" t="s">
        <v>105</v>
      </c>
      <c r="D10" s="153" t="s">
        <v>102</v>
      </c>
      <c r="E10" s="154" t="s">
        <v>103</v>
      </c>
      <c r="F10" s="155" t="s">
        <v>104</v>
      </c>
    </row>
    <row r="11" spans="2:10" x14ac:dyDescent="0.2">
      <c r="B11" s="165" t="s">
        <v>96</v>
      </c>
      <c r="C11" s="182">
        <f>197-160</f>
        <v>37</v>
      </c>
      <c r="D11" s="177">
        <f>C11*6605</f>
        <v>244385</v>
      </c>
      <c r="E11" s="182">
        <v>35</v>
      </c>
      <c r="F11" s="178">
        <f>E11*6605/2</f>
        <v>115587.5</v>
      </c>
    </row>
    <row r="12" spans="2:10" x14ac:dyDescent="0.2">
      <c r="B12" s="170" t="s">
        <v>97</v>
      </c>
      <c r="C12" s="183">
        <v>0</v>
      </c>
      <c r="D12" s="181">
        <v>0</v>
      </c>
      <c r="E12" s="183">
        <f>147+24-160</f>
        <v>11</v>
      </c>
      <c r="F12" s="176">
        <f>E12*6605/2</f>
        <v>36327.5</v>
      </c>
    </row>
    <row r="13" spans="2:10" x14ac:dyDescent="0.2">
      <c r="B13" s="179" t="s">
        <v>100</v>
      </c>
      <c r="C13" s="351" t="s">
        <v>106</v>
      </c>
      <c r="D13" s="351"/>
      <c r="E13" s="351"/>
      <c r="F13" s="352"/>
    </row>
    <row r="14" spans="2:10" x14ac:dyDescent="0.2">
      <c r="B14" s="180" t="s">
        <v>98</v>
      </c>
      <c r="C14" s="351" t="s">
        <v>108</v>
      </c>
      <c r="D14" s="351"/>
      <c r="E14" s="351"/>
      <c r="F14" s="352"/>
    </row>
    <row r="15" spans="2:10" ht="15" thickBot="1" x14ac:dyDescent="0.25">
      <c r="B15" s="156" t="s">
        <v>99</v>
      </c>
      <c r="C15" s="369" t="s">
        <v>110</v>
      </c>
      <c r="D15" s="370"/>
      <c r="E15" s="370"/>
      <c r="F15" s="371"/>
    </row>
    <row r="16" spans="2:10" ht="15" thickBot="1" x14ac:dyDescent="0.25"/>
    <row r="17" spans="2:6" ht="15" thickBot="1" x14ac:dyDescent="0.25">
      <c r="B17" s="353" t="s">
        <v>94</v>
      </c>
      <c r="C17" s="354"/>
      <c r="D17" s="354"/>
      <c r="E17" s="354"/>
      <c r="F17" s="355"/>
    </row>
    <row r="18" spans="2:6" ht="15" thickBot="1" x14ac:dyDescent="0.25">
      <c r="B18" s="150" t="s">
        <v>101</v>
      </c>
      <c r="C18" s="356" t="s">
        <v>41</v>
      </c>
      <c r="D18" s="357"/>
      <c r="E18" s="356" t="s">
        <v>95</v>
      </c>
      <c r="F18" s="358"/>
    </row>
    <row r="19" spans="2:6" x14ac:dyDescent="0.2">
      <c r="B19" s="165" t="s">
        <v>96</v>
      </c>
      <c r="C19" s="372">
        <v>0</v>
      </c>
      <c r="D19" s="373"/>
      <c r="E19" s="372">
        <v>0</v>
      </c>
      <c r="F19" s="374"/>
    </row>
    <row r="20" spans="2:6" x14ac:dyDescent="0.2">
      <c r="B20" s="170" t="s">
        <v>97</v>
      </c>
      <c r="C20" s="361">
        <v>70000</v>
      </c>
      <c r="D20" s="362"/>
      <c r="E20" s="363">
        <f>6000*7</f>
        <v>42000</v>
      </c>
      <c r="F20" s="364"/>
    </row>
    <row r="21" spans="2:6" x14ac:dyDescent="0.2">
      <c r="B21" s="174" t="s">
        <v>100</v>
      </c>
      <c r="C21" s="361">
        <f>46500*7</f>
        <v>325500</v>
      </c>
      <c r="D21" s="362"/>
      <c r="E21" s="361">
        <v>0</v>
      </c>
      <c r="F21" s="365"/>
    </row>
    <row r="22" spans="2:6" x14ac:dyDescent="0.2">
      <c r="B22" s="170" t="s">
        <v>98</v>
      </c>
      <c r="C22" s="361">
        <f>13000*7</f>
        <v>91000</v>
      </c>
      <c r="D22" s="362"/>
      <c r="E22" s="361">
        <f>4000*7</f>
        <v>28000</v>
      </c>
      <c r="F22" s="365"/>
    </row>
    <row r="23" spans="2:6" ht="15" thickBot="1" x14ac:dyDescent="0.25">
      <c r="B23" s="156" t="s">
        <v>99</v>
      </c>
      <c r="C23" s="366">
        <f>65000*7</f>
        <v>455000</v>
      </c>
      <c r="D23" s="367"/>
      <c r="E23" s="366">
        <f>7000*7</f>
        <v>49000</v>
      </c>
      <c r="F23" s="368"/>
    </row>
    <row r="24" spans="2:6" ht="15" thickBot="1" x14ac:dyDescent="0.25">
      <c r="B24" s="161"/>
      <c r="C24" s="162"/>
      <c r="D24" s="163"/>
      <c r="E24" s="163"/>
      <c r="F24" s="164"/>
    </row>
    <row r="25" spans="2:6" ht="17.25" thickBot="1" x14ac:dyDescent="0.25">
      <c r="B25" s="151" t="s">
        <v>107</v>
      </c>
      <c r="C25" s="152" t="s">
        <v>105</v>
      </c>
      <c r="D25" s="153" t="s">
        <v>102</v>
      </c>
      <c r="E25" s="154" t="s">
        <v>103</v>
      </c>
      <c r="F25" s="155" t="s">
        <v>104</v>
      </c>
    </row>
    <row r="26" spans="2:6" x14ac:dyDescent="0.2">
      <c r="B26" s="165" t="s">
        <v>96</v>
      </c>
      <c r="C26" s="166">
        <f>197-160</f>
        <v>37</v>
      </c>
      <c r="D26" s="167">
        <f>C26*6605</f>
        <v>244385</v>
      </c>
      <c r="E26" s="168">
        <v>35</v>
      </c>
      <c r="F26" s="169">
        <f>E26*6605/2</f>
        <v>115587.5</v>
      </c>
    </row>
    <row r="27" spans="2:6" x14ac:dyDescent="0.2">
      <c r="B27" s="170" t="s">
        <v>97</v>
      </c>
      <c r="C27" s="171">
        <v>0</v>
      </c>
      <c r="D27" s="172">
        <f>C27*6605</f>
        <v>0</v>
      </c>
      <c r="E27" s="175">
        <f>147+24-160</f>
        <v>11</v>
      </c>
      <c r="F27" s="173">
        <f>E27*6605/2</f>
        <v>36327.5</v>
      </c>
    </row>
    <row r="28" spans="2:6" x14ac:dyDescent="0.2">
      <c r="B28" s="174" t="s">
        <v>100</v>
      </c>
      <c r="C28" s="359" t="s">
        <v>106</v>
      </c>
      <c r="D28" s="359"/>
      <c r="E28" s="359"/>
      <c r="F28" s="360"/>
    </row>
    <row r="29" spans="2:6" x14ac:dyDescent="0.2">
      <c r="B29" s="170" t="s">
        <v>98</v>
      </c>
      <c r="C29" s="171">
        <v>0</v>
      </c>
      <c r="D29" s="172">
        <v>0</v>
      </c>
      <c r="E29" s="171">
        <v>0</v>
      </c>
      <c r="F29" s="173">
        <v>0</v>
      </c>
    </row>
    <row r="30" spans="2:6" ht="15" thickBot="1" x14ac:dyDescent="0.25">
      <c r="B30" s="156" t="s">
        <v>99</v>
      </c>
      <c r="C30" s="157">
        <v>0</v>
      </c>
      <c r="D30" s="158">
        <v>0</v>
      </c>
      <c r="E30" s="159">
        <f>139+31-160</f>
        <v>10</v>
      </c>
      <c r="F30" s="160">
        <f>E30*6605/2</f>
        <v>33025</v>
      </c>
    </row>
    <row r="34" spans="2:6" ht="15" thickBot="1" x14ac:dyDescent="0.25"/>
    <row r="35" spans="2:6" ht="15" thickBot="1" x14ac:dyDescent="0.25">
      <c r="B35" s="353" t="s">
        <v>111</v>
      </c>
      <c r="C35" s="354"/>
      <c r="D35" s="354"/>
      <c r="E35" s="354"/>
      <c r="F35" s="355"/>
    </row>
    <row r="36" spans="2:6" ht="15" thickBot="1" x14ac:dyDescent="0.25">
      <c r="B36" s="150" t="s">
        <v>114</v>
      </c>
      <c r="C36" s="356" t="s">
        <v>41</v>
      </c>
      <c r="D36" s="357"/>
      <c r="E36" s="356" t="s">
        <v>95</v>
      </c>
      <c r="F36" s="358"/>
    </row>
    <row r="37" spans="2:6" x14ac:dyDescent="0.2">
      <c r="B37" s="165" t="s">
        <v>115</v>
      </c>
      <c r="C37" s="340" t="s">
        <v>118</v>
      </c>
      <c r="D37" s="341"/>
      <c r="E37" s="341"/>
      <c r="F37" s="342"/>
    </row>
    <row r="38" spans="2:6" x14ac:dyDescent="0.2">
      <c r="B38" s="170" t="s">
        <v>116</v>
      </c>
      <c r="C38" s="343" t="s">
        <v>117</v>
      </c>
      <c r="D38" s="344"/>
      <c r="E38" s="344"/>
      <c r="F38" s="345"/>
    </row>
    <row r="39" spans="2:6" x14ac:dyDescent="0.2">
      <c r="B39" s="170" t="s">
        <v>119</v>
      </c>
      <c r="C39" s="343" t="s">
        <v>120</v>
      </c>
      <c r="D39" s="344"/>
      <c r="E39" s="344"/>
      <c r="F39" s="345"/>
    </row>
    <row r="40" spans="2:6" ht="15" thickBot="1" x14ac:dyDescent="0.25">
      <c r="B40" s="156" t="s">
        <v>121</v>
      </c>
      <c r="C40" s="346" t="s">
        <v>122</v>
      </c>
      <c r="D40" s="347"/>
      <c r="E40" s="347"/>
      <c r="F40" s="348"/>
    </row>
  </sheetData>
  <mergeCells count="38">
    <mergeCell ref="B2:F2"/>
    <mergeCell ref="B17:F17"/>
    <mergeCell ref="C18:D18"/>
    <mergeCell ref="E18:F18"/>
    <mergeCell ref="C23:D23"/>
    <mergeCell ref="E23:F23"/>
    <mergeCell ref="C14:F14"/>
    <mergeCell ref="C15:F15"/>
    <mergeCell ref="C19:D19"/>
    <mergeCell ref="E19:F19"/>
    <mergeCell ref="C3:D3"/>
    <mergeCell ref="C4:D4"/>
    <mergeCell ref="C5:D5"/>
    <mergeCell ref="C6:D6"/>
    <mergeCell ref="C7:D7"/>
    <mergeCell ref="C8:D8"/>
    <mergeCell ref="B9:F9"/>
    <mergeCell ref="E3:F3"/>
    <mergeCell ref="E4:F4"/>
    <mergeCell ref="E5:F5"/>
    <mergeCell ref="E6:F6"/>
    <mergeCell ref="E7:F7"/>
    <mergeCell ref="C37:F37"/>
    <mergeCell ref="C38:F38"/>
    <mergeCell ref="C39:F39"/>
    <mergeCell ref="C40:F40"/>
    <mergeCell ref="E8:F8"/>
    <mergeCell ref="C13:F13"/>
    <mergeCell ref="B35:F35"/>
    <mergeCell ref="C36:D36"/>
    <mergeCell ref="E36:F36"/>
    <mergeCell ref="C28:F28"/>
    <mergeCell ref="C20:D20"/>
    <mergeCell ref="E20:F20"/>
    <mergeCell ref="C21:D21"/>
    <mergeCell ref="E21:F21"/>
    <mergeCell ref="C22:D22"/>
    <mergeCell ref="E22:F22"/>
  </mergeCells>
  <pageMargins left="0.7" right="0.7" top="0.75" bottom="0.75" header="0.3" footer="0.3"/>
  <pageSetup paperSize="9" orientation="portrait" horizontalDpi="300" verticalDpi="30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AEC53-FA3D-4120-B7D3-0A45D1A7A61E}">
  <dimension ref="A2:N24"/>
  <sheetViews>
    <sheetView rightToLeft="1" zoomScale="145" zoomScaleNormal="145" workbookViewId="0">
      <selection activeCell="B9" sqref="B9"/>
    </sheetView>
  </sheetViews>
  <sheetFormatPr defaultRowHeight="14.25" x14ac:dyDescent="0.2"/>
  <cols>
    <col min="1" max="1" width="20.625" customWidth="1"/>
    <col min="2" max="2" width="10.5" bestFit="1" customWidth="1"/>
    <col min="3" max="3" width="14.625" customWidth="1"/>
    <col min="6" max="7" width="14.25" customWidth="1"/>
    <col min="8" max="8" width="11.125" bestFit="1" customWidth="1"/>
    <col min="9" max="9" width="13.5" bestFit="1" customWidth="1"/>
    <col min="10" max="10" width="13" bestFit="1" customWidth="1"/>
    <col min="11" max="11" width="12.5" bestFit="1" customWidth="1"/>
    <col min="12" max="12" width="11.125" bestFit="1" customWidth="1"/>
    <col min="14" max="14" width="9.375" customWidth="1"/>
  </cols>
  <sheetData>
    <row r="2" spans="1:14" x14ac:dyDescent="0.2">
      <c r="A2" t="s">
        <v>167</v>
      </c>
      <c r="B2" t="s">
        <v>168</v>
      </c>
    </row>
    <row r="3" spans="1:14" x14ac:dyDescent="0.2">
      <c r="B3" t="s">
        <v>41</v>
      </c>
    </row>
    <row r="7" spans="1:14" x14ac:dyDescent="0.2">
      <c r="N7" t="s">
        <v>169</v>
      </c>
    </row>
    <row r="8" spans="1:14" x14ac:dyDescent="0.2">
      <c r="A8" t="s">
        <v>170</v>
      </c>
      <c r="N8" t="s">
        <v>171</v>
      </c>
    </row>
    <row r="9" spans="1:14" x14ac:dyDescent="0.2">
      <c r="A9" t="s">
        <v>172</v>
      </c>
      <c r="D9" s="211" t="s">
        <v>173</v>
      </c>
      <c r="E9" s="211"/>
      <c r="N9" t="s">
        <v>174</v>
      </c>
    </row>
    <row r="10" spans="1:14" x14ac:dyDescent="0.2">
      <c r="N10" t="s">
        <v>175</v>
      </c>
    </row>
    <row r="15" spans="1:14" x14ac:dyDescent="0.2">
      <c r="A15" t="s">
        <v>176</v>
      </c>
      <c r="B15" t="s">
        <v>177</v>
      </c>
    </row>
    <row r="19" spans="1:12" x14ac:dyDescent="0.2">
      <c r="A19" s="39" t="s">
        <v>178</v>
      </c>
      <c r="B19" s="39" t="s">
        <v>169</v>
      </c>
      <c r="C19" s="39" t="s">
        <v>75</v>
      </c>
      <c r="D19" s="39" t="s">
        <v>179</v>
      </c>
      <c r="E19" s="39" t="s">
        <v>180</v>
      </c>
      <c r="F19" s="39" t="s">
        <v>181</v>
      </c>
      <c r="G19" s="39" t="s">
        <v>21</v>
      </c>
      <c r="H19" s="39" t="s">
        <v>182</v>
      </c>
      <c r="I19" s="39" t="s">
        <v>183</v>
      </c>
      <c r="J19" s="39" t="s">
        <v>184</v>
      </c>
      <c r="K19" s="39" t="s">
        <v>185</v>
      </c>
      <c r="L19" s="39" t="s">
        <v>186</v>
      </c>
    </row>
    <row r="20" spans="1:12" x14ac:dyDescent="0.2">
      <c r="A20" t="s">
        <v>187</v>
      </c>
      <c r="H20" s="147">
        <f>'תחשיב לפי שווי שומה (2)'!B8</f>
        <v>11500</v>
      </c>
      <c r="I20" s="188">
        <v>0</v>
      </c>
      <c r="J20" s="148">
        <f>D20*G20*H20*I20</f>
        <v>0</v>
      </c>
      <c r="K20" s="188">
        <v>0.51</v>
      </c>
      <c r="L20" s="147">
        <f>'[1]תחשיב לפי שווי שומה (2)'!$B$26*G20</f>
        <v>0</v>
      </c>
    </row>
    <row r="21" spans="1:12" x14ac:dyDescent="0.2">
      <c r="A21" t="s">
        <v>188</v>
      </c>
      <c r="H21" s="148">
        <f>H20</f>
        <v>11500</v>
      </c>
      <c r="I21" s="188">
        <v>0</v>
      </c>
      <c r="J21" s="148">
        <f>D21*G21*H21*I21</f>
        <v>0</v>
      </c>
      <c r="K21" s="188">
        <v>0.51</v>
      </c>
      <c r="L21" s="147">
        <f>'[1]תחשיב לפי שווי שומה (2)'!$B$26*G21</f>
        <v>0</v>
      </c>
    </row>
    <row r="22" spans="1:12" x14ac:dyDescent="0.2">
      <c r="A22" t="s">
        <v>189</v>
      </c>
      <c r="H22" s="148">
        <f>H21</f>
        <v>11500</v>
      </c>
      <c r="I22" s="188">
        <v>0.05</v>
      </c>
      <c r="J22" s="148">
        <f>D22*G22*H22*I22</f>
        <v>0</v>
      </c>
      <c r="K22" s="188">
        <v>0.51</v>
      </c>
      <c r="L22" s="147">
        <f>'[1]תחשיב לפי שווי שומה (2)'!$B$26*G22</f>
        <v>0</v>
      </c>
    </row>
    <row r="23" spans="1:12" x14ac:dyDescent="0.2">
      <c r="A23" t="s">
        <v>190</v>
      </c>
      <c r="H23" s="148">
        <f>H22</f>
        <v>11500</v>
      </c>
      <c r="I23" s="188">
        <v>0.05</v>
      </c>
      <c r="J23" s="148">
        <f>D23*G23*H23*I23</f>
        <v>0</v>
      </c>
      <c r="K23" s="188">
        <v>0.51</v>
      </c>
      <c r="L23" s="147">
        <f>'[1]תחשיב לפי שווי שומה (2)'!$B$26*G23</f>
        <v>0</v>
      </c>
    </row>
    <row r="24" spans="1:12" x14ac:dyDescent="0.2">
      <c r="A24" t="s">
        <v>191</v>
      </c>
      <c r="H24" s="148"/>
      <c r="I24" s="188">
        <v>0.05</v>
      </c>
      <c r="J24" s="148">
        <f>D24*G24*H24*I24</f>
        <v>0</v>
      </c>
      <c r="K24" s="188">
        <v>0.51</v>
      </c>
      <c r="L24" s="147">
        <f>H24*K24</f>
        <v>0</v>
      </c>
    </row>
  </sheetData>
  <dataValidations count="2">
    <dataValidation type="list" allowBlank="1" showInputMessage="1" showErrorMessage="1" sqref="B20:B36" xr:uid="{C8BB387F-DA1B-41F8-BBAB-B6587D20D718}">
      <formula1>$N$8:$N$10</formula1>
    </dataValidation>
    <dataValidation type="list" allowBlank="1" showInputMessage="1" showErrorMessage="1" sqref="N10" xr:uid="{8EEFE31F-1F25-47F2-932A-50789FD908B3}">
      <formula1>$N$7:$N$10</formula1>
    </dataValidation>
  </dataValidations>
  <hyperlinks>
    <hyperlink ref="D9" r:id="rId1" location="/main" xr:uid="{A1CB2C7C-AD46-46FF-9114-D0EFBAC7D3DE}"/>
  </hyperlinks>
  <pageMargins left="0.7" right="0.7" top="0.75" bottom="0.75" header="0.3" footer="0.3"/>
  <pageSetup paperSize="9" orientation="portrait" horizontalDpi="0" verticalDpi="0" r:id="rId2"/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188282AB222EBE41BA0464B94B0CFB82" ma:contentTypeVersion="13" ma:contentTypeDescription="צור מסמך חדש." ma:contentTypeScope="" ma:versionID="4af7ab5914d27709a3cdf5886594355d">
  <xsd:schema xmlns:xsd="http://www.w3.org/2001/XMLSchema" xmlns:xs="http://www.w3.org/2001/XMLSchema" xmlns:p="http://schemas.microsoft.com/office/2006/metadata/properties" xmlns:ns3="de4cbf29-ca6c-40b4-a23e-237704e7198a" xmlns:ns4="d3dd30cb-74b0-41b5-8ba9-53159311cc22" targetNamespace="http://schemas.microsoft.com/office/2006/metadata/properties" ma:root="true" ma:fieldsID="f23fc7d60478e4e41bd4e433aa8d46f0" ns3:_="" ns4:_="">
    <xsd:import namespace="de4cbf29-ca6c-40b4-a23e-237704e7198a"/>
    <xsd:import namespace="d3dd30cb-74b0-41b5-8ba9-53159311cc22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e4cbf29-ca6c-40b4-a23e-237704e719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3dd30cb-74b0-41b5-8ba9-53159311cc22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Hash של רמז לשיתוף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e4cbf29-ca6c-40b4-a23e-237704e7198a" xsi:nil="true"/>
  </documentManagement>
</p:properties>
</file>

<file path=customXml/itemProps1.xml><?xml version="1.0" encoding="utf-8"?>
<ds:datastoreItem xmlns:ds="http://schemas.openxmlformats.org/officeDocument/2006/customXml" ds:itemID="{8D54A52B-1093-4D44-8991-4131FD894F9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e4cbf29-ca6c-40b4-a23e-237704e7198a"/>
    <ds:schemaRef ds:uri="d3dd30cb-74b0-41b5-8ba9-53159311cc2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97013B-3DFF-4592-A0A3-4F599B186C1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E3637A2-2C78-47BB-B4CA-14B547AE4584}">
  <ds:schemaRefs>
    <ds:schemaRef ds:uri="http://purl.org/dc/elements/1.1/"/>
    <ds:schemaRef ds:uri="http://purl.org/dc/dcmitype/"/>
    <ds:schemaRef ds:uri="http://purl.org/dc/terms/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d3dd30cb-74b0-41b5-8ba9-53159311cc22"/>
    <ds:schemaRef ds:uri="de4cbf29-ca6c-40b4-a23e-237704e7198a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8</vt:i4>
      </vt:variant>
    </vt:vector>
  </HeadingPairs>
  <TitlesOfParts>
    <vt:vector size="8" baseType="lpstr">
      <vt:lpstr>תחשיב לפי שווי שומה (2)</vt:lpstr>
      <vt:lpstr>סיכום עלויות פיצולים</vt:lpstr>
      <vt:lpstr>מ"ר אקו' נחלה</vt:lpstr>
      <vt:lpstr>ניתוח איזור לעסקאות דמה</vt:lpstr>
      <vt:lpstr>חישוב גדלי בתים</vt:lpstr>
      <vt:lpstr>תבעות</vt:lpstr>
      <vt:lpstr>גיליון1</vt:lpstr>
      <vt:lpstr>בקרה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offir</dc:creator>
  <cp:lastModifiedBy>Ofir Avioz</cp:lastModifiedBy>
  <cp:lastPrinted>2021-12-23T08:27:36Z</cp:lastPrinted>
  <dcterms:created xsi:type="dcterms:W3CDTF">2021-03-08T14:46:48Z</dcterms:created>
  <dcterms:modified xsi:type="dcterms:W3CDTF">2025-05-08T12:37:15Z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0x010100188282AB222EBE41BA0464B94B0CFB82</vt:lpwstr>
  </property>
</Properties>
</file>