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ניר בר נווה מבטח/פרוייקט בדיקת התכנות/בדיקת התכנות/"/>
    </mc:Choice>
  </mc:AlternateContent>
  <xr:revisionPtr revIDLastSave="646" documentId="8_{E9A5D54E-385F-4F6C-AF2C-D62B03C85759}" xr6:coauthVersionLast="47" xr6:coauthVersionMax="47" xr10:uidLastSave="{67853F9A-FB8A-41CB-9033-90A0117691F7}"/>
  <bookViews>
    <workbookView xWindow="-28920" yWindow="-120" windowWidth="29040" windowHeight="1572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חישוב גדלי בתים" sheetId="4" r:id="rId5"/>
    <sheet name="ניתוח איזור לעסקאות דמה" sheetId="5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0" l="1"/>
  <c r="K33" i="10"/>
  <c r="K32" i="10"/>
  <c r="K34" i="10" s="1"/>
  <c r="G46" i="11"/>
  <c r="H39" i="11"/>
  <c r="H42" i="11" s="1"/>
  <c r="F39" i="11"/>
  <c r="G38" i="11"/>
  <c r="G37" i="11"/>
  <c r="G36" i="11"/>
  <c r="D36" i="11"/>
  <c r="G35" i="11"/>
  <c r="G34" i="11"/>
  <c r="D34" i="11"/>
  <c r="D33" i="11"/>
  <c r="E33" i="11" s="1"/>
  <c r="E39" i="11" s="1"/>
  <c r="G32" i="11"/>
  <c r="G31" i="11"/>
  <c r="G30" i="11"/>
  <c r="G19" i="11"/>
  <c r="D21" i="11"/>
  <c r="D19" i="11"/>
  <c r="D20" i="11" s="1"/>
  <c r="D22" i="11" s="1"/>
  <c r="D24" i="11" s="1"/>
  <c r="D9" i="11"/>
  <c r="D7" i="11"/>
  <c r="D6" i="11"/>
  <c r="E6" i="11" s="1"/>
  <c r="G10" i="11"/>
  <c r="G9" i="11"/>
  <c r="G8" i="11"/>
  <c r="G33" i="10"/>
  <c r="G32" i="10"/>
  <c r="G34" i="10" s="1"/>
  <c r="G36" i="10" s="1"/>
  <c r="G38" i="10" s="1"/>
  <c r="H22" i="10"/>
  <c r="J22" i="10" s="1"/>
  <c r="J16" i="10"/>
  <c r="B100" i="3"/>
  <c r="D100" i="3" s="1"/>
  <c r="D99" i="3"/>
  <c r="D98" i="3"/>
  <c r="H27" i="10"/>
  <c r="H28" i="10" s="1"/>
  <c r="D81" i="3"/>
  <c r="D80" i="3"/>
  <c r="D79" i="3"/>
  <c r="B51" i="3"/>
  <c r="B54" i="3" s="1"/>
  <c r="B6" i="3"/>
  <c r="B8" i="3" s="1"/>
  <c r="H12" i="11"/>
  <c r="H15" i="11" s="1"/>
  <c r="F12" i="11"/>
  <c r="G11" i="11"/>
  <c r="G7" i="11"/>
  <c r="G5" i="11"/>
  <c r="G4" i="11"/>
  <c r="G3" i="11"/>
  <c r="K36" i="10" l="1"/>
  <c r="K38" i="10" s="1"/>
  <c r="D101" i="3"/>
  <c r="G33" i="11"/>
  <c r="G39" i="11" s="1"/>
  <c r="G6" i="11"/>
  <c r="G12" i="11" s="1"/>
  <c r="G15" i="11" s="1"/>
  <c r="I15" i="11" s="1"/>
  <c r="E12" i="11"/>
  <c r="D13" i="4"/>
  <c r="C7" i="5"/>
  <c r="B8" i="6" s="1"/>
  <c r="H20" i="9" s="1"/>
  <c r="H21" i="9" s="1"/>
  <c r="L29" i="5"/>
  <c r="F29" i="5"/>
  <c r="L28" i="5"/>
  <c r="F28" i="5"/>
  <c r="L27" i="5"/>
  <c r="F27" i="5"/>
  <c r="M26" i="5"/>
  <c r="G26" i="5"/>
  <c r="J16" i="5"/>
  <c r="K16" i="5" s="1"/>
  <c r="G16" i="5"/>
  <c r="K15" i="5"/>
  <c r="G15" i="5"/>
  <c r="S56" i="3"/>
  <c r="W54" i="3"/>
  <c r="U54" i="3"/>
  <c r="Y54" i="3" s="1"/>
  <c r="U52" i="3"/>
  <c r="Y52" i="3" s="1"/>
  <c r="S50" i="3"/>
  <c r="U50" i="3" s="1"/>
  <c r="S49" i="3"/>
  <c r="U49" i="3" s="1"/>
  <c r="S48" i="3"/>
  <c r="U48" i="3" s="1"/>
  <c r="S47" i="3"/>
  <c r="G49" i="3"/>
  <c r="J20" i="10"/>
  <c r="D36" i="3"/>
  <c r="L24" i="9"/>
  <c r="J24" i="9"/>
  <c r="L23" i="9"/>
  <c r="L22" i="9"/>
  <c r="L21" i="9"/>
  <c r="L20" i="9"/>
  <c r="C42" i="6"/>
  <c r="L15" i="5" l="1"/>
  <c r="N15" i="5" s="1"/>
  <c r="G42" i="11"/>
  <c r="I42" i="11" s="1"/>
  <c r="J39" i="11"/>
  <c r="I39" i="11"/>
  <c r="D105" i="3"/>
  <c r="D107" i="3" s="1"/>
  <c r="D108" i="3" s="1"/>
  <c r="D103" i="3"/>
  <c r="W47" i="3"/>
  <c r="W58" i="3" s="1"/>
  <c r="S51" i="3"/>
  <c r="S53" i="3" s="1"/>
  <c r="S55" i="3" s="1"/>
  <c r="S57" i="3" s="1"/>
  <c r="L16" i="5"/>
  <c r="N16" i="5" s="1"/>
  <c r="J30" i="5"/>
  <c r="J31" i="5" s="1"/>
  <c r="L31" i="5" s="1"/>
  <c r="L32" i="5" s="1"/>
  <c r="O16" i="5" s="1"/>
  <c r="P16" i="5" s="1"/>
  <c r="D30" i="5"/>
  <c r="D31" i="5" s="1"/>
  <c r="F31" i="5" s="1"/>
  <c r="F32" i="5" s="1"/>
  <c r="O15" i="5" s="1"/>
  <c r="Y58" i="3"/>
  <c r="U47" i="3"/>
  <c r="U51" i="3" s="1"/>
  <c r="U58" i="3" s="1"/>
  <c r="H16" i="10"/>
  <c r="H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P15" i="5" l="1"/>
  <c r="P17" i="5" s="1"/>
  <c r="P18" i="5" s="1"/>
  <c r="H23" i="9"/>
  <c r="J23" i="9" s="1"/>
  <c r="J22" i="9"/>
  <c r="D42" i="6"/>
  <c r="C35" i="6"/>
  <c r="D35" i="6" s="1"/>
  <c r="G25" i="4"/>
  <c r="I25" i="4"/>
  <c r="H25" i="4"/>
  <c r="D25" i="4"/>
  <c r="F25" i="4"/>
  <c r="E25" i="4"/>
  <c r="P20" i="5" l="1"/>
  <c r="J50" i="3"/>
  <c r="D109" i="3" s="1"/>
  <c r="D110" i="3" s="1"/>
  <c r="D87" i="3"/>
  <c r="C15" i="6"/>
  <c r="D27" i="4"/>
  <c r="D9" i="6" l="1"/>
  <c r="S24" i="4" l="1"/>
  <c r="R24" i="4"/>
  <c r="Q24" i="4"/>
  <c r="P24" i="4"/>
  <c r="O24" i="4"/>
  <c r="N24" i="4"/>
  <c r="M24" i="4"/>
  <c r="L24" i="4"/>
  <c r="K24" i="4"/>
  <c r="J24" i="4"/>
  <c r="D10" i="3" l="1"/>
  <c r="D7" i="3"/>
  <c r="D6" i="3"/>
  <c r="D5" i="3"/>
  <c r="D4" i="3"/>
  <c r="B9" i="3" l="1"/>
  <c r="B11" i="3" l="1"/>
  <c r="D11" i="3" s="1"/>
  <c r="D13" i="3" s="1"/>
  <c r="S13" i="4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G11" i="6"/>
  <c r="I48" i="3"/>
  <c r="I49" i="3"/>
  <c r="F48" i="3"/>
  <c r="B55" i="3"/>
  <c r="D49" i="3"/>
  <c r="D51" i="3"/>
  <c r="D50" i="3"/>
  <c r="F18" i="6"/>
  <c r="B56" i="3" l="1"/>
  <c r="D56" i="3" s="1"/>
  <c r="B4" i="6"/>
  <c r="I7" i="3"/>
  <c r="I4" i="3"/>
  <c r="G8" i="3"/>
  <c r="G9" i="3" s="1"/>
  <c r="I6" i="3"/>
  <c r="J51" i="3"/>
  <c r="I69" i="3"/>
  <c r="I70" i="3" s="1"/>
  <c r="G69" i="3"/>
  <c r="I50" i="3"/>
  <c r="I5" i="3"/>
  <c r="D48" i="3"/>
  <c r="D57" i="3" l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9" i="6" l="1"/>
  <c r="B40" i="6" s="1"/>
  <c r="B42" i="6" s="1"/>
  <c r="B43" i="6" s="1"/>
  <c r="D86" i="3"/>
  <c r="D88" i="3" s="1"/>
  <c r="D90" i="3" s="1"/>
  <c r="D91" i="3" s="1"/>
  <c r="B31" i="6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D41" i="3" s="1"/>
  <c r="I11" i="3"/>
  <c r="G13" i="3"/>
  <c r="B3" i="6" l="1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<sst xmlns="http://schemas.openxmlformats.org/spreadsheetml/2006/main" count="550" uniqueCount="340">
  <si>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</si>
  <si>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</si>
  <si>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</si>
  <si>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</si>
  <si>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</si>
  <si>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</si>
  <si>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</si>
  <si>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</si>
  <si>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</si>
  <si>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</si>
  <si>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</si>
  <si>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</si>
  <si>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</si>
  <si>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</si>
  <si>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</si>
  <si>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</si>
  <si>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</si>
  <si>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</si>
  <si>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</si>
  <si>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</si>
  <si>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</si>
  <si>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</si>
  <si>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</si>
  <si>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</si>
  <si>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</si>
  <si>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</si>
  <si>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</si>
  <si>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</si>
  <si>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</si>
  <si>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</si>
  <si>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</si>
  <si>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</si>
  <si>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</si>
  <si>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</si>
  <si>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</si>
  <si>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</si>
  <si>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</si>
  <si>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</si>
  <si>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</si>
  <si>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</si>
  <si>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</si>
  <si>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</si>
  <si>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</si>
  <si>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</si>
  <si>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</si>
  <si>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</si>
  <si>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</si>
  <si>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</si>
  <si>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</si>
  <si>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</si>
  <si>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</si>
  <si>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</si>
  <si>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</si>
  <si>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</si>
  <si>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</si>
  <si>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</si>
  <si>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</si>
  <si>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</si>
  <si>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</si>
  <si>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</si>
  <si>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</si>
  <si>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</si>
  <si>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</si>
  <si>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</si>
  <si>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</si>
  <si>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</si>
  <si>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</si>
  <si>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</si>
  <si>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</si>
  <si>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</si>
  <si>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</si>
  <si>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</si>
  <si>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</si>
  <si>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</si>
  <si>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</si>
  <si>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</si>
  <si>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</si>
  <si>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</si>
  <si>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</si>
  <si>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</si>
  <si>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</si>
  <si>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</si>
  <si>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</si>
  <si>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</si>
  <si>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</si>
  <si>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</si>
  <si>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</si>
  <si>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</si>
  <si>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</si>
  <si>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</si>
  <si>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</si>
  <si>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</si>
  <si>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</si>
  <si>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</si>
  <si>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</si>
  <si>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</si>
  <si>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</si>
  <si>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</si>
  <si>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</si>
  <si>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</si>
  <si>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</si>
  <si>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</si>
  <si>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</si>
  <si>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</si>
  <si>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</si>
  <si>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</si>
  <si>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</si>
  <si>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</si>
  <si>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</si>
  <si>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</si>
  <si>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</si>
  <si>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</si>
  <si>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</si>
  <si>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</si>
  <si>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</si>
  <si>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</si>
  <si>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</si>
  <si>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</si>
  <si>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</si>
  <si>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</si>
  <si>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</si>
  <si>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</si>
  <si>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</si>
  <si>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</si>
  <si>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</si>
  <si>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</si>
  <si>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</si>
  <si>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</si>
  <si>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</si>
  <si>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</si>
  <si>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</si>
  <si>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</si>
  <si>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</si>
  <si>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</si>
  <si>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</si>
  <si>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</si>
  <si>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</si>
  <si>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</si>
  <si>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</si>
  <si>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</si>
  <si>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</si>
  <si>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</si>
  <si>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</si>
  <si>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</si>
  <si>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</si>
  <si>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</si>
  <si>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</si>
  <si>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</si>
  <si>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</si>
  <si>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</si>
  <si>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</si>
  <si>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</si>
  <si>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</si>
  <si>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</si>
  <si>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</si>
  <si>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</si>
  <si>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</si>
  <si>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</si>
  <si>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</si>
  <si>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</si>
  <si>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</si>
  <si>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</si>
  <si>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</si>
  <si>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</si>
  <si>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</si>
  <si>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634-0454967</t>
  </si>
  <si>
    <t>בתים</t>
  </si>
  <si>
    <t>פיצול</t>
  </si>
  <si>
    <t>3/222/06/6</t>
  </si>
  <si>
    <t>222/03/6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</si>
  <si>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</si>
  <si>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</si>
  <si>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</si>
  <si>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</si>
  <si>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</si>
  <si>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</si>
  <si>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</si>
  <si>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</si>
  <si>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</si>
  <si>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</si>
  <si>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</si>
  <si>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</si>
  <si>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</si>
  <si>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</si>
  <si>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</si>
  <si>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</si>
  <si>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</si>
  <si>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</si>
  <si>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</si>
  <si>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</si>
  <si>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</si>
  <si>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</si>
  <si>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</si>
  <si>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</si>
  <si>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</si>
  <si>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</si>
  <si>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</si>
  <si>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</si>
  <si>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</si>
  <si>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</si>
  <si>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</si>
  <si>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</si>
  <si>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</si>
  <si>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</si>
  <si>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</si>
  <si>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סוג תשלום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</si>
  <si>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</si>
  <si>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</si>
  <si>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</si>
  <si>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</si>
  <si>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</si>
  <si>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</si>
  <si>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</si>
  <si>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</si>
  <si>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</si>
  <si>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</si>
  <si>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</si>
  <si>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</si>
  <si>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</si>
  <si>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</si>
  <si>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</si>
  <si>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</si>
  <si>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</si>
  <si>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</si>
  <si>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</si>
  <si>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</si>
  <si>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</si>
  <si>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</si>
  <si>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</si>
  <si>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</si>
  <si>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</si>
  <si>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</si>
  <si>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</si>
  <si>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</si>
  <si>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מס"ד</t>
  </si>
  <si>
    <t>גוש חלקה</t>
  </si>
  <si>
    <t>יום מכירה</t>
  </si>
  <si>
    <t>יישוב</t>
  </si>
  <si>
    <t>תמורה מוצהרת בש"ח</t>
  </si>
  <si>
    <t>בניכוי רווח יזמי 5%</t>
  </si>
  <si>
    <t>שטח מגרש</t>
  </si>
  <si>
    <t>שטח בנוי ע"פ היתר</t>
  </si>
  <si>
    <t>תרומת הבנוי</t>
  </si>
  <si>
    <t>שווי יתרת קרקע</t>
  </si>
  <si>
    <t>מקדם בתאמה לזמן</t>
  </si>
  <si>
    <t>שווי מגרש מתואם</t>
  </si>
  <si>
    <t>שטח מבונה אקו'</t>
  </si>
  <si>
    <t>שווי מ"ר מבונה אקו'</t>
  </si>
  <si>
    <t>005007-0090</t>
  </si>
  <si>
    <t>נווה מבטח</t>
  </si>
  <si>
    <t>005007-0061</t>
  </si>
  <si>
    <t>ניתוח שטח אקו' מס"ד 1</t>
  </si>
  <si>
    <t>מהות</t>
  </si>
  <si>
    <t>שטח</t>
  </si>
  <si>
    <t>יתרת שירות</t>
  </si>
  <si>
    <t>תכסית</t>
  </si>
  <si>
    <t>סה"כ שטח אקו'</t>
  </si>
  <si>
    <t>ממוצע</t>
  </si>
  <si>
    <t>בהתאמה לבעלות /0.97</t>
  </si>
  <si>
    <t>מקדם התאמה לנחלה</t>
  </si>
  <si>
    <t>שווי מ"ר לנחלה</t>
  </si>
  <si>
    <t>לשומה</t>
  </si>
  <si>
    <t>מבנה 1 - בית מגורים ראשון</t>
  </si>
  <si>
    <t>מבנה 2 - בית מגורים שני</t>
  </si>
  <si>
    <t>מבנים 3-5 - צימרים</t>
  </si>
  <si>
    <t>היתר שנת 73</t>
  </si>
  <si>
    <t>74.9 + 14.5</t>
  </si>
  <si>
    <t>היתר שנת 2012</t>
  </si>
  <si>
    <t>מבנים 6 - 12 - מתחם צימרים</t>
  </si>
  <si>
    <t>34+21</t>
  </si>
  <si>
    <t>31+13</t>
  </si>
  <si>
    <t>27+13</t>
  </si>
  <si>
    <t>מבנה 13 - מגורי עובדים</t>
  </si>
  <si>
    <t>מבנה 14 - סככה חקלאית</t>
  </si>
  <si>
    <t>מבנה 15 - מגורי עובדים</t>
  </si>
  <si>
    <t>מבנה 16 - אורווה</t>
  </si>
  <si>
    <t xml:space="preserve">מבנים 17 - 18 - מבנים חקלאיים </t>
  </si>
  <si>
    <t>מבנים 19 -22 - מבני מתחם ספא</t>
  </si>
  <si>
    <t>מבנה 23 - בריכה</t>
  </si>
  <si>
    <t>שם מבנה</t>
  </si>
  <si>
    <t>פעולה</t>
  </si>
  <si>
    <t>גודל</t>
  </si>
  <si>
    <t>סה"כ למבנה</t>
  </si>
  <si>
    <t>סה"כ הסדרה</t>
  </si>
  <si>
    <t>מרתפים</t>
  </si>
  <si>
    <t>היטל השבחה בית שלישי</t>
  </si>
  <si>
    <t>מצב קודם</t>
  </si>
  <si>
    <t>חצר שולית</t>
  </si>
  <si>
    <t>מצב חדש</t>
  </si>
  <si>
    <t>שווי מ"ר</t>
  </si>
  <si>
    <t>שווי מצב קודם</t>
  </si>
  <si>
    <t>שווי מצב חדש</t>
  </si>
  <si>
    <t>היטל השבחה בית שני</t>
  </si>
  <si>
    <t>מקדם אי סחירות</t>
  </si>
  <si>
    <t>סה"כ מצב קודם</t>
  </si>
  <si>
    <t>סה"כ היטל</t>
  </si>
  <si>
    <t>סיכום עלויות פיצול מגרש ריק + בית קיים לאחר הסדרה</t>
  </si>
  <si>
    <t>מסלול דמי רכישה 33%</t>
  </si>
  <si>
    <t>מסלול היוון 3.75%</t>
  </si>
  <si>
    <t>זכויות בסיס</t>
  </si>
  <si>
    <t>נרכש בעבר</t>
  </si>
  <si>
    <t>סה"כ חוזה חכירה</t>
  </si>
  <si>
    <t>גרעון 2 פיצולים</t>
  </si>
  <si>
    <t>סה"כ חוזה לאחר פיצולים</t>
  </si>
  <si>
    <t>שטח בנוי במשק</t>
  </si>
  <si>
    <t>שטח לרכוש</t>
  </si>
  <si>
    <t>ערך מ"ר</t>
  </si>
  <si>
    <t>סה"כ לרכוש</t>
  </si>
  <si>
    <t xml:space="preserve">היתר </t>
  </si>
  <si>
    <t>בית של ניר</t>
  </si>
  <si>
    <t>בית של רועי</t>
  </si>
  <si>
    <t>הסדרה בית ראשון</t>
  </si>
  <si>
    <t>הסדרה כיחידה צמודת קיר</t>
  </si>
  <si>
    <t>3 עד 5</t>
  </si>
  <si>
    <t>צימרים קדמיים</t>
  </si>
  <si>
    <t>פינוי</t>
  </si>
  <si>
    <t>מתחם צימרים</t>
  </si>
  <si>
    <t>6,7,8,9,12</t>
  </si>
  <si>
    <t>10,11</t>
  </si>
  <si>
    <t>משרד ומבנה חקלאי</t>
  </si>
  <si>
    <t>מגורי עובדים</t>
  </si>
  <si>
    <t>לפינוי</t>
  </si>
  <si>
    <t>15,16,17,18</t>
  </si>
  <si>
    <t>מבני חקלאות</t>
  </si>
  <si>
    <t>להסדרה</t>
  </si>
  <si>
    <t>19 עד 23</t>
  </si>
  <si>
    <t>מתחם ספא</t>
  </si>
  <si>
    <t>ייתכן וידרש</t>
  </si>
  <si>
    <t>פיצול מגרש ריק</t>
  </si>
  <si>
    <t xml:space="preserve">כולל רכישת חצר </t>
  </si>
  <si>
    <t>הסדרה של בית וחצי</t>
  </si>
  <si>
    <t>חוזה חכירה</t>
  </si>
  <si>
    <t>מצב בנוי</t>
  </si>
  <si>
    <t>יתרה לפני פיצול</t>
  </si>
  <si>
    <t>יתרה</t>
  </si>
  <si>
    <t>היטל השבחה בעת בניה או מכר</t>
  </si>
  <si>
    <t>סה"כ פרויקט הסדרה</t>
  </si>
  <si>
    <t>סה"כ עבור פיצול מגרש ריק</t>
  </si>
  <si>
    <t xml:space="preserve">אפשרות 2 להסדיר כ-2 בתים </t>
  </si>
  <si>
    <t>אפשרות 1  - הסדרה כיחידה וחצי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</si>
</sst>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name val="Arial"/>
      <family val="2"/>
      <charset val="177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0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19" fillId="13" borderId="22" xfId="0" applyFont="1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/>
    </xf>
    <xf numFmtId="0" fontId="20" fillId="0" borderId="22" xfId="0" applyFont="1" applyBorder="1" applyAlignment="1">
      <alignment horizontal="center" wrapText="1"/>
    </xf>
    <xf numFmtId="14" fontId="20" fillId="0" borderId="22" xfId="0" applyNumberFormat="1" applyFont="1" applyBorder="1" applyAlignment="1">
      <alignment horizontal="center" wrapText="1"/>
    </xf>
    <xf numFmtId="164" fontId="20" fillId="0" borderId="22" xfId="2" applyNumberFormat="1" applyFont="1" applyFill="1" applyBorder="1" applyAlignment="1">
      <alignment horizontal="center" wrapText="1"/>
    </xf>
    <xf numFmtId="0" fontId="0" fillId="11" borderId="22" xfId="0" applyFill="1" applyBorder="1" applyAlignment="1">
      <alignment horizontal="center"/>
    </xf>
    <xf numFmtId="0" fontId="20" fillId="0" borderId="0" xfId="0" applyFont="1"/>
    <xf numFmtId="0" fontId="19" fillId="0" borderId="22" xfId="0" applyFont="1" applyBorder="1" applyAlignment="1">
      <alignment horizontal="center" wrapText="1"/>
    </xf>
    <xf numFmtId="0" fontId="20" fillId="0" borderId="22" xfId="0" applyFont="1" applyBorder="1" applyAlignment="1">
      <alignment horizontal="left" wrapText="1"/>
    </xf>
    <xf numFmtId="164" fontId="19" fillId="0" borderId="22" xfId="2" applyNumberFormat="1" applyFont="1" applyFill="1" applyBorder="1" applyAlignment="1">
      <alignment horizontal="center" wrapText="1"/>
    </xf>
    <xf numFmtId="0" fontId="0" fillId="0" borderId="46" xfId="0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1" fillId="0" borderId="22" xfId="0" applyFont="1" applyBorder="1"/>
    <xf numFmtId="0" fontId="0" fillId="0" borderId="53" xfId="0" applyBorder="1" applyAlignment="1">
      <alignment horizontal="center"/>
    </xf>
    <xf numFmtId="164" fontId="0" fillId="0" borderId="22" xfId="2" applyNumberFormat="1" applyFont="1" applyBorder="1"/>
    <xf numFmtId="164" fontId="0" fillId="0" borderId="69" xfId="2" applyNumberFormat="1" applyFont="1" applyBorder="1"/>
    <xf numFmtId="0" fontId="21" fillId="0" borderId="53" xfId="0" applyFont="1" applyBorder="1" applyAlignment="1">
      <alignment horizontal="center"/>
    </xf>
    <xf numFmtId="0" fontId="21" fillId="0" borderId="30" xfId="0" applyFont="1" applyBorder="1"/>
    <xf numFmtId="0" fontId="21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164" fontId="0" fillId="0" borderId="30" xfId="2" applyNumberFormat="1" applyFont="1" applyBorder="1"/>
    <xf numFmtId="164" fontId="0" fillId="0" borderId="30" xfId="2" applyNumberFormat="1" applyFont="1" applyBorder="1" applyAlignment="1">
      <alignment horizontal="center" vertical="center"/>
    </xf>
    <xf numFmtId="164" fontId="0" fillId="0" borderId="71" xfId="2" applyNumberFormat="1" applyFont="1" applyBorder="1"/>
    <xf numFmtId="164" fontId="6" fillId="0" borderId="79" xfId="2" applyNumberFormat="1" applyFont="1" applyBorder="1"/>
    <xf numFmtId="164" fontId="6" fillId="0" borderId="17" xfId="2" applyNumberFormat="1" applyFont="1" applyBorder="1"/>
    <xf numFmtId="164" fontId="6" fillId="0" borderId="17" xfId="2" applyNumberFormat="1" applyFont="1" applyBorder="1" applyAlignment="1">
      <alignment horizontal="center" vertical="center"/>
    </xf>
    <xf numFmtId="164" fontId="6" fillId="0" borderId="80" xfId="2" applyNumberFormat="1" applyFont="1" applyBorder="1"/>
    <xf numFmtId="0" fontId="0" fillId="0" borderId="81" xfId="0" applyBorder="1" applyAlignment="1">
      <alignment horizontal="center" vertical="center"/>
    </xf>
    <xf numFmtId="0" fontId="21" fillId="0" borderId="0" xfId="0" applyFont="1"/>
    <xf numFmtId="0" fontId="8" fillId="0" borderId="49" xfId="0" applyFont="1" applyBorder="1" applyAlignment="1">
      <alignment horizontal="center" vertical="center"/>
    </xf>
    <xf numFmtId="164" fontId="8" fillId="0" borderId="55" xfId="0" applyNumberFormat="1" applyFont="1" applyBorder="1" applyAlignment="1">
      <alignment horizontal="center" vertical="center"/>
    </xf>
    <xf numFmtId="164" fontId="8" fillId="0" borderId="56" xfId="2" applyNumberFormat="1" applyFont="1" applyBorder="1"/>
    <xf numFmtId="0" fontId="0" fillId="0" borderId="0" xfId="0" applyAlignment="1">
      <alignment horizontal="center" vertical="center"/>
    </xf>
    <xf numFmtId="164" fontId="0" fillId="0" borderId="0" xfId="2" applyNumberFormat="1" applyFont="1" applyBorder="1"/>
    <xf numFmtId="164" fontId="8" fillId="0" borderId="70" xfId="0" applyNumberFormat="1" applyFont="1" applyBorder="1" applyAlignment="1">
      <alignment horizontal="center" vertical="center"/>
    </xf>
    <xf numFmtId="0" fontId="8" fillId="0" borderId="30" xfId="0" applyFont="1" applyBorder="1"/>
    <xf numFmtId="0" fontId="8" fillId="0" borderId="71" xfId="0" applyFont="1" applyBorder="1"/>
    <xf numFmtId="0" fontId="6" fillId="0" borderId="44" xfId="0" applyFont="1" applyBorder="1" applyAlignment="1">
      <alignment horizontal="center" vertical="center"/>
    </xf>
    <xf numFmtId="164" fontId="6" fillId="0" borderId="17" xfId="0" applyNumberFormat="1" applyFont="1" applyBorder="1"/>
    <xf numFmtId="164" fontId="6" fillId="0" borderId="80" xfId="0" applyNumberFormat="1" applyFont="1" applyBorder="1"/>
    <xf numFmtId="0" fontId="0" fillId="15" borderId="0" xfId="0" applyFill="1"/>
    <xf numFmtId="17" fontId="0" fillId="0" borderId="46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/>
    <xf numFmtId="0" fontId="6" fillId="0" borderId="6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20" fillId="14" borderId="22" xfId="0" applyFont="1" applyFill="1" applyBorder="1" applyAlignment="1">
      <alignment horizontal="center"/>
    </xf>
    <xf numFmtId="0" fontId="20" fillId="11" borderId="22" xfId="0" applyFont="1" applyFill="1" applyBorder="1" applyAlignment="1">
      <alignment horizontal="center"/>
    </xf>
    <xf numFmtId="0" fontId="19" fillId="0" borderId="53" xfId="0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20" fillId="0" borderId="53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23" xfId="0" applyFont="1" applyBorder="1" applyAlignment="1">
      <alignment horizontal="center" wrapText="1"/>
    </xf>
    <xf numFmtId="165" fontId="0" fillId="0" borderId="0" xfId="1" applyNumberFormat="1" applyFont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41</xdr:row>
      <xdr:rowOff>133350</xdr:rowOff>
    </xdr:from>
    <xdr:to>
      <xdr:col>12</xdr:col>
      <xdr:colOff>781854</xdr:colOff>
      <xdr:row>44</xdr:row>
      <xdr:rowOff>57188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2EC172A-427F-491E-675D-BBA999334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7403701" y="7258050"/>
          <a:ext cx="9285774" cy="438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34</xdr:row>
      <xdr:rowOff>102165</xdr:rowOff>
    </xdr:from>
    <xdr:to>
      <xdr:col>7</xdr:col>
      <xdr:colOff>19689</xdr:colOff>
      <xdr:row>53</xdr:row>
      <xdr:rowOff>93815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F2377677-C466-9F2D-5CFD-777ABCE26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1154811" y="6798240"/>
          <a:ext cx="4448814" cy="3258725"/>
        </a:xfrm>
        <a:prstGeom prst="rect">
          <a:avLst/>
        </a:prstGeom>
      </xdr:spPr>
    </xdr:pic>
    <xdr:clientData/>
  </xdr:twoCellAnchor>
  <xdr:twoCellAnchor editAs="oneCell">
    <xdr:from>
      <xdr:col>8</xdr:col>
      <xdr:colOff>201461</xdr:colOff>
      <xdr:row>35</xdr:row>
      <xdr:rowOff>47625</xdr:rowOff>
    </xdr:from>
    <xdr:to>
      <xdr:col>13</xdr:col>
      <xdr:colOff>362632</xdr:colOff>
      <xdr:row>55</xdr:row>
      <xdr:rowOff>135764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F880C337-DAFD-3B0D-F85A-E9FFF532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5420718" y="6915150"/>
          <a:ext cx="4723646" cy="35133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H21" sqref="H21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42</v>
      </c>
      <c r="B2" s="76">
        <f>'מ"ר אקו'' נחלה'!I14</f>
        <v>1084.4000000000001</v>
      </c>
      <c r="K2" s="1"/>
    </row>
    <row r="3" spans="1:11" x14ac:dyDescent="0.35">
      <c r="A3" s="1" t="s">
        <v>17</v>
      </c>
      <c r="B3" s="76">
        <f>'מ"ר אקו'' נחלה'!D14</f>
        <v>1034.4000000000001</v>
      </c>
      <c r="K3" s="1"/>
    </row>
    <row r="4" spans="1:11" x14ac:dyDescent="0.35">
      <c r="A4" s="1" t="s">
        <v>85</v>
      </c>
      <c r="B4" s="76">
        <f>'מ"ר אקו'' נחלה'!D28</f>
        <v>0</v>
      </c>
      <c r="K4" s="1"/>
    </row>
    <row r="5" spans="1:11" x14ac:dyDescent="0.35">
      <c r="A5" s="1" t="s">
        <v>198</v>
      </c>
      <c r="B5" s="76">
        <f>'מ"ר אקו'' נחלה'!D38</f>
        <v>11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53</v>
      </c>
      <c r="B7" s="1">
        <f>'מ"ר אקו'' נחלה'!D57</f>
        <v>273.8</v>
      </c>
      <c r="C7" s="1" t="s">
        <v>54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11000</v>
      </c>
      <c r="C8" s="1" t="s">
        <v>79</v>
      </c>
      <c r="D8" s="5">
        <v>2500</v>
      </c>
      <c r="F8" s="75"/>
      <c r="K8" s="1"/>
    </row>
    <row r="9" spans="1:11" x14ac:dyDescent="0.35">
      <c r="A9" s="3"/>
      <c r="B9" s="5"/>
      <c r="C9" s="1" t="s">
        <v>86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63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332578.125</v>
      </c>
      <c r="G11" s="75">
        <f>'מ"ר אקו'' נחלה'!D71*-3.75%</f>
        <v>-6562.5</v>
      </c>
      <c r="H11" s="88">
        <f>SUM(F11:G11)</f>
        <v>326015.625</v>
      </c>
      <c r="I11" s="9"/>
      <c r="J11" s="75"/>
    </row>
    <row r="12" spans="1:11" x14ac:dyDescent="0.35">
      <c r="A12" s="82" t="s">
        <v>59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667631.24999999988</v>
      </c>
      <c r="G12" s="75">
        <f>-'מ"ר אקו'' נחלה'!D58*C12</f>
        <v>-29250</v>
      </c>
      <c r="H12" s="6">
        <f>SUM(F12:G12)</f>
        <v>638381.24999999988</v>
      </c>
      <c r="J12" s="87"/>
    </row>
    <row r="13" spans="1:11" x14ac:dyDescent="0.35">
      <c r="A13" s="82" t="s">
        <v>60</v>
      </c>
      <c r="B13" s="114">
        <f>B7-B12</f>
        <v>66.300000000000011</v>
      </c>
      <c r="C13" s="115">
        <v>0.33</v>
      </c>
      <c r="D13" s="82">
        <f t="shared" si="0"/>
        <v>21.879000000000005</v>
      </c>
      <c r="E13" s="82">
        <v>1</v>
      </c>
      <c r="F13" s="84">
        <f>D13*$B$8*E13</f>
        <v>240669.00000000006</v>
      </c>
      <c r="G13" s="87">
        <f>G12*53/245</f>
        <v>-6327.5510204081629</v>
      </c>
      <c r="H13" s="6">
        <f>SUM(F13:G13)</f>
        <v>234341.44897959189</v>
      </c>
      <c r="I13" s="9"/>
      <c r="J13" s="75"/>
    </row>
    <row r="14" spans="1:11" ht="21" x14ac:dyDescent="0.4">
      <c r="A14" s="111" t="s">
        <v>61</v>
      </c>
      <c r="B14" s="112">
        <f>SUM(B12:B13)</f>
        <v>273.8</v>
      </c>
      <c r="C14" s="113"/>
      <c r="D14" s="113"/>
      <c r="E14" s="113"/>
      <c r="F14" s="113">
        <f>SUM(F12:F13)</f>
        <v>908300.25</v>
      </c>
      <c r="G14" s="116"/>
      <c r="H14" s="89">
        <f>SUM(H12:H13)</f>
        <v>872722.69897959172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970062.5</v>
      </c>
      <c r="G15" s="9"/>
      <c r="J15" s="86"/>
    </row>
    <row r="16" spans="1:11" ht="21" x14ac:dyDescent="0.4">
      <c r="A16" s="77" t="s">
        <v>5</v>
      </c>
      <c r="B16" s="81">
        <f>B3+B4-B5</f>
        <v>1023.4000000000001</v>
      </c>
      <c r="C16" s="80">
        <v>0.33</v>
      </c>
      <c r="D16" s="77">
        <f t="shared" si="0"/>
        <v>337.72200000000004</v>
      </c>
      <c r="E16" s="77">
        <v>1</v>
      </c>
      <c r="F16" s="79">
        <f>D16*$B$8*E16</f>
        <v>3714942.0000000005</v>
      </c>
      <c r="G16" s="75">
        <f>-'מ"ר אקו'' נחלה'!D15*C16</f>
        <v>-81510</v>
      </c>
      <c r="H16" s="88">
        <f>SUM(F16:G16)</f>
        <v>3633432.0000000005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7007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750.75</v>
      </c>
      <c r="G20" s="9"/>
      <c r="I20" s="6"/>
      <c r="J20" s="9"/>
    </row>
    <row r="21" spans="1:10" ht="21" x14ac:dyDescent="0.4">
      <c r="A21" s="1" t="s">
        <v>65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43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3003</v>
      </c>
    </row>
    <row r="23" spans="1:10" ht="21" x14ac:dyDescent="0.4">
      <c r="A23" s="82" t="s">
        <v>80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44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550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45</v>
      </c>
      <c r="B27" s="85"/>
      <c r="C27" s="8"/>
      <c r="D27" s="186"/>
      <c r="E27" s="186"/>
      <c r="F27" s="5"/>
      <c r="I27" s="75"/>
    </row>
    <row r="29" spans="1:10" x14ac:dyDescent="0.35">
      <c r="A29" s="2" t="s">
        <v>148</v>
      </c>
      <c r="C29" s="75"/>
    </row>
    <row r="30" spans="1:10" x14ac:dyDescent="0.35">
      <c r="A30" s="2"/>
      <c r="B30" s="2" t="s">
        <v>150</v>
      </c>
      <c r="C30" s="2" t="s">
        <v>21</v>
      </c>
      <c r="D30" s="2" t="s">
        <v>149</v>
      </c>
    </row>
    <row r="31" spans="1:10" x14ac:dyDescent="0.35">
      <c r="A31" s="1" t="s">
        <v>146</v>
      </c>
      <c r="B31" s="5">
        <f>'מ"ר אקו'' נחלה'!D57*'תחשיב לפי שווי שומה (2)'!$B$8</f>
        <v>3011800</v>
      </c>
      <c r="C31" s="191">
        <v>1</v>
      </c>
      <c r="D31" s="6">
        <f>C31*$B$8</f>
        <v>11000</v>
      </c>
    </row>
    <row r="32" spans="1:10" x14ac:dyDescent="0.35">
      <c r="A32" s="1" t="s">
        <v>145</v>
      </c>
      <c r="B32" s="6">
        <f>350*$B$8*C32</f>
        <v>577500</v>
      </c>
      <c r="C32" s="191">
        <v>0.15</v>
      </c>
      <c r="D32" s="6">
        <f>C32*$B$8</f>
        <v>1650</v>
      </c>
    </row>
    <row r="33" spans="1:6" x14ac:dyDescent="0.35">
      <c r="C33" s="75"/>
    </row>
    <row r="34" spans="1:6" x14ac:dyDescent="0.35">
      <c r="A34" s="1" t="s">
        <v>143</v>
      </c>
      <c r="B34" s="6">
        <f>B31-B32</f>
        <v>2434300</v>
      </c>
      <c r="C34" s="191">
        <f>C31-C32</f>
        <v>0.85</v>
      </c>
      <c r="D34" s="6">
        <f>C34*$B$8</f>
        <v>9350</v>
      </c>
    </row>
    <row r="35" spans="1:6" x14ac:dyDescent="0.35">
      <c r="A35" s="1" t="s">
        <v>144</v>
      </c>
      <c r="B35" s="6">
        <f>B34*50%</f>
        <v>1217150</v>
      </c>
      <c r="C35" s="191">
        <f>C34*50%</f>
        <v>0.42499999999999999</v>
      </c>
      <c r="D35" s="6">
        <f>C35*$B$8</f>
        <v>4675</v>
      </c>
    </row>
    <row r="37" spans="1:6" x14ac:dyDescent="0.35">
      <c r="A37" s="2" t="s">
        <v>152</v>
      </c>
      <c r="C37" s="75"/>
    </row>
    <row r="38" spans="1:6" x14ac:dyDescent="0.35">
      <c r="A38" s="2"/>
      <c r="B38" s="2" t="s">
        <v>150</v>
      </c>
      <c r="C38" s="2" t="s">
        <v>21</v>
      </c>
      <c r="D38" s="2" t="s">
        <v>149</v>
      </c>
    </row>
    <row r="39" spans="1:6" x14ac:dyDescent="0.35">
      <c r="A39" s="1" t="s">
        <v>146</v>
      </c>
      <c r="B39" s="5">
        <f>'מ"ר אקו'' נחלה'!D57*'תחשיב לפי שווי שומה (2)'!$B$8</f>
        <v>3011800</v>
      </c>
      <c r="C39" s="191">
        <v>1</v>
      </c>
      <c r="D39" s="6">
        <f>C39*$B$8</f>
        <v>11000</v>
      </c>
    </row>
    <row r="40" spans="1:6" x14ac:dyDescent="0.35">
      <c r="A40" s="1" t="s">
        <v>153</v>
      </c>
      <c r="B40" s="6">
        <f>B39*70%</f>
        <v>2108260</v>
      </c>
      <c r="C40" s="191">
        <v>0.7</v>
      </c>
      <c r="D40" s="6">
        <f>C40*$B$8</f>
        <v>7699.9999999999991</v>
      </c>
    </row>
    <row r="41" spans="1:6" x14ac:dyDescent="0.35">
      <c r="C41" s="75"/>
    </row>
    <row r="42" spans="1:6" x14ac:dyDescent="0.35">
      <c r="A42" s="1" t="s">
        <v>143</v>
      </c>
      <c r="B42" s="6">
        <f>B39-B40</f>
        <v>903540</v>
      </c>
      <c r="C42" s="191">
        <f>C39-C40</f>
        <v>0.30000000000000004</v>
      </c>
      <c r="D42" s="6">
        <f>C42*$B$8</f>
        <v>3300.0000000000005</v>
      </c>
      <c r="F42" s="6"/>
    </row>
    <row r="43" spans="1:6" x14ac:dyDescent="0.35">
      <c r="A43" s="1" t="s">
        <v>144</v>
      </c>
      <c r="B43" s="6">
        <f>B42*50%</f>
        <v>451770</v>
      </c>
      <c r="C43" s="191">
        <f>C42*50%</f>
        <v>0.15000000000000002</v>
      </c>
      <c r="D43" s="6">
        <f>C43*$B$8</f>
        <v>1650.0000000000002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F8:K39"/>
  <sheetViews>
    <sheetView rightToLeft="1" tabSelected="1" workbookViewId="0">
      <selection activeCell="K36" sqref="K36"/>
    </sheetView>
  </sheetViews>
  <sheetFormatPr defaultRowHeight="13.8" x14ac:dyDescent="0.25"/>
  <cols>
    <col min="6" max="6" width="17.59765625" bestFit="1" customWidth="1"/>
    <col min="7" max="7" width="11.3984375" customWidth="1"/>
    <col min="10" max="10" width="18.69921875" bestFit="1" customWidth="1"/>
  </cols>
  <sheetData>
    <row r="8" spans="6:11" ht="14.4" thickBot="1" x14ac:dyDescent="0.3"/>
    <row r="9" spans="6:11" ht="14.4" thickBot="1" x14ac:dyDescent="0.3">
      <c r="F9" s="324" t="s">
        <v>296</v>
      </c>
      <c r="G9" s="325"/>
      <c r="H9" s="325"/>
      <c r="I9" s="325"/>
      <c r="J9" s="325"/>
      <c r="K9" s="326"/>
    </row>
    <row r="10" spans="6:11" x14ac:dyDescent="0.25">
      <c r="F10" s="327" t="s">
        <v>205</v>
      </c>
      <c r="G10" s="328"/>
      <c r="H10" s="331" t="s">
        <v>298</v>
      </c>
      <c r="I10" s="332"/>
      <c r="J10" s="327" t="s">
        <v>297</v>
      </c>
      <c r="K10" s="328"/>
    </row>
    <row r="11" spans="6:11" ht="14.4" thickBot="1" x14ac:dyDescent="0.3">
      <c r="F11" s="329"/>
      <c r="G11" s="330"/>
      <c r="H11" s="333"/>
      <c r="I11" s="334"/>
      <c r="J11" s="329"/>
      <c r="K11" s="330"/>
    </row>
    <row r="12" spans="6:11" x14ac:dyDescent="0.25">
      <c r="F12" s="316" t="s">
        <v>206</v>
      </c>
      <c r="G12" s="317"/>
      <c r="H12" s="320">
        <v>330000</v>
      </c>
      <c r="I12" s="320"/>
      <c r="J12" s="320">
        <v>3600000</v>
      </c>
      <c r="K12" s="322"/>
    </row>
    <row r="13" spans="6:11" x14ac:dyDescent="0.25">
      <c r="F13" s="318"/>
      <c r="G13" s="319"/>
      <c r="H13" s="321"/>
      <c r="I13" s="321"/>
      <c r="J13" s="321"/>
      <c r="K13" s="323"/>
    </row>
    <row r="14" spans="6:11" x14ac:dyDescent="0.25">
      <c r="F14" s="318" t="s">
        <v>207</v>
      </c>
      <c r="G14" s="319"/>
      <c r="H14" s="321">
        <v>2000000</v>
      </c>
      <c r="I14" s="321"/>
      <c r="J14" s="319" t="s">
        <v>208</v>
      </c>
      <c r="K14" s="335"/>
    </row>
    <row r="15" spans="6:11" x14ac:dyDescent="0.25">
      <c r="F15" s="318"/>
      <c r="G15" s="319"/>
      <c r="H15" s="321"/>
      <c r="I15" s="321"/>
      <c r="J15" s="319"/>
      <c r="K15" s="335"/>
    </row>
    <row r="16" spans="6:11" x14ac:dyDescent="0.25">
      <c r="F16" s="318" t="s">
        <v>209</v>
      </c>
      <c r="G16" s="319"/>
      <c r="H16" s="336">
        <f>(H14+H12)*0.06</f>
        <v>139800</v>
      </c>
      <c r="I16" s="336"/>
      <c r="J16" s="336">
        <f>J12*0.06</f>
        <v>216000</v>
      </c>
      <c r="K16" s="337"/>
    </row>
    <row r="17" spans="6:11" x14ac:dyDescent="0.25">
      <c r="F17" s="318"/>
      <c r="G17" s="319"/>
      <c r="H17" s="336"/>
      <c r="I17" s="336"/>
      <c r="J17" s="336"/>
      <c r="K17" s="337"/>
    </row>
    <row r="18" spans="6:11" x14ac:dyDescent="0.25">
      <c r="F18" s="318" t="s">
        <v>210</v>
      </c>
      <c r="G18" s="319"/>
      <c r="H18" s="336">
        <v>1030000</v>
      </c>
      <c r="I18" s="336"/>
      <c r="J18" s="319" t="s">
        <v>208</v>
      </c>
      <c r="K18" s="335"/>
    </row>
    <row r="19" spans="6:11" x14ac:dyDescent="0.25">
      <c r="F19" s="318"/>
      <c r="G19" s="319"/>
      <c r="H19" s="336"/>
      <c r="I19" s="336"/>
      <c r="J19" s="319"/>
      <c r="K19" s="335"/>
    </row>
    <row r="20" spans="6:11" x14ac:dyDescent="0.25">
      <c r="F20" s="341" t="s">
        <v>8</v>
      </c>
      <c r="G20" s="342"/>
      <c r="H20" s="343">
        <f>SUM(H12:I19)</f>
        <v>3499800</v>
      </c>
      <c r="I20" s="342"/>
      <c r="J20" s="343">
        <f>SUM(J12:K19)</f>
        <v>3816000</v>
      </c>
      <c r="K20" s="344"/>
    </row>
    <row r="21" spans="6:11" x14ac:dyDescent="0.25">
      <c r="F21" s="341"/>
      <c r="G21" s="342"/>
      <c r="H21" s="342"/>
      <c r="I21" s="342"/>
      <c r="J21" s="342"/>
      <c r="K21" s="344"/>
    </row>
    <row r="22" spans="6:11" x14ac:dyDescent="0.25">
      <c r="F22" s="318" t="s">
        <v>211</v>
      </c>
      <c r="G22" s="319"/>
      <c r="H22" s="336">
        <f>1350000+380000</f>
        <v>1730000</v>
      </c>
      <c r="I22" s="319"/>
      <c r="J22" s="336">
        <f>H22</f>
        <v>1730000</v>
      </c>
      <c r="K22" s="335"/>
    </row>
    <row r="23" spans="6:11" ht="14.4" thickBot="1" x14ac:dyDescent="0.3">
      <c r="F23" s="338"/>
      <c r="G23" s="339"/>
      <c r="H23" s="339"/>
      <c r="I23" s="339"/>
      <c r="J23" s="339"/>
      <c r="K23" s="340"/>
    </row>
    <row r="27" spans="6:11" x14ac:dyDescent="0.25">
      <c r="H27">
        <f>160+27</f>
        <v>187</v>
      </c>
    </row>
    <row r="28" spans="6:11" x14ac:dyDescent="0.25">
      <c r="H28">
        <f>H27*5500</f>
        <v>1028500</v>
      </c>
    </row>
    <row r="29" spans="6:11" x14ac:dyDescent="0.25">
      <c r="F29" t="s">
        <v>210</v>
      </c>
      <c r="J29" t="s">
        <v>210</v>
      </c>
    </row>
    <row r="30" spans="6:11" x14ac:dyDescent="0.25">
      <c r="F30" t="s">
        <v>299</v>
      </c>
      <c r="G30">
        <v>375</v>
      </c>
      <c r="J30" t="s">
        <v>299</v>
      </c>
      <c r="K30">
        <v>375</v>
      </c>
    </row>
    <row r="31" spans="6:11" x14ac:dyDescent="0.25">
      <c r="F31" t="s">
        <v>300</v>
      </c>
      <c r="G31">
        <v>11</v>
      </c>
      <c r="J31" t="s">
        <v>300</v>
      </c>
      <c r="K31">
        <v>11</v>
      </c>
    </row>
    <row r="32" spans="6:11" x14ac:dyDescent="0.25">
      <c r="F32" t="s">
        <v>301</v>
      </c>
      <c r="G32">
        <f>G31+G30</f>
        <v>386</v>
      </c>
      <c r="J32" t="s">
        <v>301</v>
      </c>
      <c r="K32">
        <f>K31+K30</f>
        <v>386</v>
      </c>
    </row>
    <row r="33" spans="6:11" x14ac:dyDescent="0.25">
      <c r="F33" t="s">
        <v>302</v>
      </c>
      <c r="G33">
        <f>-320</f>
        <v>-320</v>
      </c>
      <c r="J33" t="s">
        <v>302</v>
      </c>
      <c r="K33">
        <f>-160</f>
        <v>-160</v>
      </c>
    </row>
    <row r="34" spans="6:11" x14ac:dyDescent="0.25">
      <c r="F34" t="s">
        <v>303</v>
      </c>
      <c r="G34">
        <f>G32+G33</f>
        <v>66</v>
      </c>
      <c r="J34" t="s">
        <v>303</v>
      </c>
      <c r="K34">
        <f>K32+K33</f>
        <v>226</v>
      </c>
    </row>
    <row r="35" spans="6:11" x14ac:dyDescent="0.25">
      <c r="F35" t="s">
        <v>304</v>
      </c>
      <c r="G35">
        <v>253</v>
      </c>
      <c r="J35" t="s">
        <v>304</v>
      </c>
      <c r="K35">
        <f>253-102</f>
        <v>151</v>
      </c>
    </row>
    <row r="36" spans="6:11" x14ac:dyDescent="0.25">
      <c r="F36" t="s">
        <v>305</v>
      </c>
      <c r="G36">
        <f>G35-G34</f>
        <v>187</v>
      </c>
      <c r="J36" t="s">
        <v>305</v>
      </c>
      <c r="K36">
        <f>K35-K34</f>
        <v>-75</v>
      </c>
    </row>
    <row r="37" spans="6:11" x14ac:dyDescent="0.25">
      <c r="F37" t="s">
        <v>306</v>
      </c>
      <c r="G37">
        <v>5500</v>
      </c>
      <c r="J37" t="s">
        <v>306</v>
      </c>
      <c r="K37">
        <v>5500</v>
      </c>
    </row>
    <row r="38" spans="6:11" x14ac:dyDescent="0.25">
      <c r="F38" t="s">
        <v>307</v>
      </c>
      <c r="G38">
        <f>G36*G37</f>
        <v>1028500</v>
      </c>
      <c r="J38" t="s">
        <v>307</v>
      </c>
      <c r="K38">
        <f>K36*K37</f>
        <v>-412500</v>
      </c>
    </row>
    <row r="39" spans="6:11" x14ac:dyDescent="0.25">
      <c r="F39" t="s">
        <v>308</v>
      </c>
    </row>
  </sheetData>
  <mergeCells count="22">
    <mergeCell ref="F22:G23"/>
    <mergeCell ref="H22:I23"/>
    <mergeCell ref="J22:K23"/>
    <mergeCell ref="F18:G19"/>
    <mergeCell ref="H18:I19"/>
    <mergeCell ref="J18:K19"/>
    <mergeCell ref="F20:G21"/>
    <mergeCell ref="H20:I21"/>
    <mergeCell ref="J20:K21"/>
    <mergeCell ref="F14:G15"/>
    <mergeCell ref="H14:I15"/>
    <mergeCell ref="J14:K15"/>
    <mergeCell ref="F16:G17"/>
    <mergeCell ref="H16:I17"/>
    <mergeCell ref="J16:K17"/>
    <mergeCell ref="F12:G13"/>
    <mergeCell ref="H12:I13"/>
    <mergeCell ref="J12:K13"/>
    <mergeCell ref="F9:K9"/>
    <mergeCell ref="F10:G11"/>
    <mergeCell ref="H10:I11"/>
    <mergeCell ref="J10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110"/>
  <sheetViews>
    <sheetView rightToLeft="1" topLeftCell="A78" workbookViewId="0">
      <selection activeCell="H107" sqref="G107:H107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2.3984375" bestFit="1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52</v>
      </c>
      <c r="B4" s="19">
        <v>475</v>
      </c>
      <c r="C4" s="20">
        <v>1</v>
      </c>
      <c r="D4" s="21">
        <f>C4*B4</f>
        <v>475</v>
      </c>
      <c r="F4" s="18" t="str">
        <f t="shared" ref="F4:H7" si="0">A4</f>
        <v>עיקרי</v>
      </c>
      <c r="G4" s="19">
        <f t="shared" si="0"/>
        <v>475</v>
      </c>
      <c r="H4" s="20">
        <f t="shared" si="0"/>
        <v>1</v>
      </c>
      <c r="I4" s="21">
        <f>H4*G4</f>
        <v>475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90</v>
      </c>
      <c r="B6" s="19">
        <f>60-B5</f>
        <v>24</v>
      </c>
      <c r="C6" s="20">
        <v>0.5</v>
      </c>
      <c r="D6" s="21">
        <f>C6*B6</f>
        <v>12</v>
      </c>
      <c r="F6" s="18" t="str">
        <f t="shared" si="0"/>
        <v>יתרת ש"ש</v>
      </c>
      <c r="G6" s="19">
        <f t="shared" si="0"/>
        <v>24</v>
      </c>
      <c r="H6" s="20">
        <f t="shared" si="0"/>
        <v>0.5</v>
      </c>
      <c r="I6" s="21">
        <f>H6*G6</f>
        <v>12</v>
      </c>
    </row>
    <row r="7" spans="1:10" x14ac:dyDescent="0.25">
      <c r="A7" s="18" t="s">
        <v>284</v>
      </c>
      <c r="B7" s="19">
        <v>180</v>
      </c>
      <c r="C7" s="20">
        <v>0.4</v>
      </c>
      <c r="D7" s="21">
        <f>C7*B7</f>
        <v>72</v>
      </c>
      <c r="F7" s="18" t="str">
        <f t="shared" si="0"/>
        <v>מרתפים</v>
      </c>
      <c r="G7" s="19">
        <f t="shared" si="0"/>
        <v>180</v>
      </c>
      <c r="H7" s="20">
        <f t="shared" si="0"/>
        <v>0.4</v>
      </c>
      <c r="I7" s="21">
        <f>H7*G7</f>
        <v>72</v>
      </c>
    </row>
    <row r="8" spans="1:10" x14ac:dyDescent="0.25">
      <c r="A8" s="22" t="s">
        <v>24</v>
      </c>
      <c r="B8" s="23">
        <f>SUM(B4:B6)</f>
        <v>535</v>
      </c>
      <c r="C8" s="24"/>
      <c r="D8" s="25"/>
      <c r="E8" s="91"/>
      <c r="F8" s="22" t="s">
        <v>24</v>
      </c>
      <c r="G8" s="23">
        <f>SUM(G4:G7)</f>
        <v>715</v>
      </c>
      <c r="H8" s="24"/>
      <c r="I8" s="25"/>
    </row>
    <row r="9" spans="1:10" x14ac:dyDescent="0.25">
      <c r="A9" s="26" t="s">
        <v>25</v>
      </c>
      <c r="B9" s="27">
        <f>B2-B8</f>
        <v>1965</v>
      </c>
      <c r="C9" s="28"/>
      <c r="D9" s="29"/>
      <c r="F9" s="26" t="s">
        <v>25</v>
      </c>
      <c r="G9" s="27">
        <f>G2-G8</f>
        <v>2285</v>
      </c>
      <c r="H9" s="28"/>
      <c r="I9" s="29"/>
    </row>
    <row r="10" spans="1:10" x14ac:dyDescent="0.25">
      <c r="A10" s="22" t="s">
        <v>26</v>
      </c>
      <c r="B10" s="23">
        <v>1000</v>
      </c>
      <c r="C10" s="24">
        <v>0.25</v>
      </c>
      <c r="D10" s="25">
        <f>C10*B10</f>
        <v>250</v>
      </c>
      <c r="F10" s="22" t="s">
        <v>26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27</v>
      </c>
      <c r="B11" s="19">
        <f>B9-B10</f>
        <v>965</v>
      </c>
      <c r="C11" s="20">
        <v>0.2</v>
      </c>
      <c r="D11" s="21">
        <f>C11*B11</f>
        <v>193</v>
      </c>
      <c r="F11" s="18" t="s">
        <v>27</v>
      </c>
      <c r="G11" s="19">
        <f>B11</f>
        <v>965</v>
      </c>
      <c r="H11" s="20">
        <v>0.2</v>
      </c>
      <c r="I11" s="21">
        <f>H11*G11</f>
        <v>193</v>
      </c>
    </row>
    <row r="12" spans="1:10" x14ac:dyDescent="0.25">
      <c r="A12" s="18"/>
      <c r="B12" s="19"/>
      <c r="C12" s="20"/>
      <c r="D12" s="21"/>
      <c r="F12" s="18" t="s">
        <v>66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28</v>
      </c>
      <c r="B13" s="31">
        <f>SUM(B4:B11)</f>
        <v>5180</v>
      </c>
      <c r="C13" s="32"/>
      <c r="D13" s="33">
        <f>SUM(D4:D12)</f>
        <v>1034.4000000000001</v>
      </c>
      <c r="F13" s="30" t="s">
        <v>28</v>
      </c>
      <c r="G13" s="31">
        <f>SUM(G4:G11)</f>
        <v>5680</v>
      </c>
      <c r="H13" s="32"/>
      <c r="I13" s="33">
        <f>SUM(I4:I12)</f>
        <v>1084.4000000000001</v>
      </c>
      <c r="J13" s="74"/>
    </row>
    <row r="14" spans="1:10" ht="14.4" thickBot="1" x14ac:dyDescent="0.3">
      <c r="A14" s="34" t="s">
        <v>29</v>
      </c>
      <c r="B14" s="35"/>
      <c r="C14" s="36"/>
      <c r="D14" s="37">
        <f>D13</f>
        <v>1034.4000000000001</v>
      </c>
      <c r="E14" s="72"/>
      <c r="F14" s="34" t="s">
        <v>29</v>
      </c>
      <c r="G14" s="35"/>
      <c r="H14" s="36"/>
      <c r="I14" s="37">
        <f>I13</f>
        <v>1084.4000000000001</v>
      </c>
    </row>
    <row r="15" spans="1:10" x14ac:dyDescent="0.25">
      <c r="A15" t="s">
        <v>62</v>
      </c>
      <c r="D15" s="17">
        <v>247000</v>
      </c>
      <c r="F15" t="s">
        <v>62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/>
      <c r="B17" s="11"/>
      <c r="C17" s="12"/>
      <c r="D17" s="13"/>
      <c r="I17" s="17"/>
    </row>
    <row r="18" spans="1:9" x14ac:dyDescent="0.25">
      <c r="A18" s="14"/>
      <c r="B18" s="15"/>
      <c r="C18" s="15"/>
      <c r="D18" s="16"/>
      <c r="I18" s="17"/>
    </row>
    <row r="19" spans="1:9" x14ac:dyDescent="0.25">
      <c r="A19" s="18"/>
      <c r="B19" s="19"/>
      <c r="C19" s="20"/>
      <c r="D19" s="21"/>
      <c r="I19" s="17"/>
    </row>
    <row r="20" spans="1:9" x14ac:dyDescent="0.25">
      <c r="A20" s="18"/>
      <c r="B20" s="19"/>
      <c r="C20" s="20"/>
      <c r="D20" s="21"/>
      <c r="I20" s="17"/>
    </row>
    <row r="21" spans="1:9" x14ac:dyDescent="0.25">
      <c r="A21" s="18"/>
      <c r="B21" s="19"/>
      <c r="C21" s="20"/>
      <c r="D21" s="21"/>
      <c r="I21" s="17"/>
    </row>
    <row r="22" spans="1:9" x14ac:dyDescent="0.25">
      <c r="A22" s="18"/>
      <c r="B22" s="19"/>
      <c r="C22" s="20"/>
      <c r="D22" s="21"/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/>
      <c r="B25" s="23"/>
      <c r="C25" s="24"/>
      <c r="D25" s="25"/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/>
      <c r="B27" s="31"/>
      <c r="C27" s="32"/>
      <c r="D27" s="33"/>
      <c r="I27" s="17"/>
    </row>
    <row r="28" spans="1:9" ht="14.4" thickBot="1" x14ac:dyDescent="0.3">
      <c r="A28" s="34"/>
      <c r="B28" s="35"/>
      <c r="C28" s="36"/>
      <c r="D28" s="37"/>
      <c r="I28" s="17"/>
    </row>
    <row r="29" spans="1:9" ht="14.4" thickBot="1" x14ac:dyDescent="0.3">
      <c r="D29" s="17"/>
      <c r="I29" s="17"/>
    </row>
    <row r="30" spans="1:9" ht="14.4" thickBot="1" x14ac:dyDescent="0.3">
      <c r="A30" s="346" t="s">
        <v>198</v>
      </c>
      <c r="B30" s="347"/>
      <c r="C30" s="347"/>
      <c r="D30" s="348"/>
      <c r="I30" s="17"/>
    </row>
    <row r="31" spans="1:9" x14ac:dyDescent="0.25">
      <c r="A31" s="214" t="s">
        <v>199</v>
      </c>
      <c r="B31" s="12"/>
      <c r="C31" s="12"/>
      <c r="D31" s="215"/>
      <c r="I31" s="17"/>
    </row>
    <row r="32" spans="1:9" x14ac:dyDescent="0.25">
      <c r="A32" s="18" t="s">
        <v>200</v>
      </c>
      <c r="D32" s="216">
        <v>160</v>
      </c>
      <c r="I32" s="17"/>
    </row>
    <row r="33" spans="1:25" ht="14.4" thickBot="1" x14ac:dyDescent="0.3">
      <c r="A33" s="101" t="s">
        <v>201</v>
      </c>
      <c r="B33" s="103"/>
      <c r="C33" s="103"/>
      <c r="D33" s="217"/>
      <c r="I33" s="17"/>
    </row>
    <row r="34" spans="1:25" x14ac:dyDescent="0.25">
      <c r="A34" s="10" t="s">
        <v>202</v>
      </c>
      <c r="B34" s="12"/>
      <c r="C34" s="12"/>
      <c r="D34" s="215">
        <v>171</v>
      </c>
      <c r="I34" s="17"/>
    </row>
    <row r="35" spans="1:25" x14ac:dyDescent="0.25">
      <c r="A35" s="18" t="s">
        <v>200</v>
      </c>
      <c r="D35" s="216">
        <v>160</v>
      </c>
      <c r="I35" s="17"/>
    </row>
    <row r="36" spans="1:25" ht="14.4" thickBot="1" x14ac:dyDescent="0.3">
      <c r="A36" s="101" t="s">
        <v>201</v>
      </c>
      <c r="B36" s="103"/>
      <c r="C36" s="103"/>
      <c r="D36" s="217">
        <f>D34-D35</f>
        <v>11</v>
      </c>
      <c r="I36" s="17"/>
    </row>
    <row r="37" spans="1:25" ht="14.4" thickBot="1" x14ac:dyDescent="0.3">
      <c r="A37" s="18"/>
      <c r="D37" s="216"/>
      <c r="I37" s="17"/>
    </row>
    <row r="38" spans="1:25" ht="14.4" thickBot="1" x14ac:dyDescent="0.3">
      <c r="A38" s="218" t="s">
        <v>203</v>
      </c>
      <c r="B38" s="219"/>
      <c r="C38" s="219"/>
      <c r="D38" s="220">
        <f>D36+D33</f>
        <v>11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204</v>
      </c>
      <c r="D41" s="17">
        <f>D14+D28-D38</f>
        <v>1023.4000000000001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151</v>
      </c>
      <c r="O46" s="221" t="s">
        <v>212</v>
      </c>
      <c r="P46" s="222" t="s">
        <v>213</v>
      </c>
      <c r="Q46" s="222" t="s">
        <v>214</v>
      </c>
      <c r="R46" s="222" t="s">
        <v>215</v>
      </c>
      <c r="S46" s="223" t="s">
        <v>216</v>
      </c>
      <c r="T46" s="221" t="s">
        <v>217</v>
      </c>
      <c r="U46" s="224" t="s">
        <v>218</v>
      </c>
      <c r="V46" s="221" t="s">
        <v>219</v>
      </c>
      <c r="W46" s="224" t="s">
        <v>220</v>
      </c>
      <c r="X46" s="221" t="s">
        <v>219</v>
      </c>
      <c r="Y46" s="224" t="s">
        <v>209</v>
      </c>
    </row>
    <row r="47" spans="1:25" x14ac:dyDescent="0.25">
      <c r="A47" s="10" t="s">
        <v>48</v>
      </c>
      <c r="B47" s="99">
        <v>350</v>
      </c>
      <c r="C47" s="12" t="s">
        <v>68</v>
      </c>
      <c r="D47" s="13"/>
      <c r="F47" s="10" t="s">
        <v>55</v>
      </c>
      <c r="G47" s="12"/>
      <c r="H47" s="12"/>
      <c r="I47" s="13"/>
      <c r="J47" t="s">
        <v>58</v>
      </c>
      <c r="O47" s="349" t="s">
        <v>221</v>
      </c>
      <c r="P47" s="225" t="s">
        <v>14</v>
      </c>
      <c r="Q47" s="225">
        <v>300</v>
      </c>
      <c r="R47" s="225">
        <v>160</v>
      </c>
      <c r="S47" s="226">
        <f>Q47-R47</f>
        <v>140</v>
      </c>
      <c r="T47" s="227">
        <v>3000</v>
      </c>
      <c r="U47" s="228">
        <f>S47*T47</f>
        <v>420000</v>
      </c>
      <c r="V47" s="227">
        <v>0</v>
      </c>
      <c r="W47" s="228">
        <f>S47*V47</f>
        <v>0</v>
      </c>
      <c r="X47" s="229">
        <v>0</v>
      </c>
      <c r="Y47" s="228">
        <v>0</v>
      </c>
    </row>
    <row r="48" spans="1:25" x14ac:dyDescent="0.25">
      <c r="A48" s="22" t="s">
        <v>49</v>
      </c>
      <c r="B48" s="40">
        <v>200</v>
      </c>
      <c r="C48" s="24">
        <v>1</v>
      </c>
      <c r="D48" s="25">
        <f t="shared" ref="D48:D51" si="1">B48*C48</f>
        <v>200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51"/>
      <c r="P48" s="230" t="s">
        <v>15</v>
      </c>
      <c r="Q48" s="230">
        <v>197</v>
      </c>
      <c r="R48" s="230">
        <v>160</v>
      </c>
      <c r="S48" s="231">
        <f>Q48-R48</f>
        <v>37</v>
      </c>
      <c r="T48" s="232">
        <v>3000</v>
      </c>
      <c r="U48" s="233">
        <f>S48*T48</f>
        <v>111000</v>
      </c>
      <c r="V48" s="232">
        <v>0</v>
      </c>
      <c r="W48" s="233">
        <v>0</v>
      </c>
      <c r="X48" s="234">
        <v>0</v>
      </c>
      <c r="Y48" s="233">
        <v>0</v>
      </c>
    </row>
    <row r="49" spans="1:25" x14ac:dyDescent="0.25">
      <c r="A49" s="18"/>
      <c r="B49" s="19"/>
      <c r="C49" s="20"/>
      <c r="D49" s="21">
        <f t="shared" si="1"/>
        <v>0</v>
      </c>
      <c r="F49" s="18" t="s">
        <v>50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51"/>
      <c r="P49" s="230" t="s">
        <v>222</v>
      </c>
      <c r="Q49" s="230">
        <v>130</v>
      </c>
      <c r="R49" s="230">
        <v>0</v>
      </c>
      <c r="S49" s="231">
        <f>Q49-R49</f>
        <v>130</v>
      </c>
      <c r="T49" s="232">
        <v>3000</v>
      </c>
      <c r="U49" s="233">
        <f>S49*T49</f>
        <v>390000</v>
      </c>
      <c r="V49" s="232">
        <v>0</v>
      </c>
      <c r="W49" s="233">
        <v>0</v>
      </c>
      <c r="X49" s="234">
        <v>0</v>
      </c>
      <c r="Y49" s="233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56</v>
      </c>
      <c r="G50" s="108"/>
      <c r="H50" s="108"/>
      <c r="I50" s="109">
        <f>I48+I49</f>
        <v>207.5</v>
      </c>
      <c r="J50" s="17">
        <f>'ניתוח איזור לעסקאות דמה'!P18</f>
        <v>11900.953864675377</v>
      </c>
      <c r="K50" s="17">
        <f>I50*J50</f>
        <v>2469447.9269201406</v>
      </c>
      <c r="L50" s="110">
        <v>0.29249999999999998</v>
      </c>
      <c r="M50" s="91">
        <f>K50*L50</f>
        <v>722313.51862414111</v>
      </c>
      <c r="O50" s="351"/>
      <c r="P50" s="235" t="s">
        <v>223</v>
      </c>
      <c r="Q50" s="235">
        <v>55</v>
      </c>
      <c r="R50" s="235">
        <v>0</v>
      </c>
      <c r="S50" s="236">
        <f>Q50-R50</f>
        <v>55</v>
      </c>
      <c r="T50" s="237">
        <v>3000</v>
      </c>
      <c r="U50" s="238">
        <f>S50*T50</f>
        <v>165000</v>
      </c>
      <c r="V50" s="237">
        <v>0</v>
      </c>
      <c r="W50" s="238">
        <v>0</v>
      </c>
      <c r="X50" s="239">
        <v>0</v>
      </c>
      <c r="Y50" s="238">
        <v>0</v>
      </c>
    </row>
    <row r="51" spans="1:25" ht="15" thickTop="1" thickBot="1" x14ac:dyDescent="0.3">
      <c r="A51" s="18" t="s">
        <v>90</v>
      </c>
      <c r="B51" s="19">
        <f>24/3</f>
        <v>8</v>
      </c>
      <c r="C51" s="20">
        <v>0.5</v>
      </c>
      <c r="D51" s="21">
        <f t="shared" si="1"/>
        <v>4</v>
      </c>
      <c r="E51" s="91"/>
      <c r="F51" s="101" t="s">
        <v>57</v>
      </c>
      <c r="G51" s="103"/>
      <c r="H51" s="103"/>
      <c r="I51" s="104">
        <f>D57-I50</f>
        <v>66.300000000000011</v>
      </c>
      <c r="J51" s="17">
        <f>J50</f>
        <v>11900.953864675377</v>
      </c>
      <c r="K51" s="17">
        <f>I51*J51</f>
        <v>789033.24122797768</v>
      </c>
      <c r="L51" s="110">
        <v>0.33</v>
      </c>
      <c r="M51" s="91">
        <f>K51*L51</f>
        <v>260380.96960523265</v>
      </c>
      <c r="O51" s="350"/>
      <c r="P51" s="352" t="s">
        <v>8</v>
      </c>
      <c r="Q51" s="353"/>
      <c r="R51" s="354"/>
      <c r="S51" s="240">
        <f>SUM(S47:S50)</f>
        <v>362</v>
      </c>
      <c r="T51" s="241">
        <v>3000</v>
      </c>
      <c r="U51" s="242">
        <f>SUM(U47:U50)</f>
        <v>1086000</v>
      </c>
      <c r="V51" s="241">
        <v>0</v>
      </c>
      <c r="W51" s="242">
        <v>0</v>
      </c>
      <c r="X51" s="243">
        <v>0</v>
      </c>
      <c r="Y51" s="242">
        <v>0</v>
      </c>
    </row>
    <row r="52" spans="1:25" x14ac:dyDescent="0.25">
      <c r="A52" s="18"/>
      <c r="B52" s="19"/>
      <c r="C52" s="20"/>
      <c r="D52" s="21"/>
      <c r="M52" s="91">
        <f>SUM(M50:M51)</f>
        <v>982694.4882293737</v>
      </c>
      <c r="O52" s="316" t="s">
        <v>224</v>
      </c>
      <c r="P52" s="225" t="s">
        <v>224</v>
      </c>
      <c r="Q52" s="244">
        <v>3.7499999999999999E-2</v>
      </c>
      <c r="R52" s="245"/>
      <c r="S52" s="226">
        <v>375</v>
      </c>
      <c r="T52" s="246">
        <v>240000</v>
      </c>
      <c r="U52" s="247">
        <f>T52</f>
        <v>240000</v>
      </c>
      <c r="V52" s="246">
        <v>0</v>
      </c>
      <c r="W52" s="247">
        <v>0</v>
      </c>
      <c r="X52" s="248">
        <v>0.06</v>
      </c>
      <c r="Y52" s="247">
        <f>U52*6%</f>
        <v>14400</v>
      </c>
    </row>
    <row r="53" spans="1:25" ht="14.4" thickBot="1" x14ac:dyDescent="0.3">
      <c r="A53" s="100"/>
      <c r="B53" s="71"/>
      <c r="C53" s="28"/>
      <c r="D53" s="29"/>
      <c r="O53" s="338"/>
      <c r="P53" s="249" t="s">
        <v>225</v>
      </c>
      <c r="Q53" s="249"/>
      <c r="R53" s="249"/>
      <c r="S53" s="250">
        <f>SUM(S51:S52)</f>
        <v>737</v>
      </c>
      <c r="T53" s="251"/>
      <c r="U53" s="252"/>
      <c r="V53" s="251"/>
      <c r="W53" s="252"/>
      <c r="X53" s="253"/>
      <c r="Y53" s="252">
        <v>0</v>
      </c>
    </row>
    <row r="54" spans="1:25" x14ac:dyDescent="0.25">
      <c r="A54" s="22" t="s">
        <v>24</v>
      </c>
      <c r="B54" s="23">
        <f>(B48+B50)/2+B51</f>
        <v>114</v>
      </c>
      <c r="C54" s="24"/>
      <c r="D54" s="25"/>
      <c r="O54" s="349" t="s">
        <v>167</v>
      </c>
      <c r="P54" s="225" t="s">
        <v>226</v>
      </c>
      <c r="Q54" s="254"/>
      <c r="R54" s="245"/>
      <c r="S54" s="226">
        <v>-160</v>
      </c>
      <c r="T54" s="227">
        <v>950000</v>
      </c>
      <c r="U54" s="228">
        <f>T54</f>
        <v>950000</v>
      </c>
      <c r="V54" s="227">
        <v>450000</v>
      </c>
      <c r="W54" s="228">
        <f>V54</f>
        <v>450000</v>
      </c>
      <c r="X54" s="229">
        <v>0.06</v>
      </c>
      <c r="Y54" s="228">
        <f>U54*6%</f>
        <v>57000</v>
      </c>
    </row>
    <row r="55" spans="1:25" ht="14.4" thickBot="1" x14ac:dyDescent="0.3">
      <c r="A55" s="18" t="s">
        <v>25</v>
      </c>
      <c r="B55" s="19">
        <f>B47-B54</f>
        <v>236</v>
      </c>
      <c r="C55" s="20"/>
      <c r="D55" s="21"/>
      <c r="O55" s="350"/>
      <c r="P55" s="249" t="s">
        <v>227</v>
      </c>
      <c r="Q55" s="249"/>
      <c r="R55" s="249"/>
      <c r="S55" s="250">
        <f>SUM(S53:S54)</f>
        <v>577</v>
      </c>
      <c r="T55" s="251"/>
      <c r="U55" s="252"/>
      <c r="V55" s="251"/>
      <c r="W55" s="252"/>
      <c r="X55" s="253"/>
      <c r="Y55" s="252"/>
    </row>
    <row r="56" spans="1:25" x14ac:dyDescent="0.25">
      <c r="A56" s="26" t="s">
        <v>26</v>
      </c>
      <c r="B56" s="105">
        <f>B55</f>
        <v>236</v>
      </c>
      <c r="C56" s="106">
        <v>0.25</v>
      </c>
      <c r="D56" s="107">
        <f>B56*C56</f>
        <v>59</v>
      </c>
      <c r="O56" s="349" t="s">
        <v>228</v>
      </c>
      <c r="P56" s="225" t="s">
        <v>229</v>
      </c>
      <c r="Q56" s="225"/>
      <c r="R56" s="225"/>
      <c r="S56" s="226">
        <f>-Q48-Q49-Q50</f>
        <v>-382</v>
      </c>
      <c r="T56" s="227"/>
      <c r="U56" s="228"/>
      <c r="V56" s="227"/>
      <c r="W56" s="228">
        <v>0</v>
      </c>
      <c r="X56" s="229">
        <v>0</v>
      </c>
      <c r="Y56" s="228">
        <v>0</v>
      </c>
    </row>
    <row r="57" spans="1:25" ht="14.4" thickBot="1" x14ac:dyDescent="0.3">
      <c r="A57" s="101" t="s">
        <v>28</v>
      </c>
      <c r="B57" s="102"/>
      <c r="C57" s="103"/>
      <c r="D57" s="104">
        <f>SUM(D48:D56)</f>
        <v>273.8</v>
      </c>
      <c r="F57" s="91"/>
      <c r="O57" s="350"/>
      <c r="P57" s="249" t="s">
        <v>230</v>
      </c>
      <c r="Q57" s="249"/>
      <c r="R57" s="249"/>
      <c r="S57" s="250">
        <f>SUM(S55:S56)</f>
        <v>195</v>
      </c>
      <c r="T57" s="251">
        <v>0</v>
      </c>
      <c r="U57" s="252">
        <v>0</v>
      </c>
      <c r="V57" s="251"/>
      <c r="W57" s="252">
        <v>0</v>
      </c>
      <c r="X57" s="253">
        <v>0</v>
      </c>
      <c r="Y57" s="252">
        <v>0</v>
      </c>
    </row>
    <row r="58" spans="1:25" ht="14.4" thickBot="1" x14ac:dyDescent="0.3">
      <c r="A58" s="18" t="s">
        <v>69</v>
      </c>
      <c r="B58" s="19"/>
      <c r="D58" s="91">
        <v>100000</v>
      </c>
      <c r="T58" s="218" t="s">
        <v>218</v>
      </c>
      <c r="U58" s="255">
        <f>SUM(U51:U57)</f>
        <v>2276000</v>
      </c>
      <c r="V58" s="219" t="s">
        <v>231</v>
      </c>
      <c r="W58" s="255">
        <f>SUM(W47:W57)</f>
        <v>450000</v>
      </c>
      <c r="X58" s="219" t="s">
        <v>232</v>
      </c>
      <c r="Y58" s="256">
        <f>SUM(Y51:Y57)</f>
        <v>71400</v>
      </c>
    </row>
    <row r="60" spans="1:25" ht="14.4" thickBot="1" x14ac:dyDescent="0.3">
      <c r="A60" t="s">
        <v>89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30</v>
      </c>
      <c r="B64">
        <v>55</v>
      </c>
      <c r="C64">
        <v>1</v>
      </c>
      <c r="D64" s="21">
        <f t="shared" si="2"/>
        <v>55</v>
      </c>
      <c r="F64" s="18" t="s">
        <v>30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24</v>
      </c>
      <c r="B65" s="40">
        <f>SUM(B62:B64)</f>
        <v>375</v>
      </c>
      <c r="D65" s="21"/>
      <c r="F65" s="18" t="s">
        <v>24</v>
      </c>
      <c r="G65" s="40">
        <f>SUM(G62:G64)</f>
        <v>375</v>
      </c>
      <c r="I65" s="21"/>
    </row>
    <row r="66" spans="1:9" x14ac:dyDescent="0.25">
      <c r="A66" s="18" t="s">
        <v>31</v>
      </c>
      <c r="B66">
        <v>1125</v>
      </c>
      <c r="C66" s="20">
        <v>0.25</v>
      </c>
      <c r="D66" s="21">
        <f t="shared" si="2"/>
        <v>281.25</v>
      </c>
      <c r="F66" s="18" t="s">
        <v>31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51</v>
      </c>
      <c r="B67">
        <f>B60-B65-B66</f>
        <v>1000</v>
      </c>
      <c r="C67" s="20">
        <v>0.15</v>
      </c>
      <c r="D67" s="21">
        <f t="shared" si="2"/>
        <v>150</v>
      </c>
      <c r="F67" s="18" t="s">
        <v>51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67</v>
      </c>
      <c r="G68">
        <v>500</v>
      </c>
      <c r="H68" s="20">
        <v>0.1</v>
      </c>
      <c r="I68" s="128">
        <f>G68*H68</f>
        <v>50</v>
      </c>
    </row>
    <row r="69" spans="1:9" x14ac:dyDescent="0.25">
      <c r="A69" s="43" t="s">
        <v>28</v>
      </c>
      <c r="B69" s="40">
        <f>SUM(B62:B67)</f>
        <v>2875</v>
      </c>
      <c r="C69" s="40"/>
      <c r="D69" s="44">
        <f>SUM(D62:D67)</f>
        <v>806.25</v>
      </c>
      <c r="F69" s="43" t="s">
        <v>28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29</v>
      </c>
      <c r="B70" s="45"/>
      <c r="C70" s="45"/>
      <c r="D70" s="46">
        <f>D69</f>
        <v>806.25</v>
      </c>
      <c r="E70" s="72"/>
      <c r="F70" s="34" t="s">
        <v>29</v>
      </c>
      <c r="G70" s="45"/>
      <c r="H70" s="45"/>
      <c r="I70" s="46">
        <f>I69</f>
        <v>856.25</v>
      </c>
    </row>
    <row r="71" spans="1:9" x14ac:dyDescent="0.25">
      <c r="A71" t="s">
        <v>62</v>
      </c>
      <c r="D71" s="17">
        <v>175000</v>
      </c>
      <c r="F71" t="s">
        <v>62</v>
      </c>
      <c r="I71" s="17">
        <v>190000</v>
      </c>
    </row>
    <row r="76" spans="1:9" x14ac:dyDescent="0.25">
      <c r="A76" s="306" t="s">
        <v>285</v>
      </c>
    </row>
    <row r="77" spans="1:9" x14ac:dyDescent="0.25">
      <c r="A77" t="s">
        <v>286</v>
      </c>
    </row>
    <row r="78" spans="1:9" x14ac:dyDescent="0.25">
      <c r="A78" t="s">
        <v>252</v>
      </c>
      <c r="B78" t="s">
        <v>253</v>
      </c>
      <c r="C78" t="s">
        <v>21</v>
      </c>
      <c r="D78" t="s">
        <v>8</v>
      </c>
    </row>
    <row r="79" spans="1:9" x14ac:dyDescent="0.25">
      <c r="A79" t="s">
        <v>287</v>
      </c>
      <c r="B79">
        <v>350</v>
      </c>
      <c r="C79">
        <v>0.15</v>
      </c>
      <c r="D79">
        <f>C79*B79</f>
        <v>52.5</v>
      </c>
    </row>
    <row r="80" spans="1:9" x14ac:dyDescent="0.25">
      <c r="A80" s="345" t="s">
        <v>289</v>
      </c>
      <c r="B80" s="345"/>
      <c r="C80" s="345"/>
      <c r="D80">
        <f>'ניתוח איזור לעסקאות דמה'!P21</f>
        <v>11000</v>
      </c>
    </row>
    <row r="81" spans="1:4" x14ac:dyDescent="0.25">
      <c r="A81" s="345" t="s">
        <v>290</v>
      </c>
      <c r="B81" s="345"/>
      <c r="C81" s="345"/>
      <c r="D81">
        <f>D80*D79</f>
        <v>577500</v>
      </c>
    </row>
    <row r="84" spans="1:4" x14ac:dyDescent="0.25">
      <c r="A84" t="s">
        <v>288</v>
      </c>
    </row>
    <row r="85" spans="1:4" x14ac:dyDescent="0.25">
      <c r="A85" t="s">
        <v>252</v>
      </c>
      <c r="B85" t="s">
        <v>253</v>
      </c>
      <c r="C85" t="s">
        <v>21</v>
      </c>
      <c r="D85" t="s">
        <v>8</v>
      </c>
    </row>
    <row r="86" spans="1:4" x14ac:dyDescent="0.25">
      <c r="A86" s="345" t="s">
        <v>256</v>
      </c>
      <c r="B86" s="345"/>
      <c r="C86" s="345"/>
      <c r="D86" s="91">
        <f>D57</f>
        <v>273.8</v>
      </c>
    </row>
    <row r="87" spans="1:4" x14ac:dyDescent="0.25">
      <c r="A87" s="345" t="s">
        <v>289</v>
      </c>
      <c r="B87" s="345"/>
      <c r="C87" s="345"/>
      <c r="D87">
        <f>'ניתוח איזור לעסקאות דמה'!P18</f>
        <v>11900.953864675377</v>
      </c>
    </row>
    <row r="88" spans="1:4" x14ac:dyDescent="0.25">
      <c r="A88" t="s">
        <v>291</v>
      </c>
      <c r="D88" s="72">
        <f>D87*D86</f>
        <v>3258481.1681481185</v>
      </c>
    </row>
    <row r="90" spans="1:4" x14ac:dyDescent="0.25">
      <c r="A90" s="345" t="s">
        <v>143</v>
      </c>
      <c r="B90" s="345"/>
      <c r="C90" s="345"/>
      <c r="D90" s="72">
        <f>D88-D81</f>
        <v>2680981.1681481185</v>
      </c>
    </row>
    <row r="91" spans="1:4" x14ac:dyDescent="0.25">
      <c r="A91" t="s">
        <v>220</v>
      </c>
      <c r="D91" s="72">
        <f>D90/2</f>
        <v>1340490.5840740593</v>
      </c>
    </row>
    <row r="94" spans="1:4" x14ac:dyDescent="0.25">
      <c r="A94" s="306" t="s">
        <v>292</v>
      </c>
    </row>
    <row r="96" spans="1:4" x14ac:dyDescent="0.25">
      <c r="A96" t="s">
        <v>286</v>
      </c>
    </row>
    <row r="97" spans="1:6" x14ac:dyDescent="0.25">
      <c r="A97" t="s">
        <v>252</v>
      </c>
      <c r="B97" t="s">
        <v>253</v>
      </c>
      <c r="C97" t="s">
        <v>21</v>
      </c>
      <c r="D97" t="s">
        <v>8</v>
      </c>
      <c r="E97" t="s">
        <v>240</v>
      </c>
      <c r="F97">
        <v>350</v>
      </c>
    </row>
    <row r="98" spans="1:6" x14ac:dyDescent="0.25">
      <c r="A98" t="s">
        <v>52</v>
      </c>
      <c r="B98">
        <v>160</v>
      </c>
      <c r="C98">
        <v>1</v>
      </c>
      <c r="D98">
        <f>B98*C98</f>
        <v>160</v>
      </c>
    </row>
    <row r="99" spans="1:6" x14ac:dyDescent="0.25">
      <c r="A99" t="s">
        <v>64</v>
      </c>
      <c r="B99">
        <v>12</v>
      </c>
      <c r="C99">
        <v>0.9</v>
      </c>
      <c r="D99">
        <f>B99*C99</f>
        <v>10.8</v>
      </c>
    </row>
    <row r="100" spans="1:6" x14ac:dyDescent="0.25">
      <c r="A100" t="s">
        <v>50</v>
      </c>
      <c r="B100">
        <f>F97-B98-B99</f>
        <v>178</v>
      </c>
      <c r="C100">
        <v>0.25</v>
      </c>
      <c r="D100">
        <f>B100*C100</f>
        <v>44.5</v>
      </c>
    </row>
    <row r="101" spans="1:6" x14ac:dyDescent="0.25">
      <c r="A101" s="345" t="s">
        <v>256</v>
      </c>
      <c r="B101" s="345"/>
      <c r="C101" s="345"/>
      <c r="D101">
        <f>SUM(D98:D100)</f>
        <v>215.3</v>
      </c>
    </row>
    <row r="102" spans="1:6" x14ac:dyDescent="0.25">
      <c r="A102" s="345" t="s">
        <v>293</v>
      </c>
      <c r="B102" s="345"/>
      <c r="C102" s="345"/>
      <c r="D102">
        <v>0.7</v>
      </c>
    </row>
    <row r="103" spans="1:6" x14ac:dyDescent="0.25">
      <c r="A103" s="345" t="s">
        <v>294</v>
      </c>
      <c r="B103" s="345"/>
      <c r="C103" s="345"/>
      <c r="D103">
        <f>D101*D102</f>
        <v>150.71</v>
      </c>
    </row>
    <row r="105" spans="1:6" x14ac:dyDescent="0.25">
      <c r="A105" t="s">
        <v>288</v>
      </c>
      <c r="D105">
        <f>D101</f>
        <v>215.3</v>
      </c>
    </row>
    <row r="107" spans="1:6" x14ac:dyDescent="0.25">
      <c r="A107" t="s">
        <v>143</v>
      </c>
      <c r="D107">
        <f>D105-D103</f>
        <v>64.59</v>
      </c>
    </row>
    <row r="108" spans="1:6" x14ac:dyDescent="0.25">
      <c r="A108" t="s">
        <v>220</v>
      </c>
      <c r="D108">
        <f>D107/2</f>
        <v>32.295000000000002</v>
      </c>
    </row>
    <row r="109" spans="1:6" x14ac:dyDescent="0.25">
      <c r="A109" t="s">
        <v>289</v>
      </c>
      <c r="D109" s="91">
        <f>J50</f>
        <v>11900.953864675377</v>
      </c>
    </row>
    <row r="110" spans="1:6" x14ac:dyDescent="0.25">
      <c r="A110" t="s">
        <v>295</v>
      </c>
      <c r="D110" s="91">
        <f>D109*D108</f>
        <v>384341.30505969131</v>
      </c>
    </row>
  </sheetData>
  <mergeCells count="14">
    <mergeCell ref="A30:D30"/>
    <mergeCell ref="O56:O57"/>
    <mergeCell ref="O54:O55"/>
    <mergeCell ref="O47:O51"/>
    <mergeCell ref="P51:R51"/>
    <mergeCell ref="O52:O53"/>
    <mergeCell ref="A101:C101"/>
    <mergeCell ref="A102:C102"/>
    <mergeCell ref="A103:C103"/>
    <mergeCell ref="A86:C86"/>
    <mergeCell ref="A80:C80"/>
    <mergeCell ref="A87:C87"/>
    <mergeCell ref="A81:C81"/>
    <mergeCell ref="A90:C9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A1:J46"/>
  <sheetViews>
    <sheetView rightToLeft="1" zoomScale="85" zoomScaleNormal="85" workbookViewId="0">
      <selection activeCell="K39" sqref="K39"/>
    </sheetView>
  </sheetViews>
  <sheetFormatPr defaultRowHeight="13.8" x14ac:dyDescent="0.25"/>
  <cols>
    <col min="1" max="1" width="16" customWidth="1"/>
    <col min="2" max="2" width="15.59765625" customWidth="1"/>
    <col min="3" max="3" width="19.3984375" bestFit="1" customWidth="1"/>
    <col min="4" max="4" width="10.59765625" customWidth="1"/>
    <col min="5" max="5" width="12.3984375" bestFit="1" customWidth="1"/>
    <col min="6" max="6" width="23.19921875" bestFit="1" customWidth="1"/>
    <col min="7" max="7" width="15.19921875" bestFit="1" customWidth="1"/>
    <col min="8" max="8" width="11" customWidth="1"/>
    <col min="9" max="9" width="12.3984375" bestFit="1" customWidth="1"/>
    <col min="10" max="10" width="13.5" bestFit="1" customWidth="1"/>
  </cols>
  <sheetData>
    <row r="1" spans="1:9" ht="14.4" thickBot="1" x14ac:dyDescent="0.3">
      <c r="A1" s="313" t="s">
        <v>339</v>
      </c>
      <c r="B1" s="314"/>
      <c r="C1" s="314"/>
      <c r="D1" s="314"/>
      <c r="E1" s="314"/>
      <c r="F1" s="314"/>
      <c r="G1" s="314"/>
      <c r="H1" s="315"/>
    </row>
    <row r="2" spans="1:9" x14ac:dyDescent="0.25">
      <c r="A2" s="271" t="s">
        <v>233</v>
      </c>
      <c r="B2" s="272" t="s">
        <v>279</v>
      </c>
      <c r="C2" s="273" t="s">
        <v>280</v>
      </c>
      <c r="D2" s="273" t="s">
        <v>281</v>
      </c>
      <c r="E2" s="272" t="s">
        <v>189</v>
      </c>
      <c r="F2" s="272" t="s">
        <v>220</v>
      </c>
      <c r="G2" s="272" t="s">
        <v>282</v>
      </c>
      <c r="H2" s="274" t="s">
        <v>46</v>
      </c>
    </row>
    <row r="3" spans="1:9" x14ac:dyDescent="0.25">
      <c r="A3" s="267">
        <v>1</v>
      </c>
      <c r="B3" s="275" t="s">
        <v>309</v>
      </c>
      <c r="C3" s="276" t="s">
        <v>311</v>
      </c>
      <c r="D3" s="277">
        <v>198</v>
      </c>
      <c r="E3" s="268"/>
      <c r="F3" s="268"/>
      <c r="G3" s="268">
        <f>SUM(E3:F3)</f>
        <v>0</v>
      </c>
      <c r="H3" s="269"/>
    </row>
    <row r="4" spans="1:9" x14ac:dyDescent="0.25">
      <c r="A4" s="267">
        <v>1</v>
      </c>
      <c r="B4" s="278" t="s">
        <v>310</v>
      </c>
      <c r="C4" s="276" t="s">
        <v>312</v>
      </c>
      <c r="D4" s="279">
        <v>55</v>
      </c>
      <c r="E4" s="280">
        <v>435000</v>
      </c>
      <c r="F4" s="280"/>
      <c r="G4" s="268">
        <f t="shared" ref="G4:G11" si="0">SUM(E4:F4)</f>
        <v>435000</v>
      </c>
      <c r="H4" s="281"/>
    </row>
    <row r="5" spans="1:9" x14ac:dyDescent="0.25">
      <c r="A5" s="307" t="s">
        <v>313</v>
      </c>
      <c r="B5" s="278" t="s">
        <v>314</v>
      </c>
      <c r="C5" s="282" t="s">
        <v>315</v>
      </c>
      <c r="D5" s="279">
        <v>0</v>
      </c>
      <c r="E5" s="280">
        <v>0</v>
      </c>
      <c r="F5" s="280">
        <v>0</v>
      </c>
      <c r="G5" s="268">
        <f t="shared" si="0"/>
        <v>0</v>
      </c>
      <c r="H5" s="281">
        <v>100000</v>
      </c>
    </row>
    <row r="6" spans="1:9" x14ac:dyDescent="0.25">
      <c r="A6" s="267" t="s">
        <v>317</v>
      </c>
      <c r="B6" s="278" t="s">
        <v>316</v>
      </c>
      <c r="C6" s="282" t="s">
        <v>221</v>
      </c>
      <c r="D6" s="279">
        <f>32+30+3+30+10+31+28+8</f>
        <v>172</v>
      </c>
      <c r="E6" s="280">
        <f>D6*2500+350000</f>
        <v>780000</v>
      </c>
      <c r="F6" s="280">
        <v>0</v>
      </c>
      <c r="G6" s="268">
        <f t="shared" si="0"/>
        <v>780000</v>
      </c>
      <c r="H6" s="281">
        <v>260000</v>
      </c>
      <c r="I6" t="s">
        <v>329</v>
      </c>
    </row>
    <row r="7" spans="1:9" x14ac:dyDescent="0.25">
      <c r="A7" s="267" t="s">
        <v>318</v>
      </c>
      <c r="B7" s="278" t="s">
        <v>319</v>
      </c>
      <c r="C7" s="282" t="s">
        <v>221</v>
      </c>
      <c r="D7" s="279">
        <f>91+25</f>
        <v>116</v>
      </c>
      <c r="E7" s="280">
        <v>0</v>
      </c>
      <c r="F7" s="280">
        <v>0</v>
      </c>
      <c r="G7" s="268">
        <f t="shared" si="0"/>
        <v>0</v>
      </c>
      <c r="H7" s="281">
        <v>0</v>
      </c>
    </row>
    <row r="8" spans="1:9" x14ac:dyDescent="0.25">
      <c r="A8" s="267">
        <v>13</v>
      </c>
      <c r="B8" s="278" t="s">
        <v>320</v>
      </c>
      <c r="C8" s="282" t="s">
        <v>321</v>
      </c>
      <c r="D8" s="279">
        <v>0</v>
      </c>
      <c r="E8" s="280">
        <v>0</v>
      </c>
      <c r="F8" s="280">
        <v>0</v>
      </c>
      <c r="G8" s="268">
        <f t="shared" ref="G8:G10" si="1">SUM(E8:F8)</f>
        <v>0</v>
      </c>
      <c r="H8" s="281">
        <v>0</v>
      </c>
    </row>
    <row r="9" spans="1:9" x14ac:dyDescent="0.25">
      <c r="A9" s="267" t="s">
        <v>322</v>
      </c>
      <c r="B9" s="278" t="s">
        <v>323</v>
      </c>
      <c r="C9" s="282" t="s">
        <v>324</v>
      </c>
      <c r="D9" s="279">
        <f>39+14+127+27+48</f>
        <v>255</v>
      </c>
      <c r="E9" s="280">
        <v>0</v>
      </c>
      <c r="F9" s="280">
        <v>0</v>
      </c>
      <c r="G9" s="268">
        <f t="shared" si="1"/>
        <v>0</v>
      </c>
      <c r="H9" s="281">
        <v>0</v>
      </c>
    </row>
    <row r="10" spans="1:9" x14ac:dyDescent="0.25">
      <c r="A10" s="267" t="s">
        <v>325</v>
      </c>
      <c r="B10" s="278" t="s">
        <v>326</v>
      </c>
      <c r="C10" s="282" t="s">
        <v>321</v>
      </c>
      <c r="D10" s="279">
        <v>0</v>
      </c>
      <c r="E10" s="280">
        <v>0</v>
      </c>
      <c r="F10" s="280">
        <v>0</v>
      </c>
      <c r="G10" s="268">
        <f t="shared" si="1"/>
        <v>0</v>
      </c>
      <c r="H10" s="281">
        <v>0</v>
      </c>
    </row>
    <row r="11" spans="1:9" ht="14.4" thickBot="1" x14ac:dyDescent="0.3">
      <c r="A11" s="270"/>
      <c r="B11" s="283"/>
      <c r="C11" s="284"/>
      <c r="D11" s="285">
        <v>0</v>
      </c>
      <c r="E11" s="286">
        <v>0</v>
      </c>
      <c r="F11" s="286">
        <v>0</v>
      </c>
      <c r="G11" s="287">
        <f t="shared" si="0"/>
        <v>0</v>
      </c>
      <c r="H11" s="288"/>
    </row>
    <row r="12" spans="1:9" ht="14.4" thickBot="1" x14ac:dyDescent="0.3">
      <c r="A12" s="310" t="s">
        <v>283</v>
      </c>
      <c r="B12" s="311"/>
      <c r="C12" s="311"/>
      <c r="D12" s="312"/>
      <c r="E12" s="289">
        <f>SUM(E3:E11)</f>
        <v>1215000</v>
      </c>
      <c r="F12" s="290">
        <f>SUM(F3:F11)</f>
        <v>0</v>
      </c>
      <c r="G12" s="291">
        <f>SUM(G3:G11)</f>
        <v>1215000</v>
      </c>
      <c r="H12" s="292">
        <f>SUM(H3:H11)</f>
        <v>360000</v>
      </c>
    </row>
    <row r="13" spans="1:9" x14ac:dyDescent="0.25">
      <c r="A13" s="293"/>
      <c r="B13" s="294"/>
      <c r="C13" s="294"/>
      <c r="F13" s="295" t="s">
        <v>224</v>
      </c>
      <c r="G13" s="296">
        <v>330000</v>
      </c>
      <c r="H13" s="297"/>
    </row>
    <row r="14" spans="1:9" ht="14.4" thickBot="1" x14ac:dyDescent="0.3">
      <c r="A14" s="298"/>
      <c r="E14" s="299"/>
      <c r="F14" s="300" t="s">
        <v>116</v>
      </c>
      <c r="G14" s="301" t="s">
        <v>327</v>
      </c>
      <c r="H14" s="302"/>
    </row>
    <row r="15" spans="1:9" ht="14.4" thickBot="1" x14ac:dyDescent="0.3">
      <c r="F15" s="303" t="s">
        <v>336</v>
      </c>
      <c r="G15" s="304">
        <f>SUM(G12:G14)</f>
        <v>1545000</v>
      </c>
      <c r="H15" s="305">
        <f>SUM(H12:H13)</f>
        <v>360000</v>
      </c>
      <c r="I15" s="150">
        <f>SUM(G15:H15)</f>
        <v>1905000</v>
      </c>
    </row>
    <row r="16" spans="1:9" x14ac:dyDescent="0.25">
      <c r="F16" s="308"/>
      <c r="G16" s="309"/>
      <c r="H16" s="309"/>
      <c r="I16" s="150"/>
    </row>
    <row r="17" spans="1:8" x14ac:dyDescent="0.25">
      <c r="F17" t="s">
        <v>328</v>
      </c>
      <c r="G17" s="149">
        <v>1200000</v>
      </c>
    </row>
    <row r="18" spans="1:8" x14ac:dyDescent="0.25">
      <c r="D18">
        <v>375</v>
      </c>
      <c r="F18" t="s">
        <v>335</v>
      </c>
      <c r="G18" s="149">
        <v>1500000</v>
      </c>
    </row>
    <row r="19" spans="1:8" x14ac:dyDescent="0.25">
      <c r="C19" t="s">
        <v>330</v>
      </c>
      <c r="D19">
        <f>27+55+11</f>
        <v>93</v>
      </c>
      <c r="F19" s="68" t="s">
        <v>337</v>
      </c>
      <c r="G19" s="309">
        <f>SUM(G17:G18)</f>
        <v>2700000</v>
      </c>
    </row>
    <row r="20" spans="1:8" x14ac:dyDescent="0.25">
      <c r="C20" t="s">
        <v>331</v>
      </c>
      <c r="D20">
        <f>D18+D19</f>
        <v>468</v>
      </c>
    </row>
    <row r="21" spans="1:8" x14ac:dyDescent="0.25">
      <c r="C21" t="s">
        <v>332</v>
      </c>
      <c r="D21">
        <f>D4+D3</f>
        <v>253</v>
      </c>
    </row>
    <row r="22" spans="1:8" x14ac:dyDescent="0.25">
      <c r="C22" t="s">
        <v>333</v>
      </c>
      <c r="D22">
        <f>D20-D21</f>
        <v>215</v>
      </c>
    </row>
    <row r="23" spans="1:8" x14ac:dyDescent="0.25">
      <c r="C23" t="s">
        <v>167</v>
      </c>
      <c r="D23">
        <v>-160</v>
      </c>
    </row>
    <row r="24" spans="1:8" x14ac:dyDescent="0.25">
      <c r="C24" t="s">
        <v>334</v>
      </c>
      <c r="D24">
        <f>D22+D23</f>
        <v>55</v>
      </c>
    </row>
    <row r="27" spans="1:8" ht="14.4" thickBot="1" x14ac:dyDescent="0.3"/>
    <row r="28" spans="1:8" ht="14.4" thickBot="1" x14ac:dyDescent="0.3">
      <c r="A28" s="313" t="s">
        <v>338</v>
      </c>
      <c r="B28" s="314"/>
      <c r="C28" s="314"/>
      <c r="D28" s="314"/>
      <c r="E28" s="314"/>
      <c r="F28" s="314"/>
      <c r="G28" s="314"/>
      <c r="H28" s="315"/>
    </row>
    <row r="29" spans="1:8" x14ac:dyDescent="0.25">
      <c r="A29" s="271" t="s">
        <v>233</v>
      </c>
      <c r="B29" s="272" t="s">
        <v>279</v>
      </c>
      <c r="C29" s="273" t="s">
        <v>280</v>
      </c>
      <c r="D29" s="273" t="s">
        <v>281</v>
      </c>
      <c r="E29" s="272" t="s">
        <v>189</v>
      </c>
      <c r="F29" s="272" t="s">
        <v>220</v>
      </c>
      <c r="G29" s="272" t="s">
        <v>282</v>
      </c>
      <c r="H29" s="274" t="s">
        <v>46</v>
      </c>
    </row>
    <row r="30" spans="1:8" x14ac:dyDescent="0.25">
      <c r="A30" s="267">
        <v>1</v>
      </c>
      <c r="B30" s="275" t="s">
        <v>309</v>
      </c>
      <c r="C30" s="276" t="s">
        <v>311</v>
      </c>
      <c r="D30" s="277">
        <v>151</v>
      </c>
      <c r="E30" s="268"/>
      <c r="F30" s="268"/>
      <c r="G30" s="268">
        <f>SUM(E30:F30)</f>
        <v>0</v>
      </c>
      <c r="H30" s="269"/>
    </row>
    <row r="31" spans="1:8" x14ac:dyDescent="0.25">
      <c r="A31" s="267">
        <v>1</v>
      </c>
      <c r="B31" s="278" t="s">
        <v>310</v>
      </c>
      <c r="C31" s="276" t="s">
        <v>312</v>
      </c>
      <c r="D31" s="279">
        <v>102</v>
      </c>
      <c r="E31" s="280">
        <v>0</v>
      </c>
      <c r="F31" s="280"/>
      <c r="G31" s="268">
        <f t="shared" ref="G31:G38" si="2">SUM(E31:F31)</f>
        <v>0</v>
      </c>
      <c r="H31" s="281"/>
    </row>
    <row r="32" spans="1:8" x14ac:dyDescent="0.25">
      <c r="A32" s="307" t="s">
        <v>313</v>
      </c>
      <c r="B32" s="278" t="s">
        <v>314</v>
      </c>
      <c r="C32" s="282" t="s">
        <v>315</v>
      </c>
      <c r="D32" s="279">
        <v>0</v>
      </c>
      <c r="E32" s="280">
        <v>0</v>
      </c>
      <c r="F32" s="280">
        <v>0</v>
      </c>
      <c r="G32" s="268">
        <f t="shared" si="2"/>
        <v>0</v>
      </c>
      <c r="H32" s="281">
        <v>100000</v>
      </c>
    </row>
    <row r="33" spans="1:10" x14ac:dyDescent="0.25">
      <c r="A33" s="267" t="s">
        <v>317</v>
      </c>
      <c r="B33" s="278" t="s">
        <v>316</v>
      </c>
      <c r="C33" s="282" t="s">
        <v>221</v>
      </c>
      <c r="D33" s="279">
        <f>32+30+3+30+10+31+28+8</f>
        <v>172</v>
      </c>
      <c r="E33" s="280">
        <f>D33*2500+350000</f>
        <v>780000</v>
      </c>
      <c r="F33" s="280">
        <v>0</v>
      </c>
      <c r="G33" s="268">
        <f t="shared" si="2"/>
        <v>780000</v>
      </c>
      <c r="H33" s="281">
        <v>260000</v>
      </c>
    </row>
    <row r="34" spans="1:10" x14ac:dyDescent="0.25">
      <c r="A34" s="267" t="s">
        <v>318</v>
      </c>
      <c r="B34" s="278" t="s">
        <v>319</v>
      </c>
      <c r="C34" s="282" t="s">
        <v>221</v>
      </c>
      <c r="D34" s="279">
        <f>91+25</f>
        <v>116</v>
      </c>
      <c r="E34" s="280">
        <v>0</v>
      </c>
      <c r="F34" s="280">
        <v>0</v>
      </c>
      <c r="G34" s="268">
        <f t="shared" si="2"/>
        <v>0</v>
      </c>
      <c r="H34" s="281">
        <v>0</v>
      </c>
    </row>
    <row r="35" spans="1:10" x14ac:dyDescent="0.25">
      <c r="A35" s="267">
        <v>13</v>
      </c>
      <c r="B35" s="278" t="s">
        <v>320</v>
      </c>
      <c r="C35" s="282" t="s">
        <v>321</v>
      </c>
      <c r="D35" s="279">
        <v>0</v>
      </c>
      <c r="E35" s="280">
        <v>0</v>
      </c>
      <c r="F35" s="280">
        <v>0</v>
      </c>
      <c r="G35" s="268">
        <f t="shared" si="2"/>
        <v>0</v>
      </c>
      <c r="H35" s="281">
        <v>0</v>
      </c>
    </row>
    <row r="36" spans="1:10" x14ac:dyDescent="0.25">
      <c r="A36" s="267" t="s">
        <v>322</v>
      </c>
      <c r="B36" s="278" t="s">
        <v>323</v>
      </c>
      <c r="C36" s="282" t="s">
        <v>324</v>
      </c>
      <c r="D36" s="279">
        <f>39+14+127+27+48</f>
        <v>255</v>
      </c>
      <c r="E36" s="280">
        <v>0</v>
      </c>
      <c r="F36" s="280">
        <v>0</v>
      </c>
      <c r="G36" s="268">
        <f t="shared" si="2"/>
        <v>0</v>
      </c>
      <c r="H36" s="281">
        <v>0</v>
      </c>
    </row>
    <row r="37" spans="1:10" x14ac:dyDescent="0.25">
      <c r="A37" s="267" t="s">
        <v>325</v>
      </c>
      <c r="B37" s="278" t="s">
        <v>326</v>
      </c>
      <c r="C37" s="282" t="s">
        <v>321</v>
      </c>
      <c r="D37" s="279">
        <v>0</v>
      </c>
      <c r="E37" s="280">
        <v>0</v>
      </c>
      <c r="F37" s="280">
        <v>0</v>
      </c>
      <c r="G37" s="268">
        <f t="shared" si="2"/>
        <v>0</v>
      </c>
      <c r="H37" s="281">
        <v>0</v>
      </c>
    </row>
    <row r="38" spans="1:10" ht="14.4" thickBot="1" x14ac:dyDescent="0.3">
      <c r="A38" s="270"/>
      <c r="B38" s="283"/>
      <c r="C38" s="284"/>
      <c r="D38" s="285">
        <v>0</v>
      </c>
      <c r="E38" s="286">
        <v>0</v>
      </c>
      <c r="F38" s="286">
        <v>0</v>
      </c>
      <c r="G38" s="287">
        <f t="shared" si="2"/>
        <v>0</v>
      </c>
      <c r="H38" s="288"/>
    </row>
    <row r="39" spans="1:10" ht="14.4" thickBot="1" x14ac:dyDescent="0.3">
      <c r="A39" s="310" t="s">
        <v>283</v>
      </c>
      <c r="B39" s="311"/>
      <c r="C39" s="311"/>
      <c r="D39" s="312"/>
      <c r="E39" s="289">
        <f>SUM(E30:E38)</f>
        <v>780000</v>
      </c>
      <c r="F39" s="290">
        <f>SUM(F30:F38)</f>
        <v>0</v>
      </c>
      <c r="G39" s="291">
        <f>SUM(G30:G38)</f>
        <v>780000</v>
      </c>
      <c r="H39" s="292">
        <f>SUM(H30:H38)</f>
        <v>360000</v>
      </c>
      <c r="I39" s="150">
        <f>SUM(G39:H39)</f>
        <v>1140000</v>
      </c>
      <c r="J39" s="151">
        <f>(G39+H39)/1.18</f>
        <v>966101.69491525425</v>
      </c>
    </row>
    <row r="40" spans="1:10" x14ac:dyDescent="0.25">
      <c r="A40" s="293"/>
      <c r="B40" s="294"/>
      <c r="C40" s="294"/>
      <c r="F40" s="295" t="s">
        <v>224</v>
      </c>
      <c r="G40" s="296">
        <v>330000</v>
      </c>
      <c r="H40" s="297"/>
    </row>
    <row r="41" spans="1:10" ht="14.4" thickBot="1" x14ac:dyDescent="0.3">
      <c r="A41" s="298"/>
      <c r="E41" s="299"/>
      <c r="F41" s="300" t="s">
        <v>116</v>
      </c>
      <c r="G41" s="301" t="s">
        <v>327</v>
      </c>
      <c r="H41" s="302"/>
    </row>
    <row r="42" spans="1:10" ht="14.4" thickBot="1" x14ac:dyDescent="0.3">
      <c r="F42" s="303" t="s">
        <v>336</v>
      </c>
      <c r="G42" s="304">
        <f>SUM(G39:G41)</f>
        <v>1110000</v>
      </c>
      <c r="H42" s="305">
        <f>SUM(H39:H40)</f>
        <v>360000</v>
      </c>
      <c r="I42" s="150">
        <f>SUM(G42:H42)</f>
        <v>1470000</v>
      </c>
    </row>
    <row r="44" spans="1:10" x14ac:dyDescent="0.25">
      <c r="F44" t="s">
        <v>328</v>
      </c>
      <c r="G44" s="149">
        <v>1400000</v>
      </c>
    </row>
    <row r="45" spans="1:10" x14ac:dyDescent="0.25">
      <c r="F45" t="s">
        <v>335</v>
      </c>
      <c r="G45" s="149">
        <v>1500000</v>
      </c>
    </row>
    <row r="46" spans="1:10" x14ac:dyDescent="0.25">
      <c r="F46" s="68" t="s">
        <v>337</v>
      </c>
      <c r="G46" s="309">
        <f>SUM(G44:G45)</f>
        <v>2900000</v>
      </c>
    </row>
  </sheetData>
  <mergeCells count="4">
    <mergeCell ref="A12:D12"/>
    <mergeCell ref="A1:H1"/>
    <mergeCell ref="A28:H28"/>
    <mergeCell ref="A39:D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E3" sqref="D3:E3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42" thickBot="1" x14ac:dyDescent="0.3">
      <c r="A2" s="120" t="s">
        <v>32</v>
      </c>
      <c r="B2" s="192" t="s">
        <v>154</v>
      </c>
      <c r="C2" s="120" t="s">
        <v>155</v>
      </c>
      <c r="D2" s="92" t="s">
        <v>262</v>
      </c>
      <c r="E2" s="97" t="s">
        <v>263</v>
      </c>
      <c r="F2" s="92" t="s">
        <v>264</v>
      </c>
      <c r="G2" s="92" t="s">
        <v>268</v>
      </c>
      <c r="H2" s="47" t="s">
        <v>272</v>
      </c>
      <c r="I2" s="47" t="s">
        <v>273</v>
      </c>
      <c r="J2" s="117" t="s">
        <v>274</v>
      </c>
      <c r="K2" s="117" t="s">
        <v>275</v>
      </c>
      <c r="L2" s="117" t="s">
        <v>276</v>
      </c>
      <c r="M2" s="117" t="s">
        <v>277</v>
      </c>
      <c r="N2" s="47" t="s">
        <v>278</v>
      </c>
      <c r="O2" s="47"/>
      <c r="P2" s="47"/>
      <c r="Q2" s="117"/>
      <c r="R2" s="117"/>
      <c r="S2" s="118"/>
    </row>
    <row r="3" spans="1:19" x14ac:dyDescent="0.25">
      <c r="A3" s="121" t="s">
        <v>142</v>
      </c>
      <c r="B3" s="193"/>
      <c r="C3" s="121"/>
      <c r="D3" s="93">
        <v>151</v>
      </c>
      <c r="E3" s="144">
        <v>102</v>
      </c>
      <c r="F3" s="93">
        <v>35</v>
      </c>
      <c r="G3" s="64">
        <v>32</v>
      </c>
      <c r="H3" s="64">
        <v>14</v>
      </c>
      <c r="I3" s="64">
        <v>39</v>
      </c>
      <c r="J3" s="49">
        <v>14</v>
      </c>
      <c r="K3" s="49">
        <v>127</v>
      </c>
      <c r="L3" s="49">
        <v>27</v>
      </c>
      <c r="M3" s="49">
        <v>100</v>
      </c>
      <c r="N3" s="48">
        <v>22</v>
      </c>
      <c r="O3" s="48"/>
      <c r="P3" s="48"/>
      <c r="Q3" s="49"/>
      <c r="R3" s="49"/>
      <c r="S3" s="50"/>
    </row>
    <row r="4" spans="1:19" x14ac:dyDescent="0.25">
      <c r="A4" s="121" t="s">
        <v>87</v>
      </c>
      <c r="B4" s="193"/>
      <c r="C4" s="121"/>
      <c r="D4" s="93"/>
      <c r="E4" s="144"/>
      <c r="F4" s="93">
        <v>38</v>
      </c>
      <c r="G4" s="64">
        <v>30</v>
      </c>
      <c r="H4" s="64"/>
      <c r="I4" s="64"/>
      <c r="J4" s="49"/>
      <c r="K4" s="49"/>
      <c r="L4" s="49">
        <v>48</v>
      </c>
      <c r="M4" s="49">
        <v>4</v>
      </c>
      <c r="N4" s="48"/>
      <c r="O4" s="48"/>
      <c r="P4" s="48"/>
      <c r="Q4" s="49"/>
      <c r="R4" s="49"/>
      <c r="S4" s="50"/>
    </row>
    <row r="5" spans="1:19" x14ac:dyDescent="0.25">
      <c r="A5" s="121" t="s">
        <v>70</v>
      </c>
      <c r="B5" s="193"/>
      <c r="C5" s="121"/>
      <c r="D5" s="93"/>
      <c r="E5" s="144"/>
      <c r="F5" s="93">
        <v>37</v>
      </c>
      <c r="G5" s="64" t="s">
        <v>269</v>
      </c>
      <c r="H5" s="64"/>
      <c r="I5" s="64"/>
      <c r="J5" s="49"/>
      <c r="K5" s="49"/>
      <c r="L5" s="49"/>
      <c r="M5" s="49">
        <v>58</v>
      </c>
      <c r="N5" s="48"/>
      <c r="O5" s="48"/>
      <c r="P5" s="48"/>
      <c r="Q5" s="49"/>
      <c r="R5" s="49"/>
      <c r="S5" s="50"/>
    </row>
    <row r="6" spans="1:19" x14ac:dyDescent="0.25">
      <c r="A6" s="121" t="s">
        <v>138</v>
      </c>
      <c r="B6" s="193"/>
      <c r="C6" s="121"/>
      <c r="D6" s="93"/>
      <c r="E6" s="144"/>
      <c r="F6" s="93"/>
      <c r="G6" s="64" t="s">
        <v>270</v>
      </c>
      <c r="H6" s="64"/>
      <c r="I6" s="64"/>
      <c r="J6" s="49"/>
      <c r="K6" s="49"/>
      <c r="L6" s="49"/>
      <c r="M6" s="49">
        <v>10</v>
      </c>
      <c r="N6" s="48"/>
      <c r="O6" s="48"/>
      <c r="P6" s="48"/>
      <c r="Q6" s="49"/>
      <c r="R6" s="49"/>
      <c r="S6" s="50"/>
    </row>
    <row r="7" spans="1:19" x14ac:dyDescent="0.25">
      <c r="A7" s="121" t="s">
        <v>139</v>
      </c>
      <c r="B7" s="193"/>
      <c r="C7" s="121"/>
      <c r="D7" s="93"/>
      <c r="E7" s="64">
        <v>12</v>
      </c>
      <c r="F7" s="93"/>
      <c r="G7" s="64" t="s">
        <v>271</v>
      </c>
      <c r="H7" s="64">
        <v>14</v>
      </c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140</v>
      </c>
      <c r="B8" s="193"/>
      <c r="C8" s="121"/>
      <c r="D8" s="94"/>
      <c r="E8" s="54"/>
      <c r="F8" s="94"/>
      <c r="G8" s="54">
        <v>91</v>
      </c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141</v>
      </c>
      <c r="B9" s="194"/>
      <c r="C9" s="209"/>
      <c r="D9" s="95"/>
      <c r="E9" s="56"/>
      <c r="F9" s="94"/>
      <c r="G9" s="54">
        <v>25</v>
      </c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47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84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81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33</v>
      </c>
      <c r="B13" s="211"/>
      <c r="C13" s="210"/>
      <c r="D13" s="207">
        <f>SUM(D3:D12)</f>
        <v>151</v>
      </c>
      <c r="E13" s="201">
        <f>SUM(E4:E12)</f>
        <v>12</v>
      </c>
      <c r="F13" s="201">
        <f>SUM(F3:F12)</f>
        <v>110</v>
      </c>
      <c r="G13" s="201">
        <f>SUM(G3:G12)</f>
        <v>178</v>
      </c>
      <c r="H13" s="201">
        <f>SUM(H3:H12)</f>
        <v>28</v>
      </c>
      <c r="I13" s="202">
        <f t="shared" ref="I13:S13" si="0">SUM(I3:I12)</f>
        <v>39</v>
      </c>
      <c r="J13" s="202">
        <f t="shared" si="0"/>
        <v>14</v>
      </c>
      <c r="K13" s="202">
        <f t="shared" si="0"/>
        <v>127</v>
      </c>
      <c r="L13" s="202">
        <f t="shared" si="0"/>
        <v>75</v>
      </c>
      <c r="M13" s="202">
        <f t="shared" si="0"/>
        <v>172</v>
      </c>
      <c r="N13" s="203">
        <f t="shared" si="0"/>
        <v>22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34</v>
      </c>
      <c r="B14" s="192" t="s">
        <v>154</v>
      </c>
      <c r="C14" s="120" t="s">
        <v>155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265</v>
      </c>
      <c r="B15" s="197"/>
      <c r="C15" s="122"/>
      <c r="D15" s="52" t="s">
        <v>266</v>
      </c>
      <c r="E15" s="145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267</v>
      </c>
      <c r="B16" s="197"/>
      <c r="C16" s="122"/>
      <c r="D16" s="52"/>
      <c r="E16" s="51">
        <v>171.17</v>
      </c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195</v>
      </c>
      <c r="B17" s="197"/>
      <c r="C17" s="122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197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197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196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83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S24" si="1">SUM(F15:F23)</f>
        <v>0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35</v>
      </c>
      <c r="B25" s="199"/>
      <c r="C25" s="125"/>
      <c r="D25" s="142">
        <f t="shared" ref="D25:S25" si="2">D13-D24</f>
        <v>151</v>
      </c>
      <c r="E25" s="138">
        <f t="shared" si="2"/>
        <v>12</v>
      </c>
      <c r="F25" s="138">
        <f t="shared" si="2"/>
        <v>110</v>
      </c>
      <c r="G25" s="138">
        <f t="shared" si="2"/>
        <v>178</v>
      </c>
      <c r="H25" s="138">
        <f t="shared" si="2"/>
        <v>28</v>
      </c>
      <c r="I25" s="138">
        <f t="shared" si="2"/>
        <v>39</v>
      </c>
      <c r="J25" s="138">
        <f t="shared" si="2"/>
        <v>14</v>
      </c>
      <c r="K25" s="138">
        <f t="shared" si="2"/>
        <v>127</v>
      </c>
      <c r="L25" s="138">
        <f t="shared" si="2"/>
        <v>75</v>
      </c>
      <c r="M25" s="138">
        <f t="shared" si="2"/>
        <v>172</v>
      </c>
      <c r="N25" s="138">
        <f t="shared" si="2"/>
        <v>22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82</v>
      </c>
      <c r="D27" s="136">
        <f>D8+D7</f>
        <v>0</v>
      </c>
      <c r="F27" s="73"/>
    </row>
    <row r="28" spans="1:19" x14ac:dyDescent="0.25">
      <c r="E28" s="91">
        <f>E3*9300*5%*7</f>
        <v>332010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36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-151</v>
      </c>
      <c r="G32" s="72"/>
      <c r="H32" s="72"/>
      <c r="L32" s="91"/>
    </row>
    <row r="33" spans="1:10" x14ac:dyDescent="0.25">
      <c r="A33" t="s">
        <v>15</v>
      </c>
      <c r="E33" s="17">
        <f>-E13</f>
        <v>-12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-163</v>
      </c>
      <c r="J35" s="72"/>
    </row>
    <row r="36" spans="1:10" x14ac:dyDescent="0.25">
      <c r="A36" t="s">
        <v>37</v>
      </c>
      <c r="E36" s="38">
        <v>375</v>
      </c>
      <c r="H36" s="91"/>
    </row>
    <row r="37" spans="1:10" x14ac:dyDescent="0.25">
      <c r="A37" s="40" t="s">
        <v>38</v>
      </c>
      <c r="B37" s="40"/>
      <c r="C37" s="40"/>
      <c r="D37" s="40"/>
      <c r="E37" s="23">
        <f>SUM(E35:E36)</f>
        <v>212</v>
      </c>
    </row>
    <row r="38" spans="1:10" x14ac:dyDescent="0.25">
      <c r="A38" t="s">
        <v>39</v>
      </c>
      <c r="E38" s="17">
        <f>-E24-F24-I24</f>
        <v>0</v>
      </c>
    </row>
    <row r="39" spans="1:10" x14ac:dyDescent="0.25">
      <c r="A39" s="40" t="s">
        <v>40</v>
      </c>
      <c r="B39" s="40"/>
      <c r="C39" s="40"/>
      <c r="D39" s="40"/>
      <c r="E39" s="70">
        <f>SUM(E37:E38)</f>
        <v>212</v>
      </c>
    </row>
    <row r="43" spans="1:10" x14ac:dyDescent="0.25">
      <c r="A43" s="130" t="s">
        <v>71</v>
      </c>
      <c r="B43" s="130"/>
      <c r="C43" s="130"/>
    </row>
    <row r="44" spans="1:10" ht="15.6" x14ac:dyDescent="0.4">
      <c r="A44" s="39" t="s">
        <v>72</v>
      </c>
      <c r="B44" s="39"/>
      <c r="C44" s="39"/>
      <c r="D44" s="39" t="s">
        <v>74</v>
      </c>
      <c r="E44" s="131" t="s">
        <v>75</v>
      </c>
      <c r="F44" s="39" t="s">
        <v>78</v>
      </c>
      <c r="G44" s="39"/>
      <c r="H44" s="17"/>
      <c r="I44" s="17"/>
    </row>
    <row r="45" spans="1:10" x14ac:dyDescent="0.25">
      <c r="A45" t="s">
        <v>41</v>
      </c>
      <c r="F45" s="91">
        <f>E45-D45</f>
        <v>0</v>
      </c>
    </row>
    <row r="46" spans="1:10" x14ac:dyDescent="0.25">
      <c r="A46" t="s">
        <v>73</v>
      </c>
      <c r="F46" s="91">
        <f>E46-D46</f>
        <v>0</v>
      </c>
    </row>
    <row r="47" spans="1:10" x14ac:dyDescent="0.25">
      <c r="A47" s="108" t="s">
        <v>76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77</v>
      </c>
      <c r="B49" s="39"/>
      <c r="C49" s="39"/>
      <c r="D49" s="39" t="s">
        <v>74</v>
      </c>
      <c r="E49" s="131" t="s">
        <v>75</v>
      </c>
      <c r="F49" s="39" t="s">
        <v>78</v>
      </c>
    </row>
    <row r="50" spans="1:10" x14ac:dyDescent="0.25">
      <c r="A50" t="s">
        <v>41</v>
      </c>
      <c r="F50" s="91">
        <f>E50-D50</f>
        <v>0</v>
      </c>
      <c r="G50" s="39"/>
      <c r="J50" s="17"/>
    </row>
    <row r="51" spans="1:10" x14ac:dyDescent="0.25">
      <c r="A51" t="s">
        <v>73</v>
      </c>
      <c r="F51" s="91">
        <f>E51-D51</f>
        <v>0</v>
      </c>
    </row>
    <row r="52" spans="1:10" x14ac:dyDescent="0.25">
      <c r="A52" s="108" t="s">
        <v>76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P77"/>
  <sheetViews>
    <sheetView rightToLeft="1" zoomScaleNormal="100" workbookViewId="0">
      <selection activeCell="G77" sqref="G76:G77"/>
    </sheetView>
  </sheetViews>
  <sheetFormatPr defaultRowHeight="13.8" x14ac:dyDescent="0.25"/>
  <cols>
    <col min="1" max="1" width="5.296875" customWidth="1"/>
    <col min="2" max="2" width="12.5" customWidth="1"/>
    <col min="3" max="3" width="9.5" bestFit="1" customWidth="1"/>
    <col min="4" max="4" width="10.296875" style="17" customWidth="1"/>
    <col min="5" max="5" width="10.796875" style="17" bestFit="1" customWidth="1"/>
    <col min="6" max="6" width="10.8984375" style="17" bestFit="1" customWidth="1"/>
    <col min="7" max="8" width="14.59765625" bestFit="1" customWidth="1"/>
    <col min="9" max="9" width="12.09765625" bestFit="1" customWidth="1"/>
    <col min="10" max="10" width="14.59765625" bestFit="1" customWidth="1"/>
    <col min="11" max="11" width="13.59765625" bestFit="1" customWidth="1"/>
    <col min="12" max="12" width="10.8984375" bestFit="1" customWidth="1"/>
    <col min="14" max="14" width="10.8984375" bestFit="1" customWidth="1"/>
    <col min="16" max="16" width="12" bestFit="1" customWidth="1"/>
  </cols>
  <sheetData>
    <row r="2" spans="2:16" ht="15.6" x14ac:dyDescent="0.4">
      <c r="B2" s="39" t="s">
        <v>147</v>
      </c>
      <c r="C2" s="39"/>
      <c r="D2" s="131"/>
    </row>
    <row r="3" spans="2:16" x14ac:dyDescent="0.25">
      <c r="B3" t="s">
        <v>88</v>
      </c>
      <c r="C3" s="149"/>
      <c r="D3" s="149"/>
      <c r="G3" s="190"/>
      <c r="H3" s="149"/>
      <c r="I3" s="150"/>
      <c r="J3" s="150"/>
    </row>
    <row r="4" spans="2:16" x14ac:dyDescent="0.25">
      <c r="B4" t="s">
        <v>121</v>
      </c>
      <c r="C4" s="187"/>
      <c r="D4" s="38"/>
      <c r="G4" s="190"/>
      <c r="J4" s="150"/>
    </row>
    <row r="5" spans="2:16" x14ac:dyDescent="0.25">
      <c r="B5" t="s">
        <v>122</v>
      </c>
    </row>
    <row r="6" spans="2:16" x14ac:dyDescent="0.25">
      <c r="B6" t="s">
        <v>123</v>
      </c>
      <c r="C6" s="150"/>
      <c r="D6" s="149"/>
    </row>
    <row r="7" spans="2:16" x14ac:dyDescent="0.25">
      <c r="B7" t="s">
        <v>137</v>
      </c>
      <c r="C7" s="150">
        <f>P21</f>
        <v>11000</v>
      </c>
    </row>
    <row r="8" spans="2:16" x14ac:dyDescent="0.25">
      <c r="C8" s="150"/>
    </row>
    <row r="9" spans="2:16" x14ac:dyDescent="0.25">
      <c r="B9" s="39" t="s">
        <v>124</v>
      </c>
      <c r="C9" s="151"/>
    </row>
    <row r="10" spans="2:16" ht="27.6" x14ac:dyDescent="0.4">
      <c r="B10" s="39" t="s">
        <v>126</v>
      </c>
      <c r="C10" s="39" t="s">
        <v>125</v>
      </c>
      <c r="D10" s="131" t="s">
        <v>127</v>
      </c>
      <c r="E10" s="131" t="s">
        <v>128</v>
      </c>
      <c r="F10" s="131" t="s">
        <v>129</v>
      </c>
      <c r="G10" s="131" t="s">
        <v>130</v>
      </c>
      <c r="H10" s="189" t="s">
        <v>131</v>
      </c>
      <c r="I10" s="131" t="s">
        <v>132</v>
      </c>
      <c r="J10" s="131" t="s">
        <v>133</v>
      </c>
      <c r="K10" s="131" t="s">
        <v>134</v>
      </c>
      <c r="L10" s="131" t="s">
        <v>135</v>
      </c>
      <c r="M10" s="131" t="s">
        <v>136</v>
      </c>
    </row>
    <row r="11" spans="2:16" x14ac:dyDescent="0.25">
      <c r="B11" s="188"/>
    </row>
    <row r="13" spans="2:16" x14ac:dyDescent="0.25">
      <c r="C13" s="150"/>
    </row>
    <row r="14" spans="2:16" ht="39.6" x14ac:dyDescent="0.25">
      <c r="B14" s="257" t="s">
        <v>234</v>
      </c>
      <c r="C14" s="257" t="s">
        <v>235</v>
      </c>
      <c r="D14" s="257" t="s">
        <v>236</v>
      </c>
      <c r="E14" s="257" t="s">
        <v>237</v>
      </c>
      <c r="F14" s="257" t="s">
        <v>238</v>
      </c>
      <c r="G14" s="257" t="s">
        <v>239</v>
      </c>
      <c r="H14" s="257" t="s">
        <v>130</v>
      </c>
      <c r="I14" s="257" t="s">
        <v>240</v>
      </c>
      <c r="J14" s="257" t="s">
        <v>241</v>
      </c>
      <c r="K14" s="257" t="s">
        <v>242</v>
      </c>
      <c r="L14" s="257" t="s">
        <v>243</v>
      </c>
      <c r="M14" s="257" t="s">
        <v>244</v>
      </c>
      <c r="N14" s="257" t="s">
        <v>245</v>
      </c>
      <c r="O14" s="257" t="s">
        <v>246</v>
      </c>
      <c r="P14" s="257" t="s">
        <v>247</v>
      </c>
    </row>
    <row r="15" spans="2:16" ht="26.4" x14ac:dyDescent="0.25">
      <c r="B15" s="258">
        <v>1</v>
      </c>
      <c r="C15" s="259" t="s">
        <v>248</v>
      </c>
      <c r="D15" s="260">
        <v>45963</v>
      </c>
      <c r="E15" s="259" t="s">
        <v>249</v>
      </c>
      <c r="F15" s="261">
        <v>5700000</v>
      </c>
      <c r="G15" s="261">
        <f>F15/1.05</f>
        <v>5428571.4285714282</v>
      </c>
      <c r="H15" s="259">
        <v>1998</v>
      </c>
      <c r="I15" s="259">
        <v>801</v>
      </c>
      <c r="J15" s="259">
        <v>135</v>
      </c>
      <c r="K15" s="261">
        <f>J15*7500</f>
        <v>1012500</v>
      </c>
      <c r="L15" s="261">
        <f>G15-K15</f>
        <v>4416071.4285714282</v>
      </c>
      <c r="M15" s="259">
        <v>1</v>
      </c>
      <c r="N15" s="261">
        <f>L15*M15</f>
        <v>4416071.4285714282</v>
      </c>
      <c r="O15" s="259">
        <f>F32</f>
        <v>380.92500000000001</v>
      </c>
      <c r="P15" s="261">
        <f>N15/O15</f>
        <v>11593.020748366287</v>
      </c>
    </row>
    <row r="16" spans="2:16" ht="26.4" x14ac:dyDescent="0.25">
      <c r="B16" s="262">
        <v>2</v>
      </c>
      <c r="C16" s="259" t="s">
        <v>250</v>
      </c>
      <c r="D16" s="260">
        <v>45644</v>
      </c>
      <c r="E16" s="259" t="s">
        <v>249</v>
      </c>
      <c r="F16" s="261">
        <v>5600000</v>
      </c>
      <c r="G16" s="261">
        <f>F16/1.05</f>
        <v>5333333.333333333</v>
      </c>
      <c r="H16" s="259">
        <v>1994</v>
      </c>
      <c r="I16" s="259">
        <v>750</v>
      </c>
      <c r="J16" s="259">
        <f>186+5</f>
        <v>191</v>
      </c>
      <c r="K16" s="261">
        <f>J16*7000</f>
        <v>1337000</v>
      </c>
      <c r="L16" s="261">
        <f>G16-K16</f>
        <v>3996333.333333333</v>
      </c>
      <c r="M16" s="259">
        <v>1.07</v>
      </c>
      <c r="N16" s="261">
        <f>L16*M16</f>
        <v>4276076.666666667</v>
      </c>
      <c r="O16" s="259">
        <f>L32</f>
        <v>372</v>
      </c>
      <c r="P16" s="261">
        <f>N16/O16</f>
        <v>11494.829749103943</v>
      </c>
    </row>
    <row r="17" spans="2:16" x14ac:dyDescent="0.25">
      <c r="B17" s="360" t="s">
        <v>257</v>
      </c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2"/>
      <c r="P17" s="261">
        <f>AVERAGE(P15:P16)</f>
        <v>11543.925248735115</v>
      </c>
    </row>
    <row r="18" spans="2:16" x14ac:dyDescent="0.25">
      <c r="B18" s="360" t="s">
        <v>258</v>
      </c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2"/>
      <c r="P18" s="261">
        <f>P17/0.97</f>
        <v>11900.953864675377</v>
      </c>
    </row>
    <row r="19" spans="2:16" x14ac:dyDescent="0.25">
      <c r="B19" s="360" t="s">
        <v>259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2"/>
      <c r="P19" s="265">
        <v>0.9</v>
      </c>
    </row>
    <row r="20" spans="2:16" x14ac:dyDescent="0.25">
      <c r="B20" s="360" t="s">
        <v>260</v>
      </c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2"/>
      <c r="P20" s="261">
        <f>P18*P19</f>
        <v>10710.85847820784</v>
      </c>
    </row>
    <row r="21" spans="2:16" x14ac:dyDescent="0.25">
      <c r="B21" s="357" t="s">
        <v>261</v>
      </c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9"/>
      <c r="P21" s="266">
        <v>11000</v>
      </c>
    </row>
    <row r="22" spans="2:16" x14ac:dyDescent="0.25">
      <c r="C22" s="263"/>
      <c r="D22"/>
      <c r="E22"/>
      <c r="F22"/>
    </row>
    <row r="23" spans="2:16" x14ac:dyDescent="0.25">
      <c r="C23" s="263"/>
      <c r="D23"/>
      <c r="E23"/>
      <c r="F23"/>
    </row>
    <row r="24" spans="2:16" x14ac:dyDescent="0.25">
      <c r="C24" s="263"/>
      <c r="D24"/>
      <c r="E24"/>
      <c r="F24"/>
    </row>
    <row r="25" spans="2:16" x14ac:dyDescent="0.25">
      <c r="C25" s="355" t="s">
        <v>251</v>
      </c>
      <c r="D25" s="355"/>
      <c r="E25" s="355"/>
      <c r="F25" s="355"/>
      <c r="G25" s="259" t="s">
        <v>240</v>
      </c>
      <c r="I25" s="356" t="s">
        <v>251</v>
      </c>
      <c r="J25" s="356"/>
      <c r="K25" s="356"/>
      <c r="L25" s="356"/>
      <c r="M25" s="259" t="s">
        <v>240</v>
      </c>
    </row>
    <row r="26" spans="2:16" x14ac:dyDescent="0.25">
      <c r="C26" s="259" t="s">
        <v>252</v>
      </c>
      <c r="D26" s="259" t="s">
        <v>253</v>
      </c>
      <c r="E26" s="259" t="s">
        <v>21</v>
      </c>
      <c r="F26" s="259" t="s">
        <v>8</v>
      </c>
      <c r="G26" s="259">
        <f>I15</f>
        <v>801</v>
      </c>
      <c r="I26" s="259" t="s">
        <v>252</v>
      </c>
      <c r="J26" s="259" t="s">
        <v>253</v>
      </c>
      <c r="K26" s="259" t="s">
        <v>21</v>
      </c>
      <c r="L26" s="259" t="s">
        <v>8</v>
      </c>
      <c r="M26" s="259">
        <f>I16</f>
        <v>750</v>
      </c>
    </row>
    <row r="27" spans="2:16" x14ac:dyDescent="0.25">
      <c r="C27" s="259" t="s">
        <v>52</v>
      </c>
      <c r="D27" s="259">
        <v>225</v>
      </c>
      <c r="E27" s="259">
        <v>1</v>
      </c>
      <c r="F27" s="259">
        <f>E27*D27</f>
        <v>225</v>
      </c>
      <c r="I27" s="259" t="s">
        <v>52</v>
      </c>
      <c r="J27" s="259">
        <v>225</v>
      </c>
      <c r="K27" s="259">
        <v>1</v>
      </c>
      <c r="L27" s="259">
        <f>K27*J27</f>
        <v>225</v>
      </c>
    </row>
    <row r="28" spans="2:16" x14ac:dyDescent="0.25">
      <c r="C28" s="259" t="s">
        <v>64</v>
      </c>
      <c r="D28" s="259">
        <v>5</v>
      </c>
      <c r="E28" s="259">
        <v>0.9</v>
      </c>
      <c r="F28" s="259">
        <f t="shared" ref="F28:F31" si="0">E28*D28</f>
        <v>4.5</v>
      </c>
      <c r="I28" s="259" t="s">
        <v>64</v>
      </c>
      <c r="J28" s="259">
        <v>5</v>
      </c>
      <c r="K28" s="259">
        <v>0.9</v>
      </c>
      <c r="L28" s="259">
        <f t="shared" ref="L28:L29" si="1">K28*J28</f>
        <v>4.5</v>
      </c>
    </row>
    <row r="29" spans="2:16" x14ac:dyDescent="0.25">
      <c r="C29" s="259" t="s">
        <v>254</v>
      </c>
      <c r="D29" s="259">
        <v>22.5</v>
      </c>
      <c r="E29" s="259">
        <v>0.5</v>
      </c>
      <c r="F29" s="259">
        <f t="shared" si="0"/>
        <v>11.25</v>
      </c>
      <c r="I29" s="259" t="s">
        <v>254</v>
      </c>
      <c r="J29" s="259">
        <v>22.5</v>
      </c>
      <c r="K29" s="259">
        <v>0.5</v>
      </c>
      <c r="L29" s="259">
        <f t="shared" si="1"/>
        <v>11.25</v>
      </c>
    </row>
    <row r="30" spans="2:16" x14ac:dyDescent="0.25">
      <c r="C30" s="259" t="s">
        <v>255</v>
      </c>
      <c r="D30" s="259">
        <f>G26*30%</f>
        <v>240.29999999999998</v>
      </c>
      <c r="E30" s="259" t="s">
        <v>208</v>
      </c>
      <c r="F30" s="259" t="s">
        <v>208</v>
      </c>
      <c r="I30" s="259" t="s">
        <v>255</v>
      </c>
      <c r="J30" s="259">
        <f>M26*30%</f>
        <v>225</v>
      </c>
      <c r="K30" s="259" t="s">
        <v>208</v>
      </c>
      <c r="L30" s="259" t="s">
        <v>208</v>
      </c>
    </row>
    <row r="31" spans="2:16" x14ac:dyDescent="0.25">
      <c r="C31" s="259" t="s">
        <v>50</v>
      </c>
      <c r="D31" s="259">
        <f>G26-D30</f>
        <v>560.70000000000005</v>
      </c>
      <c r="E31" s="259">
        <v>0.25</v>
      </c>
      <c r="F31" s="259">
        <f t="shared" si="0"/>
        <v>140.17500000000001</v>
      </c>
      <c r="I31" s="259" t="s">
        <v>50</v>
      </c>
      <c r="J31" s="259">
        <f>M26-J30</f>
        <v>525</v>
      </c>
      <c r="K31" s="259">
        <v>0.25</v>
      </c>
      <c r="L31" s="259">
        <f t="shared" ref="L31" si="2">K31*J31</f>
        <v>131.25</v>
      </c>
    </row>
    <row r="32" spans="2:16" x14ac:dyDescent="0.25">
      <c r="C32" s="357" t="s">
        <v>256</v>
      </c>
      <c r="D32" s="358"/>
      <c r="E32" s="359"/>
      <c r="F32" s="264">
        <f>SUM(F27:F31)</f>
        <v>380.92500000000001</v>
      </c>
      <c r="I32" s="357" t="s">
        <v>256</v>
      </c>
      <c r="J32" s="358"/>
      <c r="K32" s="359"/>
      <c r="L32" s="264">
        <f>SUM(L27:L31)</f>
        <v>372</v>
      </c>
    </row>
    <row r="33" customFormat="1" x14ac:dyDescent="0.25"/>
    <row r="59" spans="4:7" x14ac:dyDescent="0.25">
      <c r="D59" s="363"/>
      <c r="E59" s="363"/>
      <c r="F59" s="363"/>
      <c r="G59" s="363"/>
    </row>
    <row r="60" spans="4:7" x14ac:dyDescent="0.25">
      <c r="D60" s="363"/>
      <c r="E60" s="363"/>
      <c r="F60" s="363"/>
      <c r="G60" s="363"/>
    </row>
    <row r="61" spans="4:7" x14ac:dyDescent="0.25">
      <c r="G61" s="17"/>
    </row>
    <row r="64" spans="4:7" x14ac:dyDescent="0.25">
      <c r="G64" s="149"/>
    </row>
    <row r="68" spans="4:7" x14ac:dyDescent="0.25">
      <c r="D68" s="363"/>
      <c r="E68" s="363"/>
      <c r="F68" s="363"/>
      <c r="G68" s="363"/>
    </row>
    <row r="69" spans="4:7" x14ac:dyDescent="0.25">
      <c r="G69" s="17"/>
    </row>
    <row r="72" spans="4:7" x14ac:dyDescent="0.25">
      <c r="D72" s="363"/>
      <c r="E72" s="363"/>
      <c r="F72" s="363"/>
    </row>
    <row r="73" spans="4:7" x14ac:dyDescent="0.25">
      <c r="D73" s="363"/>
      <c r="E73" s="363"/>
      <c r="F73" s="363"/>
    </row>
    <row r="74" spans="4:7" x14ac:dyDescent="0.25">
      <c r="D74" s="363"/>
      <c r="E74" s="363"/>
      <c r="F74" s="363"/>
      <c r="G74" s="149"/>
    </row>
    <row r="76" spans="4:7" x14ac:dyDescent="0.25">
      <c r="D76" s="363"/>
      <c r="E76" s="363"/>
      <c r="F76" s="363"/>
      <c r="G76" s="150"/>
    </row>
    <row r="77" spans="4:7" x14ac:dyDescent="0.25">
      <c r="G77" s="150"/>
    </row>
  </sheetData>
  <mergeCells count="16">
    <mergeCell ref="D74:F74"/>
    <mergeCell ref="D76:F76"/>
    <mergeCell ref="D60:G60"/>
    <mergeCell ref="D68:G68"/>
    <mergeCell ref="D59:G59"/>
    <mergeCell ref="D72:F72"/>
    <mergeCell ref="D73:F73"/>
    <mergeCell ref="C25:F25"/>
    <mergeCell ref="I25:L25"/>
    <mergeCell ref="C32:E32"/>
    <mergeCell ref="I32:K32"/>
    <mergeCell ref="B17:O17"/>
    <mergeCell ref="B18:O18"/>
    <mergeCell ref="B19:O19"/>
    <mergeCell ref="B20:O20"/>
    <mergeCell ref="B21:O2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D10" sqref="D10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158</v>
      </c>
      <c r="B2" s="39" t="s">
        <v>159</v>
      </c>
      <c r="C2" s="39" t="s">
        <v>126</v>
      </c>
      <c r="D2" s="39" t="s">
        <v>160</v>
      </c>
    </row>
    <row r="3" spans="1:6" x14ac:dyDescent="0.25">
      <c r="A3" t="s">
        <v>161</v>
      </c>
      <c r="B3" t="s">
        <v>162</v>
      </c>
      <c r="C3" s="188">
        <v>45344</v>
      </c>
      <c r="D3">
        <v>500</v>
      </c>
      <c r="E3" t="s">
        <v>163</v>
      </c>
    </row>
    <row r="4" spans="1:6" x14ac:dyDescent="0.25">
      <c r="A4" t="s">
        <v>164</v>
      </c>
      <c r="B4" t="s">
        <v>165</v>
      </c>
      <c r="C4" s="188">
        <v>44271</v>
      </c>
      <c r="D4">
        <v>3.5</v>
      </c>
      <c r="E4" t="s">
        <v>166</v>
      </c>
      <c r="F4" t="s">
        <v>167</v>
      </c>
    </row>
    <row r="5" spans="1:6" x14ac:dyDescent="0.25">
      <c r="A5" t="s">
        <v>164</v>
      </c>
      <c r="B5" t="s">
        <v>168</v>
      </c>
      <c r="C5" s="188">
        <v>40000</v>
      </c>
      <c r="D5">
        <v>2.5</v>
      </c>
      <c r="E5" t="s">
        <v>166</v>
      </c>
    </row>
    <row r="6" spans="1:6" x14ac:dyDescent="0.25">
      <c r="A6" t="s">
        <v>164</v>
      </c>
      <c r="B6" t="s">
        <v>169</v>
      </c>
      <c r="C6" s="188">
        <v>33248</v>
      </c>
      <c r="D6" s="212">
        <v>2</v>
      </c>
      <c r="E6" t="s">
        <v>166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77" t="s">
        <v>110</v>
      </c>
      <c r="C2" s="378"/>
      <c r="D2" s="378"/>
      <c r="E2" s="378"/>
      <c r="F2" s="379"/>
    </row>
    <row r="3" spans="2:10" ht="14.4" thickBot="1" x14ac:dyDescent="0.3">
      <c r="B3" s="152" t="s">
        <v>46</v>
      </c>
      <c r="C3" s="380" t="s">
        <v>41</v>
      </c>
      <c r="D3" s="381"/>
      <c r="E3" s="380" t="s">
        <v>92</v>
      </c>
      <c r="F3" s="382"/>
    </row>
    <row r="4" spans="2:10" x14ac:dyDescent="0.25">
      <c r="B4" s="167" t="s">
        <v>93</v>
      </c>
      <c r="C4" s="373">
        <v>0</v>
      </c>
      <c r="D4" s="399"/>
      <c r="E4" s="373">
        <v>0</v>
      </c>
      <c r="F4" s="374"/>
    </row>
    <row r="5" spans="2:10" x14ac:dyDescent="0.25">
      <c r="B5" s="172" t="s">
        <v>94</v>
      </c>
      <c r="C5" s="373">
        <v>140000</v>
      </c>
      <c r="D5" s="399"/>
      <c r="E5" s="373">
        <f>6000*2</f>
        <v>12000</v>
      </c>
      <c r="F5" s="374"/>
    </row>
    <row r="6" spans="2:10" ht="27.6" x14ac:dyDescent="0.25">
      <c r="B6" s="172" t="s">
        <v>106</v>
      </c>
      <c r="C6" s="373">
        <f>46500*7</f>
        <v>325500</v>
      </c>
      <c r="D6" s="399"/>
      <c r="E6" s="373">
        <v>0</v>
      </c>
      <c r="F6" s="374"/>
    </row>
    <row r="7" spans="2:10" x14ac:dyDescent="0.25">
      <c r="B7" s="172" t="s">
        <v>95</v>
      </c>
      <c r="C7" s="373">
        <f>13000*7</f>
        <v>91000</v>
      </c>
      <c r="D7" s="399"/>
      <c r="E7" s="373">
        <f>4000*7</f>
        <v>28000</v>
      </c>
      <c r="F7" s="374"/>
    </row>
    <row r="8" spans="2:10" ht="14.4" thickBot="1" x14ac:dyDescent="0.3">
      <c r="B8" s="158" t="s">
        <v>96</v>
      </c>
      <c r="C8" s="373">
        <f>65000*7</f>
        <v>455000</v>
      </c>
      <c r="D8" s="399"/>
      <c r="E8" s="373">
        <v>50000</v>
      </c>
      <c r="F8" s="374"/>
      <c r="J8" t="s">
        <v>156</v>
      </c>
    </row>
    <row r="9" spans="2:10" ht="14.4" thickBot="1" x14ac:dyDescent="0.3">
      <c r="B9" s="377" t="s">
        <v>109</v>
      </c>
      <c r="C9" s="378"/>
      <c r="D9" s="378"/>
      <c r="E9" s="378"/>
      <c r="F9" s="379"/>
      <c r="J9" t="s">
        <v>157</v>
      </c>
    </row>
    <row r="10" spans="2:10" ht="16.2" thickBot="1" x14ac:dyDescent="0.3">
      <c r="B10" s="153" t="s">
        <v>104</v>
      </c>
      <c r="C10" s="154" t="s">
        <v>102</v>
      </c>
      <c r="D10" s="155" t="s">
        <v>99</v>
      </c>
      <c r="E10" s="156" t="s">
        <v>100</v>
      </c>
      <c r="F10" s="157" t="s">
        <v>101</v>
      </c>
    </row>
    <row r="11" spans="2:10" x14ac:dyDescent="0.25">
      <c r="B11" s="167" t="s">
        <v>93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94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97</v>
      </c>
      <c r="C13" s="375" t="s">
        <v>103</v>
      </c>
      <c r="D13" s="375"/>
      <c r="E13" s="375"/>
      <c r="F13" s="376"/>
    </row>
    <row r="14" spans="2:10" x14ac:dyDescent="0.25">
      <c r="B14" s="182" t="s">
        <v>95</v>
      </c>
      <c r="C14" s="375" t="s">
        <v>105</v>
      </c>
      <c r="D14" s="375"/>
      <c r="E14" s="375"/>
      <c r="F14" s="376"/>
    </row>
    <row r="15" spans="2:10" ht="14.4" thickBot="1" x14ac:dyDescent="0.3">
      <c r="B15" s="158" t="s">
        <v>96</v>
      </c>
      <c r="C15" s="393" t="s">
        <v>107</v>
      </c>
      <c r="D15" s="394"/>
      <c r="E15" s="394"/>
      <c r="F15" s="395"/>
    </row>
    <row r="16" spans="2:10" ht="14.4" thickBot="1" x14ac:dyDescent="0.3"/>
    <row r="17" spans="2:6" ht="14.4" thickBot="1" x14ac:dyDescent="0.3">
      <c r="B17" s="377" t="s">
        <v>91</v>
      </c>
      <c r="C17" s="378"/>
      <c r="D17" s="378"/>
      <c r="E17" s="378"/>
      <c r="F17" s="379"/>
    </row>
    <row r="18" spans="2:6" ht="14.4" thickBot="1" x14ac:dyDescent="0.3">
      <c r="B18" s="152" t="s">
        <v>98</v>
      </c>
      <c r="C18" s="380" t="s">
        <v>41</v>
      </c>
      <c r="D18" s="381"/>
      <c r="E18" s="380" t="s">
        <v>92</v>
      </c>
      <c r="F18" s="382"/>
    </row>
    <row r="19" spans="2:6" x14ac:dyDescent="0.25">
      <c r="B19" s="167" t="s">
        <v>93</v>
      </c>
      <c r="C19" s="396">
        <v>0</v>
      </c>
      <c r="D19" s="397"/>
      <c r="E19" s="396">
        <v>0</v>
      </c>
      <c r="F19" s="398"/>
    </row>
    <row r="20" spans="2:6" x14ac:dyDescent="0.25">
      <c r="B20" s="172" t="s">
        <v>94</v>
      </c>
      <c r="C20" s="385">
        <v>70000</v>
      </c>
      <c r="D20" s="386"/>
      <c r="E20" s="387">
        <f>6000*7</f>
        <v>42000</v>
      </c>
      <c r="F20" s="388"/>
    </row>
    <row r="21" spans="2:6" x14ac:dyDescent="0.25">
      <c r="B21" s="176" t="s">
        <v>97</v>
      </c>
      <c r="C21" s="385">
        <f>46500*7</f>
        <v>325500</v>
      </c>
      <c r="D21" s="386"/>
      <c r="E21" s="385">
        <v>0</v>
      </c>
      <c r="F21" s="389"/>
    </row>
    <row r="22" spans="2:6" x14ac:dyDescent="0.25">
      <c r="B22" s="172" t="s">
        <v>95</v>
      </c>
      <c r="C22" s="385">
        <f>13000*7</f>
        <v>91000</v>
      </c>
      <c r="D22" s="386"/>
      <c r="E22" s="385">
        <f>4000*7</f>
        <v>28000</v>
      </c>
      <c r="F22" s="389"/>
    </row>
    <row r="23" spans="2:6" ht="14.4" thickBot="1" x14ac:dyDescent="0.3">
      <c r="B23" s="158" t="s">
        <v>96</v>
      </c>
      <c r="C23" s="390">
        <f>65000*7</f>
        <v>455000</v>
      </c>
      <c r="D23" s="391"/>
      <c r="E23" s="390">
        <f>7000*7</f>
        <v>49000</v>
      </c>
      <c r="F23" s="392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104</v>
      </c>
      <c r="C25" s="154" t="s">
        <v>102</v>
      </c>
      <c r="D25" s="155" t="s">
        <v>99</v>
      </c>
      <c r="E25" s="156" t="s">
        <v>100</v>
      </c>
      <c r="F25" s="157" t="s">
        <v>101</v>
      </c>
    </row>
    <row r="26" spans="2:6" x14ac:dyDescent="0.25">
      <c r="B26" s="167" t="s">
        <v>93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94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97</v>
      </c>
      <c r="C28" s="383" t="s">
        <v>103</v>
      </c>
      <c r="D28" s="383"/>
      <c r="E28" s="383"/>
      <c r="F28" s="384"/>
    </row>
    <row r="29" spans="2:6" x14ac:dyDescent="0.25">
      <c r="B29" s="172" t="s">
        <v>95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96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77" t="s">
        <v>108</v>
      </c>
      <c r="C35" s="378"/>
      <c r="D35" s="378"/>
      <c r="E35" s="378"/>
      <c r="F35" s="379"/>
    </row>
    <row r="36" spans="2:6" ht="14.4" thickBot="1" x14ac:dyDescent="0.3">
      <c r="B36" s="152" t="s">
        <v>111</v>
      </c>
      <c r="C36" s="380" t="s">
        <v>41</v>
      </c>
      <c r="D36" s="381"/>
      <c r="E36" s="380" t="s">
        <v>92</v>
      </c>
      <c r="F36" s="382"/>
    </row>
    <row r="37" spans="2:6" x14ac:dyDescent="0.25">
      <c r="B37" s="167" t="s">
        <v>112</v>
      </c>
      <c r="C37" s="364" t="s">
        <v>115</v>
      </c>
      <c r="D37" s="365"/>
      <c r="E37" s="365"/>
      <c r="F37" s="366"/>
    </row>
    <row r="38" spans="2:6" x14ac:dyDescent="0.25">
      <c r="B38" s="172" t="s">
        <v>113</v>
      </c>
      <c r="C38" s="367" t="s">
        <v>114</v>
      </c>
      <c r="D38" s="368"/>
      <c r="E38" s="368"/>
      <c r="F38" s="369"/>
    </row>
    <row r="39" spans="2:6" x14ac:dyDescent="0.25">
      <c r="B39" s="172" t="s">
        <v>116</v>
      </c>
      <c r="C39" s="367" t="s">
        <v>117</v>
      </c>
      <c r="D39" s="368"/>
      <c r="E39" s="368"/>
      <c r="F39" s="369"/>
    </row>
    <row r="40" spans="2:6" ht="14.4" thickBot="1" x14ac:dyDescent="0.3">
      <c r="B40" s="158" t="s">
        <v>118</v>
      </c>
      <c r="C40" s="370" t="s">
        <v>119</v>
      </c>
      <c r="D40" s="371"/>
      <c r="E40" s="371"/>
      <c r="F40" s="372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170</v>
      </c>
      <c r="B2" t="s">
        <v>171</v>
      </c>
    </row>
    <row r="3" spans="1:14" x14ac:dyDescent="0.25">
      <c r="B3" t="s">
        <v>41</v>
      </c>
    </row>
    <row r="7" spans="1:14" x14ac:dyDescent="0.25">
      <c r="N7" t="s">
        <v>172</v>
      </c>
    </row>
    <row r="8" spans="1:14" x14ac:dyDescent="0.25">
      <c r="A8" t="s">
        <v>173</v>
      </c>
      <c r="N8" t="s">
        <v>174</v>
      </c>
    </row>
    <row r="9" spans="1:14" x14ac:dyDescent="0.25">
      <c r="A9" t="s">
        <v>175</v>
      </c>
      <c r="D9" s="213" t="s">
        <v>176</v>
      </c>
      <c r="E9" s="213"/>
      <c r="N9" t="s">
        <v>177</v>
      </c>
    </row>
    <row r="10" spans="1:14" x14ac:dyDescent="0.25">
      <c r="N10" t="s">
        <v>178</v>
      </c>
    </row>
    <row r="15" spans="1:14" x14ac:dyDescent="0.25">
      <c r="A15" t="s">
        <v>179</v>
      </c>
      <c r="B15" t="s">
        <v>180</v>
      </c>
    </row>
    <row r="19" spans="1:12" x14ac:dyDescent="0.25">
      <c r="A19" s="39" t="s">
        <v>181</v>
      </c>
      <c r="B19" s="39" t="s">
        <v>172</v>
      </c>
      <c r="C19" s="39" t="s">
        <v>74</v>
      </c>
      <c r="D19" s="39" t="s">
        <v>182</v>
      </c>
      <c r="E19" s="39" t="s">
        <v>183</v>
      </c>
      <c r="F19" s="39" t="s">
        <v>184</v>
      </c>
      <c r="G19" s="39" t="s">
        <v>21</v>
      </c>
      <c r="H19" s="39" t="s">
        <v>185</v>
      </c>
      <c r="I19" s="39" t="s">
        <v>186</v>
      </c>
      <c r="J19" s="39" t="s">
        <v>187</v>
      </c>
      <c r="K19" s="39" t="s">
        <v>188</v>
      </c>
      <c r="L19" s="39" t="s">
        <v>189</v>
      </c>
    </row>
    <row r="20" spans="1:12" x14ac:dyDescent="0.25">
      <c r="A20" t="s">
        <v>190</v>
      </c>
      <c r="H20" s="149">
        <f>'תחשיב לפי שווי שומה (2)'!B8</f>
        <v>11000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191</v>
      </c>
      <c r="H21" s="150">
        <f>H20</f>
        <v>11000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192</v>
      </c>
      <c r="H22" s="150">
        <f>H21</f>
        <v>11000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193</v>
      </c>
      <c r="H23" s="150">
        <f>H22</f>
        <v>11000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194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חישוב גדלי בתים</vt:lpstr>
      <vt:lpstr>ניתוח איזור לעסקאות דמה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2026-03-23T10:16:47Z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