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ברנץ - יציץ/פרוייקט בדיקת התכנות/בדיקת התכנות/"/>
    </mc:Choice>
  </mc:AlternateContent>
  <xr:revisionPtr revIDLastSave="708" documentId="8_{E9A5D54E-385F-4F6C-AF2C-D62B03C85759}" xr6:coauthVersionLast="47" xr6:coauthVersionMax="47" xr10:uidLastSave="{E2694760-1B1D-4062-8FFA-FCCE3BEFBF4E}"/>
  <bookViews>
    <workbookView xWindow="-90" yWindow="0" windowWidth="9780" windowHeight="10170" activeTab="1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ניתוח איזור לעסקאות דמה" sheetId="5" r:id="rId4"/>
    <sheet name="חישוב גדלי בתים" sheetId="4" r:id="rId5"/>
    <sheet name="תבעות" sheetId="8" r:id="rId6"/>
    <sheet name="גיליון1" sheetId="7" r:id="rId7"/>
    <sheet name="בקרה" sheetId="9" r:id="rId8"/>
  </sheets>
  <externalReferences>
    <externalReference r:id="rId9"/>
  </externalReferences>
  <definedNames>
    <definedName name="_xlnm._FilterDatabase" localSheetId="5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7" i="10" l="1"/>
  <c r="N70" i="10"/>
  <c r="N69" i="10"/>
  <c r="N68" i="10"/>
  <c r="K69" i="10"/>
  <c r="K68" i="10"/>
  <c r="K65" i="10"/>
  <c r="K66" i="10"/>
  <c r="K51" i="10"/>
  <c r="K53" i="10" s="1"/>
  <c r="K63" i="10"/>
  <c r="K54" i="10" s="1"/>
  <c r="K55" i="10" s="1"/>
  <c r="K57" i="10" s="1"/>
  <c r="L47" i="10"/>
  <c r="L46" i="10"/>
  <c r="L45" i="10"/>
  <c r="L48" i="10" s="1"/>
  <c r="J40" i="10"/>
  <c r="L35" i="10"/>
  <c r="L36" i="10" s="1"/>
  <c r="J37" i="10"/>
  <c r="J36" i="10"/>
  <c r="J39" i="10" s="1"/>
  <c r="P20" i="10"/>
  <c r="P28" i="10"/>
  <c r="P22" i="10"/>
  <c r="P24" i="10"/>
  <c r="P26" i="10"/>
  <c r="P18" i="10"/>
  <c r="B95" i="3"/>
  <c r="B96" i="3" s="1"/>
  <c r="K35" i="6"/>
  <c r="H44" i="5"/>
  <c r="H45" i="5" s="1"/>
  <c r="I44" i="5"/>
  <c r="J48" i="5"/>
  <c r="I48" i="5"/>
  <c r="H54" i="5"/>
  <c r="H52" i="5"/>
  <c r="I54" i="5"/>
  <c r="I52" i="5"/>
  <c r="C7" i="5"/>
  <c r="F52" i="5"/>
  <c r="G37" i="5"/>
  <c r="G38" i="5" s="1"/>
  <c r="I37" i="5"/>
  <c r="Q48" i="5"/>
  <c r="Q49" i="5" s="1"/>
  <c r="Q47" i="5"/>
  <c r="B8" i="6"/>
  <c r="H20" i="9" s="1"/>
  <c r="H21" i="9" s="1"/>
  <c r="B22" i="3"/>
  <c r="B11" i="3"/>
  <c r="B9" i="3"/>
  <c r="B10" i="3" s="1"/>
  <c r="D10" i="3" s="1"/>
  <c r="D7" i="3"/>
  <c r="D27" i="5"/>
  <c r="D29" i="5"/>
  <c r="C81" i="3"/>
  <c r="C85" i="3" s="1"/>
  <c r="C86" i="3" s="1"/>
  <c r="G49" i="3"/>
  <c r="D36" i="3"/>
  <c r="D33" i="3"/>
  <c r="L24" i="9"/>
  <c r="J24" i="9"/>
  <c r="L23" i="9"/>
  <c r="L22" i="9"/>
  <c r="L21" i="9"/>
  <c r="L20" i="9"/>
  <c r="C42" i="6"/>
  <c r="P30" i="10" l="1"/>
  <c r="J42" i="10" s="1"/>
  <c r="D30" i="5"/>
  <c r="D32" i="5" s="1"/>
  <c r="B5" i="6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G13" i="4"/>
  <c r="F13" i="4"/>
  <c r="H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H23" i="9" l="1"/>
  <c r="J23" i="9" s="1"/>
  <c r="J22" i="9"/>
  <c r="D42" i="6"/>
  <c r="C35" i="6"/>
  <c r="D35" i="6" s="1"/>
  <c r="G25" i="4"/>
  <c r="I25" i="4"/>
  <c r="H25" i="4"/>
  <c r="D25" i="4"/>
  <c r="F25" i="4"/>
  <c r="E25" i="4"/>
  <c r="C15" i="6" l="1"/>
  <c r="D27" i="4"/>
  <c r="D9" i="6" l="1"/>
  <c r="S24" i="4" l="1"/>
  <c r="R24" i="4"/>
  <c r="Q24" i="4"/>
  <c r="P24" i="4"/>
  <c r="O24" i="4"/>
  <c r="N24" i="4"/>
  <c r="M24" i="4"/>
  <c r="L24" i="4"/>
  <c r="K24" i="4"/>
  <c r="J24" i="4"/>
  <c r="D6" i="3" l="1"/>
  <c r="D5" i="3"/>
  <c r="D4" i="3"/>
  <c r="D11" i="3" l="1"/>
  <c r="D13" i="3" s="1"/>
  <c r="S13" i="4" l="1"/>
  <c r="R13" i="4"/>
  <c r="Q13" i="4"/>
  <c r="O13" i="4"/>
  <c r="M13" i="4"/>
  <c r="L13" i="4"/>
  <c r="K13" i="4"/>
  <c r="J13" i="4"/>
  <c r="P13" i="4"/>
  <c r="N13" i="4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H6" i="3"/>
  <c r="H5" i="3"/>
  <c r="H4" i="3"/>
  <c r="G6" i="3"/>
  <c r="G5" i="3"/>
  <c r="F6" i="3"/>
  <c r="F5" i="3"/>
  <c r="F4" i="3"/>
  <c r="G4" i="3"/>
  <c r="D25" i="3"/>
  <c r="D22" i="3"/>
  <c r="D21" i="3"/>
  <c r="D19" i="3"/>
  <c r="D26" i="3" s="1"/>
  <c r="D28" i="3" s="1"/>
  <c r="G11" i="6"/>
  <c r="I48" i="3"/>
  <c r="I49" i="3"/>
  <c r="F48" i="3"/>
  <c r="B54" i="3"/>
  <c r="B55" i="3" s="1"/>
  <c r="D56" i="3" s="1"/>
  <c r="D49" i="3"/>
  <c r="D52" i="3"/>
  <c r="D51" i="3"/>
  <c r="D50" i="3"/>
  <c r="F18" i="6"/>
  <c r="B4" i="6" l="1"/>
  <c r="I4" i="3"/>
  <c r="G9" i="3"/>
  <c r="G10" i="3" s="1"/>
  <c r="I6" i="3"/>
  <c r="J50" i="3"/>
  <c r="J51" i="3" s="1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B16" i="6" s="1"/>
  <c r="Q50" i="5" s="1"/>
  <c r="D41" i="3"/>
  <c r="I13" i="3"/>
  <c r="I14" i="3" s="1"/>
  <c r="B2" i="6" s="1"/>
  <c r="I36" i="5" l="1"/>
  <c r="I38" i="5" s="1"/>
  <c r="Q51" i="5"/>
  <c r="D16" i="6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<sst xmlns="http://schemas.openxmlformats.org/spreadsheetml/2006/main" count="427" uniqueCount="286">
  <si>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</si>
  <si>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</si>
  <si>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</si>
  <si>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</si>
  <si>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</si>
  <si>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</si>
  <si>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</si>
  <si>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</si>
  <si>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</si>
  <si>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</si>
  <si>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</si>
  <si>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</si>
  <si>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</si>
  <si>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</si>
  <si>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</si>
  <si>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</si>
  <si>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</si>
  <si>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</si>
  <si>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</si>
  <si>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</si>
  <si>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</si>
  <si>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</si>
  <si>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</si>
  <si>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</si>
  <si>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</si>
  <si>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</si>
  <si>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</si>
  <si>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</si>
  <si>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</si>
  <si>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</si>
  <si>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</si>
  <si>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</si>
  <si>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</si>
  <si>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</si>
  <si>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</si>
  <si>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</si>
  <si>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</si>
  <si>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</si>
  <si>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</si>
  <si>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</si>
  <si>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</si>
  <si>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</si>
  <si>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</si>
  <si>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</si>
  <si>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</si>
  <si>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</si>
  <si>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</si>
  <si>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</si>
  <si>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</si>
  <si>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</si>
  <si>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</si>
  <si>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</si>
  <si>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</si>
  <si>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</si>
  <si>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</si>
  <si>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</si>
  <si>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</si>
  <si>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</si>
  <si>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</si>
  <si>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</si>
  <si>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</si>
  <si>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</si>
  <si>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</si>
  <si>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</si>
  <si>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</si>
  <si>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</si>
  <si>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</si>
  <si>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</si>
  <si>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</si>
  <si>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</si>
  <si>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</si>
  <si>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</si>
  <si>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</si>
  <si>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</si>
  <si>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</si>
  <si>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</si>
  <si>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</si>
  <si>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</si>
  <si>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</si>
  <si>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</si>
  <si>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</si>
  <si>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</si>
  <si>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</si>
  <si>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</si>
  <si>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</si>
  <si>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</si>
  <si>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</si>
  <si>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</si>
  <si>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</si>
  <si>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</si>
  <si>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</si>
  <si>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</si>
  <si>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</si>
  <si>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</si>
  <si>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</si>
  <si>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</si>
  <si>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לפי ברנס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</si>
  <si>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</si>
  <si>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</si>
  <si>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</si>
  <si>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</si>
  <si>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</si>
  <si>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</si>
  <si>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</si>
  <si>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</si>
  <si>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</si>
  <si>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</si>
  <si>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</si>
  <si>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</si>
  <si>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</si>
  <si>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</si>
  <si>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</si>
  <si>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</si>
  <si>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</si>
  <si>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</si>
  <si>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</si>
  <si>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</si>
  <si>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</si>
  <si>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</si>
  <si>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</si>
  <si>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</si>
  <si>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</si>
  <si>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</si>
  <si>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</si>
  <si>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</si>
  <si>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</si>
  <si>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</si>
  <si>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</si>
  <si>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</si>
  <si>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</si>
  <si>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</si>
  <si>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</si>
  <si>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</si>
  <si>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</si>
  <si>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</si>
  <si>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</si>
  <si>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</si>
  <si>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</si>
  <si>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</si>
  <si>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</si>
  <si>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</si>
  <si>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</si>
  <si>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</si>
  <si>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</si>
  <si>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</si>
  <si>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</si>
  <si>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</si>
  <si>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</si>
  <si>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</si>
  <si>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</si>
  <si>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</si>
  <si>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</si>
  <si>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</si>
  <si>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</si>
  <si>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</si>
  <si>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</si>
  <si>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</si>
  <si>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</si>
  <si>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</si>
  <si>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</si>
  <si>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</si>
  <si>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</si>
  <si>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</si>
  <si>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</si>
  <si>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</si>
  <si>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</si>
  <si>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פל"ח</t>
  </si>
  <si>
    <t>בתים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</si>
  <si>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</si>
  <si>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</si>
  <si>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</si>
  <si>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</si>
  <si>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</si>
  <si>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</si>
  <si>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</si>
  <si>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</si>
  <si>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</si>
  <si>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</si>
  <si>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</si>
  <si>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</si>
  <si>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</si>
  <si>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</si>
  <si>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</si>
  <si>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</si>
  <si>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</si>
  <si>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</si>
  <si>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</si>
  <si>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</si>
  <si>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</si>
  <si>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</si>
  <si>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</si>
  <si>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</si>
  <si>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</si>
  <si>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</si>
  <si>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</si>
  <si>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01- חקלאי</t>
  </si>
  <si>
    <t>היתר שנת 2000 - חקלאי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</si>
  <si>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</si>
  <si>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</si>
  <si>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</si>
  <si>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</si>
  <si>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</si>
  <si>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</si>
  <si>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</si>
  <si>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-</t>
  </si>
  <si>
    <t>מבנה 1 - בית מגורים ראשון</t>
  </si>
  <si>
    <t>היתר שנת 71</t>
  </si>
  <si>
    <t>מבנה 1.1- פרגולה</t>
  </si>
  <si>
    <t>מבנה 2 - בית מגורים שני</t>
  </si>
  <si>
    <t xml:space="preserve">היתר שנת 95 </t>
  </si>
  <si>
    <t>מבנה 2.1 - בריכה</t>
  </si>
  <si>
    <t>מבנה 3 - בית שלישי</t>
  </si>
  <si>
    <t>מבנה 4 - מחסן חקלאי</t>
  </si>
  <si>
    <t>מבנה 6- קראוון</t>
  </si>
  <si>
    <t>מבנה 7 קראוון</t>
  </si>
  <si>
    <t>תבע עכשיו</t>
  </si>
  <si>
    <t>גז/1000</t>
  </si>
  <si>
    <t>גז/10</t>
  </si>
  <si>
    <t>גז/10/א</t>
  </si>
  <si>
    <t>גז/10/ג</t>
  </si>
  <si>
    <t>מבנה 5 - בית רביעי + מחסן</t>
  </si>
  <si>
    <t>היטל השבחה יחידה צמודה</t>
  </si>
  <si>
    <t>שווי מ"ר למועד קובע 1988</t>
  </si>
  <si>
    <t>מדד המחירים לצרכן</t>
  </si>
  <si>
    <t>שווי מ"R ממודד</t>
  </si>
  <si>
    <t>מקדם השבחה</t>
  </si>
  <si>
    <t>שווי מ"ר מבונה</t>
  </si>
  <si>
    <t>מועד קובע</t>
  </si>
  <si>
    <t>התאמה לזמן</t>
  </si>
  <si>
    <t>שווי מתואם</t>
  </si>
  <si>
    <t>מקדם לנחלה</t>
  </si>
  <si>
    <t>מתואם</t>
  </si>
  <si>
    <t>לשומה</t>
  </si>
  <si>
    <t>מקדם זמן</t>
  </si>
  <si>
    <t>ניטרול התאמה למיקום</t>
  </si>
  <si>
    <t>מבני עזר</t>
  </si>
  <si>
    <t>בניה על הגג</t>
  </si>
  <si>
    <t>מרתפים כולל ממד</t>
  </si>
  <si>
    <t>חצר עד 1500</t>
  </si>
  <si>
    <t>עיקרי שולי</t>
  </si>
  <si>
    <t>אפקטיבי</t>
  </si>
  <si>
    <t>שווי חלקת מגורין</t>
  </si>
  <si>
    <t>שטח אקו' + פוטנצ</t>
  </si>
  <si>
    <t>שווי מ"ר</t>
  </si>
  <si>
    <t>שטח אקו' נשוא השומה</t>
  </si>
  <si>
    <t>שווי חלקת מגורים + פוטנציאל</t>
  </si>
  <si>
    <t>שווי חלקת המגורים שמאי רמי</t>
  </si>
  <si>
    <t>כולל הקלה 6%</t>
  </si>
  <si>
    <t>שווי חלקת מגורים עפ"י שמאי מתואם</t>
  </si>
  <si>
    <t>שווי חלקת מגורים ע"פי תחשיב שלנו</t>
  </si>
  <si>
    <t>ניטל בית שלישי\</t>
  </si>
  <si>
    <t>שווי מר</t>
  </si>
  <si>
    <t>סיכום עלויות הסדרה</t>
  </si>
  <si>
    <t>מבנה</t>
  </si>
  <si>
    <t>סה"כ למבנה</t>
  </si>
  <si>
    <t>מבנה 2 - בית שני</t>
  </si>
  <si>
    <t>מבנה 1.1 פרגולה</t>
  </si>
  <si>
    <t>חשיפה לדמי שימוש</t>
  </si>
  <si>
    <t>מבנה 4 -חקלאי</t>
  </si>
  <si>
    <t>מבנה 7 - בית מגורים חמישי</t>
  </si>
  <si>
    <t>היטל השבחה</t>
  </si>
  <si>
    <t>דמי היתר / דמי היוון</t>
  </si>
  <si>
    <t>מבנה 5 - בית מגורים רביעי - להריסה</t>
  </si>
  <si>
    <t>מבנה 6 - מחסן - הריסה / הסדרה כחקלאי</t>
  </si>
  <si>
    <t>היוון</t>
  </si>
  <si>
    <t>בית 220</t>
  </si>
  <si>
    <t>יחידת הורים</t>
  </si>
  <si>
    <t>יחידת הורים 55</t>
  </si>
  <si>
    <t>קנס מרחף</t>
  </si>
  <si>
    <t>105 מ"ר היטל השבחה</t>
  </si>
  <si>
    <t>אגרות בניה 300 מ"ר - סלילה</t>
  </si>
  <si>
    <t>אחסנה</t>
  </si>
  <si>
    <t>משרדים</t>
  </si>
  <si>
    <t>צימרים</t>
  </si>
  <si>
    <t>בית ראשון קיים</t>
  </si>
  <si>
    <t>בית שני קיים</t>
  </si>
  <si>
    <t>תבע מקומית</t>
  </si>
  <si>
    <t>מצב בנוי</t>
  </si>
  <si>
    <t>יתרה לבניה</t>
  </si>
  <si>
    <t>יחידה שלישית</t>
  </si>
  <si>
    <t>סה"כ קיים</t>
  </si>
  <si>
    <t>הפלתת מצב בנוי</t>
  </si>
  <si>
    <t>יתרה ללא דמי היתר</t>
  </si>
  <si>
    <t>יחידה שלישת</t>
  </si>
  <si>
    <t>דמי היתר בית שלישי</t>
  </si>
  <si>
    <t>יחידה שלישית רצויה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</si>
</sst>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sz val="20"/>
      <color theme="1"/>
      <name val="Arial"/>
      <family val="2"/>
      <charset val="177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4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165" fontId="19" fillId="3" borderId="17" xfId="1" applyNumberFormat="1" applyFont="1" applyFill="1" applyBorder="1" applyAlignment="1">
      <alignment horizontal="center" vertical="center" wrapText="1"/>
    </xf>
    <xf numFmtId="165" fontId="19" fillId="3" borderId="18" xfId="1" applyNumberFormat="1" applyFont="1" applyFill="1" applyBorder="1" applyAlignment="1">
      <alignment horizontal="center" vertical="center" wrapText="1"/>
    </xf>
    <xf numFmtId="14" fontId="0" fillId="0" borderId="0" xfId="1" applyNumberFormat="1" applyFont="1"/>
    <xf numFmtId="0" fontId="20" fillId="0" borderId="0" xfId="0" applyFont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164" fontId="0" fillId="0" borderId="0" xfId="2" applyNumberFormat="1" applyFont="1" applyBorder="1"/>
    <xf numFmtId="164" fontId="6" fillId="0" borderId="0" xfId="2" applyNumberFormat="1" applyFont="1" applyBorder="1"/>
    <xf numFmtId="165" fontId="0" fillId="0" borderId="1" xfId="1" applyNumberFormat="1" applyFont="1" applyBorder="1"/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55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 wrapText="1"/>
    </xf>
    <xf numFmtId="0" fontId="6" fillId="11" borderId="60" xfId="0" applyFont="1" applyFill="1" applyBorder="1" applyAlignment="1">
      <alignment horizontal="center"/>
    </xf>
    <xf numFmtId="0" fontId="6" fillId="11" borderId="48" xfId="0" applyFont="1" applyFill="1" applyBorder="1" applyAlignment="1">
      <alignment horizontal="center"/>
    </xf>
    <xf numFmtId="0" fontId="6" fillId="11" borderId="19" xfId="0" applyFont="1" applyFill="1" applyBorder="1" applyAlignment="1">
      <alignment horizont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8" fillId="0" borderId="2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64" fontId="0" fillId="0" borderId="72" xfId="2" applyNumberFormat="1" applyFont="1" applyBorder="1" applyAlignment="1">
      <alignment horizontal="center" vertical="center"/>
    </xf>
    <xf numFmtId="164" fontId="0" fillId="0" borderId="6" xfId="2" applyNumberFormat="1" applyFont="1" applyBorder="1" applyAlignment="1">
      <alignment horizontal="center" vertical="center"/>
    </xf>
    <xf numFmtId="164" fontId="0" fillId="0" borderId="31" xfId="2" applyNumberFormat="1" applyFont="1" applyBorder="1" applyAlignment="1">
      <alignment horizontal="center" vertical="center"/>
    </xf>
    <xf numFmtId="164" fontId="0" fillId="0" borderId="12" xfId="2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64" fontId="6" fillId="0" borderId="49" xfId="2" applyNumberFormat="1" applyFont="1" applyBorder="1" applyAlignment="1">
      <alignment horizontal="center" vertical="center"/>
    </xf>
    <xf numFmtId="164" fontId="6" fillId="0" borderId="56" xfId="2" applyNumberFormat="1" applyFont="1" applyBorder="1" applyAlignment="1">
      <alignment horizontal="center" vertical="center"/>
    </xf>
    <xf numFmtId="164" fontId="6" fillId="0" borderId="70" xfId="2" applyNumberFormat="1" applyFont="1" applyBorder="1" applyAlignment="1">
      <alignment horizontal="center" vertical="center"/>
    </xf>
    <xf numFmtId="164" fontId="6" fillId="0" borderId="7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73" xfId="2" applyNumberFormat="1" applyFont="1" applyBorder="1" applyAlignment="1">
      <alignment horizontal="center" vertical="center"/>
    </xf>
    <xf numFmtId="164" fontId="0" fillId="0" borderId="8" xfId="2" applyNumberFormat="1" applyFont="1" applyBorder="1" applyAlignment="1">
      <alignment horizontal="center" vertic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0" xfId="0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0" fillId="0" borderId="7" xfId="0" applyBorder="1" applyAlignment="1">
      <alignment horizontal="left"/>
    </xf>
    <xf numFmtId="164" fontId="0" fillId="0" borderId="34" xfId="0" applyNumberFormat="1" applyBorder="1"/>
    <xf numFmtId="164" fontId="0" fillId="0" borderId="8" xfId="2" applyNumberFormat="1" applyFont="1" applyBorder="1"/>
    <xf numFmtId="164" fontId="0" fillId="0" borderId="35" xfId="0" applyNumberFormat="1" applyBorder="1"/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182880</xdr:colOff>
      <xdr:row>0</xdr:row>
      <xdr:rowOff>0</xdr:rowOff>
    </xdr:from>
    <xdr:to>
      <xdr:col>16</xdr:col>
      <xdr:colOff>554771</xdr:colOff>
      <xdr:row>20</xdr:row>
      <xdr:rowOff>131756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9A59919-B9A0-E1E1-3FC0-C6D966DA8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813039" y="0"/>
          <a:ext cx="4787681" cy="3598856"/>
        </a:xfrm>
        <a:prstGeom prst="rect">
          <a:avLst/>
        </a:prstGeom>
      </xdr:spPr>
    </xdr:pic>
    <xdr:clientData/>
  </xdr:twoCellAnchor>
  <xdr:twoCellAnchor editAs="oneCell">
    <xdr:from>
      <xdr:col>4</xdr:col>
      <xdr:colOff>621030</xdr:colOff>
      <xdr:row>15</xdr:row>
      <xdr:rowOff>125730</xdr:rowOff>
    </xdr:from>
    <xdr:to>
      <xdr:col>8</xdr:col>
      <xdr:colOff>18432</xdr:colOff>
      <xdr:row>28</xdr:row>
      <xdr:rowOff>129540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926C0BC5-A40A-B72A-7310-0525BDC4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9161533" y="2716530"/>
          <a:ext cx="3163587" cy="2255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839391</xdr:colOff>
      <xdr:row>14</xdr:row>
      <xdr:rowOff>91440</xdr:rowOff>
    </xdr:from>
    <xdr:to>
      <xdr:col>11</xdr:col>
      <xdr:colOff>438597</xdr:colOff>
      <xdr:row>21</xdr:row>
      <xdr:rowOff>130374</xdr:rowOff>
    </xdr:to>
    <xdr:grpSp>
      <xdr:nvGrpSpPr>
        <xdr:cNvPr id="6" name="קבוצה 5">
          <a:extLst>
            <a:ext uri="{FF2B5EF4-FFF2-40B4-BE49-F238E27FC236}">
              <a16:creationId xmlns:a16="http://schemas.microsoft.com/office/drawing/2014/main" id="{E61B2607-C5FD-A348-EF03-FAA115076435}"/>
            </a:ext>
          </a:extLst>
        </xdr:cNvPr>
        <xdr:cNvGrpSpPr/>
      </xdr:nvGrpSpPr>
      <xdr:grpSpPr>
        <a:xfrm>
          <a:off x="10764320462" y="2668793"/>
          <a:ext cx="12097500" cy="1293993"/>
          <a:chOff x="10916262963" y="2720578"/>
          <a:chExt cx="7917865" cy="1239799"/>
        </a:xfrm>
      </xdr:grpSpPr>
      <xdr:pic>
        <xdr:nvPicPr>
          <xdr:cNvPr id="4" name="תמונה 3">
            <a:extLst>
              <a:ext uri="{FF2B5EF4-FFF2-40B4-BE49-F238E27FC236}">
                <a16:creationId xmlns:a16="http://schemas.microsoft.com/office/drawing/2014/main" id="{22AF2A0B-ACC9-933D-A88D-110793706D9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69335"/>
          <a:stretch/>
        </xdr:blipFill>
        <xdr:spPr>
          <a:xfrm>
            <a:off x="10916262963" y="2720578"/>
            <a:ext cx="7917865" cy="422672"/>
          </a:xfrm>
          <a:prstGeom prst="rect">
            <a:avLst/>
          </a:prstGeom>
        </xdr:spPr>
      </xdr:pic>
      <xdr:pic>
        <xdr:nvPicPr>
          <xdr:cNvPr id="5" name="תמונה 4">
            <a:extLst>
              <a:ext uri="{FF2B5EF4-FFF2-40B4-BE49-F238E27FC236}">
                <a16:creationId xmlns:a16="http://schemas.microsoft.com/office/drawing/2014/main" id="{CDE34FCB-8E8C-8610-43ED-7CFCF531C48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40664"/>
          <a:stretch/>
        </xdr:blipFill>
        <xdr:spPr>
          <a:xfrm>
            <a:off x="10916266537" y="3135153"/>
            <a:ext cx="7908340" cy="825224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125578</xdr:colOff>
      <xdr:row>14</xdr:row>
      <xdr:rowOff>58239</xdr:rowOff>
    </xdr:from>
    <xdr:to>
      <xdr:col>21</xdr:col>
      <xdr:colOff>211456</xdr:colOff>
      <xdr:row>38</xdr:row>
      <xdr:rowOff>134662</xdr:rowOff>
    </xdr:to>
    <xdr:pic>
      <xdr:nvPicPr>
        <xdr:cNvPr id="8" name="תמונה 7">
          <a:extLst>
            <a:ext uri="{FF2B5EF4-FFF2-40B4-BE49-F238E27FC236}">
              <a16:creationId xmlns:a16="http://schemas.microsoft.com/office/drawing/2014/main" id="{25FBBB51-255D-45A7-F9DB-AEA8D310A3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25" t="8410" r="5011" b="3554"/>
        <a:stretch/>
      </xdr:blipFill>
      <xdr:spPr>
        <a:xfrm>
          <a:off x="10909822605" y="2738846"/>
          <a:ext cx="6259710" cy="4327343"/>
        </a:xfrm>
        <a:prstGeom prst="rect">
          <a:avLst/>
        </a:prstGeom>
      </xdr:spPr>
    </xdr:pic>
    <xdr:clientData/>
  </xdr:twoCellAnchor>
  <xdr:twoCellAnchor editAs="oneCell">
    <xdr:from>
      <xdr:col>24</xdr:col>
      <xdr:colOff>575391</xdr:colOff>
      <xdr:row>41</xdr:row>
      <xdr:rowOff>127897</xdr:rowOff>
    </xdr:from>
    <xdr:to>
      <xdr:col>34</xdr:col>
      <xdr:colOff>495673</xdr:colOff>
      <xdr:row>70</xdr:row>
      <xdr:rowOff>155292</xdr:rowOff>
    </xdr:to>
    <xdr:pic>
      <xdr:nvPicPr>
        <xdr:cNvPr id="9" name="תמונה 8">
          <a:extLst>
            <a:ext uri="{FF2B5EF4-FFF2-40B4-BE49-F238E27FC236}">
              <a16:creationId xmlns:a16="http://schemas.microsoft.com/office/drawing/2014/main" id="{43688F9D-EC83-3A2D-37C5-B9E7E7CDA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0866828" y="7584611"/>
          <a:ext cx="6587781" cy="5148211"/>
        </a:xfrm>
        <a:prstGeom prst="rect">
          <a:avLst/>
        </a:prstGeom>
      </xdr:spPr>
    </xdr:pic>
    <xdr:clientData/>
  </xdr:twoCellAnchor>
  <xdr:twoCellAnchor editAs="oneCell">
    <xdr:from>
      <xdr:col>23</xdr:col>
      <xdr:colOff>328429</xdr:colOff>
      <xdr:row>14</xdr:row>
      <xdr:rowOff>90564</xdr:rowOff>
    </xdr:from>
    <xdr:to>
      <xdr:col>34</xdr:col>
      <xdr:colOff>209517</xdr:colOff>
      <xdr:row>37</xdr:row>
      <xdr:rowOff>19593</xdr:rowOff>
    </xdr:to>
    <xdr:pic>
      <xdr:nvPicPr>
        <xdr:cNvPr id="10" name="תמונה 9">
          <a:extLst>
            <a:ext uri="{FF2B5EF4-FFF2-40B4-BE49-F238E27FC236}">
              <a16:creationId xmlns:a16="http://schemas.microsoft.com/office/drawing/2014/main" id="{91311BFD-5584-66B7-4320-AAAE925CF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1145364" y="2771171"/>
          <a:ext cx="7222957" cy="4003280"/>
        </a:xfrm>
        <a:prstGeom prst="rect">
          <a:avLst/>
        </a:prstGeom>
      </xdr:spPr>
    </xdr:pic>
    <xdr:clientData/>
  </xdr:twoCellAnchor>
  <xdr:twoCellAnchor editAs="oneCell">
    <xdr:from>
      <xdr:col>4</xdr:col>
      <xdr:colOff>1210539</xdr:colOff>
      <xdr:row>23</xdr:row>
      <xdr:rowOff>87165</xdr:rowOff>
    </xdr:from>
    <xdr:to>
      <xdr:col>7</xdr:col>
      <xdr:colOff>626386</xdr:colOff>
      <xdr:row>31</xdr:row>
      <xdr:rowOff>224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044909E-86ED-61B6-FF22-8352863A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1926370" y="4188518"/>
          <a:ext cx="3567738" cy="12463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372018</xdr:colOff>
      <xdr:row>0</xdr:row>
      <xdr:rowOff>0</xdr:rowOff>
    </xdr:from>
    <xdr:to>
      <xdr:col>12</xdr:col>
      <xdr:colOff>632420</xdr:colOff>
      <xdr:row>20</xdr:row>
      <xdr:rowOff>173486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ABC1A16-9ACE-3D7F-FC26-B375AF33A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9953808" y="0"/>
          <a:ext cx="4277231" cy="3649295"/>
        </a:xfrm>
        <a:prstGeom prst="rect">
          <a:avLst/>
        </a:prstGeom>
      </xdr:spPr>
    </xdr:pic>
    <xdr:clientData/>
  </xdr:twoCellAnchor>
  <xdr:twoCellAnchor editAs="oneCell">
    <xdr:from>
      <xdr:col>6</xdr:col>
      <xdr:colOff>143419</xdr:colOff>
      <xdr:row>22</xdr:row>
      <xdr:rowOff>135964</xdr:rowOff>
    </xdr:from>
    <xdr:to>
      <xdr:col>12</xdr:col>
      <xdr:colOff>208899</xdr:colOff>
      <xdr:row>31</xdr:row>
      <xdr:rowOff>56766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0FCCCF89-6F7A-9AEF-3E54-5865DC76F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60362089" y="3967735"/>
          <a:ext cx="4097549" cy="1499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topLeftCell="A12" zoomScale="70" zoomScaleNormal="70" workbookViewId="0">
      <selection activeCell="L37" sqref="L37"/>
    </sheetView>
  </sheetViews>
  <sheetFormatPr defaultColWidth="8.6640625" defaultRowHeight="20" x14ac:dyDescent="0.4"/>
  <cols>
    <col min="1" max="1" width="35.83203125" style="1" bestFit="1" customWidth="1"/>
    <col min="2" max="2" width="21.83203125" style="1" bestFit="1" customWidth="1"/>
    <col min="3" max="3" width="21.6640625" style="1" bestFit="1" customWidth="1"/>
    <col min="4" max="4" width="23.4140625" style="1" customWidth="1"/>
    <col min="5" max="5" width="21.6640625" style="1" bestFit="1" customWidth="1"/>
    <col min="6" max="6" width="21.33203125" style="1" customWidth="1"/>
    <col min="7" max="7" width="19.33203125" style="1" bestFit="1" customWidth="1"/>
    <col min="8" max="8" width="23.08203125" style="1" customWidth="1"/>
    <col min="9" max="9" width="35.1640625" style="1" customWidth="1"/>
    <col min="10" max="10" width="21.83203125" style="1" bestFit="1" customWidth="1"/>
    <col min="11" max="11" width="21.6640625" style="75" bestFit="1" customWidth="1"/>
    <col min="12" max="12" width="20" style="1" bestFit="1" customWidth="1"/>
    <col min="13" max="13" width="18.5" style="1" bestFit="1" customWidth="1"/>
    <col min="14" max="14" width="10.83203125" style="1" bestFit="1" customWidth="1"/>
    <col min="15" max="16384" width="8.6640625" style="1"/>
  </cols>
  <sheetData>
    <row r="2" spans="1:11" x14ac:dyDescent="0.4">
      <c r="A2" s="1" t="s">
        <v>45</v>
      </c>
      <c r="B2" s="76">
        <f>'מ"ר אקו'' נחלה'!I14</f>
        <v>717.5</v>
      </c>
      <c r="K2" s="1"/>
    </row>
    <row r="3" spans="1:11" x14ac:dyDescent="0.4">
      <c r="A3" s="1" t="s">
        <v>17</v>
      </c>
      <c r="B3" s="76">
        <f>'מ"ר אקו'' נחלה'!D14</f>
        <v>997.5</v>
      </c>
      <c r="K3" s="1"/>
    </row>
    <row r="4" spans="1:11" x14ac:dyDescent="0.4">
      <c r="A4" s="1" t="s">
        <v>91</v>
      </c>
      <c r="B4" s="76">
        <f>'מ"ר אקו'' נחלה'!D28</f>
        <v>185.625</v>
      </c>
      <c r="K4" s="1"/>
    </row>
    <row r="5" spans="1:11" x14ac:dyDescent="0.4">
      <c r="A5" s="1" t="s">
        <v>197</v>
      </c>
      <c r="B5" s="76">
        <f>'מ"ר אקו'' נחלה'!D38</f>
        <v>0</v>
      </c>
      <c r="K5" s="1"/>
    </row>
    <row r="6" spans="1:11" x14ac:dyDescent="0.4">
      <c r="A6" s="1" t="s">
        <v>3</v>
      </c>
      <c r="B6" s="1">
        <f>'מ"ר אקו'' נחלה'!D70</f>
        <v>806.25</v>
      </c>
      <c r="F6" s="7"/>
      <c r="K6" s="1"/>
    </row>
    <row r="7" spans="1:11" x14ac:dyDescent="0.4">
      <c r="A7" s="1" t="s">
        <v>57</v>
      </c>
      <c r="B7" s="1">
        <f>'מ"ר אקו'' נחלה'!D57</f>
        <v>286.8</v>
      </c>
      <c r="C7" s="1" t="s">
        <v>58</v>
      </c>
      <c r="D7" s="75">
        <f>'מ"ר אקו'' נחלה'!I50</f>
        <v>207.5</v>
      </c>
      <c r="F7" s="75"/>
      <c r="K7" s="1"/>
    </row>
    <row r="8" spans="1:11" x14ac:dyDescent="0.4">
      <c r="A8" s="1" t="s">
        <v>12</v>
      </c>
      <c r="B8" s="128">
        <f>'ניתוח איזור לעסקאות דמה'!C7</f>
        <v>9500</v>
      </c>
      <c r="C8" s="1" t="s">
        <v>84</v>
      </c>
      <c r="D8" s="5">
        <v>2500</v>
      </c>
      <c r="F8" s="75"/>
      <c r="K8" s="1"/>
    </row>
    <row r="9" spans="1:11" x14ac:dyDescent="0.4">
      <c r="A9" s="3"/>
      <c r="B9" s="5"/>
      <c r="C9" s="1" t="s">
        <v>92</v>
      </c>
      <c r="D9" s="1" t="e">
        <f>'ניתוח איזור לעסקאות דמה'!#REF!</f>
        <v>#REF!</v>
      </c>
      <c r="E9" s="8">
        <v>1.17</v>
      </c>
    </row>
    <row r="10" spans="1:11" x14ac:dyDescent="0.4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67</v>
      </c>
      <c r="J10" s="2"/>
    </row>
    <row r="11" spans="1:1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287226.5625</v>
      </c>
      <c r="G11" s="75">
        <f>'מ"ר אקו'' נחלה'!D71*-3.75%</f>
        <v>-6562.5</v>
      </c>
      <c r="H11" s="88">
        <f>SUM(F11:G11)</f>
        <v>280664.0625</v>
      </c>
      <c r="I11" s="9"/>
      <c r="J11" s="75"/>
    </row>
    <row r="12" spans="1:11" x14ac:dyDescent="0.4">
      <c r="A12" s="82" t="s">
        <v>63</v>
      </c>
      <c r="B12" s="113">
        <f>D7</f>
        <v>207.5</v>
      </c>
      <c r="C12" s="114">
        <v>0.29249999999999998</v>
      </c>
      <c r="D12" s="82">
        <f t="shared" si="0"/>
        <v>60.693749999999994</v>
      </c>
      <c r="E12" s="82">
        <v>1</v>
      </c>
      <c r="F12" s="84">
        <f>D12*$B$8*E12</f>
        <v>576590.625</v>
      </c>
      <c r="G12" s="75">
        <f>-'מ"ר אקו'' נחלה'!D58*C12</f>
        <v>-29250</v>
      </c>
      <c r="H12" s="6">
        <f>SUM(F12:G12)</f>
        <v>547340.625</v>
      </c>
      <c r="J12" s="87"/>
    </row>
    <row r="13" spans="1:11" x14ac:dyDescent="0.4">
      <c r="A13" s="82" t="s">
        <v>64</v>
      </c>
      <c r="B13" s="113">
        <f>B7-B12</f>
        <v>79.300000000000011</v>
      </c>
      <c r="C13" s="114">
        <v>0.33</v>
      </c>
      <c r="D13" s="82">
        <f t="shared" si="0"/>
        <v>26.169000000000004</v>
      </c>
      <c r="E13" s="82">
        <v>1</v>
      </c>
      <c r="F13" s="84">
        <f>D13*$B$8*E13</f>
        <v>248605.50000000003</v>
      </c>
      <c r="G13" s="87">
        <f>G12*53/245</f>
        <v>-6327.5510204081629</v>
      </c>
      <c r="H13" s="6">
        <f>SUM(F13:G13)</f>
        <v>242277.94897959186</v>
      </c>
      <c r="I13" s="9"/>
      <c r="J13" s="75"/>
    </row>
    <row r="14" spans="1:11" x14ac:dyDescent="0.4">
      <c r="A14" s="110" t="s">
        <v>65</v>
      </c>
      <c r="B14" s="111">
        <f>SUM(B12:B13)</f>
        <v>286.8</v>
      </c>
      <c r="C14" s="112"/>
      <c r="D14" s="112"/>
      <c r="E14" s="112"/>
      <c r="F14" s="112">
        <f>SUM(F12:F13)</f>
        <v>825196.125</v>
      </c>
      <c r="G14" s="115"/>
      <c r="H14" s="89">
        <f>SUM(H12:H13)</f>
        <v>789618.57397959183</v>
      </c>
      <c r="J14" s="75"/>
    </row>
    <row r="15" spans="1:1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837781.25</v>
      </c>
      <c r="G15" s="9"/>
      <c r="J15" s="86"/>
    </row>
    <row r="16" spans="1:11" x14ac:dyDescent="0.4">
      <c r="A16" s="77" t="s">
        <v>5</v>
      </c>
      <c r="B16" s="81">
        <f>B3+B4-B5</f>
        <v>1183.125</v>
      </c>
      <c r="C16" s="80">
        <v>0.33</v>
      </c>
      <c r="D16" s="77">
        <f t="shared" si="0"/>
        <v>390.43125000000003</v>
      </c>
      <c r="E16" s="77">
        <v>1</v>
      </c>
      <c r="F16" s="79">
        <f>D16*$B$8*E16</f>
        <v>3709096.8750000005</v>
      </c>
      <c r="G16" s="75">
        <f>-'מ"ר אקו'' נחלה'!D15*C16</f>
        <v>-81510</v>
      </c>
      <c r="H16" s="88">
        <f>SUM(F16:G16)</f>
        <v>3627586.8750000005</v>
      </c>
      <c r="J16" s="136"/>
    </row>
    <row r="17" spans="1:10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6051.5</v>
      </c>
      <c r="I19" s="75"/>
      <c r="J19" s="6"/>
    </row>
    <row r="20" spans="1:10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648.375</v>
      </c>
      <c r="G20" s="9"/>
      <c r="I20" s="6"/>
      <c r="J20" s="9"/>
    </row>
    <row r="21" spans="1:10" x14ac:dyDescent="0.4">
      <c r="A21" s="1" t="s">
        <v>70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2593.5</v>
      </c>
    </row>
    <row r="23" spans="1:10" x14ac:dyDescent="0.4">
      <c r="A23" s="82" t="s">
        <v>85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475</v>
      </c>
      <c r="I24" s="9"/>
    </row>
    <row r="25" spans="1:10" x14ac:dyDescent="0.4">
      <c r="C25" s="7"/>
      <c r="F25" s="5"/>
      <c r="J25" s="9"/>
    </row>
    <row r="26" spans="1:10" x14ac:dyDescent="0.4">
      <c r="C26" s="7"/>
      <c r="F26" s="5"/>
    </row>
    <row r="27" spans="1:10" x14ac:dyDescent="0.4">
      <c r="A27" s="1" t="s">
        <v>48</v>
      </c>
      <c r="B27" s="85"/>
      <c r="C27" s="8"/>
      <c r="D27" s="185"/>
      <c r="E27" s="185"/>
      <c r="F27" s="5"/>
      <c r="I27" s="75"/>
    </row>
    <row r="29" spans="1:10" x14ac:dyDescent="0.4">
      <c r="A29" s="2" t="s">
        <v>153</v>
      </c>
      <c r="C29" s="75"/>
    </row>
    <row r="30" spans="1:10" x14ac:dyDescent="0.4">
      <c r="A30" s="2"/>
      <c r="B30" s="2" t="s">
        <v>155</v>
      </c>
      <c r="C30" s="2" t="s">
        <v>21</v>
      </c>
      <c r="D30" s="2" t="s">
        <v>154</v>
      </c>
    </row>
    <row r="31" spans="1:10" x14ac:dyDescent="0.4">
      <c r="A31" s="1" t="s">
        <v>151</v>
      </c>
      <c r="B31" s="5">
        <f>'מ"ר אקו'' נחלה'!D57*'תחשיב לפי שווי שומה (2)'!$B$8</f>
        <v>2724600</v>
      </c>
      <c r="C31" s="190">
        <v>1</v>
      </c>
      <c r="D31" s="6">
        <f>C31*$B$8</f>
        <v>9500</v>
      </c>
    </row>
    <row r="32" spans="1:10" x14ac:dyDescent="0.4">
      <c r="A32" s="1" t="s">
        <v>150</v>
      </c>
      <c r="B32" s="6">
        <f>350*$B$8*C32</f>
        <v>498750</v>
      </c>
      <c r="C32" s="190">
        <v>0.15</v>
      </c>
      <c r="D32" s="6">
        <f>C32*$B$8</f>
        <v>1425</v>
      </c>
    </row>
    <row r="33" spans="1:11" x14ac:dyDescent="0.4">
      <c r="C33" s="75"/>
    </row>
    <row r="34" spans="1:11" x14ac:dyDescent="0.4">
      <c r="A34" s="1" t="s">
        <v>148</v>
      </c>
      <c r="B34" s="6">
        <f>B31-B32</f>
        <v>2225850</v>
      </c>
      <c r="C34" s="190">
        <f>C31-C32</f>
        <v>0.85</v>
      </c>
      <c r="D34" s="6">
        <f>C34*$B$8</f>
        <v>8075</v>
      </c>
    </row>
    <row r="35" spans="1:11" x14ac:dyDescent="0.4">
      <c r="A35" s="1" t="s">
        <v>149</v>
      </c>
      <c r="B35" s="6">
        <f>B34*50%</f>
        <v>1112925</v>
      </c>
      <c r="C35" s="190">
        <f>C34*50%</f>
        <v>0.42499999999999999</v>
      </c>
      <c r="D35" s="6">
        <f>C35*$B$8</f>
        <v>4037.5</v>
      </c>
      <c r="K35" s="75">
        <f>375-24-158-58</f>
        <v>135</v>
      </c>
    </row>
    <row r="37" spans="1:11" x14ac:dyDescent="0.4">
      <c r="A37" s="2" t="s">
        <v>157</v>
      </c>
      <c r="C37" s="75"/>
    </row>
    <row r="38" spans="1:11" x14ac:dyDescent="0.4">
      <c r="A38" s="2"/>
      <c r="B38" s="2" t="s">
        <v>155</v>
      </c>
      <c r="C38" s="2" t="s">
        <v>21</v>
      </c>
      <c r="D38" s="2" t="s">
        <v>154</v>
      </c>
    </row>
    <row r="39" spans="1:11" x14ac:dyDescent="0.4">
      <c r="A39" s="1" t="s">
        <v>151</v>
      </c>
      <c r="B39" s="5">
        <f>'מ"ר אקו'' נחלה'!D57*'תחשיב לפי שווי שומה (2)'!$B$8</f>
        <v>2724600</v>
      </c>
      <c r="C39" s="190">
        <v>1</v>
      </c>
      <c r="D39" s="6">
        <f>C39*$B$8</f>
        <v>9500</v>
      </c>
    </row>
    <row r="40" spans="1:11" x14ac:dyDescent="0.4">
      <c r="A40" s="1" t="s">
        <v>158</v>
      </c>
      <c r="B40" s="6">
        <f>B39*70%</f>
        <v>1907219.9999999998</v>
      </c>
      <c r="C40" s="190">
        <v>0.7</v>
      </c>
      <c r="D40" s="6">
        <f>C40*$B$8</f>
        <v>6650</v>
      </c>
    </row>
    <row r="41" spans="1:11" x14ac:dyDescent="0.4">
      <c r="C41" s="75"/>
    </row>
    <row r="42" spans="1:11" x14ac:dyDescent="0.4">
      <c r="A42" s="1" t="s">
        <v>148</v>
      </c>
      <c r="B42" s="6">
        <f>B39-B40</f>
        <v>817380.00000000023</v>
      </c>
      <c r="C42" s="190">
        <f>C39-C40</f>
        <v>0.30000000000000004</v>
      </c>
      <c r="D42" s="6">
        <f>C42*$B$8</f>
        <v>2850.0000000000005</v>
      </c>
      <c r="F42" s="6"/>
    </row>
    <row r="43" spans="1:11" x14ac:dyDescent="0.4">
      <c r="A43" s="1" t="s">
        <v>149</v>
      </c>
      <c r="B43" s="6">
        <f>B42*50%</f>
        <v>408690.00000000012</v>
      </c>
      <c r="C43" s="190">
        <f>C42*50%</f>
        <v>0.15000000000000002</v>
      </c>
      <c r="D43" s="6">
        <f>C43*$B$8</f>
        <v>1425.0000000000002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Q70"/>
  <sheetViews>
    <sheetView rightToLeft="1" tabSelected="1" topLeftCell="I38" zoomScale="85" zoomScaleNormal="85" workbookViewId="0">
      <selection activeCell="J39" sqref="J39"/>
    </sheetView>
  </sheetViews>
  <sheetFormatPr defaultRowHeight="14" x14ac:dyDescent="0.3"/>
  <cols>
    <col min="9" max="9" width="17.75" customWidth="1"/>
    <col min="10" max="10" width="15.5" bestFit="1" customWidth="1"/>
    <col min="11" max="11" width="9.4140625" bestFit="1" customWidth="1"/>
    <col min="12" max="12" width="14.58203125" bestFit="1" customWidth="1"/>
    <col min="13" max="13" width="13.08203125" bestFit="1" customWidth="1"/>
  </cols>
  <sheetData>
    <row r="8" spans="8:17" ht="14.5" thickBot="1" x14ac:dyDescent="0.35"/>
    <row r="9" spans="8:17" ht="14.5" thickBot="1" x14ac:dyDescent="0.35">
      <c r="H9" s="247" t="s">
        <v>252</v>
      </c>
      <c r="I9" s="248"/>
      <c r="J9" s="248"/>
      <c r="K9" s="248"/>
      <c r="L9" s="248"/>
      <c r="M9" s="248"/>
      <c r="N9" s="248"/>
      <c r="O9" s="248"/>
      <c r="P9" s="248"/>
      <c r="Q9" s="249"/>
    </row>
    <row r="10" spans="8:17" x14ac:dyDescent="0.3">
      <c r="H10" s="238" t="s">
        <v>253</v>
      </c>
      <c r="I10" s="239"/>
      <c r="J10" s="238" t="s">
        <v>257</v>
      </c>
      <c r="K10" s="239"/>
      <c r="L10" s="240" t="s">
        <v>261</v>
      </c>
      <c r="M10" s="241"/>
      <c r="N10" s="242" t="s">
        <v>260</v>
      </c>
      <c r="O10" s="243"/>
      <c r="P10" s="242" t="s">
        <v>254</v>
      </c>
      <c r="Q10" s="243"/>
    </row>
    <row r="11" spans="8:17" ht="14.5" thickBot="1" x14ac:dyDescent="0.35">
      <c r="H11" s="238"/>
      <c r="I11" s="239"/>
      <c r="J11" s="238"/>
      <c r="K11" s="239"/>
      <c r="L11" s="240"/>
      <c r="M11" s="241"/>
      <c r="N11" s="244"/>
      <c r="O11" s="245"/>
      <c r="P11" s="244"/>
      <c r="Q11" s="245"/>
    </row>
    <row r="12" spans="8:17" x14ac:dyDescent="0.3">
      <c r="H12" s="230" t="s">
        <v>189</v>
      </c>
      <c r="I12" s="231"/>
      <c r="J12" s="234" t="s">
        <v>204</v>
      </c>
      <c r="K12" s="234"/>
      <c r="L12" s="234" t="s">
        <v>204</v>
      </c>
      <c r="M12" s="234"/>
      <c r="N12" s="236" t="s">
        <v>204</v>
      </c>
      <c r="O12" s="236"/>
      <c r="P12" s="234" t="s">
        <v>204</v>
      </c>
      <c r="Q12" s="250"/>
    </row>
    <row r="13" spans="8:17" x14ac:dyDescent="0.3">
      <c r="H13" s="232"/>
      <c r="I13" s="233"/>
      <c r="J13" s="235"/>
      <c r="K13" s="235"/>
      <c r="L13" s="235"/>
      <c r="M13" s="235"/>
      <c r="N13" s="237"/>
      <c r="O13" s="237"/>
      <c r="P13" s="235"/>
      <c r="Q13" s="251"/>
    </row>
    <row r="14" spans="8:17" x14ac:dyDescent="0.3">
      <c r="H14" s="232" t="s">
        <v>256</v>
      </c>
      <c r="I14" s="233"/>
      <c r="J14" s="235" t="s">
        <v>204</v>
      </c>
      <c r="K14" s="235"/>
      <c r="L14" s="235" t="s">
        <v>204</v>
      </c>
      <c r="M14" s="235"/>
      <c r="N14" s="237" t="s">
        <v>204</v>
      </c>
      <c r="O14" s="237"/>
      <c r="P14" s="235" t="s">
        <v>204</v>
      </c>
      <c r="Q14" s="251"/>
    </row>
    <row r="15" spans="8:17" x14ac:dyDescent="0.3">
      <c r="H15" s="232"/>
      <c r="I15" s="233"/>
      <c r="J15" s="235"/>
      <c r="K15" s="235"/>
      <c r="L15" s="235"/>
      <c r="M15" s="235"/>
      <c r="N15" s="237"/>
      <c r="O15" s="237"/>
      <c r="P15" s="235"/>
      <c r="Q15" s="251"/>
    </row>
    <row r="16" spans="8:17" x14ac:dyDescent="0.3">
      <c r="H16" s="232" t="s">
        <v>255</v>
      </c>
      <c r="I16" s="233"/>
      <c r="J16" s="246">
        <v>0</v>
      </c>
      <c r="K16" s="246"/>
      <c r="L16" s="237" t="s">
        <v>204</v>
      </c>
      <c r="M16" s="237"/>
      <c r="N16" s="237" t="s">
        <v>204</v>
      </c>
      <c r="O16" s="237"/>
      <c r="P16" s="235">
        <v>0</v>
      </c>
      <c r="Q16" s="251"/>
    </row>
    <row r="17" spans="8:17" ht="20.399999999999999" customHeight="1" x14ac:dyDescent="0.3">
      <c r="H17" s="232"/>
      <c r="I17" s="233"/>
      <c r="J17" s="246"/>
      <c r="K17" s="246"/>
      <c r="L17" s="237"/>
      <c r="M17" s="237"/>
      <c r="N17" s="237"/>
      <c r="O17" s="237"/>
      <c r="P17" s="235"/>
      <c r="Q17" s="251"/>
    </row>
    <row r="18" spans="8:17" x14ac:dyDescent="0.3">
      <c r="H18" s="252" t="s">
        <v>210</v>
      </c>
      <c r="I18" s="253"/>
      <c r="J18" s="233" t="s">
        <v>204</v>
      </c>
      <c r="K18" s="233"/>
      <c r="L18" s="237">
        <v>0</v>
      </c>
      <c r="M18" s="237"/>
      <c r="N18" s="237" t="s">
        <v>204</v>
      </c>
      <c r="O18" s="237"/>
      <c r="P18" s="235">
        <f>SUM(J18:O19)</f>
        <v>0</v>
      </c>
      <c r="Q18" s="251"/>
    </row>
    <row r="19" spans="8:17" x14ac:dyDescent="0.3">
      <c r="H19" s="254"/>
      <c r="I19" s="255"/>
      <c r="J19" s="233"/>
      <c r="K19" s="233"/>
      <c r="L19" s="237"/>
      <c r="M19" s="237"/>
      <c r="N19" s="237"/>
      <c r="O19" s="237"/>
      <c r="P19" s="235"/>
      <c r="Q19" s="251"/>
    </row>
    <row r="20" spans="8:17" x14ac:dyDescent="0.3">
      <c r="H20" s="252" t="s">
        <v>211</v>
      </c>
      <c r="I20" s="253"/>
      <c r="J20" s="256">
        <v>160000</v>
      </c>
      <c r="K20" s="257"/>
      <c r="L20" s="256">
        <v>0</v>
      </c>
      <c r="M20" s="257"/>
      <c r="N20" s="237" t="s">
        <v>204</v>
      </c>
      <c r="O20" s="237"/>
      <c r="P20" s="258">
        <f>SUM(J20:O21)</f>
        <v>160000</v>
      </c>
      <c r="Q20" s="259"/>
    </row>
    <row r="21" spans="8:17" x14ac:dyDescent="0.3">
      <c r="H21" s="254"/>
      <c r="I21" s="255"/>
      <c r="J21" s="257"/>
      <c r="K21" s="257"/>
      <c r="L21" s="257"/>
      <c r="M21" s="257"/>
      <c r="N21" s="237"/>
      <c r="O21" s="237"/>
      <c r="P21" s="260"/>
      <c r="Q21" s="261"/>
    </row>
    <row r="22" spans="8:17" x14ac:dyDescent="0.3">
      <c r="H22" s="252" t="s">
        <v>258</v>
      </c>
      <c r="I22" s="253"/>
      <c r="J22" s="237" t="s">
        <v>204</v>
      </c>
      <c r="K22" s="237"/>
      <c r="L22" s="237" t="s">
        <v>204</v>
      </c>
      <c r="M22" s="237"/>
      <c r="N22" s="237" t="s">
        <v>204</v>
      </c>
      <c r="O22" s="237"/>
      <c r="P22" s="258">
        <f t="shared" ref="P22" si="0">SUM(J22:O23)</f>
        <v>0</v>
      </c>
      <c r="Q22" s="259"/>
    </row>
    <row r="23" spans="8:17" x14ac:dyDescent="0.3">
      <c r="H23" s="254"/>
      <c r="I23" s="255"/>
      <c r="J23" s="237"/>
      <c r="K23" s="237"/>
      <c r="L23" s="237"/>
      <c r="M23" s="237"/>
      <c r="N23" s="237"/>
      <c r="O23" s="237"/>
      <c r="P23" s="260"/>
      <c r="Q23" s="261"/>
    </row>
    <row r="24" spans="8:17" x14ac:dyDescent="0.3">
      <c r="H24" s="262" t="s">
        <v>262</v>
      </c>
      <c r="I24" s="263"/>
      <c r="J24" s="237">
        <v>195000</v>
      </c>
      <c r="K24" s="237"/>
      <c r="L24" s="237" t="s">
        <v>204</v>
      </c>
      <c r="M24" s="237"/>
      <c r="N24" s="237" t="s">
        <v>204</v>
      </c>
      <c r="O24" s="237"/>
      <c r="P24" s="258">
        <f t="shared" ref="P24" si="1">SUM(J24:O25)</f>
        <v>195000</v>
      </c>
      <c r="Q24" s="259"/>
    </row>
    <row r="25" spans="8:17" x14ac:dyDescent="0.3">
      <c r="H25" s="264"/>
      <c r="I25" s="265"/>
      <c r="J25" s="237"/>
      <c r="K25" s="237"/>
      <c r="L25" s="237"/>
      <c r="M25" s="237"/>
      <c r="N25" s="237"/>
      <c r="O25" s="237"/>
      <c r="P25" s="260"/>
      <c r="Q25" s="261"/>
    </row>
    <row r="26" spans="8:17" x14ac:dyDescent="0.3">
      <c r="H26" s="262" t="s">
        <v>263</v>
      </c>
      <c r="I26" s="263"/>
      <c r="J26" s="237">
        <v>60000</v>
      </c>
      <c r="K26" s="237"/>
      <c r="L26" s="237" t="s">
        <v>204</v>
      </c>
      <c r="M26" s="237"/>
      <c r="N26" s="237" t="s">
        <v>204</v>
      </c>
      <c r="O26" s="237"/>
      <c r="P26" s="258">
        <f t="shared" ref="P26" si="2">SUM(J26:O27)</f>
        <v>60000</v>
      </c>
      <c r="Q26" s="259"/>
    </row>
    <row r="27" spans="8:17" x14ac:dyDescent="0.3">
      <c r="H27" s="264"/>
      <c r="I27" s="265"/>
      <c r="J27" s="237"/>
      <c r="K27" s="237"/>
      <c r="L27" s="237"/>
      <c r="M27" s="237"/>
      <c r="N27" s="237"/>
      <c r="O27" s="237"/>
      <c r="P27" s="260"/>
      <c r="Q27" s="261"/>
    </row>
    <row r="28" spans="8:17" x14ac:dyDescent="0.3">
      <c r="H28" s="252" t="s">
        <v>259</v>
      </c>
      <c r="I28" s="253"/>
      <c r="J28" s="237">
        <v>80000</v>
      </c>
      <c r="K28" s="237"/>
      <c r="L28" s="237"/>
      <c r="M28" s="237"/>
      <c r="N28" s="237"/>
      <c r="O28" s="237"/>
      <c r="P28" s="258">
        <f t="shared" ref="P28" si="3">SUM(J28:O29)</f>
        <v>80000</v>
      </c>
      <c r="Q28" s="259"/>
    </row>
    <row r="29" spans="8:17" ht="14.5" thickBot="1" x14ac:dyDescent="0.35">
      <c r="H29" s="276"/>
      <c r="I29" s="277"/>
      <c r="J29" s="278"/>
      <c r="K29" s="278"/>
      <c r="L29" s="278"/>
      <c r="M29" s="278"/>
      <c r="N29" s="278"/>
      <c r="O29" s="278"/>
      <c r="P29" s="279"/>
      <c r="Q29" s="280"/>
    </row>
    <row r="30" spans="8:17" x14ac:dyDescent="0.3">
      <c r="H30" s="270" t="s">
        <v>8</v>
      </c>
      <c r="I30" s="271"/>
      <c r="J30" s="271"/>
      <c r="K30" s="271"/>
      <c r="L30" s="271"/>
      <c r="M30" s="271"/>
      <c r="N30" s="271"/>
      <c r="O30" s="272"/>
      <c r="P30" s="266">
        <f>SUM(P18:Q29)</f>
        <v>495000</v>
      </c>
      <c r="Q30" s="267"/>
    </row>
    <row r="31" spans="8:17" ht="14.5" thickBot="1" x14ac:dyDescent="0.35">
      <c r="H31" s="273"/>
      <c r="I31" s="274"/>
      <c r="J31" s="274"/>
      <c r="K31" s="274"/>
      <c r="L31" s="274"/>
      <c r="M31" s="274"/>
      <c r="N31" s="274"/>
      <c r="O31" s="275"/>
      <c r="P31" s="268"/>
      <c r="Q31" s="269"/>
    </row>
    <row r="33" spans="8:12" ht="14.5" thickBot="1" x14ac:dyDescent="0.35"/>
    <row r="34" spans="8:12" x14ac:dyDescent="0.3">
      <c r="I34" s="331" t="s">
        <v>44</v>
      </c>
      <c r="J34" s="332"/>
      <c r="K34" s="332"/>
      <c r="L34" s="333"/>
    </row>
    <row r="35" spans="8:12" x14ac:dyDescent="0.3">
      <c r="I35" s="18" t="s">
        <v>264</v>
      </c>
      <c r="J35" s="227">
        <v>280000</v>
      </c>
      <c r="K35" s="334"/>
      <c r="L35" s="21">
        <f>375-220</f>
        <v>155</v>
      </c>
    </row>
    <row r="36" spans="8:12" x14ac:dyDescent="0.3">
      <c r="I36" s="18" t="s">
        <v>265</v>
      </c>
      <c r="J36" s="227">
        <f>(220-105)*4200</f>
        <v>483000</v>
      </c>
      <c r="K36" s="334"/>
      <c r="L36" s="21">
        <f>L35-55</f>
        <v>100</v>
      </c>
    </row>
    <row r="37" spans="8:12" x14ac:dyDescent="0.3">
      <c r="I37" s="18" t="s">
        <v>269</v>
      </c>
      <c r="J37" s="227">
        <f>105*4000</f>
        <v>420000</v>
      </c>
      <c r="K37" s="334"/>
      <c r="L37" s="21"/>
    </row>
    <row r="38" spans="8:12" x14ac:dyDescent="0.3">
      <c r="I38" s="18" t="s">
        <v>267</v>
      </c>
      <c r="J38" s="227">
        <v>20000</v>
      </c>
      <c r="K38" s="334"/>
      <c r="L38" s="21"/>
    </row>
    <row r="39" spans="8:12" x14ac:dyDescent="0.3">
      <c r="I39" s="18" t="s">
        <v>8</v>
      </c>
      <c r="J39" s="335">
        <f>SUM(J35:J38)</f>
        <v>1203000</v>
      </c>
      <c r="K39" s="334"/>
      <c r="L39" s="21"/>
    </row>
    <row r="40" spans="8:12" x14ac:dyDescent="0.3">
      <c r="I40" s="336" t="s">
        <v>270</v>
      </c>
      <c r="J40" s="227">
        <f>450*300</f>
        <v>135000</v>
      </c>
      <c r="K40" s="334"/>
      <c r="L40" s="21"/>
    </row>
    <row r="41" spans="8:12" x14ac:dyDescent="0.3">
      <c r="I41" s="18"/>
      <c r="J41" s="334"/>
      <c r="K41" s="334"/>
      <c r="L41" s="21"/>
    </row>
    <row r="42" spans="8:12" ht="14.5" thickBot="1" x14ac:dyDescent="0.35">
      <c r="I42" s="224" t="s">
        <v>268</v>
      </c>
      <c r="J42" s="337">
        <f>P30</f>
        <v>495000</v>
      </c>
      <c r="K42" s="225"/>
      <c r="L42" s="226"/>
    </row>
    <row r="43" spans="8:12" ht="14.5" thickBot="1" x14ac:dyDescent="0.35"/>
    <row r="44" spans="8:12" x14ac:dyDescent="0.3">
      <c r="I44" s="331" t="s">
        <v>166</v>
      </c>
      <c r="J44" s="332"/>
      <c r="K44" s="332"/>
      <c r="L44" s="333"/>
    </row>
    <row r="45" spans="8:12" x14ac:dyDescent="0.3">
      <c r="H45">
        <v>40</v>
      </c>
      <c r="I45" s="18" t="s">
        <v>271</v>
      </c>
      <c r="J45" s="227">
        <v>2500</v>
      </c>
      <c r="K45" s="19">
        <v>240</v>
      </c>
      <c r="L45" s="338">
        <f>K45*J45</f>
        <v>600000</v>
      </c>
    </row>
    <row r="46" spans="8:12" x14ac:dyDescent="0.3">
      <c r="H46">
        <v>60</v>
      </c>
      <c r="I46" s="18" t="s">
        <v>272</v>
      </c>
      <c r="J46" s="227">
        <v>3000</v>
      </c>
      <c r="K46" s="19">
        <v>100</v>
      </c>
      <c r="L46" s="338">
        <f>K46*J46</f>
        <v>300000</v>
      </c>
    </row>
    <row r="47" spans="8:12" x14ac:dyDescent="0.3">
      <c r="H47">
        <v>16000</v>
      </c>
      <c r="I47" s="18" t="s">
        <v>273</v>
      </c>
      <c r="J47" s="227">
        <v>3000</v>
      </c>
      <c r="K47" s="19">
        <v>160</v>
      </c>
      <c r="L47" s="338">
        <f>K47*J47</f>
        <v>480000</v>
      </c>
    </row>
    <row r="48" spans="8:12" ht="14.5" thickBot="1" x14ac:dyDescent="0.35">
      <c r="I48" s="224"/>
      <c r="J48" s="225"/>
      <c r="K48" s="225"/>
      <c r="L48" s="339">
        <f>SUM(L45:L47)</f>
        <v>1380000</v>
      </c>
    </row>
    <row r="50" spans="10:11" x14ac:dyDescent="0.3">
      <c r="K50" t="s">
        <v>122</v>
      </c>
    </row>
    <row r="51" spans="10:11" x14ac:dyDescent="0.3">
      <c r="K51">
        <f>350+45+55</f>
        <v>450</v>
      </c>
    </row>
    <row r="52" spans="10:11" x14ac:dyDescent="0.3">
      <c r="J52" t="s">
        <v>276</v>
      </c>
      <c r="K52">
        <v>50</v>
      </c>
    </row>
    <row r="53" spans="10:11" x14ac:dyDescent="0.3">
      <c r="J53" t="s">
        <v>8</v>
      </c>
      <c r="K53">
        <f>SUM(K51:K52)</f>
        <v>500</v>
      </c>
    </row>
    <row r="54" spans="10:11" x14ac:dyDescent="0.3">
      <c r="J54" t="s">
        <v>277</v>
      </c>
      <c r="K54">
        <f>-K63</f>
        <v>-216</v>
      </c>
    </row>
    <row r="55" spans="10:11" x14ac:dyDescent="0.3">
      <c r="J55" t="s">
        <v>278</v>
      </c>
      <c r="K55">
        <f>SUM(K53:K54)</f>
        <v>284</v>
      </c>
    </row>
    <row r="56" spans="10:11" x14ac:dyDescent="0.3">
      <c r="J56" t="s">
        <v>266</v>
      </c>
      <c r="K56">
        <v>55</v>
      </c>
    </row>
    <row r="57" spans="10:11" x14ac:dyDescent="0.3">
      <c r="J57" t="s">
        <v>279</v>
      </c>
      <c r="K57">
        <f>K55-K56</f>
        <v>229</v>
      </c>
    </row>
    <row r="58" spans="10:11" x14ac:dyDescent="0.3">
      <c r="J58" t="s">
        <v>285</v>
      </c>
      <c r="K58">
        <v>220</v>
      </c>
    </row>
    <row r="61" spans="10:11" x14ac:dyDescent="0.3">
      <c r="J61" t="s">
        <v>274</v>
      </c>
      <c r="K61">
        <v>58</v>
      </c>
    </row>
    <row r="62" spans="10:11" x14ac:dyDescent="0.3">
      <c r="J62" t="s">
        <v>275</v>
      </c>
      <c r="K62">
        <v>158</v>
      </c>
    </row>
    <row r="63" spans="10:11" x14ac:dyDescent="0.3">
      <c r="J63" t="s">
        <v>280</v>
      </c>
      <c r="K63">
        <f>SUM(K61:K62)</f>
        <v>216</v>
      </c>
    </row>
    <row r="64" spans="10:11" x14ac:dyDescent="0.3">
      <c r="J64" t="s">
        <v>264</v>
      </c>
      <c r="K64">
        <v>375</v>
      </c>
    </row>
    <row r="65" spans="10:14" x14ac:dyDescent="0.3">
      <c r="J65" t="s">
        <v>281</v>
      </c>
      <c r="K65">
        <f>-K63</f>
        <v>-216</v>
      </c>
    </row>
    <row r="66" spans="10:14" x14ac:dyDescent="0.3">
      <c r="J66" t="s">
        <v>282</v>
      </c>
      <c r="K66">
        <f>K64-K63</f>
        <v>159</v>
      </c>
      <c r="L66" t="s">
        <v>260</v>
      </c>
      <c r="M66" t="s">
        <v>188</v>
      </c>
    </row>
    <row r="67" spans="10:14" x14ac:dyDescent="0.3">
      <c r="J67" t="s">
        <v>266</v>
      </c>
      <c r="K67">
        <v>55</v>
      </c>
      <c r="L67">
        <v>350</v>
      </c>
      <c r="M67">
        <v>0</v>
      </c>
      <c r="N67">
        <f>L67*K67</f>
        <v>19250</v>
      </c>
    </row>
    <row r="68" spans="10:14" x14ac:dyDescent="0.3">
      <c r="J68" t="s">
        <v>283</v>
      </c>
      <c r="K68">
        <f>K66-K67</f>
        <v>104</v>
      </c>
      <c r="L68">
        <v>4000</v>
      </c>
      <c r="M68">
        <v>0</v>
      </c>
      <c r="N68">
        <f>K68*L68</f>
        <v>416000</v>
      </c>
    </row>
    <row r="69" spans="10:14" x14ac:dyDescent="0.3">
      <c r="J69" t="s">
        <v>284</v>
      </c>
      <c r="K69">
        <f>K58-K68</f>
        <v>116</v>
      </c>
      <c r="L69">
        <v>0</v>
      </c>
      <c r="M69">
        <v>4200</v>
      </c>
      <c r="N69">
        <f>K69*M69</f>
        <v>487200</v>
      </c>
    </row>
    <row r="70" spans="10:14" x14ac:dyDescent="0.3">
      <c r="N70">
        <f>SUM(N68:N69)</f>
        <v>903200</v>
      </c>
    </row>
  </sheetData>
  <mergeCells count="55">
    <mergeCell ref="I34:L34"/>
    <mergeCell ref="I44:L44"/>
    <mergeCell ref="P30:Q31"/>
    <mergeCell ref="H30:O31"/>
    <mergeCell ref="H28:I29"/>
    <mergeCell ref="J28:K29"/>
    <mergeCell ref="L28:M29"/>
    <mergeCell ref="N28:O29"/>
    <mergeCell ref="P28:Q29"/>
    <mergeCell ref="H26:I27"/>
    <mergeCell ref="J26:K27"/>
    <mergeCell ref="L26:M27"/>
    <mergeCell ref="N26:O27"/>
    <mergeCell ref="P26:Q27"/>
    <mergeCell ref="P16:Q17"/>
    <mergeCell ref="P18:Q19"/>
    <mergeCell ref="P20:Q21"/>
    <mergeCell ref="P22:Q23"/>
    <mergeCell ref="H24:I25"/>
    <mergeCell ref="J24:K25"/>
    <mergeCell ref="L24:M25"/>
    <mergeCell ref="N24:O25"/>
    <mergeCell ref="P24:Q25"/>
    <mergeCell ref="H9:Q9"/>
    <mergeCell ref="P10:Q11"/>
    <mergeCell ref="P12:Q13"/>
    <mergeCell ref="P14:Q15"/>
    <mergeCell ref="H22:I23"/>
    <mergeCell ref="J22:K23"/>
    <mergeCell ref="L22:M23"/>
    <mergeCell ref="N22:O23"/>
    <mergeCell ref="H18:I19"/>
    <mergeCell ref="J18:K19"/>
    <mergeCell ref="L18:M19"/>
    <mergeCell ref="N18:O19"/>
    <mergeCell ref="H20:I21"/>
    <mergeCell ref="J20:K21"/>
    <mergeCell ref="L20:M21"/>
    <mergeCell ref="N20:O21"/>
    <mergeCell ref="H14:I15"/>
    <mergeCell ref="J14:K15"/>
    <mergeCell ref="L14:M15"/>
    <mergeCell ref="N14:O15"/>
    <mergeCell ref="H16:I17"/>
    <mergeCell ref="J16:K17"/>
    <mergeCell ref="L16:M17"/>
    <mergeCell ref="N16:O17"/>
    <mergeCell ref="H12:I13"/>
    <mergeCell ref="J12:K13"/>
    <mergeCell ref="L12:M13"/>
    <mergeCell ref="N12:O13"/>
    <mergeCell ref="H10:I11"/>
    <mergeCell ref="J10:K11"/>
    <mergeCell ref="L10:M11"/>
    <mergeCell ref="N10:O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M96"/>
  <sheetViews>
    <sheetView rightToLeft="1" topLeftCell="A69" workbookViewId="0">
      <selection activeCell="A97" sqref="A97"/>
    </sheetView>
  </sheetViews>
  <sheetFormatPr defaultRowHeight="14" x14ac:dyDescent="0.3"/>
  <cols>
    <col min="1" max="1" width="20.08203125" customWidth="1"/>
    <col min="2" max="2" width="9.83203125" bestFit="1" customWidth="1"/>
    <col min="3" max="3" width="6.58203125" customWidth="1"/>
    <col min="4" max="4" width="11.5" customWidth="1"/>
    <col min="6" max="6" width="19.4140625" bestFit="1" customWidth="1"/>
    <col min="7" max="7" width="12.4140625" bestFit="1" customWidth="1"/>
    <col min="10" max="10" width="9.83203125" bestFit="1" customWidth="1"/>
    <col min="11" max="11" width="12.1640625" bestFit="1" customWidth="1"/>
    <col min="13" max="13" width="10.6640625" bestFit="1" customWidth="1"/>
  </cols>
  <sheetData>
    <row r="1" spans="1:10" ht="14.5" thickBot="1" x14ac:dyDescent="0.35"/>
    <row r="2" spans="1:10" x14ac:dyDescent="0.3">
      <c r="A2" s="10" t="s">
        <v>19</v>
      </c>
      <c r="B2" s="11">
        <v>2500</v>
      </c>
      <c r="C2" s="12" t="s">
        <v>126</v>
      </c>
      <c r="D2" s="13"/>
      <c r="F2" s="10" t="s">
        <v>19</v>
      </c>
      <c r="G2" s="11">
        <v>3000</v>
      </c>
      <c r="H2" s="12"/>
      <c r="I2" s="13"/>
    </row>
    <row r="3" spans="1:10" x14ac:dyDescent="0.3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3">
      <c r="A4" s="18" t="s">
        <v>55</v>
      </c>
      <c r="B4" s="19">
        <v>405</v>
      </c>
      <c r="C4" s="20">
        <v>1</v>
      </c>
      <c r="D4" s="21">
        <f>C4*B4</f>
        <v>405</v>
      </c>
      <c r="F4" s="18" t="str">
        <f t="shared" ref="F4:H6" si="0">A4</f>
        <v>עיקרי</v>
      </c>
      <c r="G4" s="19">
        <f t="shared" si="0"/>
        <v>405</v>
      </c>
      <c r="H4" s="20">
        <f t="shared" si="0"/>
        <v>1</v>
      </c>
      <c r="I4" s="21">
        <f>H4*G4</f>
        <v>405</v>
      </c>
    </row>
    <row r="5" spans="1:10" x14ac:dyDescent="0.3">
      <c r="A5" s="18" t="s">
        <v>235</v>
      </c>
      <c r="B5" s="19">
        <v>45</v>
      </c>
      <c r="C5" s="20">
        <v>0.5</v>
      </c>
      <c r="D5" s="21">
        <f>C5*B5</f>
        <v>22.5</v>
      </c>
      <c r="F5" s="18" t="str">
        <f t="shared" si="0"/>
        <v>מבני עזר</v>
      </c>
      <c r="G5" s="19">
        <f t="shared" si="0"/>
        <v>45</v>
      </c>
      <c r="H5" s="20">
        <f t="shared" si="0"/>
        <v>0.5</v>
      </c>
      <c r="I5" s="21">
        <f>H5*G5</f>
        <v>22.5</v>
      </c>
    </row>
    <row r="6" spans="1:10" x14ac:dyDescent="0.3">
      <c r="A6" s="18" t="s">
        <v>236</v>
      </c>
      <c r="B6" s="19">
        <v>50</v>
      </c>
      <c r="C6" s="20">
        <v>0.8</v>
      </c>
      <c r="D6" s="21">
        <f>C6*B6</f>
        <v>40</v>
      </c>
      <c r="F6" s="18" t="str">
        <f t="shared" si="0"/>
        <v>בניה על הגג</v>
      </c>
      <c r="G6" s="19">
        <f t="shared" si="0"/>
        <v>50</v>
      </c>
      <c r="H6" s="20">
        <f t="shared" si="0"/>
        <v>0.8</v>
      </c>
      <c r="I6" s="21">
        <f>H6*G6</f>
        <v>40</v>
      </c>
    </row>
    <row r="7" spans="1:10" x14ac:dyDescent="0.3">
      <c r="A7" s="18" t="s">
        <v>237</v>
      </c>
      <c r="B7" s="19">
        <v>200</v>
      </c>
      <c r="C7" s="20">
        <v>0.4</v>
      </c>
      <c r="D7" s="21">
        <f>C7*B7</f>
        <v>80</v>
      </c>
      <c r="F7" s="18"/>
      <c r="G7" s="19"/>
      <c r="H7" s="20"/>
      <c r="I7" s="21"/>
    </row>
    <row r="8" spans="1:10" x14ac:dyDescent="0.3">
      <c r="A8" s="18"/>
      <c r="B8" s="19"/>
      <c r="C8" s="20"/>
      <c r="D8" s="21"/>
      <c r="F8" s="18"/>
      <c r="G8" s="19"/>
      <c r="H8" s="20"/>
      <c r="I8" s="21"/>
    </row>
    <row r="9" spans="1:10" x14ac:dyDescent="0.3">
      <c r="A9" s="22" t="s">
        <v>27</v>
      </c>
      <c r="B9" s="23">
        <f>SUM(B4:B6)</f>
        <v>500</v>
      </c>
      <c r="C9" s="24"/>
      <c r="D9" s="25"/>
      <c r="E9" s="91"/>
      <c r="F9" s="22" t="s">
        <v>27</v>
      </c>
      <c r="G9" s="23">
        <f>SUM(G4:G8)</f>
        <v>500</v>
      </c>
      <c r="H9" s="24"/>
      <c r="I9" s="25"/>
    </row>
    <row r="10" spans="1:10" x14ac:dyDescent="0.3">
      <c r="A10" s="27" t="s">
        <v>238</v>
      </c>
      <c r="B10" s="27">
        <f>1500-B9</f>
        <v>1000</v>
      </c>
      <c r="C10" s="28">
        <v>0.25</v>
      </c>
      <c r="D10" s="21">
        <f>C10*B10</f>
        <v>250</v>
      </c>
      <c r="F10" s="26" t="s">
        <v>28</v>
      </c>
      <c r="G10" s="27">
        <f>G2-G9</f>
        <v>2500</v>
      </c>
      <c r="H10" s="28"/>
      <c r="I10" s="29"/>
    </row>
    <row r="11" spans="1:10" x14ac:dyDescent="0.3">
      <c r="A11" s="18" t="s">
        <v>30</v>
      </c>
      <c r="B11" s="19">
        <f>2500-1500</f>
        <v>1000</v>
      </c>
      <c r="C11" s="20">
        <v>0.2</v>
      </c>
      <c r="D11" s="21">
        <f>C11*B11</f>
        <v>200</v>
      </c>
      <c r="F11" s="18" t="s">
        <v>30</v>
      </c>
      <c r="G11" s="19">
        <f>B11</f>
        <v>1000</v>
      </c>
      <c r="H11" s="20">
        <v>0.2</v>
      </c>
      <c r="I11" s="21">
        <f>H11*G11</f>
        <v>200</v>
      </c>
    </row>
    <row r="12" spans="1:10" x14ac:dyDescent="0.3">
      <c r="A12" s="18"/>
      <c r="B12" s="19"/>
      <c r="C12" s="20"/>
      <c r="D12" s="21"/>
      <c r="F12" s="18" t="s">
        <v>71</v>
      </c>
      <c r="G12" s="19">
        <v>500</v>
      </c>
      <c r="H12" s="20">
        <v>0.1</v>
      </c>
      <c r="I12" s="21">
        <f>G12*H12</f>
        <v>50</v>
      </c>
    </row>
    <row r="13" spans="1:10" x14ac:dyDescent="0.3">
      <c r="A13" s="30" t="s">
        <v>31</v>
      </c>
      <c r="B13" s="31">
        <f>SUM(B4:B11)</f>
        <v>3200</v>
      </c>
      <c r="C13" s="32"/>
      <c r="D13" s="33">
        <f>SUM(D4:D12)</f>
        <v>997.5</v>
      </c>
      <c r="F13" s="30" t="s">
        <v>31</v>
      </c>
      <c r="G13" s="31">
        <f>SUM(G4:G11)</f>
        <v>4500</v>
      </c>
      <c r="H13" s="32"/>
      <c r="I13" s="33">
        <f>SUM(I4:I12)</f>
        <v>717.5</v>
      </c>
      <c r="J13" s="74"/>
    </row>
    <row r="14" spans="1:10" ht="14.5" thickBot="1" x14ac:dyDescent="0.35">
      <c r="A14" s="34" t="s">
        <v>32</v>
      </c>
      <c r="B14" s="35"/>
      <c r="C14" s="36"/>
      <c r="D14" s="37">
        <f>D13</f>
        <v>997.5</v>
      </c>
      <c r="E14" s="72"/>
      <c r="F14" s="34" t="s">
        <v>32</v>
      </c>
      <c r="G14" s="35"/>
      <c r="H14" s="36"/>
      <c r="I14" s="37">
        <f>I13</f>
        <v>717.5</v>
      </c>
    </row>
    <row r="15" spans="1:10" x14ac:dyDescent="0.3">
      <c r="A15" t="s">
        <v>66</v>
      </c>
      <c r="D15" s="17">
        <v>247000</v>
      </c>
      <c r="F15" t="s">
        <v>66</v>
      </c>
      <c r="I15" s="17">
        <v>263000</v>
      </c>
    </row>
    <row r="16" spans="1:10" ht="14.5" thickBot="1" x14ac:dyDescent="0.35">
      <c r="D16" s="17"/>
      <c r="I16" s="17"/>
    </row>
    <row r="17" spans="1:9" x14ac:dyDescent="0.3">
      <c r="A17" s="10" t="s">
        <v>68</v>
      </c>
      <c r="B17" s="11">
        <v>2500</v>
      </c>
      <c r="C17" s="12" t="s">
        <v>96</v>
      </c>
      <c r="D17" s="13"/>
      <c r="I17" s="17"/>
    </row>
    <row r="18" spans="1:9" x14ac:dyDescent="0.3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3">
      <c r="A19" s="18" t="s">
        <v>55</v>
      </c>
      <c r="B19" s="19">
        <v>200</v>
      </c>
      <c r="C19" s="20">
        <v>1</v>
      </c>
      <c r="D19" s="21">
        <f>C19*B19</f>
        <v>200</v>
      </c>
      <c r="I19" s="17"/>
    </row>
    <row r="20" spans="1:9" x14ac:dyDescent="0.3">
      <c r="A20" s="18" t="s">
        <v>239</v>
      </c>
      <c r="B20" s="19">
        <v>20</v>
      </c>
      <c r="C20" s="20">
        <v>0.95</v>
      </c>
      <c r="D20" s="21"/>
      <c r="I20" s="17"/>
    </row>
    <row r="21" spans="1:9" x14ac:dyDescent="0.3">
      <c r="A21" s="18" t="s">
        <v>240</v>
      </c>
      <c r="B21" s="19">
        <v>100</v>
      </c>
      <c r="C21" s="20">
        <v>0.4</v>
      </c>
      <c r="D21" s="21">
        <f>C21*B21</f>
        <v>40</v>
      </c>
      <c r="I21" s="17"/>
    </row>
    <row r="22" spans="1:9" x14ac:dyDescent="0.3">
      <c r="A22" s="18" t="s">
        <v>53</v>
      </c>
      <c r="B22" s="19">
        <f>350-B19/2-B20/2</f>
        <v>240</v>
      </c>
      <c r="C22" s="20">
        <v>0.25</v>
      </c>
      <c r="D22" s="21">
        <f>C22*B22</f>
        <v>60</v>
      </c>
      <c r="I22" s="17"/>
    </row>
    <row r="23" spans="1:9" x14ac:dyDescent="0.3">
      <c r="A23" s="18"/>
      <c r="B23" s="19"/>
      <c r="C23" s="20"/>
      <c r="D23" s="21"/>
      <c r="I23" s="17"/>
    </row>
    <row r="24" spans="1:9" x14ac:dyDescent="0.3">
      <c r="A24" s="18"/>
      <c r="B24" s="19"/>
      <c r="C24" s="20"/>
      <c r="D24" s="21"/>
      <c r="I24" s="17"/>
    </row>
    <row r="25" spans="1:9" x14ac:dyDescent="0.3">
      <c r="A25" s="22" t="s">
        <v>69</v>
      </c>
      <c r="B25" s="23">
        <v>-350</v>
      </c>
      <c r="C25" s="24">
        <v>0.15</v>
      </c>
      <c r="D25" s="25">
        <f>B25*C25</f>
        <v>-52.5</v>
      </c>
      <c r="I25" s="17"/>
    </row>
    <row r="26" spans="1:9" x14ac:dyDescent="0.3">
      <c r="A26" s="18" t="s">
        <v>8</v>
      </c>
      <c r="B26" s="19"/>
      <c r="C26" s="20"/>
      <c r="D26" s="21">
        <f>SUM(D19:D25)</f>
        <v>247.5</v>
      </c>
      <c r="I26" s="17"/>
    </row>
    <row r="27" spans="1:9" x14ac:dyDescent="0.3">
      <c r="A27" s="30" t="s">
        <v>88</v>
      </c>
      <c r="B27" s="31"/>
      <c r="C27" s="32"/>
      <c r="D27" s="33">
        <v>0.75</v>
      </c>
      <c r="I27" s="17"/>
    </row>
    <row r="28" spans="1:9" ht="14.5" thickBot="1" x14ac:dyDescent="0.35">
      <c r="A28" s="34" t="s">
        <v>32</v>
      </c>
      <c r="B28" s="35"/>
      <c r="C28" s="36"/>
      <c r="D28" s="37">
        <f>D27*D26</f>
        <v>185.625</v>
      </c>
      <c r="I28" s="17"/>
    </row>
    <row r="29" spans="1:9" ht="14.5" thickBot="1" x14ac:dyDescent="0.35">
      <c r="D29" s="17"/>
      <c r="I29" s="17"/>
    </row>
    <row r="30" spans="1:9" ht="14.5" thickBot="1" x14ac:dyDescent="0.35">
      <c r="A30" s="281" t="s">
        <v>197</v>
      </c>
      <c r="B30" s="282"/>
      <c r="C30" s="282"/>
      <c r="D30" s="283"/>
      <c r="I30" s="17"/>
    </row>
    <row r="31" spans="1:9" x14ac:dyDescent="0.3">
      <c r="A31" s="213" t="s">
        <v>198</v>
      </c>
      <c r="B31" s="12"/>
      <c r="C31" s="12"/>
      <c r="D31" s="214">
        <v>186</v>
      </c>
      <c r="I31" s="17"/>
    </row>
    <row r="32" spans="1:9" x14ac:dyDescent="0.3">
      <c r="A32" s="18" t="s">
        <v>199</v>
      </c>
      <c r="D32" s="215">
        <v>160</v>
      </c>
      <c r="I32" s="17"/>
    </row>
    <row r="33" spans="1:11" ht="14.5" thickBot="1" x14ac:dyDescent="0.35">
      <c r="A33" s="100" t="s">
        <v>200</v>
      </c>
      <c r="B33" s="102"/>
      <c r="C33" s="102"/>
      <c r="D33" s="216">
        <f>D31-D32</f>
        <v>26</v>
      </c>
      <c r="I33" s="17"/>
    </row>
    <row r="34" spans="1:11" x14ac:dyDescent="0.3">
      <c r="A34" s="10" t="s">
        <v>201</v>
      </c>
      <c r="B34" s="12"/>
      <c r="C34" s="12"/>
      <c r="D34" s="214">
        <v>240</v>
      </c>
      <c r="I34" s="17"/>
    </row>
    <row r="35" spans="1:11" x14ac:dyDescent="0.3">
      <c r="A35" s="18" t="s">
        <v>199</v>
      </c>
      <c r="D35" s="215">
        <v>160</v>
      </c>
      <c r="I35" s="17"/>
    </row>
    <row r="36" spans="1:11" ht="14.5" thickBot="1" x14ac:dyDescent="0.35">
      <c r="A36" s="100" t="s">
        <v>200</v>
      </c>
      <c r="B36" s="102"/>
      <c r="C36" s="102"/>
      <c r="D36" s="216">
        <f>D34-D35</f>
        <v>80</v>
      </c>
      <c r="I36" s="17"/>
    </row>
    <row r="37" spans="1:11" ht="14.5" thickBot="1" x14ac:dyDescent="0.35">
      <c r="A37" s="18"/>
      <c r="D37" s="215"/>
      <c r="I37" s="17"/>
    </row>
    <row r="38" spans="1:11" ht="14.5" thickBot="1" x14ac:dyDescent="0.35">
      <c r="A38" s="217" t="s">
        <v>202</v>
      </c>
      <c r="B38" s="218"/>
      <c r="C38" s="218"/>
      <c r="D38" s="219">
        <v>0</v>
      </c>
      <c r="I38" s="17"/>
    </row>
    <row r="39" spans="1:11" x14ac:dyDescent="0.3">
      <c r="D39" s="17"/>
      <c r="I39" s="17"/>
    </row>
    <row r="40" spans="1:11" x14ac:dyDescent="0.3">
      <c r="D40" s="17"/>
      <c r="I40" s="17"/>
    </row>
    <row r="41" spans="1:11" x14ac:dyDescent="0.3">
      <c r="A41" t="s">
        <v>203</v>
      </c>
      <c r="D41" s="17">
        <f>D14+D28-D38</f>
        <v>1183.125</v>
      </c>
      <c r="I41" s="17"/>
    </row>
    <row r="42" spans="1:11" x14ac:dyDescent="0.3">
      <c r="D42" s="17"/>
      <c r="I42" s="17"/>
    </row>
    <row r="43" spans="1:11" x14ac:dyDescent="0.3">
      <c r="D43" s="17"/>
      <c r="I43" s="17"/>
    </row>
    <row r="44" spans="1:11" x14ac:dyDescent="0.3">
      <c r="D44" s="17"/>
      <c r="I44" s="17"/>
    </row>
    <row r="45" spans="1:11" x14ac:dyDescent="0.3">
      <c r="D45" s="17"/>
      <c r="I45" s="17"/>
    </row>
    <row r="46" spans="1:11" ht="14.5" thickBot="1" x14ac:dyDescent="0.35">
      <c r="A46" s="39" t="s">
        <v>156</v>
      </c>
    </row>
    <row r="47" spans="1:11" x14ac:dyDescent="0.3">
      <c r="A47" s="10" t="s">
        <v>51</v>
      </c>
      <c r="B47" s="98">
        <v>350</v>
      </c>
      <c r="C47" s="12" t="s">
        <v>73</v>
      </c>
      <c r="D47" s="13"/>
      <c r="F47" s="10" t="s">
        <v>59</v>
      </c>
      <c r="G47" s="12"/>
      <c r="H47" s="12"/>
      <c r="I47" s="13"/>
      <c r="J47" t="s">
        <v>62</v>
      </c>
    </row>
    <row r="48" spans="1:11" x14ac:dyDescent="0.3">
      <c r="A48" s="22" t="s">
        <v>52</v>
      </c>
      <c r="B48" s="40">
        <v>220</v>
      </c>
      <c r="C48" s="24">
        <v>1</v>
      </c>
      <c r="D48" s="25">
        <f t="shared" ref="D48:D53" si="1">B48*C48</f>
        <v>220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</row>
    <row r="49" spans="1:13" x14ac:dyDescent="0.3">
      <c r="A49" s="18" t="s">
        <v>56</v>
      </c>
      <c r="B49" s="19">
        <v>40</v>
      </c>
      <c r="C49" s="20">
        <v>0.5</v>
      </c>
      <c r="D49" s="21">
        <f t="shared" si="1"/>
        <v>20</v>
      </c>
      <c r="F49" s="18" t="s">
        <v>53</v>
      </c>
      <c r="G49" s="91">
        <f>B47-G48</f>
        <v>190</v>
      </c>
      <c r="H49">
        <v>0.25</v>
      </c>
      <c r="I49" s="21">
        <f>G49*H49</f>
        <v>47.5</v>
      </c>
      <c r="J49" s="17"/>
      <c r="K49" s="17"/>
    </row>
    <row r="50" spans="1:13" x14ac:dyDescent="0.3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60</v>
      </c>
      <c r="G50" s="107"/>
      <c r="H50" s="107"/>
      <c r="I50" s="108">
        <f>I48+I49</f>
        <v>207.5</v>
      </c>
      <c r="J50" s="17">
        <f>'תחשיב לפי שווי שומה (2)'!B8</f>
        <v>9500</v>
      </c>
      <c r="K50" s="17">
        <f>I50*J50</f>
        <v>1971250</v>
      </c>
      <c r="L50" s="109">
        <v>0.29249999999999998</v>
      </c>
      <c r="M50" s="91">
        <f>K50*L50</f>
        <v>576590.625</v>
      </c>
    </row>
    <row r="51" spans="1:13" ht="14.5" thickBot="1" x14ac:dyDescent="0.35">
      <c r="A51" s="18" t="s">
        <v>24</v>
      </c>
      <c r="B51" s="19">
        <v>11</v>
      </c>
      <c r="C51" s="20">
        <v>0.5</v>
      </c>
      <c r="D51" s="21">
        <f t="shared" si="1"/>
        <v>5.5</v>
      </c>
      <c r="F51" s="100" t="s">
        <v>61</v>
      </c>
      <c r="G51" s="102"/>
      <c r="H51" s="102"/>
      <c r="I51" s="103">
        <f>D57-I50</f>
        <v>79.300000000000011</v>
      </c>
      <c r="J51" s="17">
        <f>J50</f>
        <v>9500</v>
      </c>
      <c r="K51" s="17">
        <f>I51*J51</f>
        <v>753350.00000000012</v>
      </c>
      <c r="L51" s="109">
        <v>0.33</v>
      </c>
      <c r="M51" s="91">
        <f>K51*L51</f>
        <v>248605.50000000006</v>
      </c>
    </row>
    <row r="52" spans="1:13" x14ac:dyDescent="0.3">
      <c r="A52" s="18" t="s">
        <v>25</v>
      </c>
      <c r="B52" s="19">
        <v>30</v>
      </c>
      <c r="C52" s="20">
        <v>0.35</v>
      </c>
      <c r="D52" s="21">
        <f t="shared" si="1"/>
        <v>10.5</v>
      </c>
      <c r="M52" s="91">
        <f>SUM(M50:M51)</f>
        <v>825196.125</v>
      </c>
    </row>
    <row r="53" spans="1:13" x14ac:dyDescent="0.3">
      <c r="A53" s="99" t="s">
        <v>26</v>
      </c>
      <c r="B53" s="71"/>
      <c r="C53" s="28">
        <v>0.5</v>
      </c>
      <c r="D53" s="29">
        <f t="shared" si="1"/>
        <v>0</v>
      </c>
    </row>
    <row r="54" spans="1:13" x14ac:dyDescent="0.3">
      <c r="A54" s="22" t="s">
        <v>27</v>
      </c>
      <c r="B54" s="23">
        <f>SUM(B48:B53)-B49</f>
        <v>273</v>
      </c>
      <c r="C54" s="24"/>
      <c r="D54" s="25"/>
    </row>
    <row r="55" spans="1:13" x14ac:dyDescent="0.3">
      <c r="A55" s="18" t="s">
        <v>28</v>
      </c>
      <c r="B55" s="19">
        <f>B47-B54</f>
        <v>77</v>
      </c>
      <c r="C55" s="20"/>
      <c r="D55" s="21"/>
    </row>
    <row r="56" spans="1:13" x14ac:dyDescent="0.3">
      <c r="A56" s="26" t="s">
        <v>29</v>
      </c>
      <c r="B56" s="104">
        <v>80</v>
      </c>
      <c r="C56" s="105">
        <v>0.25</v>
      </c>
      <c r="D56" s="106">
        <f>B56*C56</f>
        <v>20</v>
      </c>
    </row>
    <row r="57" spans="1:13" ht="14.5" thickBot="1" x14ac:dyDescent="0.35">
      <c r="A57" s="100" t="s">
        <v>31</v>
      </c>
      <c r="B57" s="101"/>
      <c r="C57" s="102"/>
      <c r="D57" s="103">
        <f>SUM(D48:D56)</f>
        <v>286.8</v>
      </c>
      <c r="F57" s="91"/>
    </row>
    <row r="58" spans="1:13" x14ac:dyDescent="0.3">
      <c r="A58" s="18" t="s">
        <v>74</v>
      </c>
      <c r="B58" s="19"/>
      <c r="D58" s="91">
        <v>100000</v>
      </c>
    </row>
    <row r="60" spans="1:13" ht="14.5" thickBot="1" x14ac:dyDescent="0.35">
      <c r="A60" t="s">
        <v>95</v>
      </c>
      <c r="B60">
        <v>2500</v>
      </c>
      <c r="F60" t="str">
        <f>A60</f>
        <v>לפי שומת הררי 2021</v>
      </c>
      <c r="G60">
        <v>3000</v>
      </c>
    </row>
    <row r="61" spans="1:13" x14ac:dyDescent="0.3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13" x14ac:dyDescent="0.3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13" x14ac:dyDescent="0.3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13" x14ac:dyDescent="0.3">
      <c r="A64" s="18" t="s">
        <v>33</v>
      </c>
      <c r="B64">
        <v>55</v>
      </c>
      <c r="C64">
        <v>1</v>
      </c>
      <c r="D64" s="21">
        <f t="shared" si="2"/>
        <v>55</v>
      </c>
      <c r="F64" s="18" t="s">
        <v>33</v>
      </c>
      <c r="G64">
        <v>55</v>
      </c>
      <c r="H64">
        <v>1</v>
      </c>
      <c r="I64" s="21">
        <f>H64*G64</f>
        <v>55</v>
      </c>
    </row>
    <row r="65" spans="1:9" x14ac:dyDescent="0.3">
      <c r="A65" s="18" t="s">
        <v>27</v>
      </c>
      <c r="B65" s="40">
        <f>SUM(B62:B64)</f>
        <v>375</v>
      </c>
      <c r="D65" s="21"/>
      <c r="F65" s="18" t="s">
        <v>27</v>
      </c>
      <c r="G65" s="40">
        <f>SUM(G62:G64)</f>
        <v>375</v>
      </c>
      <c r="I65" s="21"/>
    </row>
    <row r="66" spans="1:9" x14ac:dyDescent="0.3">
      <c r="A66" s="18" t="s">
        <v>34</v>
      </c>
      <c r="B66">
        <v>1125</v>
      </c>
      <c r="C66" s="20">
        <v>0.25</v>
      </c>
      <c r="D66" s="21">
        <f t="shared" si="2"/>
        <v>281.25</v>
      </c>
      <c r="F66" s="18" t="s">
        <v>34</v>
      </c>
      <c r="G66">
        <v>1125</v>
      </c>
      <c r="H66" s="20">
        <v>0.25</v>
      </c>
      <c r="I66" s="21">
        <f>H66*G66</f>
        <v>281.25</v>
      </c>
    </row>
    <row r="67" spans="1:9" x14ac:dyDescent="0.3">
      <c r="A67" s="18" t="s">
        <v>54</v>
      </c>
      <c r="B67">
        <f>B60-B65-B66</f>
        <v>1000</v>
      </c>
      <c r="C67" s="20">
        <v>0.15</v>
      </c>
      <c r="D67" s="21">
        <f t="shared" si="2"/>
        <v>150</v>
      </c>
      <c r="F67" s="18" t="s">
        <v>54</v>
      </c>
      <c r="G67">
        <v>1000</v>
      </c>
      <c r="H67" s="20">
        <v>0.15</v>
      </c>
      <c r="I67" s="21">
        <f>H67*G67</f>
        <v>150</v>
      </c>
    </row>
    <row r="68" spans="1:9" x14ac:dyDescent="0.3">
      <c r="A68" s="18"/>
      <c r="C68" s="20"/>
      <c r="D68" s="21"/>
      <c r="F68" s="18" t="s">
        <v>72</v>
      </c>
      <c r="G68">
        <v>500</v>
      </c>
      <c r="H68" s="20">
        <v>0.1</v>
      </c>
      <c r="I68" s="127">
        <f>G68*H68</f>
        <v>50</v>
      </c>
    </row>
    <row r="69" spans="1:9" x14ac:dyDescent="0.3">
      <c r="A69" s="43" t="s">
        <v>31</v>
      </c>
      <c r="B69" s="40">
        <f>SUM(B62:B67)</f>
        <v>2875</v>
      </c>
      <c r="C69" s="40"/>
      <c r="D69" s="44">
        <f>SUM(D62:D67)</f>
        <v>806.25</v>
      </c>
      <c r="F69" s="43" t="s">
        <v>31</v>
      </c>
      <c r="G69" s="40">
        <f>SUM(G62:G68)</f>
        <v>3375</v>
      </c>
      <c r="H69" s="40"/>
      <c r="I69" s="44">
        <f>SUM(I62:I68)</f>
        <v>856.25</v>
      </c>
    </row>
    <row r="70" spans="1:9" ht="14.5" thickBot="1" x14ac:dyDescent="0.35">
      <c r="A70" s="34" t="s">
        <v>32</v>
      </c>
      <c r="B70" s="45"/>
      <c r="C70" s="45"/>
      <c r="D70" s="46">
        <f>D69</f>
        <v>806.25</v>
      </c>
      <c r="E70" s="72"/>
      <c r="F70" s="34" t="s">
        <v>32</v>
      </c>
      <c r="G70" s="45"/>
      <c r="H70" s="45"/>
      <c r="I70" s="46">
        <f>I69</f>
        <v>856.25</v>
      </c>
    </row>
    <row r="71" spans="1:9" x14ac:dyDescent="0.3">
      <c r="A71" t="s">
        <v>66</v>
      </c>
      <c r="D71" s="17">
        <v>175000</v>
      </c>
      <c r="F71" t="s">
        <v>66</v>
      </c>
      <c r="I71" s="17">
        <v>190000</v>
      </c>
    </row>
    <row r="78" spans="1:9" x14ac:dyDescent="0.3">
      <c r="A78" s="284" t="s">
        <v>221</v>
      </c>
      <c r="B78" s="284"/>
      <c r="C78" s="284"/>
      <c r="D78" s="284"/>
    </row>
    <row r="79" spans="1:9" x14ac:dyDescent="0.3">
      <c r="A79" t="s">
        <v>222</v>
      </c>
      <c r="C79">
        <v>165</v>
      </c>
    </row>
    <row r="80" spans="1:9" x14ac:dyDescent="0.3">
      <c r="A80" t="s">
        <v>223</v>
      </c>
      <c r="C80">
        <v>5.29</v>
      </c>
    </row>
    <row r="81" spans="1:3" x14ac:dyDescent="0.3">
      <c r="A81" t="s">
        <v>224</v>
      </c>
      <c r="C81">
        <f>C80*C79</f>
        <v>872.85</v>
      </c>
    </row>
    <row r="83" spans="1:3" x14ac:dyDescent="0.3">
      <c r="A83" t="s">
        <v>225</v>
      </c>
      <c r="C83">
        <v>0.8</v>
      </c>
    </row>
    <row r="85" spans="1:3" x14ac:dyDescent="0.3">
      <c r="A85" t="s">
        <v>148</v>
      </c>
      <c r="C85">
        <f>C81*C83</f>
        <v>698.28000000000009</v>
      </c>
    </row>
    <row r="86" spans="1:3" x14ac:dyDescent="0.3">
      <c r="A86" t="s">
        <v>149</v>
      </c>
      <c r="C86">
        <f>C85/2</f>
        <v>349.14000000000004</v>
      </c>
    </row>
    <row r="92" spans="1:3" x14ac:dyDescent="0.3">
      <c r="A92" t="s">
        <v>250</v>
      </c>
    </row>
    <row r="93" spans="1:3" x14ac:dyDescent="0.3">
      <c r="A93" t="s">
        <v>251</v>
      </c>
      <c r="B93">
        <v>9500</v>
      </c>
    </row>
    <row r="94" spans="1:3" x14ac:dyDescent="0.3">
      <c r="A94" t="s">
        <v>225</v>
      </c>
      <c r="B94">
        <v>0.85</v>
      </c>
    </row>
    <row r="95" spans="1:3" x14ac:dyDescent="0.3">
      <c r="A95" t="s">
        <v>148</v>
      </c>
      <c r="B95">
        <f>B94*B93</f>
        <v>8075</v>
      </c>
    </row>
    <row r="96" spans="1:3" x14ac:dyDescent="0.3">
      <c r="A96" t="s">
        <v>149</v>
      </c>
      <c r="B96">
        <f>B95/2</f>
        <v>4037.5</v>
      </c>
    </row>
  </sheetData>
  <mergeCells count="2">
    <mergeCell ref="A30:D30"/>
    <mergeCell ref="A78:D7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AH54"/>
  <sheetViews>
    <sheetView rightToLeft="1" topLeftCell="A14" zoomScale="85" zoomScaleNormal="85" workbookViewId="0">
      <selection activeCell="H46" sqref="H46"/>
    </sheetView>
  </sheetViews>
  <sheetFormatPr defaultRowHeight="14" x14ac:dyDescent="0.3"/>
  <cols>
    <col min="1" max="1" width="5.33203125" customWidth="1"/>
    <col min="2" max="2" width="12.5" customWidth="1"/>
    <col min="3" max="3" width="21.6640625" bestFit="1" customWidth="1"/>
    <col min="4" max="4" width="11.9140625" style="17" bestFit="1" customWidth="1"/>
    <col min="5" max="6" width="21.6640625" style="17" bestFit="1" customWidth="1"/>
    <col min="7" max="7" width="10.9140625" customWidth="1"/>
    <col min="8" max="8" width="22.83203125" customWidth="1"/>
    <col min="9" max="9" width="17.58203125" customWidth="1"/>
    <col min="10" max="10" width="14.58203125" bestFit="1" customWidth="1"/>
    <col min="12" max="12" width="9.9140625" bestFit="1" customWidth="1"/>
    <col min="15" max="15" width="13.9140625" bestFit="1" customWidth="1"/>
    <col min="17" max="17" width="14.58203125" bestFit="1" customWidth="1"/>
  </cols>
  <sheetData>
    <row r="2" spans="2:34" ht="17" x14ac:dyDescent="0.6">
      <c r="B2" s="39" t="s">
        <v>152</v>
      </c>
      <c r="C2" s="39"/>
      <c r="D2" s="130"/>
    </row>
    <row r="3" spans="2:34" x14ac:dyDescent="0.3">
      <c r="B3" t="s">
        <v>94</v>
      </c>
      <c r="C3" s="148"/>
      <c r="D3" s="148"/>
      <c r="G3" s="189"/>
      <c r="H3" s="148"/>
      <c r="I3" s="149"/>
      <c r="J3" s="149"/>
    </row>
    <row r="4" spans="2:34" x14ac:dyDescent="0.3">
      <c r="B4" t="s">
        <v>127</v>
      </c>
      <c r="C4" s="186"/>
      <c r="D4" s="38"/>
      <c r="G4" s="189"/>
      <c r="J4" s="149"/>
    </row>
    <row r="5" spans="2:34" x14ac:dyDescent="0.3">
      <c r="B5" t="s">
        <v>128</v>
      </c>
    </row>
    <row r="6" spans="2:34" x14ac:dyDescent="0.3">
      <c r="B6" t="s">
        <v>129</v>
      </c>
      <c r="C6" s="149"/>
      <c r="D6" s="148"/>
    </row>
    <row r="7" spans="2:34" x14ac:dyDescent="0.3">
      <c r="B7" t="s">
        <v>143</v>
      </c>
      <c r="C7" s="91">
        <f>D33</f>
        <v>9500</v>
      </c>
    </row>
    <row r="8" spans="2:34" x14ac:dyDescent="0.3">
      <c r="C8" s="149"/>
    </row>
    <row r="9" spans="2:34" x14ac:dyDescent="0.3">
      <c r="B9" s="39" t="s">
        <v>130</v>
      </c>
      <c r="C9" s="150"/>
    </row>
    <row r="10" spans="2:34" ht="17" x14ac:dyDescent="0.6">
      <c r="B10" s="39" t="s">
        <v>132</v>
      </c>
      <c r="C10" s="39" t="s">
        <v>131</v>
      </c>
      <c r="D10" s="130" t="s">
        <v>133</v>
      </c>
      <c r="E10" s="130" t="s">
        <v>134</v>
      </c>
      <c r="F10" s="130" t="s">
        <v>135</v>
      </c>
      <c r="G10" s="130" t="s">
        <v>136</v>
      </c>
      <c r="H10" s="188" t="s">
        <v>137</v>
      </c>
      <c r="I10" s="130" t="s">
        <v>138</v>
      </c>
      <c r="J10" s="130" t="s">
        <v>139</v>
      </c>
      <c r="K10" s="130" t="s">
        <v>140</v>
      </c>
      <c r="L10" s="130" t="s">
        <v>141</v>
      </c>
      <c r="M10" s="130" t="s">
        <v>142</v>
      </c>
    </row>
    <row r="11" spans="2:34" ht="14.5" thickBot="1" x14ac:dyDescent="0.35">
      <c r="B11" s="187"/>
    </row>
    <row r="12" spans="2:34" ht="13.75" customHeight="1" x14ac:dyDescent="0.3">
      <c r="N12" s="285" t="s">
        <v>5</v>
      </c>
      <c r="O12" s="286"/>
      <c r="P12" s="286"/>
      <c r="Q12" s="286"/>
      <c r="R12" s="286"/>
      <c r="S12" s="286"/>
      <c r="T12" s="286"/>
      <c r="U12" s="286"/>
      <c r="V12" s="287"/>
      <c r="W12" s="223"/>
      <c r="Y12" s="285" t="s">
        <v>40</v>
      </c>
      <c r="Z12" s="286"/>
      <c r="AA12" s="286"/>
      <c r="AB12" s="286"/>
      <c r="AC12" s="286"/>
      <c r="AD12" s="286"/>
      <c r="AE12" s="286"/>
      <c r="AF12" s="286"/>
      <c r="AG12" s="286"/>
      <c r="AH12" s="287"/>
    </row>
    <row r="13" spans="2:34" ht="13.75" customHeight="1" x14ac:dyDescent="0.3">
      <c r="C13" s="149"/>
      <c r="N13" s="288"/>
      <c r="O13" s="289"/>
      <c r="P13" s="289"/>
      <c r="Q13" s="289"/>
      <c r="R13" s="289"/>
      <c r="S13" s="289"/>
      <c r="T13" s="289"/>
      <c r="U13" s="289"/>
      <c r="V13" s="290"/>
      <c r="W13" s="223"/>
      <c r="Y13" s="288"/>
      <c r="Z13" s="289"/>
      <c r="AA13" s="289"/>
      <c r="AB13" s="289"/>
      <c r="AC13" s="289"/>
      <c r="AD13" s="289"/>
      <c r="AE13" s="289"/>
      <c r="AF13" s="289"/>
      <c r="AG13" s="289"/>
      <c r="AH13" s="290"/>
    </row>
    <row r="14" spans="2:34" ht="14.4" customHeight="1" thickBot="1" x14ac:dyDescent="0.35">
      <c r="C14" s="149"/>
      <c r="N14" s="291"/>
      <c r="O14" s="292"/>
      <c r="P14" s="292"/>
      <c r="Q14" s="292"/>
      <c r="R14" s="292"/>
      <c r="S14" s="292"/>
      <c r="T14" s="292"/>
      <c r="U14" s="292"/>
      <c r="V14" s="293"/>
      <c r="W14" s="223"/>
      <c r="Y14" s="291"/>
      <c r="Z14" s="292"/>
      <c r="AA14" s="292"/>
      <c r="AB14" s="292"/>
      <c r="AC14" s="292"/>
      <c r="AD14" s="292"/>
      <c r="AE14" s="292"/>
      <c r="AF14" s="292"/>
      <c r="AG14" s="292"/>
      <c r="AH14" s="293"/>
    </row>
    <row r="15" spans="2:34" x14ac:dyDescent="0.3">
      <c r="B15" s="39"/>
      <c r="N15" s="18"/>
      <c r="V15" s="21"/>
      <c r="Y15" s="18"/>
      <c r="AH15" s="21"/>
    </row>
    <row r="16" spans="2:34" x14ac:dyDescent="0.3">
      <c r="C16" s="148"/>
      <c r="N16" s="18"/>
      <c r="V16" s="21"/>
      <c r="Y16" s="18"/>
      <c r="AH16" s="21"/>
    </row>
    <row r="17" spans="3:34" x14ac:dyDescent="0.3">
      <c r="C17" s="17"/>
      <c r="N17" s="18"/>
      <c r="V17" s="21"/>
      <c r="Y17" s="18"/>
      <c r="AH17" s="21"/>
    </row>
    <row r="18" spans="3:34" x14ac:dyDescent="0.3">
      <c r="N18" s="18"/>
      <c r="V18" s="21"/>
      <c r="Y18" s="18"/>
      <c r="AH18" s="21"/>
    </row>
    <row r="19" spans="3:34" x14ac:dyDescent="0.3">
      <c r="C19" s="149"/>
      <c r="N19" s="18"/>
      <c r="V19" s="21"/>
      <c r="Y19" s="18"/>
      <c r="AH19" s="21"/>
    </row>
    <row r="20" spans="3:34" x14ac:dyDescent="0.3">
      <c r="C20" s="149"/>
      <c r="N20" s="18"/>
      <c r="V20" s="21"/>
      <c r="Y20" s="18"/>
      <c r="AH20" s="21"/>
    </row>
    <row r="21" spans="3:34" x14ac:dyDescent="0.3">
      <c r="C21" s="149"/>
      <c r="N21" s="18"/>
      <c r="V21" s="21"/>
      <c r="Y21" s="18"/>
      <c r="AH21" s="21"/>
    </row>
    <row r="22" spans="3:34" x14ac:dyDescent="0.3">
      <c r="N22" s="18"/>
      <c r="V22" s="21"/>
      <c r="Y22" s="18"/>
      <c r="AH22" s="21"/>
    </row>
    <row r="23" spans="3:34" x14ac:dyDescent="0.3">
      <c r="N23" s="18"/>
      <c r="V23" s="21"/>
      <c r="Y23" s="18"/>
      <c r="AH23" s="21"/>
    </row>
    <row r="24" spans="3:34" x14ac:dyDescent="0.3">
      <c r="N24" s="18"/>
      <c r="V24" s="21"/>
      <c r="Y24" s="18"/>
      <c r="AH24" s="21"/>
    </row>
    <row r="25" spans="3:34" x14ac:dyDescent="0.3">
      <c r="E25"/>
      <c r="F25"/>
      <c r="N25" s="18"/>
      <c r="V25" s="21"/>
      <c r="Y25" s="18"/>
      <c r="AH25" s="21"/>
    </row>
    <row r="26" spans="3:34" x14ac:dyDescent="0.3">
      <c r="C26" t="s">
        <v>226</v>
      </c>
      <c r="D26" s="17">
        <v>7797</v>
      </c>
      <c r="E26"/>
      <c r="F26"/>
      <c r="N26" s="18"/>
      <c r="V26" s="21"/>
      <c r="Y26" s="18"/>
      <c r="AH26" s="21"/>
    </row>
    <row r="27" spans="3:34" x14ac:dyDescent="0.3">
      <c r="C27" t="s">
        <v>234</v>
      </c>
      <c r="D27" s="17">
        <f>D26/0.95</f>
        <v>8207.3684210526317</v>
      </c>
      <c r="E27"/>
      <c r="F27"/>
      <c r="N27" s="18"/>
      <c r="V27" s="21"/>
      <c r="Y27" s="18"/>
      <c r="AH27" s="21"/>
    </row>
    <row r="28" spans="3:34" x14ac:dyDescent="0.3">
      <c r="C28" t="s">
        <v>227</v>
      </c>
      <c r="D28" s="222">
        <v>45068</v>
      </c>
      <c r="E28"/>
      <c r="F28"/>
      <c r="N28" s="18"/>
      <c r="V28" s="21"/>
      <c r="Y28" s="18"/>
      <c r="AH28" s="21"/>
    </row>
    <row r="29" spans="3:34" x14ac:dyDescent="0.3">
      <c r="C29" t="s">
        <v>228</v>
      </c>
      <c r="D29" s="38">
        <f>1*1.07^2</f>
        <v>1.1449</v>
      </c>
      <c r="E29"/>
      <c r="F29"/>
      <c r="N29" s="18"/>
      <c r="V29" s="21"/>
      <c r="Y29" s="18"/>
      <c r="AH29" s="21"/>
    </row>
    <row r="30" spans="3:34" x14ac:dyDescent="0.3">
      <c r="C30" t="s">
        <v>229</v>
      </c>
      <c r="D30" s="17">
        <f>D29*D27</f>
        <v>9396.6161052631578</v>
      </c>
      <c r="E30"/>
      <c r="F30"/>
      <c r="N30" s="18"/>
      <c r="V30" s="21"/>
      <c r="Y30" s="18"/>
      <c r="AH30" s="21"/>
    </row>
    <row r="31" spans="3:34" x14ac:dyDescent="0.3">
      <c r="C31" t="s">
        <v>230</v>
      </c>
      <c r="D31" s="38">
        <v>0.9</v>
      </c>
      <c r="E31"/>
      <c r="F31"/>
      <c r="N31" s="18"/>
      <c r="V31" s="21"/>
      <c r="Y31" s="18"/>
      <c r="AH31" s="21"/>
    </row>
    <row r="32" spans="3:34" x14ac:dyDescent="0.3">
      <c r="C32" t="s">
        <v>231</v>
      </c>
      <c r="D32" s="17">
        <f>D30*D31</f>
        <v>8456.9544947368431</v>
      </c>
      <c r="E32"/>
      <c r="F32"/>
      <c r="N32" s="18"/>
      <c r="V32" s="21"/>
      <c r="Y32" s="18"/>
      <c r="AH32" s="21"/>
    </row>
    <row r="33" spans="3:34" x14ac:dyDescent="0.3">
      <c r="C33" t="s">
        <v>232</v>
      </c>
      <c r="D33" s="17">
        <v>9500</v>
      </c>
      <c r="E33"/>
      <c r="F33"/>
      <c r="N33" s="18"/>
      <c r="V33" s="21"/>
      <c r="Y33" s="18"/>
      <c r="AH33" s="21"/>
    </row>
    <row r="34" spans="3:34" ht="14.5" thickBot="1" x14ac:dyDescent="0.35">
      <c r="E34"/>
      <c r="F34" s="294" t="s">
        <v>248</v>
      </c>
      <c r="G34" s="294"/>
      <c r="H34" s="294" t="s">
        <v>249</v>
      </c>
      <c r="I34" s="294"/>
      <c r="N34" s="18"/>
      <c r="V34" s="21"/>
      <c r="Y34" s="18"/>
      <c r="AH34" s="21"/>
    </row>
    <row r="35" spans="3:34" x14ac:dyDescent="0.3">
      <c r="E35"/>
      <c r="F35" s="10" t="s">
        <v>247</v>
      </c>
      <c r="G35" s="214"/>
      <c r="H35" s="229"/>
      <c r="I35" s="214"/>
      <c r="N35" s="18"/>
      <c r="V35" s="21"/>
      <c r="Y35" s="18"/>
      <c r="AH35" s="21"/>
    </row>
    <row r="36" spans="3:34" x14ac:dyDescent="0.3">
      <c r="E36"/>
      <c r="F36" s="18" t="s">
        <v>246</v>
      </c>
      <c r="G36" s="215">
        <v>9400000</v>
      </c>
      <c r="H36" s="18" t="s">
        <v>244</v>
      </c>
      <c r="I36" s="215">
        <f>Q50</f>
        <v>1183.125</v>
      </c>
      <c r="N36" s="18"/>
      <c r="V36" s="21"/>
      <c r="Y36" s="18"/>
      <c r="AH36" s="21"/>
    </row>
    <row r="37" spans="3:34" ht="14.5" thickBot="1" x14ac:dyDescent="0.35">
      <c r="C37" s="68"/>
      <c r="E37"/>
      <c r="F37" s="18" t="s">
        <v>233</v>
      </c>
      <c r="G37" s="21">
        <f>Q48</f>
        <v>1.1449</v>
      </c>
      <c r="H37" s="18" t="s">
        <v>243</v>
      </c>
      <c r="I37" s="215">
        <f>D33</f>
        <v>9500</v>
      </c>
      <c r="N37" s="18"/>
      <c r="V37" s="21"/>
      <c r="Y37" s="224"/>
      <c r="Z37" s="225"/>
      <c r="AA37" s="225"/>
      <c r="AB37" s="225"/>
      <c r="AC37" s="225"/>
      <c r="AD37" s="225"/>
      <c r="AE37" s="225"/>
      <c r="AF37" s="225"/>
      <c r="AG37" s="225"/>
      <c r="AH37" s="226"/>
    </row>
    <row r="38" spans="3:34" ht="14.5" thickBot="1" x14ac:dyDescent="0.35">
      <c r="E38"/>
      <c r="F38" s="217" t="s">
        <v>229</v>
      </c>
      <c r="G38" s="219">
        <f>G37*G36</f>
        <v>10762060</v>
      </c>
      <c r="H38" s="217" t="s">
        <v>245</v>
      </c>
      <c r="I38" s="219">
        <f>I37*I36</f>
        <v>11239687.5</v>
      </c>
      <c r="N38" s="18"/>
      <c r="V38" s="21"/>
    </row>
    <row r="39" spans="3:34" ht="14.5" thickBot="1" x14ac:dyDescent="0.35">
      <c r="E39"/>
      <c r="F39"/>
      <c r="N39" s="224"/>
      <c r="O39" s="225"/>
      <c r="P39" s="225"/>
      <c r="Q39" s="225"/>
      <c r="R39" s="225"/>
      <c r="S39" s="225"/>
      <c r="T39" s="225"/>
      <c r="U39" s="225"/>
      <c r="V39" s="226"/>
    </row>
    <row r="40" spans="3:34" x14ac:dyDescent="0.3">
      <c r="E40"/>
      <c r="F40"/>
      <c r="N40" s="18"/>
      <c r="V40" s="21"/>
    </row>
    <row r="41" spans="3:34" x14ac:dyDescent="0.3">
      <c r="E41"/>
      <c r="F41"/>
      <c r="N41" s="18"/>
      <c r="V41" s="21"/>
    </row>
    <row r="42" spans="3:34" x14ac:dyDescent="0.3">
      <c r="N42" s="18"/>
      <c r="V42" s="21"/>
    </row>
    <row r="43" spans="3:34" x14ac:dyDescent="0.3">
      <c r="N43" s="18"/>
      <c r="V43" s="21"/>
    </row>
    <row r="44" spans="3:34" x14ac:dyDescent="0.3">
      <c r="H44">
        <f>240*35</f>
        <v>8400</v>
      </c>
      <c r="I44">
        <f>475/2</f>
        <v>237.5</v>
      </c>
      <c r="N44" s="18"/>
      <c r="V44" s="21"/>
    </row>
    <row r="45" spans="3:34" x14ac:dyDescent="0.3">
      <c r="H45">
        <f>H44*7</f>
        <v>58800</v>
      </c>
      <c r="N45" s="18"/>
      <c r="V45" s="21"/>
    </row>
    <row r="46" spans="3:34" x14ac:dyDescent="0.3">
      <c r="N46" s="18"/>
      <c r="V46" s="21"/>
    </row>
    <row r="47" spans="3:34" x14ac:dyDescent="0.3">
      <c r="N47" s="18"/>
      <c r="O47" t="s">
        <v>241</v>
      </c>
      <c r="Q47" s="227">
        <f>8194629</f>
        <v>8194629</v>
      </c>
      <c r="V47" s="21"/>
    </row>
    <row r="48" spans="3:34" x14ac:dyDescent="0.3">
      <c r="H48" s="91"/>
      <c r="I48">
        <f>475*24</f>
        <v>11400</v>
      </c>
      <c r="J48">
        <f>11500*7</f>
        <v>80500</v>
      </c>
      <c r="N48" s="18"/>
      <c r="O48" t="s">
        <v>233</v>
      </c>
      <c r="Q48">
        <f>1.07^2</f>
        <v>1.1449</v>
      </c>
      <c r="V48" s="21"/>
    </row>
    <row r="49" spans="6:22" x14ac:dyDescent="0.3">
      <c r="H49" s="72"/>
      <c r="N49" s="18"/>
      <c r="O49" t="s">
        <v>229</v>
      </c>
      <c r="Q49" s="227">
        <f>Q48*Q47</f>
        <v>9382030.7421000004</v>
      </c>
      <c r="V49" s="21"/>
    </row>
    <row r="50" spans="6:22" x14ac:dyDescent="0.3">
      <c r="N50" s="18"/>
      <c r="O50" t="s">
        <v>242</v>
      </c>
      <c r="Q50" s="74">
        <f>'תחשיב לפי שווי שומה (2)'!B16</f>
        <v>1183.125</v>
      </c>
      <c r="V50" s="21"/>
    </row>
    <row r="51" spans="6:22" x14ac:dyDescent="0.3">
      <c r="N51" s="18"/>
      <c r="O51" s="68" t="s">
        <v>243</v>
      </c>
      <c r="P51" s="68"/>
      <c r="Q51" s="228">
        <f>Q49/Q50</f>
        <v>7929.8727878288437</v>
      </c>
      <c r="V51" s="21"/>
    </row>
    <row r="52" spans="6:22" ht="14.5" thickBot="1" x14ac:dyDescent="0.35">
      <c r="F52" s="17">
        <f>9500*0.05</f>
        <v>475</v>
      </c>
      <c r="H52">
        <f>475*59</f>
        <v>28025</v>
      </c>
      <c r="I52">
        <f>475*48</f>
        <v>22800</v>
      </c>
      <c r="N52" s="224"/>
      <c r="O52" s="225"/>
      <c r="P52" s="225"/>
      <c r="Q52" s="225"/>
      <c r="R52" s="225"/>
      <c r="S52" s="225"/>
      <c r="T52" s="225"/>
      <c r="U52" s="225"/>
      <c r="V52" s="226"/>
    </row>
    <row r="54" spans="6:22" x14ac:dyDescent="0.3">
      <c r="H54">
        <f>H52*7</f>
        <v>196175</v>
      </c>
      <c r="I54">
        <f>23*7</f>
        <v>161</v>
      </c>
    </row>
  </sheetData>
  <mergeCells count="4">
    <mergeCell ref="Y12:AH14"/>
    <mergeCell ref="N12:V14"/>
    <mergeCell ref="F34:G34"/>
    <mergeCell ref="H34:I3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="130" zoomScaleNormal="130" workbookViewId="0">
      <selection activeCell="K7" sqref="K7"/>
    </sheetView>
  </sheetViews>
  <sheetFormatPr defaultRowHeight="14" x14ac:dyDescent="0.3"/>
  <cols>
    <col min="1" max="1" width="19.83203125" customWidth="1"/>
    <col min="2" max="3" width="6" customWidth="1"/>
    <col min="4" max="4" width="17.5" customWidth="1"/>
    <col min="5" max="5" width="14.08203125" style="17" customWidth="1"/>
    <col min="6" max="6" width="14.6640625" customWidth="1"/>
    <col min="7" max="7" width="12.6640625" customWidth="1"/>
    <col min="8" max="8" width="13.4140625" customWidth="1"/>
    <col min="9" max="9" width="11.1640625" customWidth="1"/>
    <col min="10" max="10" width="11.58203125" customWidth="1"/>
    <col min="11" max="11" width="11.1640625" customWidth="1"/>
    <col min="12" max="12" width="10.33203125" customWidth="1"/>
    <col min="13" max="13" width="9.1640625" customWidth="1"/>
    <col min="14" max="20" width="9.58203125" customWidth="1"/>
  </cols>
  <sheetData>
    <row r="1" spans="1:19" ht="16.5" customHeight="1" thickBot="1" x14ac:dyDescent="0.35">
      <c r="D1" s="66"/>
      <c r="E1"/>
    </row>
    <row r="2" spans="1:19" ht="28.5" thickBot="1" x14ac:dyDescent="0.35">
      <c r="A2" s="119" t="s">
        <v>35</v>
      </c>
      <c r="B2" s="191" t="s">
        <v>159</v>
      </c>
      <c r="C2" s="119" t="s">
        <v>160</v>
      </c>
      <c r="D2" s="92" t="s">
        <v>205</v>
      </c>
      <c r="E2" s="220" t="s">
        <v>207</v>
      </c>
      <c r="F2" s="92" t="s">
        <v>208</v>
      </c>
      <c r="G2" s="221" t="s">
        <v>210</v>
      </c>
      <c r="H2" s="47" t="s">
        <v>211</v>
      </c>
      <c r="I2" s="47" t="s">
        <v>212</v>
      </c>
      <c r="J2" s="116" t="s">
        <v>220</v>
      </c>
      <c r="K2" s="116" t="s">
        <v>213</v>
      </c>
      <c r="L2" s="116" t="s">
        <v>214</v>
      </c>
      <c r="M2" s="116"/>
      <c r="N2" s="47"/>
      <c r="O2" s="47"/>
      <c r="P2" s="47"/>
      <c r="Q2" s="116"/>
      <c r="R2" s="116"/>
      <c r="S2" s="117"/>
    </row>
    <row r="3" spans="1:19" x14ac:dyDescent="0.3">
      <c r="A3" s="120" t="s">
        <v>147</v>
      </c>
      <c r="B3" s="192"/>
      <c r="C3" s="120"/>
      <c r="D3" s="93">
        <v>58</v>
      </c>
      <c r="E3" s="143">
        <v>36</v>
      </c>
      <c r="F3" s="93">
        <v>158</v>
      </c>
      <c r="G3" s="64">
        <v>22</v>
      </c>
      <c r="H3" s="64">
        <v>48</v>
      </c>
      <c r="I3" s="64">
        <v>41</v>
      </c>
      <c r="J3" s="49">
        <v>59</v>
      </c>
      <c r="K3" s="49">
        <v>35</v>
      </c>
      <c r="L3" s="49">
        <v>24</v>
      </c>
      <c r="M3" s="49"/>
      <c r="N3" s="48"/>
      <c r="O3" s="48"/>
      <c r="P3" s="48"/>
      <c r="Q3" s="49"/>
      <c r="R3" s="49"/>
      <c r="S3" s="50"/>
    </row>
    <row r="4" spans="1:19" x14ac:dyDescent="0.3">
      <c r="A4" s="120" t="s">
        <v>93</v>
      </c>
      <c r="B4" s="192"/>
      <c r="C4" s="120"/>
      <c r="D4" s="93"/>
      <c r="E4" s="143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3">
      <c r="A5" s="120" t="s">
        <v>75</v>
      </c>
      <c r="B5" s="192"/>
      <c r="C5" s="120"/>
      <c r="D5" s="93"/>
      <c r="E5" s="143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3">
      <c r="A6" s="120" t="s">
        <v>98</v>
      </c>
      <c r="B6" s="192"/>
      <c r="C6" s="120"/>
      <c r="D6" s="93"/>
      <c r="E6" s="143"/>
      <c r="F6" s="93">
        <v>29</v>
      </c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3">
      <c r="A7" s="120" t="s">
        <v>144</v>
      </c>
      <c r="B7" s="192"/>
      <c r="C7" s="120"/>
      <c r="D7" s="93"/>
      <c r="E7" s="64"/>
      <c r="F7" s="93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3">
      <c r="A8" s="120" t="s">
        <v>145</v>
      </c>
      <c r="B8" s="192"/>
      <c r="C8" s="120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3">
      <c r="A9" s="120" t="s">
        <v>146</v>
      </c>
      <c r="B9" s="193"/>
      <c r="C9" s="208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3">
      <c r="A10" s="121" t="s">
        <v>50</v>
      </c>
      <c r="B10" s="194"/>
      <c r="C10" s="122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3">
      <c r="A11" s="122" t="s">
        <v>90</v>
      </c>
      <c r="B11" s="194"/>
      <c r="C11" s="122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5" thickBot="1" x14ac:dyDescent="0.35">
      <c r="A12" s="123" t="s">
        <v>86</v>
      </c>
      <c r="B12" s="195"/>
      <c r="C12" s="123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5">
      <c r="A13" s="199" t="s">
        <v>36</v>
      </c>
      <c r="B13" s="210"/>
      <c r="C13" s="209"/>
      <c r="D13" s="206">
        <f>SUM(D4:D12)</f>
        <v>0</v>
      </c>
      <c r="E13" s="200">
        <f>SUM(E4:E12)</f>
        <v>0</v>
      </c>
      <c r="F13" s="200">
        <f>SUM(F3:F12)</f>
        <v>187</v>
      </c>
      <c r="G13" s="200">
        <f>SUM(G3:G12)</f>
        <v>22</v>
      </c>
      <c r="H13" s="200">
        <f>SUM(H3:H12)</f>
        <v>48</v>
      </c>
      <c r="I13" s="201">
        <f t="shared" ref="I13:S13" si="0">SUM(I3:I12)</f>
        <v>41</v>
      </c>
      <c r="J13" s="201">
        <f t="shared" si="0"/>
        <v>59</v>
      </c>
      <c r="K13" s="201">
        <f t="shared" si="0"/>
        <v>35</v>
      </c>
      <c r="L13" s="201">
        <f t="shared" si="0"/>
        <v>24</v>
      </c>
      <c r="M13" s="201">
        <f t="shared" si="0"/>
        <v>0</v>
      </c>
      <c r="N13" s="202">
        <f t="shared" si="0"/>
        <v>0</v>
      </c>
      <c r="O13" s="202">
        <f t="shared" si="0"/>
        <v>0</v>
      </c>
      <c r="P13" s="202">
        <f t="shared" si="0"/>
        <v>0</v>
      </c>
      <c r="Q13" s="201">
        <f t="shared" si="0"/>
        <v>0</v>
      </c>
      <c r="R13" s="201">
        <f t="shared" si="0"/>
        <v>0</v>
      </c>
      <c r="S13" s="203">
        <f t="shared" si="0"/>
        <v>0</v>
      </c>
    </row>
    <row r="14" spans="1:19" ht="28.5" thickBot="1" x14ac:dyDescent="0.35">
      <c r="A14" s="125" t="s">
        <v>37</v>
      </c>
      <c r="B14" s="191" t="s">
        <v>159</v>
      </c>
      <c r="C14" s="119" t="s">
        <v>160</v>
      </c>
      <c r="D14" s="205"/>
      <c r="E14" s="204"/>
      <c r="F14" s="205"/>
      <c r="G14" s="62"/>
      <c r="H14" s="62"/>
      <c r="I14" s="62"/>
      <c r="J14" s="62"/>
      <c r="K14" s="62"/>
      <c r="L14" s="62"/>
      <c r="M14" s="139"/>
      <c r="N14" s="62"/>
      <c r="O14" s="62"/>
      <c r="P14" s="62"/>
      <c r="Q14" s="139"/>
      <c r="R14" s="139"/>
      <c r="S14" s="63"/>
    </row>
    <row r="15" spans="1:19" x14ac:dyDescent="0.3">
      <c r="A15" s="121" t="s">
        <v>206</v>
      </c>
      <c r="B15" s="196"/>
      <c r="C15" s="121"/>
      <c r="D15" s="52">
        <v>58</v>
      </c>
      <c r="E15" s="144"/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3">
      <c r="A16" s="121" t="s">
        <v>209</v>
      </c>
      <c r="B16" s="196"/>
      <c r="C16" s="121"/>
      <c r="D16" s="52"/>
      <c r="E16" s="51"/>
      <c r="F16" s="52">
        <v>147.94999999999999</v>
      </c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3">
      <c r="A17" s="121" t="s">
        <v>194</v>
      </c>
      <c r="B17" s="196"/>
      <c r="C17" s="121"/>
      <c r="D17" s="52"/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3">
      <c r="A18" s="121" t="s">
        <v>196</v>
      </c>
      <c r="B18" s="196"/>
      <c r="C18" s="121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3">
      <c r="A19" s="121" t="s">
        <v>196</v>
      </c>
      <c r="B19" s="196"/>
      <c r="C19" s="121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3">
      <c r="A20" s="121" t="s">
        <v>195</v>
      </c>
      <c r="B20" s="196"/>
      <c r="C20" s="121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3">
      <c r="A21" s="121"/>
      <c r="B21" s="196"/>
      <c r="C21" s="121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3">
      <c r="A22" s="121"/>
      <c r="B22" s="196"/>
      <c r="C22" s="121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5" thickBot="1" x14ac:dyDescent="0.35">
      <c r="A23" s="123"/>
      <c r="B23" s="195"/>
      <c r="C23" s="123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5" thickTop="1" x14ac:dyDescent="0.3">
      <c r="A24" s="126" t="s">
        <v>89</v>
      </c>
      <c r="B24" s="197"/>
      <c r="C24" s="126"/>
      <c r="D24" s="207">
        <f>SUM(D17:D23)</f>
        <v>0</v>
      </c>
      <c r="E24" s="118">
        <f>SUM(E17:E23)</f>
        <v>0</v>
      </c>
      <c r="F24" s="118">
        <f t="shared" ref="F24:S24" si="1">SUM(F15:F23)</f>
        <v>147.94999999999999</v>
      </c>
      <c r="G24" s="118">
        <f t="shared" si="1"/>
        <v>0</v>
      </c>
      <c r="H24" s="118">
        <f t="shared" si="1"/>
        <v>0</v>
      </c>
      <c r="I24" s="118">
        <f t="shared" si="1"/>
        <v>0</v>
      </c>
      <c r="J24" s="118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0">
        <f t="shared" si="1"/>
        <v>0</v>
      </c>
      <c r="R24" s="140">
        <f t="shared" si="1"/>
        <v>0</v>
      </c>
      <c r="S24" s="138">
        <f t="shared" si="1"/>
        <v>0</v>
      </c>
    </row>
    <row r="25" spans="1:19" ht="14.5" thickBot="1" x14ac:dyDescent="0.35">
      <c r="A25" s="124" t="s">
        <v>38</v>
      </c>
      <c r="B25" s="198"/>
      <c r="C25" s="124"/>
      <c r="D25" s="141">
        <f t="shared" ref="D25:S25" si="2">D13-D24</f>
        <v>0</v>
      </c>
      <c r="E25" s="137">
        <f t="shared" si="2"/>
        <v>0</v>
      </c>
      <c r="F25" s="137">
        <f t="shared" si="2"/>
        <v>39.050000000000011</v>
      </c>
      <c r="G25" s="137">
        <f t="shared" si="2"/>
        <v>22</v>
      </c>
      <c r="H25" s="137">
        <f t="shared" si="2"/>
        <v>48</v>
      </c>
      <c r="I25" s="137">
        <f t="shared" si="2"/>
        <v>41</v>
      </c>
      <c r="J25" s="137">
        <f t="shared" si="2"/>
        <v>59</v>
      </c>
      <c r="K25" s="137">
        <f t="shared" si="2"/>
        <v>35</v>
      </c>
      <c r="L25" s="137">
        <f t="shared" si="2"/>
        <v>24</v>
      </c>
      <c r="M25" s="137">
        <f t="shared" si="2"/>
        <v>0</v>
      </c>
      <c r="N25" s="137">
        <f t="shared" si="2"/>
        <v>0</v>
      </c>
      <c r="O25" s="137">
        <f t="shared" si="2"/>
        <v>0</v>
      </c>
      <c r="P25" s="137">
        <f t="shared" si="2"/>
        <v>0</v>
      </c>
      <c r="Q25" s="142">
        <f t="shared" si="2"/>
        <v>0</v>
      </c>
      <c r="R25" s="141">
        <f t="shared" si="2"/>
        <v>0</v>
      </c>
      <c r="S25" s="145">
        <f t="shared" si="2"/>
        <v>0</v>
      </c>
    </row>
    <row r="26" spans="1:19" x14ac:dyDescent="0.3">
      <c r="D26" s="134"/>
      <c r="E26" s="73"/>
      <c r="F26" s="147"/>
      <c r="H26" s="73"/>
      <c r="I26" s="73"/>
      <c r="J26" s="73"/>
      <c r="K26" s="97"/>
      <c r="L26" s="147"/>
      <c r="M26" s="73"/>
    </row>
    <row r="27" spans="1:19" x14ac:dyDescent="0.3">
      <c r="A27" t="s">
        <v>87</v>
      </c>
      <c r="D27" s="135">
        <f>D8+D7</f>
        <v>0</v>
      </c>
      <c r="F27" s="73"/>
    </row>
    <row r="28" spans="1:19" x14ac:dyDescent="0.3">
      <c r="E28" s="91">
        <f>E3*9300*5%*7</f>
        <v>117180</v>
      </c>
      <c r="F28" s="66"/>
      <c r="G28" s="91"/>
      <c r="H28" s="91"/>
      <c r="K28" s="91"/>
    </row>
    <row r="29" spans="1:19" x14ac:dyDescent="0.3">
      <c r="E29" s="38">
        <f>375-E24-F24-I24</f>
        <v>227.05</v>
      </c>
      <c r="F29" s="66"/>
      <c r="G29" s="91"/>
      <c r="H29" s="91"/>
    </row>
    <row r="30" spans="1:19" x14ac:dyDescent="0.3">
      <c r="N30" s="91"/>
      <c r="O30" s="91"/>
    </row>
    <row r="31" spans="1:19" x14ac:dyDescent="0.3">
      <c r="A31" s="67" t="s">
        <v>39</v>
      </c>
      <c r="B31" s="67"/>
      <c r="C31" s="67"/>
      <c r="D31" s="68"/>
      <c r="L31" s="91"/>
      <c r="N31" s="17"/>
    </row>
    <row r="32" spans="1:19" x14ac:dyDescent="0.3">
      <c r="A32" t="s">
        <v>14</v>
      </c>
      <c r="E32" s="69">
        <f>-D13</f>
        <v>0</v>
      </c>
      <c r="G32" s="72"/>
      <c r="H32" s="72"/>
      <c r="L32" s="91"/>
    </row>
    <row r="33" spans="1:10" x14ac:dyDescent="0.3">
      <c r="A33" t="s">
        <v>15</v>
      </c>
      <c r="E33" s="17">
        <f>-E13</f>
        <v>0</v>
      </c>
      <c r="G33" s="72"/>
    </row>
    <row r="34" spans="1:10" x14ac:dyDescent="0.3">
      <c r="A34" t="s">
        <v>18</v>
      </c>
      <c r="E34" s="17">
        <f>I24</f>
        <v>0</v>
      </c>
    </row>
    <row r="35" spans="1:10" x14ac:dyDescent="0.3">
      <c r="A35" s="40" t="s">
        <v>8</v>
      </c>
      <c r="B35" s="40"/>
      <c r="C35" s="40"/>
      <c r="D35" s="40"/>
      <c r="E35" s="23">
        <f>SUM(E31:E34)</f>
        <v>0</v>
      </c>
      <c r="J35" s="72"/>
    </row>
    <row r="36" spans="1:10" x14ac:dyDescent="0.3">
      <c r="A36" t="s">
        <v>40</v>
      </c>
      <c r="E36" s="38">
        <v>375</v>
      </c>
      <c r="H36" s="91"/>
    </row>
    <row r="37" spans="1:10" x14ac:dyDescent="0.3">
      <c r="A37" s="40" t="s">
        <v>41</v>
      </c>
      <c r="B37" s="40"/>
      <c r="C37" s="40"/>
      <c r="D37" s="40"/>
      <c r="E37" s="23">
        <f>SUM(E35:E36)</f>
        <v>375</v>
      </c>
    </row>
    <row r="38" spans="1:10" x14ac:dyDescent="0.3">
      <c r="A38" t="s">
        <v>42</v>
      </c>
      <c r="E38" s="17">
        <f>-E24-F24-I24</f>
        <v>-147.94999999999999</v>
      </c>
    </row>
    <row r="39" spans="1:10" x14ac:dyDescent="0.3">
      <c r="A39" s="40" t="s">
        <v>43</v>
      </c>
      <c r="B39" s="40"/>
      <c r="C39" s="40"/>
      <c r="D39" s="40"/>
      <c r="E39" s="70">
        <f>SUM(E37:E38)</f>
        <v>227.05</v>
      </c>
    </row>
    <row r="43" spans="1:10" x14ac:dyDescent="0.3">
      <c r="A43" s="129" t="s">
        <v>76</v>
      </c>
      <c r="B43" s="129"/>
      <c r="C43" s="129"/>
    </row>
    <row r="44" spans="1:10" ht="17" x14ac:dyDescent="0.6">
      <c r="A44" s="39" t="s">
        <v>77</v>
      </c>
      <c r="B44" s="39"/>
      <c r="C44" s="39"/>
      <c r="D44" s="39" t="s">
        <v>79</v>
      </c>
      <c r="E44" s="130" t="s">
        <v>80</v>
      </c>
      <c r="F44" s="39" t="s">
        <v>83</v>
      </c>
      <c r="G44" s="39"/>
      <c r="H44" s="17"/>
      <c r="I44" s="17"/>
    </row>
    <row r="45" spans="1:10" x14ac:dyDescent="0.3">
      <c r="A45" t="s">
        <v>44</v>
      </c>
      <c r="F45" s="91">
        <f>E45-D45</f>
        <v>0</v>
      </c>
    </row>
    <row r="46" spans="1:10" x14ac:dyDescent="0.3">
      <c r="A46" t="s">
        <v>78</v>
      </c>
      <c r="F46" s="91">
        <f>E46-D46</f>
        <v>0</v>
      </c>
    </row>
    <row r="47" spans="1:10" x14ac:dyDescent="0.3">
      <c r="A47" s="107" t="s">
        <v>81</v>
      </c>
      <c r="B47" s="107"/>
      <c r="C47" s="107"/>
      <c r="D47" s="107">
        <f>SUM(D45:D46)</f>
        <v>0</v>
      </c>
      <c r="E47" s="70">
        <f>SUM(E45:E46)</f>
        <v>0</v>
      </c>
      <c r="F47" s="131">
        <f>E47-D47</f>
        <v>0</v>
      </c>
    </row>
    <row r="49" spans="1:10" ht="17" x14ac:dyDescent="0.6">
      <c r="A49" s="39" t="s">
        <v>82</v>
      </c>
      <c r="B49" s="39"/>
      <c r="C49" s="39"/>
      <c r="D49" s="39" t="s">
        <v>79</v>
      </c>
      <c r="E49" s="130" t="s">
        <v>80</v>
      </c>
      <c r="F49" s="39" t="s">
        <v>83</v>
      </c>
    </row>
    <row r="50" spans="1:10" x14ac:dyDescent="0.3">
      <c r="A50" t="s">
        <v>44</v>
      </c>
      <c r="F50" s="91">
        <f>E50-D50</f>
        <v>0</v>
      </c>
      <c r="G50" s="39"/>
      <c r="J50" s="17"/>
    </row>
    <row r="51" spans="1:10" x14ac:dyDescent="0.3">
      <c r="A51" t="s">
        <v>78</v>
      </c>
      <c r="F51" s="91">
        <f>E51-D51</f>
        <v>0</v>
      </c>
    </row>
    <row r="52" spans="1:10" x14ac:dyDescent="0.3">
      <c r="A52" s="107" t="s">
        <v>81</v>
      </c>
      <c r="B52" s="107"/>
      <c r="C52" s="107"/>
      <c r="D52" s="107">
        <f>SUM(D50:D51)</f>
        <v>0</v>
      </c>
      <c r="E52" s="70">
        <f>SUM(E50:E51)</f>
        <v>0</v>
      </c>
      <c r="F52" s="131">
        <f>E52-D52</f>
        <v>0</v>
      </c>
      <c r="J52" s="146"/>
    </row>
    <row r="54" spans="1:10" x14ac:dyDescent="0.3">
      <c r="A54" s="132" t="s">
        <v>8</v>
      </c>
      <c r="B54" s="132"/>
      <c r="C54" s="132"/>
      <c r="D54" s="132">
        <f>D52+D47</f>
        <v>0</v>
      </c>
      <c r="E54" s="132">
        <f>E52+E47</f>
        <v>0</v>
      </c>
      <c r="F54" s="133">
        <f>F52+F47</f>
        <v>0</v>
      </c>
    </row>
    <row r="58" spans="1:10" x14ac:dyDescent="0.3">
      <c r="G58" s="39"/>
      <c r="J58" s="17"/>
    </row>
    <row r="60" spans="1:10" x14ac:dyDescent="0.3">
      <c r="J60" s="14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15"/>
  <sheetViews>
    <sheetView rightToLeft="1" zoomScale="175" zoomScaleNormal="175" workbookViewId="0">
      <selection activeCell="A4" sqref="A4:E4"/>
    </sheetView>
  </sheetViews>
  <sheetFormatPr defaultRowHeight="14" x14ac:dyDescent="0.3"/>
  <cols>
    <col min="2" max="2" width="11.5" bestFit="1" customWidth="1"/>
    <col min="3" max="3" width="9.9140625" bestFit="1" customWidth="1"/>
  </cols>
  <sheetData>
    <row r="2" spans="1:6" x14ac:dyDescent="0.3">
      <c r="A2" s="39" t="s">
        <v>163</v>
      </c>
      <c r="B2" s="39" t="s">
        <v>164</v>
      </c>
      <c r="C2" s="39" t="s">
        <v>132</v>
      </c>
      <c r="D2" s="39" t="s">
        <v>165</v>
      </c>
    </row>
    <row r="3" spans="1:6" x14ac:dyDescent="0.3">
      <c r="A3" t="s">
        <v>215</v>
      </c>
      <c r="B3" t="s">
        <v>216</v>
      </c>
      <c r="C3" s="187">
        <v>38684</v>
      </c>
      <c r="D3">
        <v>500</v>
      </c>
      <c r="E3" t="s">
        <v>166</v>
      </c>
    </row>
    <row r="4" spans="1:6" x14ac:dyDescent="0.3">
      <c r="A4" t="s">
        <v>215</v>
      </c>
      <c r="B4" t="s">
        <v>219</v>
      </c>
      <c r="C4" s="187">
        <v>32447</v>
      </c>
      <c r="D4">
        <v>2.5</v>
      </c>
      <c r="E4" t="s">
        <v>167</v>
      </c>
      <c r="F4" t="s">
        <v>168</v>
      </c>
    </row>
    <row r="5" spans="1:6" x14ac:dyDescent="0.3">
      <c r="A5" t="s">
        <v>215</v>
      </c>
      <c r="B5" t="s">
        <v>218</v>
      </c>
      <c r="C5" s="187">
        <v>26347</v>
      </c>
      <c r="D5">
        <v>2</v>
      </c>
      <c r="E5" t="s">
        <v>167</v>
      </c>
    </row>
    <row r="6" spans="1:6" x14ac:dyDescent="0.3">
      <c r="A6" t="s">
        <v>215</v>
      </c>
      <c r="B6" t="s">
        <v>217</v>
      </c>
      <c r="C6" s="187">
        <v>24939</v>
      </c>
      <c r="D6" s="211">
        <v>1</v>
      </c>
      <c r="E6" t="s">
        <v>167</v>
      </c>
      <c r="F6">
        <v>200</v>
      </c>
    </row>
    <row r="15" spans="1:6" x14ac:dyDescent="0.3">
      <c r="D15" s="68"/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4" x14ac:dyDescent="0.3"/>
  <cols>
    <col min="1" max="1" width="1.6640625" customWidth="1"/>
    <col min="2" max="2" width="18.1640625" customWidth="1"/>
    <col min="3" max="3" width="13" bestFit="1" customWidth="1"/>
    <col min="4" max="4" width="10.58203125" bestFit="1" customWidth="1"/>
    <col min="5" max="5" width="9.5" bestFit="1" customWidth="1"/>
    <col min="6" max="6" width="11.6640625" bestFit="1" customWidth="1"/>
  </cols>
  <sheetData>
    <row r="1" spans="2:10" ht="4.5" customHeight="1" thickBot="1" x14ac:dyDescent="0.35"/>
    <row r="2" spans="2:10" ht="14.5" thickBot="1" x14ac:dyDescent="0.35">
      <c r="B2" s="308" t="s">
        <v>116</v>
      </c>
      <c r="C2" s="309"/>
      <c r="D2" s="309"/>
      <c r="E2" s="309"/>
      <c r="F2" s="310"/>
    </row>
    <row r="3" spans="2:10" ht="14.5" thickBot="1" x14ac:dyDescent="0.35">
      <c r="B3" s="151" t="s">
        <v>49</v>
      </c>
      <c r="C3" s="311" t="s">
        <v>44</v>
      </c>
      <c r="D3" s="312"/>
      <c r="E3" s="311" t="s">
        <v>98</v>
      </c>
      <c r="F3" s="313"/>
    </row>
    <row r="4" spans="2:10" x14ac:dyDescent="0.3">
      <c r="B4" s="166" t="s">
        <v>99</v>
      </c>
      <c r="C4" s="304">
        <v>0</v>
      </c>
      <c r="D4" s="330"/>
      <c r="E4" s="304">
        <v>0</v>
      </c>
      <c r="F4" s="305"/>
    </row>
    <row r="5" spans="2:10" x14ac:dyDescent="0.3">
      <c r="B5" s="171" t="s">
        <v>100</v>
      </c>
      <c r="C5" s="304">
        <v>140000</v>
      </c>
      <c r="D5" s="330"/>
      <c r="E5" s="304">
        <f>6000*2</f>
        <v>12000</v>
      </c>
      <c r="F5" s="305"/>
    </row>
    <row r="6" spans="2:10" ht="28" x14ac:dyDescent="0.3">
      <c r="B6" s="171" t="s">
        <v>112</v>
      </c>
      <c r="C6" s="304">
        <f>46500*7</f>
        <v>325500</v>
      </c>
      <c r="D6" s="330"/>
      <c r="E6" s="304">
        <v>0</v>
      </c>
      <c r="F6" s="305"/>
    </row>
    <row r="7" spans="2:10" x14ac:dyDescent="0.3">
      <c r="B7" s="171" t="s">
        <v>101</v>
      </c>
      <c r="C7" s="304">
        <f>13000*7</f>
        <v>91000</v>
      </c>
      <c r="D7" s="330"/>
      <c r="E7" s="304">
        <f>4000*7</f>
        <v>28000</v>
      </c>
      <c r="F7" s="305"/>
    </row>
    <row r="8" spans="2:10" ht="14.5" thickBot="1" x14ac:dyDescent="0.35">
      <c r="B8" s="157" t="s">
        <v>102</v>
      </c>
      <c r="C8" s="304">
        <f>65000*7</f>
        <v>455000</v>
      </c>
      <c r="D8" s="330"/>
      <c r="E8" s="304">
        <v>50000</v>
      </c>
      <c r="F8" s="305"/>
      <c r="J8" t="s">
        <v>161</v>
      </c>
    </row>
    <row r="9" spans="2:10" ht="14.5" thickBot="1" x14ac:dyDescent="0.35">
      <c r="B9" s="308" t="s">
        <v>115</v>
      </c>
      <c r="C9" s="309"/>
      <c r="D9" s="309"/>
      <c r="E9" s="309"/>
      <c r="F9" s="310"/>
      <c r="J9" t="s">
        <v>162</v>
      </c>
    </row>
    <row r="10" spans="2:10" ht="17.5" thickBot="1" x14ac:dyDescent="0.35">
      <c r="B10" s="152" t="s">
        <v>110</v>
      </c>
      <c r="C10" s="153" t="s">
        <v>108</v>
      </c>
      <c r="D10" s="154" t="s">
        <v>105</v>
      </c>
      <c r="E10" s="155" t="s">
        <v>106</v>
      </c>
      <c r="F10" s="156" t="s">
        <v>107</v>
      </c>
    </row>
    <row r="11" spans="2:10" x14ac:dyDescent="0.3">
      <c r="B11" s="166" t="s">
        <v>99</v>
      </c>
      <c r="C11" s="183">
        <f>197-160</f>
        <v>37</v>
      </c>
      <c r="D11" s="178">
        <f>C11*6605</f>
        <v>244385</v>
      </c>
      <c r="E11" s="183">
        <v>35</v>
      </c>
      <c r="F11" s="179">
        <f>E11*6605/2</f>
        <v>115587.5</v>
      </c>
    </row>
    <row r="12" spans="2:10" x14ac:dyDescent="0.3">
      <c r="B12" s="171" t="s">
        <v>100</v>
      </c>
      <c r="C12" s="184">
        <v>0</v>
      </c>
      <c r="D12" s="182">
        <v>0</v>
      </c>
      <c r="E12" s="184">
        <f>147+24-160</f>
        <v>11</v>
      </c>
      <c r="F12" s="177">
        <f>E12*6605/2</f>
        <v>36327.5</v>
      </c>
    </row>
    <row r="13" spans="2:10" x14ac:dyDescent="0.3">
      <c r="B13" s="180" t="s">
        <v>103</v>
      </c>
      <c r="C13" s="306" t="s">
        <v>109</v>
      </c>
      <c r="D13" s="306"/>
      <c r="E13" s="306"/>
      <c r="F13" s="307"/>
    </row>
    <row r="14" spans="2:10" x14ac:dyDescent="0.3">
      <c r="B14" s="181" t="s">
        <v>101</v>
      </c>
      <c r="C14" s="306" t="s">
        <v>111</v>
      </c>
      <c r="D14" s="306"/>
      <c r="E14" s="306"/>
      <c r="F14" s="307"/>
    </row>
    <row r="15" spans="2:10" ht="14.5" thickBot="1" x14ac:dyDescent="0.35">
      <c r="B15" s="157" t="s">
        <v>102</v>
      </c>
      <c r="C15" s="324" t="s">
        <v>113</v>
      </c>
      <c r="D15" s="325"/>
      <c r="E15" s="325"/>
      <c r="F15" s="326"/>
    </row>
    <row r="16" spans="2:10" ht="14.5" thickBot="1" x14ac:dyDescent="0.35"/>
    <row r="17" spans="2:6" ht="14.5" thickBot="1" x14ac:dyDescent="0.35">
      <c r="B17" s="308" t="s">
        <v>97</v>
      </c>
      <c r="C17" s="309"/>
      <c r="D17" s="309"/>
      <c r="E17" s="309"/>
      <c r="F17" s="310"/>
    </row>
    <row r="18" spans="2:6" ht="14.5" thickBot="1" x14ac:dyDescent="0.35">
      <c r="B18" s="151" t="s">
        <v>104</v>
      </c>
      <c r="C18" s="311" t="s">
        <v>44</v>
      </c>
      <c r="D18" s="312"/>
      <c r="E18" s="311" t="s">
        <v>98</v>
      </c>
      <c r="F18" s="313"/>
    </row>
    <row r="19" spans="2:6" x14ac:dyDescent="0.3">
      <c r="B19" s="166" t="s">
        <v>99</v>
      </c>
      <c r="C19" s="327">
        <v>0</v>
      </c>
      <c r="D19" s="328"/>
      <c r="E19" s="327">
        <v>0</v>
      </c>
      <c r="F19" s="329"/>
    </row>
    <row r="20" spans="2:6" x14ac:dyDescent="0.3">
      <c r="B20" s="171" t="s">
        <v>100</v>
      </c>
      <c r="C20" s="316">
        <v>70000</v>
      </c>
      <c r="D20" s="317"/>
      <c r="E20" s="318">
        <f>6000*7</f>
        <v>42000</v>
      </c>
      <c r="F20" s="319"/>
    </row>
    <row r="21" spans="2:6" x14ac:dyDescent="0.3">
      <c r="B21" s="175" t="s">
        <v>103</v>
      </c>
      <c r="C21" s="316">
        <f>46500*7</f>
        <v>325500</v>
      </c>
      <c r="D21" s="317"/>
      <c r="E21" s="316">
        <v>0</v>
      </c>
      <c r="F21" s="320"/>
    </row>
    <row r="22" spans="2:6" x14ac:dyDescent="0.3">
      <c r="B22" s="171" t="s">
        <v>101</v>
      </c>
      <c r="C22" s="316">
        <f>13000*7</f>
        <v>91000</v>
      </c>
      <c r="D22" s="317"/>
      <c r="E22" s="316">
        <f>4000*7</f>
        <v>28000</v>
      </c>
      <c r="F22" s="320"/>
    </row>
    <row r="23" spans="2:6" ht="14.5" thickBot="1" x14ac:dyDescent="0.35">
      <c r="B23" s="157" t="s">
        <v>102</v>
      </c>
      <c r="C23" s="321">
        <f>65000*7</f>
        <v>455000</v>
      </c>
      <c r="D23" s="322"/>
      <c r="E23" s="321">
        <f>7000*7</f>
        <v>49000</v>
      </c>
      <c r="F23" s="323"/>
    </row>
    <row r="24" spans="2:6" ht="14.5" thickBot="1" x14ac:dyDescent="0.35">
      <c r="B24" s="162"/>
      <c r="C24" s="163"/>
      <c r="D24" s="164"/>
      <c r="E24" s="164"/>
      <c r="F24" s="165"/>
    </row>
    <row r="25" spans="2:6" ht="17.5" thickBot="1" x14ac:dyDescent="0.35">
      <c r="B25" s="152" t="s">
        <v>110</v>
      </c>
      <c r="C25" s="153" t="s">
        <v>108</v>
      </c>
      <c r="D25" s="154" t="s">
        <v>105</v>
      </c>
      <c r="E25" s="155" t="s">
        <v>106</v>
      </c>
      <c r="F25" s="156" t="s">
        <v>107</v>
      </c>
    </row>
    <row r="26" spans="2:6" x14ac:dyDescent="0.3">
      <c r="B26" s="166" t="s">
        <v>99</v>
      </c>
      <c r="C26" s="167">
        <f>197-160</f>
        <v>37</v>
      </c>
      <c r="D26" s="168">
        <f>C26*6605</f>
        <v>244385</v>
      </c>
      <c r="E26" s="169">
        <v>35</v>
      </c>
      <c r="F26" s="170">
        <f>E26*6605/2</f>
        <v>115587.5</v>
      </c>
    </row>
    <row r="27" spans="2:6" x14ac:dyDescent="0.3">
      <c r="B27" s="171" t="s">
        <v>100</v>
      </c>
      <c r="C27" s="172">
        <v>0</v>
      </c>
      <c r="D27" s="173">
        <f>C27*6605</f>
        <v>0</v>
      </c>
      <c r="E27" s="176">
        <f>147+24-160</f>
        <v>11</v>
      </c>
      <c r="F27" s="174">
        <f>E27*6605/2</f>
        <v>36327.5</v>
      </c>
    </row>
    <row r="28" spans="2:6" x14ac:dyDescent="0.3">
      <c r="B28" s="175" t="s">
        <v>103</v>
      </c>
      <c r="C28" s="314" t="s">
        <v>109</v>
      </c>
      <c r="D28" s="314"/>
      <c r="E28" s="314"/>
      <c r="F28" s="315"/>
    </row>
    <row r="29" spans="2:6" x14ac:dyDescent="0.3">
      <c r="B29" s="171" t="s">
        <v>101</v>
      </c>
      <c r="C29" s="172">
        <v>0</v>
      </c>
      <c r="D29" s="173">
        <v>0</v>
      </c>
      <c r="E29" s="172">
        <v>0</v>
      </c>
      <c r="F29" s="174">
        <v>0</v>
      </c>
    </row>
    <row r="30" spans="2:6" ht="14.5" thickBot="1" x14ac:dyDescent="0.35">
      <c r="B30" s="157" t="s">
        <v>102</v>
      </c>
      <c r="C30" s="158">
        <v>0</v>
      </c>
      <c r="D30" s="159">
        <v>0</v>
      </c>
      <c r="E30" s="160">
        <f>139+31-160</f>
        <v>10</v>
      </c>
      <c r="F30" s="161">
        <f>E30*6605/2</f>
        <v>33025</v>
      </c>
    </row>
    <row r="34" spans="2:6" ht="14.5" thickBot="1" x14ac:dyDescent="0.35"/>
    <row r="35" spans="2:6" ht="14.5" thickBot="1" x14ac:dyDescent="0.35">
      <c r="B35" s="308" t="s">
        <v>114</v>
      </c>
      <c r="C35" s="309"/>
      <c r="D35" s="309"/>
      <c r="E35" s="309"/>
      <c r="F35" s="310"/>
    </row>
    <row r="36" spans="2:6" ht="14.5" thickBot="1" x14ac:dyDescent="0.35">
      <c r="B36" s="151" t="s">
        <v>117</v>
      </c>
      <c r="C36" s="311" t="s">
        <v>44</v>
      </c>
      <c r="D36" s="312"/>
      <c r="E36" s="311" t="s">
        <v>98</v>
      </c>
      <c r="F36" s="313"/>
    </row>
    <row r="37" spans="2:6" x14ac:dyDescent="0.3">
      <c r="B37" s="166" t="s">
        <v>118</v>
      </c>
      <c r="C37" s="295" t="s">
        <v>121</v>
      </c>
      <c r="D37" s="296"/>
      <c r="E37" s="296"/>
      <c r="F37" s="297"/>
    </row>
    <row r="38" spans="2:6" x14ac:dyDescent="0.3">
      <c r="B38" s="171" t="s">
        <v>119</v>
      </c>
      <c r="C38" s="298" t="s">
        <v>120</v>
      </c>
      <c r="D38" s="299"/>
      <c r="E38" s="299"/>
      <c r="F38" s="300"/>
    </row>
    <row r="39" spans="2:6" x14ac:dyDescent="0.3">
      <c r="B39" s="171" t="s">
        <v>122</v>
      </c>
      <c r="C39" s="298" t="s">
        <v>123</v>
      </c>
      <c r="D39" s="299"/>
      <c r="E39" s="299"/>
      <c r="F39" s="300"/>
    </row>
    <row r="40" spans="2:6" ht="14.5" thickBot="1" x14ac:dyDescent="0.35">
      <c r="B40" s="157" t="s">
        <v>124</v>
      </c>
      <c r="C40" s="301" t="s">
        <v>125</v>
      </c>
      <c r="D40" s="302"/>
      <c r="E40" s="302"/>
      <c r="F40" s="303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4" x14ac:dyDescent="0.3"/>
  <cols>
    <col min="1" max="1" width="20.58203125" customWidth="1"/>
    <col min="2" max="2" width="10.5" bestFit="1" customWidth="1"/>
    <col min="3" max="3" width="14.58203125" customWidth="1"/>
    <col min="6" max="7" width="14.1640625" customWidth="1"/>
    <col min="8" max="8" width="11.08203125" bestFit="1" customWidth="1"/>
    <col min="9" max="9" width="13.5" bestFit="1" customWidth="1"/>
    <col min="10" max="10" width="13" bestFit="1" customWidth="1"/>
    <col min="11" max="11" width="12.5" bestFit="1" customWidth="1"/>
    <col min="12" max="12" width="11.08203125" bestFit="1" customWidth="1"/>
    <col min="14" max="14" width="9.4140625" customWidth="1"/>
  </cols>
  <sheetData>
    <row r="2" spans="1:14" x14ac:dyDescent="0.3">
      <c r="A2" t="s">
        <v>169</v>
      </c>
      <c r="B2" t="s">
        <v>170</v>
      </c>
    </row>
    <row r="3" spans="1:14" x14ac:dyDescent="0.3">
      <c r="B3" t="s">
        <v>44</v>
      </c>
    </row>
    <row r="7" spans="1:14" x14ac:dyDescent="0.3">
      <c r="N7" t="s">
        <v>171</v>
      </c>
    </row>
    <row r="8" spans="1:14" x14ac:dyDescent="0.3">
      <c r="A8" t="s">
        <v>172</v>
      </c>
      <c r="N8" t="s">
        <v>173</v>
      </c>
    </row>
    <row r="9" spans="1:14" x14ac:dyDescent="0.3">
      <c r="A9" t="s">
        <v>174</v>
      </c>
      <c r="D9" s="212" t="s">
        <v>175</v>
      </c>
      <c r="E9" s="212"/>
      <c r="N9" t="s">
        <v>176</v>
      </c>
    </row>
    <row r="10" spans="1:14" x14ac:dyDescent="0.3">
      <c r="N10" t="s">
        <v>177</v>
      </c>
    </row>
    <row r="15" spans="1:14" x14ac:dyDescent="0.3">
      <c r="A15" t="s">
        <v>178</v>
      </c>
      <c r="B15" t="s">
        <v>179</v>
      </c>
    </row>
    <row r="19" spans="1:12" x14ac:dyDescent="0.3">
      <c r="A19" s="39" t="s">
        <v>180</v>
      </c>
      <c r="B19" s="39" t="s">
        <v>171</v>
      </c>
      <c r="C19" s="39" t="s">
        <v>79</v>
      </c>
      <c r="D19" s="39" t="s">
        <v>181</v>
      </c>
      <c r="E19" s="39" t="s">
        <v>182</v>
      </c>
      <c r="F19" s="39" t="s">
        <v>183</v>
      </c>
      <c r="G19" s="39" t="s">
        <v>21</v>
      </c>
      <c r="H19" s="39" t="s">
        <v>184</v>
      </c>
      <c r="I19" s="39" t="s">
        <v>185</v>
      </c>
      <c r="J19" s="39" t="s">
        <v>186</v>
      </c>
      <c r="K19" s="39" t="s">
        <v>187</v>
      </c>
      <c r="L19" s="39" t="s">
        <v>188</v>
      </c>
    </row>
    <row r="20" spans="1:12" x14ac:dyDescent="0.3">
      <c r="A20" t="s">
        <v>189</v>
      </c>
      <c r="H20" s="148">
        <f>'תחשיב לפי שווי שומה (2)'!B8</f>
        <v>9500</v>
      </c>
      <c r="I20" s="189">
        <v>0</v>
      </c>
      <c r="J20" s="149">
        <f>D20*G20*H20*I20</f>
        <v>0</v>
      </c>
      <c r="K20" s="189">
        <v>0.51</v>
      </c>
      <c r="L20" s="148">
        <f>'[1]תחשיב לפי שווי שומה (2)'!$B$26*G20</f>
        <v>0</v>
      </c>
    </row>
    <row r="21" spans="1:12" x14ac:dyDescent="0.3">
      <c r="A21" t="s">
        <v>190</v>
      </c>
      <c r="H21" s="149">
        <f>H20</f>
        <v>9500</v>
      </c>
      <c r="I21" s="189">
        <v>0</v>
      </c>
      <c r="J21" s="149">
        <f>D21*G21*H21*I21</f>
        <v>0</v>
      </c>
      <c r="K21" s="189">
        <v>0.51</v>
      </c>
      <c r="L21" s="148">
        <f>'[1]תחשיב לפי שווי שומה (2)'!$B$26*G21</f>
        <v>0</v>
      </c>
    </row>
    <row r="22" spans="1:12" x14ac:dyDescent="0.3">
      <c r="A22" t="s">
        <v>191</v>
      </c>
      <c r="H22" s="149">
        <f>H21</f>
        <v>9500</v>
      </c>
      <c r="I22" s="189">
        <v>0.05</v>
      </c>
      <c r="J22" s="149">
        <f>D22*G22*H22*I22</f>
        <v>0</v>
      </c>
      <c r="K22" s="189">
        <v>0.51</v>
      </c>
      <c r="L22" s="148">
        <f>'[1]תחשיב לפי שווי שומה (2)'!$B$26*G22</f>
        <v>0</v>
      </c>
    </row>
    <row r="23" spans="1:12" x14ac:dyDescent="0.3">
      <c r="A23" t="s">
        <v>192</v>
      </c>
      <c r="H23" s="149">
        <f>H22</f>
        <v>9500</v>
      </c>
      <c r="I23" s="189">
        <v>0.05</v>
      </c>
      <c r="J23" s="149">
        <f>D23*G23*H23*I23</f>
        <v>0</v>
      </c>
      <c r="K23" s="189">
        <v>0.51</v>
      </c>
      <c r="L23" s="148">
        <f>'[1]תחשיב לפי שווי שומה (2)'!$B$26*G23</f>
        <v>0</v>
      </c>
    </row>
    <row r="24" spans="1:12" x14ac:dyDescent="0.3">
      <c r="A24" t="s">
        <v>193</v>
      </c>
      <c r="H24" s="149"/>
      <c r="I24" s="189">
        <v>0.05</v>
      </c>
      <c r="J24" s="149">
        <f>D24*G24*H24*I24</f>
        <v>0</v>
      </c>
      <c r="K24" s="189">
        <v>0.51</v>
      </c>
      <c r="L24" s="148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2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תחשיב לפי שווי שומה (2)</vt:lpstr>
      <vt:lpstr>סיכום עלויות פיצולים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Ofir Avioz</cp:lastModifiedBy>
  <cp:lastPrinted>2021-12-23T08:27:36Z</cp:lastPrinted>
  <dcterms:created xsi:type="dcterms:W3CDTF">2021-03-08T14:46:48Z</dcterms:created>
  <dcterms:modified xsi:type="dcterms:W3CDTF">2025-05-14T08:55:24Z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